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fileSharing readOnlyRecommended="1"/>
  <workbookPr defaultThemeVersion="166925"/>
  <mc:AlternateContent xmlns:mc="http://schemas.openxmlformats.org/markup-compatibility/2006">
    <mc:Choice Requires="x15">
      <x15ac:absPath xmlns:x15ac="http://schemas.microsoft.com/office/spreadsheetml/2010/11/ac" url="https://cwwau-my.sharepoint.com/personal/kelly_brown_gww_com_au/Documents/Desktop/GWW PS24_ ESC Submission 28 September 2024/"/>
    </mc:Choice>
  </mc:AlternateContent>
  <xr:revisionPtr revIDLastSave="0" documentId="8_{1E868D39-A109-4B27-AF68-054DF86A8E65}" xr6:coauthVersionLast="47" xr6:coauthVersionMax="47" xr10:uidLastSave="{00000000-0000-0000-0000-000000000000}"/>
  <bookViews>
    <workbookView xWindow="-120" yWindow="-120" windowWidth="29040" windowHeight="15840" xr2:uid="{91BCDC9F-7B1E-4C41-B8D5-34AF709D90E9}"/>
  </bookViews>
  <sheets>
    <sheet name="DASH" sheetId="3" r:id="rId1"/>
    <sheet name="Model Guide" sheetId="16" r:id="rId2"/>
    <sheet name="Assumptions" sheetId="2" r:id="rId3"/>
    <sheet name="Notes" sheetId="17" r:id="rId4"/>
    <sheet name="Checks" sheetId="18" r:id="rId5"/>
    <sheet name="INPUT Reg" sheetId="4" r:id="rId6"/>
    <sheet name="INPUT Growth" sheetId="5" r:id="rId7"/>
    <sheet name="INPUT Opex" sheetId="6" r:id="rId8"/>
    <sheet name="INPUT Capex" sheetId="7" r:id="rId9"/>
    <sheet name="SW" sheetId="9" r:id="rId10"/>
    <sheet name="SS" sheetId="8" r:id="rId11"/>
    <sheet name="SA" sheetId="10" r:id="rId12"/>
    <sheet name="GW" sheetId="12" r:id="rId13"/>
    <sheet name="GS" sheetId="11" r:id="rId14"/>
    <sheet name="GA" sheetId="13" r:id="rId15"/>
    <sheet name="WR" sheetId="14" r:id="rId16"/>
    <sheet name="GR" sheetId="15" r:id="rId17"/>
  </sheets>
  <definedNames>
    <definedName name="_Fill" localSheetId="2" hidden="1">#REF!</definedName>
    <definedName name="_Fill" localSheetId="4" hidden="1">#REF!</definedName>
    <definedName name="_Fill" localSheetId="1" hidden="1">#REF!</definedName>
    <definedName name="_Fill" hidden="1">#REF!</definedName>
    <definedName name="_Key1" localSheetId="2" hidden="1">#REF!</definedName>
    <definedName name="_Key1" localSheetId="4" hidden="1">#REF!</definedName>
    <definedName name="_Key1" localSheetId="1" hidden="1">#REF!</definedName>
    <definedName name="_Key1" hidden="1">#REF!</definedName>
    <definedName name="_Order1" hidden="1">255</definedName>
    <definedName name="_Sort" localSheetId="2" hidden="1">#REF!</definedName>
    <definedName name="_Sort" localSheetId="4" hidden="1">#REF!</definedName>
    <definedName name="_Sort" localSheetId="1" hidden="1">#REF!</definedName>
    <definedName name="_Sort" hidden="1">#REF!</definedName>
    <definedName name="Cent_West" localSheetId="8">#REF!</definedName>
    <definedName name="Cent_West" localSheetId="7">#REF!</definedName>
    <definedName name="CWW_N_R_F">'INPUT Reg'!$AC$43</definedName>
    <definedName name="CWW_N_R_V">'INPUT Reg'!$AC$44</definedName>
    <definedName name="CWW_N_S_N">'INPUT Reg'!$AC$41</definedName>
    <definedName name="CWW_N_SDC">'INPUT Reg'!$AC$42</definedName>
    <definedName name="CWW_N_W_N">'INPUT Reg'!$AC$39</definedName>
    <definedName name="CWW_N_W_V">'INPUT Reg'!$AC$40</definedName>
    <definedName name="CWW_R_R_N">'INPUT Reg'!$AC$37</definedName>
    <definedName name="CWW_R_R_V">'INPUT Reg'!$AC$38</definedName>
    <definedName name="CWW_R_S_N">'INPUT Reg'!$AC$35</definedName>
    <definedName name="CWW_R_SDC">'INPUT Reg'!$AC$36</definedName>
    <definedName name="CWW_R_W_N">'INPUT Reg'!$AC$31</definedName>
    <definedName name="CWW_T1">'INPUT Reg'!$AC$32</definedName>
    <definedName name="CWW_T2">'INPUT Reg'!$AC$33</definedName>
    <definedName name="Days_yr" localSheetId="2">#REF!</definedName>
    <definedName name="Days_yr" localSheetId="4">#REF!</definedName>
    <definedName name="Days_yr" localSheetId="1">#REF!</definedName>
    <definedName name="Days_yr">#REF!</definedName>
    <definedName name="Fixed_or_Var">#REF!</definedName>
    <definedName name="FY_month" localSheetId="2">#REF!</definedName>
    <definedName name="FY_month" localSheetId="4">#REF!</definedName>
    <definedName name="FY_month" localSheetId="1">#REF!</definedName>
    <definedName name="FY_month">#REF!</definedName>
    <definedName name="inf">#REF!</definedName>
    <definedName name="Months_yr" localSheetId="2">#REF!</definedName>
    <definedName name="Months_yr" localSheetId="4">#REF!</definedName>
    <definedName name="Months_yr" localSheetId="1">#REF!</definedName>
    <definedName name="Months_yr">#REF!</definedName>
    <definedName name="NR_Growth" localSheetId="8">#REF!</definedName>
    <definedName name="NR_Growth" localSheetId="7">#REF!</definedName>
    <definedName name="NSPAV">DASH!$O$9:$O$9</definedName>
    <definedName name="On_Off" localSheetId="2">#REF!</definedName>
    <definedName name="On_Off" localSheetId="4">#REF!</definedName>
    <definedName name="On_Off" localSheetId="1">#REF!</definedName>
    <definedName name="Price_Asset_Class">#REF!</definedName>
    <definedName name="Pricing_Unit">#REF!</definedName>
    <definedName name="ReportIDJD">1/4</definedName>
    <definedName name="RW" localSheetId="14">GA!$E$322</definedName>
    <definedName name="RW" localSheetId="16">GR!$E$322</definedName>
    <definedName name="RW" localSheetId="12">GW!$E$322</definedName>
    <definedName name="RW" localSheetId="11">SA!$E$322</definedName>
    <definedName name="RW" localSheetId="9">SW!$E$322</definedName>
    <definedName name="RW">SS!$E$322</definedName>
    <definedName name="S" localSheetId="14">GA!$E$321</definedName>
    <definedName name="S" localSheetId="16">GR!$E$321</definedName>
    <definedName name="S" localSheetId="12">GW!$E$321</definedName>
    <definedName name="S" localSheetId="11">SA!$E$321</definedName>
    <definedName name="S" localSheetId="9">SW!$E$321</definedName>
    <definedName name="S">SS!$E$321</definedName>
    <definedName name="sunk">DASH!$N$9:$N$9</definedName>
    <definedName name="Sunk_off\">DASH!$P$9:$P$9</definedName>
    <definedName name="sunkSpli">DASH!$R$9:$R$9</definedName>
    <definedName name="TariffCode" localSheetId="4">Checks!#REF!</definedName>
    <definedName name="TariffCode" localSheetId="1">'Model Guide'!#REF!</definedName>
    <definedName name="TariffCode">Assumptions!$H$88:$H$95</definedName>
    <definedName name="TariffName" localSheetId="4">Checks!#REF!</definedName>
    <definedName name="TariffName" localSheetId="1">'Model Guide'!#REF!</definedName>
    <definedName name="TariffName">Assumptions!$E$88:$E$95</definedName>
    <definedName name="TariffProduct" localSheetId="4">Checks!#REF!</definedName>
    <definedName name="TariffProduct" localSheetId="1">'Model Guide'!#REF!</definedName>
    <definedName name="TariffProduct">Assumptions!$I$88:$I$95</definedName>
    <definedName name="TariffZone" localSheetId="4">Checks!#REF!</definedName>
    <definedName name="TariffZone" localSheetId="1">'Model Guide'!#REF!</definedName>
    <definedName name="TariffZone">Assumptions!$J$88:$J$95</definedName>
    <definedName name="ToggleValue">#REF!</definedName>
    <definedName name="ToggleValueMCSG">#REF!</definedName>
    <definedName name="ToggleValueMCSV">#REF!</definedName>
    <definedName name="ToggleValueMCUG">#REF!</definedName>
    <definedName name="ToggleValueMCUV">#REF!</definedName>
    <definedName name="ToggleValueMDFS">#REF!</definedName>
    <definedName name="ToggleValueMDMC">#REF!</definedName>
    <definedName name="ToggleValueMDNR">#REF!</definedName>
    <definedName name="ToggleValueMDR">#REF!</definedName>
    <definedName name="ToggleValueNRSG">#REF!</definedName>
    <definedName name="ToggleValueNRSV">#REF!</definedName>
    <definedName name="ToggleValueNRUG">#REF!</definedName>
    <definedName name="ToggleValueNRUV">#REF!</definedName>
    <definedName name="ToggleValueSG">#REF!</definedName>
    <definedName name="ToggleValueSV">#REF!</definedName>
    <definedName name="ToggleValueTWG">#REF!</definedName>
    <definedName name="ToggleValueTWSV">#REF!</definedName>
    <definedName name="ToggleValueTWV">#REF!</definedName>
    <definedName name="ToggleValueUV">#REF!</definedName>
    <definedName name="ToggleValueWWG">#REF!</definedName>
    <definedName name="ToggleValueWWMCG">#REF!</definedName>
    <definedName name="ToggleValueWWMCSV">#REF!</definedName>
    <definedName name="ToggleValueWWNRG">#REF!</definedName>
    <definedName name="ToggleValueWWNRSG">#REF!</definedName>
    <definedName name="ToggleValueWWNRSV">#REF!</definedName>
    <definedName name="ToggleValueWWNRV">#REF!</definedName>
    <definedName name="ToggleValueWWSG">#REF!</definedName>
    <definedName name="W" localSheetId="14">GA!$E$320</definedName>
    <definedName name="W" localSheetId="16">GR!$E$320</definedName>
    <definedName name="W" localSheetId="12">GW!$E$320</definedName>
    <definedName name="W" localSheetId="11">SA!$E$320</definedName>
    <definedName name="W" localSheetId="9">SW!$E$320</definedName>
    <definedName name="W">SS!$E$320</definedName>
    <definedName name="WorkBookTitle" localSheetId="2">#REF!</definedName>
    <definedName name="WorkBookTitle" localSheetId="4">#REF!</definedName>
    <definedName name="WorkBookTitle" localSheetId="1">#REF!</definedName>
    <definedName name="WorkBookTitle">#REF!</definedName>
    <definedName name="WS" localSheetId="14">GA!$E$323</definedName>
    <definedName name="WS" localSheetId="16">GR!$E$323</definedName>
    <definedName name="WS" localSheetId="12">GW!$E$323</definedName>
    <definedName name="WS" localSheetId="11">SA!$E$323</definedName>
    <definedName name="WS" localSheetId="9">SW!$E$323</definedName>
    <definedName name="WS">SS!$E$323</definedName>
    <definedName name="WW_N_R_N">'INPUT Reg'!$AC$57</definedName>
    <definedName name="WW_N_R_V">'INPUT Reg'!$AC$58</definedName>
    <definedName name="WW_N_S_N">'INPUT Reg'!$AC$55</definedName>
    <definedName name="WW_N_SDC">'INPUT Reg'!$AC$56</definedName>
    <definedName name="WW_N_W_N">'INPUT Reg'!$AC$53</definedName>
    <definedName name="WW_N_W_V">'INPUT Reg'!$AC$54</definedName>
    <definedName name="WW_R_R_N">'INPUT Reg'!$AC$51</definedName>
    <definedName name="WW_R_R_V">'INPUT Reg'!$AC$52</definedName>
    <definedName name="WW_R_S_N">'INPUT Reg'!$AC$49</definedName>
    <definedName name="WW_R_SDC">'INPUT Reg'!$AC$50</definedName>
    <definedName name="WW_R_W_N">'INPUT Reg'!$AC$45</definedName>
    <definedName name="WW_T1">'INPUT Reg'!$AC$46</definedName>
    <definedName name="WW_T2">'INPUT Reg'!$AC$47</definedName>
    <definedName name="WW_T3">'INPUT Reg'!$AC$48</definedName>
    <definedName name="YesNo">DASH!$M$9:$M$9</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64" i="4" l="1"/>
  <c r="AD20" i="4"/>
  <c r="H59" i="3" l="1"/>
  <c r="I59" i="3" s="1"/>
  <c r="J59" i="3" s="1"/>
  <c r="K59" i="3" s="1"/>
  <c r="L59" i="3" s="1"/>
  <c r="M59" i="3" s="1"/>
  <c r="N59" i="3" s="1"/>
  <c r="O59" i="3" s="1"/>
  <c r="P59" i="3" s="1"/>
  <c r="Q59" i="3" s="1"/>
  <c r="R59" i="3" s="1"/>
  <c r="S59" i="3" s="1"/>
  <c r="T59" i="3" s="1"/>
  <c r="U59" i="3" s="1"/>
  <c r="V59" i="3" s="1"/>
  <c r="W59" i="3" s="1"/>
  <c r="X59" i="3" s="1"/>
  <c r="Y59" i="3" s="1"/>
  <c r="Z59" i="3" s="1"/>
  <c r="H58" i="3"/>
  <c r="I58" i="3" s="1"/>
  <c r="J58" i="3" s="1"/>
  <c r="K58" i="3" s="1"/>
  <c r="L58" i="3" s="1"/>
  <c r="M58" i="3" s="1"/>
  <c r="N58" i="3" s="1"/>
  <c r="O58" i="3" s="1"/>
  <c r="P58" i="3" s="1"/>
  <c r="Q58" i="3" s="1"/>
  <c r="R58" i="3" s="1"/>
  <c r="S58" i="3" s="1"/>
  <c r="T58" i="3" s="1"/>
  <c r="U58" i="3" s="1"/>
  <c r="V58" i="3" s="1"/>
  <c r="W58" i="3" s="1"/>
  <c r="X58" i="3" s="1"/>
  <c r="Y58" i="3" s="1"/>
  <c r="Z58" i="3" s="1"/>
  <c r="H57" i="3"/>
  <c r="I57" i="3" s="1"/>
  <c r="J57" i="3" s="1"/>
  <c r="K57" i="3" s="1"/>
  <c r="L57" i="3" s="1"/>
  <c r="M57" i="3" s="1"/>
  <c r="N57" i="3" s="1"/>
  <c r="O57" i="3" s="1"/>
  <c r="P57" i="3" s="1"/>
  <c r="Q57" i="3" s="1"/>
  <c r="R57" i="3" s="1"/>
  <c r="S57" i="3" s="1"/>
  <c r="T57" i="3" s="1"/>
  <c r="U57" i="3" s="1"/>
  <c r="V57" i="3" s="1"/>
  <c r="W57" i="3" s="1"/>
  <c r="X57" i="3" s="1"/>
  <c r="Y57" i="3" s="1"/>
  <c r="Z57" i="3" s="1"/>
  <c r="H56" i="3"/>
  <c r="I56" i="3" s="1"/>
  <c r="J56" i="3" s="1"/>
  <c r="K56" i="3" s="1"/>
  <c r="L56" i="3" s="1"/>
  <c r="M56" i="3" s="1"/>
  <c r="N56" i="3" s="1"/>
  <c r="O56" i="3" s="1"/>
  <c r="P56" i="3" s="1"/>
  <c r="Q56" i="3" s="1"/>
  <c r="R56" i="3" s="1"/>
  <c r="S56" i="3" s="1"/>
  <c r="T56" i="3" s="1"/>
  <c r="U56" i="3" s="1"/>
  <c r="V56" i="3" s="1"/>
  <c r="W56" i="3" s="1"/>
  <c r="X56" i="3" s="1"/>
  <c r="Y56" i="3" s="1"/>
  <c r="Z56" i="3" s="1"/>
  <c r="H55" i="3"/>
  <c r="I55" i="3" s="1"/>
  <c r="J55" i="3" s="1"/>
  <c r="K55" i="3" s="1"/>
  <c r="L55" i="3" s="1"/>
  <c r="M55" i="3" s="1"/>
  <c r="N55" i="3" s="1"/>
  <c r="O55" i="3" s="1"/>
  <c r="P55" i="3" s="1"/>
  <c r="Q55" i="3" s="1"/>
  <c r="R55" i="3" s="1"/>
  <c r="S55" i="3" s="1"/>
  <c r="T55" i="3" s="1"/>
  <c r="U55" i="3" s="1"/>
  <c r="V55" i="3" s="1"/>
  <c r="W55" i="3" s="1"/>
  <c r="X55" i="3" s="1"/>
  <c r="Y55" i="3" s="1"/>
  <c r="Z55" i="3" s="1"/>
  <c r="H54" i="3"/>
  <c r="I54" i="3" s="1"/>
  <c r="J54" i="3" s="1"/>
  <c r="K54" i="3" s="1"/>
  <c r="L54" i="3" s="1"/>
  <c r="M54" i="3" s="1"/>
  <c r="N54" i="3" s="1"/>
  <c r="O54" i="3" s="1"/>
  <c r="P54" i="3" s="1"/>
  <c r="Q54" i="3" s="1"/>
  <c r="R54" i="3" s="1"/>
  <c r="S54" i="3" s="1"/>
  <c r="T54" i="3" s="1"/>
  <c r="U54" i="3" s="1"/>
  <c r="V54" i="3" s="1"/>
  <c r="W54" i="3" s="1"/>
  <c r="X54" i="3" s="1"/>
  <c r="Y54" i="3" s="1"/>
  <c r="Z54" i="3" s="1"/>
  <c r="H53" i="3"/>
  <c r="I53" i="3" s="1"/>
  <c r="J53" i="3" s="1"/>
  <c r="K53" i="3" s="1"/>
  <c r="L53" i="3" s="1"/>
  <c r="M53" i="3" s="1"/>
  <c r="N53" i="3" s="1"/>
  <c r="O53" i="3" s="1"/>
  <c r="P53" i="3" s="1"/>
  <c r="Q53" i="3" s="1"/>
  <c r="R53" i="3" s="1"/>
  <c r="S53" i="3" s="1"/>
  <c r="T53" i="3" s="1"/>
  <c r="U53" i="3" s="1"/>
  <c r="V53" i="3" s="1"/>
  <c r="W53" i="3" s="1"/>
  <c r="X53" i="3" s="1"/>
  <c r="Y53" i="3" s="1"/>
  <c r="Z53" i="3" s="1"/>
  <c r="H52" i="3"/>
  <c r="I52" i="3" s="1"/>
  <c r="J52" i="3" s="1"/>
  <c r="K52" i="3" s="1"/>
  <c r="L52" i="3" s="1"/>
  <c r="M52" i="3" s="1"/>
  <c r="N52" i="3" s="1"/>
  <c r="O52" i="3" s="1"/>
  <c r="P52" i="3" s="1"/>
  <c r="Q52" i="3" s="1"/>
  <c r="R52" i="3" s="1"/>
  <c r="S52" i="3" s="1"/>
  <c r="T52" i="3" s="1"/>
  <c r="U52" i="3" s="1"/>
  <c r="V52" i="3" s="1"/>
  <c r="W52" i="3" s="1"/>
  <c r="X52" i="3" s="1"/>
  <c r="Y52" i="3" s="1"/>
  <c r="Z52" i="3" s="1"/>
  <c r="D20" i="3"/>
  <c r="D19" i="3"/>
  <c r="D18" i="3"/>
  <c r="D17" i="3"/>
  <c r="D16" i="3"/>
  <c r="D15" i="3"/>
  <c r="D14" i="3"/>
  <c r="O6" i="18" l="1"/>
  <c r="N6" i="18"/>
  <c r="M6" i="18"/>
  <c r="L6" i="18"/>
  <c r="K6" i="18"/>
  <c r="J6" i="18"/>
  <c r="I6" i="18"/>
  <c r="H6" i="18"/>
  <c r="G6" i="18"/>
  <c r="F6" i="18"/>
  <c r="AD260" i="7"/>
  <c r="AW257" i="7"/>
  <c r="AV257" i="7"/>
  <c r="AU257" i="7"/>
  <c r="AT257" i="7"/>
  <c r="AS257" i="7"/>
  <c r="AR257" i="7"/>
  <c r="AQ257" i="7"/>
  <c r="AP257" i="7"/>
  <c r="AO257" i="7"/>
  <c r="AN257" i="7"/>
  <c r="AM257" i="7"/>
  <c r="AL257" i="7"/>
  <c r="AK257" i="7"/>
  <c r="AJ257" i="7"/>
  <c r="AI257" i="7"/>
  <c r="AH257" i="7"/>
  <c r="AG257" i="7"/>
  <c r="AF257" i="7"/>
  <c r="AE257" i="7"/>
  <c r="AD257" i="7"/>
  <c r="J42" i="17"/>
  <c r="G42" i="17"/>
  <c r="J36" i="17"/>
  <c r="G36" i="17"/>
  <c r="J31" i="17"/>
  <c r="G31" i="17"/>
  <c r="J26" i="17"/>
  <c r="G26" i="17"/>
  <c r="L9" i="17"/>
  <c r="K9" i="17"/>
  <c r="J9" i="17"/>
  <c r="I9" i="17"/>
  <c r="H9" i="17"/>
  <c r="G9" i="17"/>
  <c r="F9" i="17"/>
  <c r="E9" i="17"/>
  <c r="D11" i="17"/>
  <c r="D12" i="17" s="1"/>
  <c r="D13" i="17" s="1"/>
  <c r="D14" i="17" s="1"/>
  <c r="D15" i="17" s="1"/>
  <c r="D16" i="17" s="1"/>
  <c r="D17" i="17" s="1"/>
  <c r="D18" i="17" s="1"/>
  <c r="D19" i="17" s="1"/>
  <c r="D20" i="17" s="1"/>
  <c r="D21" i="17" s="1"/>
  <c r="D22" i="17" s="1"/>
  <c r="D23" i="17" s="1"/>
  <c r="D24" i="17" s="1"/>
  <c r="D25" i="17" s="1"/>
  <c r="D26" i="17" s="1"/>
  <c r="D27" i="17" s="1"/>
  <c r="D28" i="17" s="1"/>
  <c r="D29" i="17" s="1"/>
  <c r="D30" i="17" s="1"/>
  <c r="D31" i="17" s="1"/>
  <c r="D32" i="17" s="1"/>
  <c r="D33" i="17" s="1"/>
  <c r="D34" i="17" s="1"/>
  <c r="D35" i="17" s="1"/>
  <c r="D36" i="17" s="1"/>
  <c r="D37" i="17" s="1"/>
  <c r="D38" i="17" s="1"/>
  <c r="D39" i="17" s="1"/>
  <c r="D40" i="17" s="1"/>
  <c r="D41" i="17" s="1"/>
  <c r="D42" i="17" s="1"/>
  <c r="D43" i="17" s="1"/>
  <c r="D44" i="17" s="1"/>
  <c r="D45" i="17" s="1"/>
  <c r="D46" i="17" s="1"/>
  <c r="D47" i="17" s="1"/>
  <c r="D48" i="17" s="1"/>
  <c r="D49" i="17" s="1"/>
  <c r="D50" i="17" s="1"/>
  <c r="D51" i="17" s="1"/>
  <c r="D52" i="17" s="1"/>
  <c r="D53" i="17" s="1"/>
  <c r="D54" i="17" s="1"/>
  <c r="D55" i="17" s="1"/>
  <c r="D56" i="17" s="1"/>
  <c r="D57" i="17" s="1"/>
  <c r="D58" i="17" s="1"/>
  <c r="D59" i="17" s="1"/>
  <c r="D60" i="17" s="1"/>
  <c r="D61" i="17" s="1"/>
  <c r="D62" i="17" s="1"/>
  <c r="D63" i="17" s="1"/>
  <c r="D64" i="17" s="1"/>
  <c r="G10" i="10"/>
  <c r="G9" i="10"/>
  <c r="G8" i="10"/>
  <c r="G7" i="10"/>
  <c r="G10" i="11"/>
  <c r="G9" i="11"/>
  <c r="G8" i="11"/>
  <c r="G7" i="11"/>
  <c r="G10" i="12"/>
  <c r="G9" i="12"/>
  <c r="G8" i="12"/>
  <c r="G7" i="12"/>
  <c r="G10" i="13"/>
  <c r="G9" i="13"/>
  <c r="G8" i="13"/>
  <c r="G7" i="13"/>
  <c r="G10" i="14"/>
  <c r="G9" i="14"/>
  <c r="G8" i="14"/>
  <c r="G7" i="14"/>
  <c r="G10" i="15"/>
  <c r="G9" i="15"/>
  <c r="G8" i="15"/>
  <c r="G7" i="15"/>
  <c r="G10" i="9"/>
  <c r="G9" i="9"/>
  <c r="G8" i="9"/>
  <c r="G7" i="9"/>
  <c r="G10" i="8"/>
  <c r="G9" i="8"/>
  <c r="G8" i="8"/>
  <c r="G7" i="8"/>
  <c r="AD66" i="4"/>
  <c r="AB30" i="7"/>
  <c r="AB29" i="7"/>
  <c r="AA30" i="7"/>
  <c r="AA29" i="7"/>
  <c r="E33" i="17" l="1"/>
  <c r="L43" i="17"/>
  <c r="L37" i="17"/>
  <c r="J43" i="17"/>
  <c r="E39" i="17"/>
  <c r="E45" i="17"/>
  <c r="G37" i="17"/>
  <c r="I37" i="17"/>
  <c r="G43" i="17"/>
  <c r="J37" i="17"/>
  <c r="E43" i="17"/>
  <c r="K37" i="17"/>
  <c r="F43" i="17"/>
  <c r="E37" i="17"/>
  <c r="H43" i="17"/>
  <c r="F37" i="17"/>
  <c r="I43" i="17"/>
  <c r="E28" i="17"/>
  <c r="H37" i="17"/>
  <c r="K43" i="17"/>
  <c r="AB140" i="7" l="1"/>
  <c r="AA140" i="7"/>
  <c r="Z140" i="7"/>
  <c r="Y140" i="7"/>
  <c r="X140" i="7"/>
  <c r="W140" i="7"/>
  <c r="V140" i="7"/>
  <c r="U140" i="7"/>
  <c r="T140" i="7"/>
  <c r="S140" i="7"/>
  <c r="AB139" i="7"/>
  <c r="AA139" i="7"/>
  <c r="Z139" i="7"/>
  <c r="Y139" i="7"/>
  <c r="X139" i="7"/>
  <c r="W139" i="7"/>
  <c r="V139" i="7"/>
  <c r="U139" i="7"/>
  <c r="T139" i="7"/>
  <c r="S139" i="7"/>
  <c r="AB138" i="7"/>
  <c r="AA138" i="7"/>
  <c r="Z138" i="7"/>
  <c r="Y138" i="7"/>
  <c r="X138" i="7"/>
  <c r="W138" i="7"/>
  <c r="V138" i="7"/>
  <c r="U138" i="7"/>
  <c r="T138" i="7"/>
  <c r="S138" i="7"/>
  <c r="AB137" i="7"/>
  <c r="AA137" i="7"/>
  <c r="Z137" i="7"/>
  <c r="Y137" i="7"/>
  <c r="X137" i="7"/>
  <c r="W137" i="7"/>
  <c r="V137" i="7"/>
  <c r="U137" i="7"/>
  <c r="T137" i="7"/>
  <c r="S137" i="7"/>
  <c r="AB135" i="7"/>
  <c r="AA135" i="7"/>
  <c r="Z135" i="7"/>
  <c r="Y135" i="7"/>
  <c r="X135" i="7"/>
  <c r="W135" i="7"/>
  <c r="V135" i="7"/>
  <c r="U135" i="7"/>
  <c r="T135" i="7"/>
  <c r="S135" i="7"/>
  <c r="AB134" i="7"/>
  <c r="AA134" i="7"/>
  <c r="Z134" i="7"/>
  <c r="Y134" i="7"/>
  <c r="X134" i="7"/>
  <c r="W134" i="7"/>
  <c r="V134" i="7"/>
  <c r="U134" i="7"/>
  <c r="T134" i="7"/>
  <c r="S134" i="7"/>
  <c r="AB133" i="7"/>
  <c r="AA133" i="7"/>
  <c r="Z133" i="7"/>
  <c r="Y133" i="7"/>
  <c r="X133" i="7"/>
  <c r="W133" i="7"/>
  <c r="V133" i="7"/>
  <c r="U133" i="7"/>
  <c r="T133" i="7"/>
  <c r="S133" i="7"/>
  <c r="AB131" i="7"/>
  <c r="AA131" i="7"/>
  <c r="Z131" i="7"/>
  <c r="Y131" i="7"/>
  <c r="X131" i="7"/>
  <c r="W131" i="7"/>
  <c r="V131" i="7"/>
  <c r="U131" i="7"/>
  <c r="T131" i="7"/>
  <c r="S131" i="7"/>
  <c r="AB130" i="7"/>
  <c r="AA130" i="7"/>
  <c r="Z130" i="7"/>
  <c r="Y130" i="7"/>
  <c r="X130" i="7"/>
  <c r="W130" i="7"/>
  <c r="V130" i="7"/>
  <c r="U130" i="7"/>
  <c r="T130" i="7"/>
  <c r="S130" i="7"/>
  <c r="AB129" i="7"/>
  <c r="AA129" i="7"/>
  <c r="Z129" i="7"/>
  <c r="Y129" i="7"/>
  <c r="X129" i="7"/>
  <c r="W129" i="7"/>
  <c r="V129" i="7"/>
  <c r="U129" i="7"/>
  <c r="T129" i="7"/>
  <c r="S129" i="7"/>
  <c r="AB127" i="7"/>
  <c r="AA127" i="7"/>
  <c r="Z127" i="7"/>
  <c r="Y127" i="7"/>
  <c r="X127" i="7"/>
  <c r="W127" i="7"/>
  <c r="V127" i="7"/>
  <c r="U127" i="7"/>
  <c r="T127" i="7"/>
  <c r="S127" i="7"/>
  <c r="AB126" i="7"/>
  <c r="AA126" i="7"/>
  <c r="Z126" i="7"/>
  <c r="Y126" i="7"/>
  <c r="X126" i="7"/>
  <c r="W126" i="7"/>
  <c r="V126" i="7"/>
  <c r="U126" i="7"/>
  <c r="T126" i="7"/>
  <c r="S126" i="7"/>
  <c r="AB125" i="7"/>
  <c r="AA125" i="7"/>
  <c r="Z125" i="7"/>
  <c r="Y125" i="7"/>
  <c r="X125" i="7"/>
  <c r="W125" i="7"/>
  <c r="V125" i="7"/>
  <c r="U125" i="7"/>
  <c r="T125" i="7"/>
  <c r="S125" i="7"/>
  <c r="AB124" i="7"/>
  <c r="AA124" i="7"/>
  <c r="Z124" i="7"/>
  <c r="Y124" i="7"/>
  <c r="X124" i="7"/>
  <c r="W124" i="7"/>
  <c r="V124" i="7"/>
  <c r="U124" i="7"/>
  <c r="T124" i="7"/>
  <c r="S124" i="7"/>
  <c r="AB122" i="7"/>
  <c r="AA122" i="7"/>
  <c r="Z122" i="7"/>
  <c r="Y122" i="7"/>
  <c r="X122" i="7"/>
  <c r="W122" i="7"/>
  <c r="V122" i="7"/>
  <c r="U122" i="7"/>
  <c r="T122" i="7"/>
  <c r="S122" i="7"/>
  <c r="AB121" i="7"/>
  <c r="AA121" i="7"/>
  <c r="Z121" i="7"/>
  <c r="Y121" i="7"/>
  <c r="X121" i="7"/>
  <c r="W121" i="7"/>
  <c r="V121" i="7"/>
  <c r="U121" i="7"/>
  <c r="T121" i="7"/>
  <c r="S121" i="7"/>
  <c r="S162" i="7" s="1"/>
  <c r="P270" i="15" l="1"/>
  <c r="G241" i="15"/>
  <c r="Q240" i="15"/>
  <c r="G240" i="15"/>
  <c r="G306" i="15" s="1"/>
  <c r="G239" i="15"/>
  <c r="G237" i="15"/>
  <c r="AA236" i="15"/>
  <c r="Z236" i="15"/>
  <c r="Z302" i="15" s="1"/>
  <c r="Y236" i="15"/>
  <c r="Y270" i="15" s="1"/>
  <c r="X236" i="15"/>
  <c r="X302" i="15" s="1"/>
  <c r="W236" i="15"/>
  <c r="V236" i="15"/>
  <c r="V302" i="15" s="1"/>
  <c r="U236" i="15"/>
  <c r="U270" i="15" s="1"/>
  <c r="T236" i="15"/>
  <c r="T302" i="15" s="1"/>
  <c r="S236" i="15"/>
  <c r="R236" i="15"/>
  <c r="Q236" i="15"/>
  <c r="Q302" i="15" s="1"/>
  <c r="P236" i="15"/>
  <c r="P302" i="15" s="1"/>
  <c r="O236" i="15"/>
  <c r="O270" i="15" s="1"/>
  <c r="N236" i="15"/>
  <c r="N270" i="15" s="1"/>
  <c r="M236" i="15"/>
  <c r="M270" i="15" s="1"/>
  <c r="L236" i="15"/>
  <c r="L302" i="15" s="1"/>
  <c r="K236" i="15"/>
  <c r="K302" i="15" s="1"/>
  <c r="J236" i="15"/>
  <c r="I236" i="15"/>
  <c r="I302" i="15" s="1"/>
  <c r="H236" i="15"/>
  <c r="H302" i="15" s="1"/>
  <c r="G236" i="15"/>
  <c r="G302" i="15" s="1"/>
  <c r="G227" i="15"/>
  <c r="G225" i="15"/>
  <c r="G259" i="15" s="1"/>
  <c r="G224" i="15"/>
  <c r="G238" i="15" s="1"/>
  <c r="G223" i="15"/>
  <c r="G289" i="15" s="1"/>
  <c r="AA214" i="15"/>
  <c r="AA241" i="15" s="1"/>
  <c r="Z214" i="15"/>
  <c r="Z241" i="15" s="1"/>
  <c r="Y214" i="15"/>
  <c r="Y241" i="15" s="1"/>
  <c r="Y307" i="15" s="1"/>
  <c r="X214" i="15"/>
  <c r="X241" i="15" s="1"/>
  <c r="X275" i="15" s="1"/>
  <c r="W214" i="15"/>
  <c r="W241" i="15" s="1"/>
  <c r="V214" i="15"/>
  <c r="V241" i="15" s="1"/>
  <c r="AB241" i="15" s="1"/>
  <c r="U214" i="15"/>
  <c r="U241" i="15" s="1"/>
  <c r="T214" i="15"/>
  <c r="T241" i="15" s="1"/>
  <c r="T307" i="15" s="1"/>
  <c r="S214" i="15"/>
  <c r="S241" i="15" s="1"/>
  <c r="S275" i="15" s="1"/>
  <c r="R214" i="15"/>
  <c r="R241" i="15" s="1"/>
  <c r="Q214" i="15"/>
  <c r="Q241" i="15" s="1"/>
  <c r="P214" i="15"/>
  <c r="P241" i="15" s="1"/>
  <c r="O214" i="15"/>
  <c r="O241" i="15" s="1"/>
  <c r="N214" i="15"/>
  <c r="N241" i="15" s="1"/>
  <c r="M214" i="15"/>
  <c r="M241" i="15" s="1"/>
  <c r="L214" i="15"/>
  <c r="L241" i="15" s="1"/>
  <c r="K214" i="15"/>
  <c r="K241" i="15" s="1"/>
  <c r="J214" i="15"/>
  <c r="J241" i="15" s="1"/>
  <c r="I214" i="15"/>
  <c r="I241" i="15" s="1"/>
  <c r="I307" i="15" s="1"/>
  <c r="H214" i="15"/>
  <c r="H241" i="15" s="1"/>
  <c r="AA207" i="15"/>
  <c r="AA227" i="15" s="1"/>
  <c r="AA293" i="15" s="1"/>
  <c r="Z207" i="15"/>
  <c r="Z227" i="15" s="1"/>
  <c r="Z293" i="15" s="1"/>
  <c r="Y207" i="15"/>
  <c r="Y227" i="15" s="1"/>
  <c r="Y293" i="15" s="1"/>
  <c r="X207" i="15"/>
  <c r="X240" i="15" s="1"/>
  <c r="W207" i="15"/>
  <c r="V207" i="15"/>
  <c r="V240" i="15" s="1"/>
  <c r="V306" i="15" s="1"/>
  <c r="AB306" i="15" s="1"/>
  <c r="U207" i="15"/>
  <c r="U240" i="15" s="1"/>
  <c r="T207" i="15"/>
  <c r="T240" i="15" s="1"/>
  <c r="S207" i="15"/>
  <c r="S227" i="15" s="1"/>
  <c r="S293" i="15" s="1"/>
  <c r="R207" i="15"/>
  <c r="R227" i="15" s="1"/>
  <c r="R293" i="15" s="1"/>
  <c r="Q207" i="15"/>
  <c r="Q227" i="15" s="1"/>
  <c r="Q293" i="15" s="1"/>
  <c r="P207" i="15"/>
  <c r="P227" i="15" s="1"/>
  <c r="O207" i="15"/>
  <c r="N207" i="15"/>
  <c r="N240" i="15" s="1"/>
  <c r="M207" i="15"/>
  <c r="M240" i="15" s="1"/>
  <c r="L207" i="15"/>
  <c r="L227" i="15" s="1"/>
  <c r="K207" i="15"/>
  <c r="K227" i="15" s="1"/>
  <c r="K261" i="15" s="1"/>
  <c r="J207" i="15"/>
  <c r="J227" i="15" s="1"/>
  <c r="J293" i="15" s="1"/>
  <c r="I207" i="15"/>
  <c r="I227" i="15" s="1"/>
  <c r="I293" i="15" s="1"/>
  <c r="H207" i="15"/>
  <c r="H240" i="15" s="1"/>
  <c r="H306" i="15" s="1"/>
  <c r="C168" i="15"/>
  <c r="B168" i="15"/>
  <c r="C167" i="15"/>
  <c r="B167" i="15"/>
  <c r="C166" i="15"/>
  <c r="B166" i="15"/>
  <c r="C165" i="15"/>
  <c r="B165" i="15"/>
  <c r="C160" i="15"/>
  <c r="B160" i="15"/>
  <c r="C159" i="15"/>
  <c r="B159" i="15"/>
  <c r="C158" i="15"/>
  <c r="C164" i="15" s="1"/>
  <c r="B158" i="15"/>
  <c r="B164" i="15" s="1"/>
  <c r="C147" i="15"/>
  <c r="B147" i="15"/>
  <c r="C146" i="15"/>
  <c r="B146" i="15"/>
  <c r="C145" i="15"/>
  <c r="B145" i="15"/>
  <c r="C144" i="15"/>
  <c r="B144" i="15"/>
  <c r="C139" i="15"/>
  <c r="B139" i="15"/>
  <c r="C138" i="15"/>
  <c r="B138" i="15"/>
  <c r="C137" i="15"/>
  <c r="C143" i="15" s="1"/>
  <c r="B137" i="15"/>
  <c r="B143" i="15" s="1"/>
  <c r="C126" i="15"/>
  <c r="B126" i="15"/>
  <c r="C125" i="15"/>
  <c r="B125" i="15"/>
  <c r="C124" i="15"/>
  <c r="B124" i="15"/>
  <c r="C123" i="15"/>
  <c r="B123" i="15"/>
  <c r="C118" i="15"/>
  <c r="B118" i="15"/>
  <c r="C117" i="15"/>
  <c r="B117" i="15"/>
  <c r="C116" i="15"/>
  <c r="C122" i="15" s="1"/>
  <c r="B116" i="15"/>
  <c r="B122" i="15" s="1"/>
  <c r="C105" i="15"/>
  <c r="B105" i="15"/>
  <c r="C104" i="15"/>
  <c r="B104" i="15"/>
  <c r="C103" i="15"/>
  <c r="B103" i="15"/>
  <c r="C102" i="15"/>
  <c r="B102" i="15"/>
  <c r="C97" i="15"/>
  <c r="B97" i="15"/>
  <c r="C96" i="15"/>
  <c r="B96" i="15"/>
  <c r="C95" i="15"/>
  <c r="C101" i="15" s="1"/>
  <c r="B95" i="15"/>
  <c r="B101" i="15" s="1"/>
  <c r="L84" i="15"/>
  <c r="L235" i="15" s="1"/>
  <c r="AA75" i="15"/>
  <c r="Z75" i="15"/>
  <c r="Y75" i="15"/>
  <c r="X75" i="15"/>
  <c r="W75" i="15"/>
  <c r="V75" i="15"/>
  <c r="U75" i="15"/>
  <c r="T75" i="15"/>
  <c r="S75" i="15"/>
  <c r="R75" i="15"/>
  <c r="Q75" i="15"/>
  <c r="P75" i="15"/>
  <c r="O75" i="15"/>
  <c r="N75" i="15"/>
  <c r="M75" i="15"/>
  <c r="L75" i="15"/>
  <c r="K75" i="15"/>
  <c r="J75" i="15"/>
  <c r="I75" i="15"/>
  <c r="H75" i="15"/>
  <c r="G75" i="15"/>
  <c r="E73" i="15"/>
  <c r="E80" i="15" s="1"/>
  <c r="E72" i="15"/>
  <c r="E79" i="15" s="1"/>
  <c r="E71" i="15"/>
  <c r="E78" i="15" s="1"/>
  <c r="AA61" i="15"/>
  <c r="AA84" i="15" s="1"/>
  <c r="AA235" i="15" s="1"/>
  <c r="AA269" i="15" s="1"/>
  <c r="Z61" i="15"/>
  <c r="Z84" i="15" s="1"/>
  <c r="Z235" i="15" s="1"/>
  <c r="Y61" i="15"/>
  <c r="X61" i="15"/>
  <c r="W61" i="15"/>
  <c r="V61" i="15"/>
  <c r="V84" i="15" s="1"/>
  <c r="V235" i="15" s="1"/>
  <c r="U61" i="15"/>
  <c r="U84" i="15" s="1"/>
  <c r="U235" i="15" s="1"/>
  <c r="T61" i="15"/>
  <c r="T84" i="15" s="1"/>
  <c r="T235" i="15" s="1"/>
  <c r="S61" i="15"/>
  <c r="S84" i="15" s="1"/>
  <c r="S235" i="15" s="1"/>
  <c r="R61" i="15"/>
  <c r="R84" i="15" s="1"/>
  <c r="R235" i="15" s="1"/>
  <c r="Q61" i="15"/>
  <c r="P61" i="15"/>
  <c r="O61" i="15"/>
  <c r="N61" i="15"/>
  <c r="N84" i="15" s="1"/>
  <c r="N235" i="15" s="1"/>
  <c r="M61" i="15"/>
  <c r="M84" i="15" s="1"/>
  <c r="M235" i="15" s="1"/>
  <c r="M301" i="15" s="1"/>
  <c r="L61" i="15"/>
  <c r="K61" i="15"/>
  <c r="K84" i="15" s="1"/>
  <c r="K235" i="15" s="1"/>
  <c r="J61" i="15"/>
  <c r="J84" i="15" s="1"/>
  <c r="J235" i="15" s="1"/>
  <c r="I61" i="15"/>
  <c r="H61" i="15"/>
  <c r="G61" i="15"/>
  <c r="E59" i="15"/>
  <c r="E66" i="15" s="1"/>
  <c r="E58" i="15"/>
  <c r="E65" i="15" s="1"/>
  <c r="E57" i="15"/>
  <c r="E64" i="15" s="1"/>
  <c r="AA48" i="15"/>
  <c r="Z48" i="15"/>
  <c r="Y48" i="15"/>
  <c r="X48" i="15"/>
  <c r="W48" i="15"/>
  <c r="V48" i="15"/>
  <c r="U48" i="15"/>
  <c r="T48" i="15"/>
  <c r="S48" i="15"/>
  <c r="R48" i="15"/>
  <c r="Q48" i="15"/>
  <c r="P48" i="15"/>
  <c r="O48" i="15"/>
  <c r="N48" i="15"/>
  <c r="M48" i="15"/>
  <c r="L48" i="15"/>
  <c r="K48" i="15"/>
  <c r="J48" i="15"/>
  <c r="I48" i="15"/>
  <c r="H48" i="15"/>
  <c r="G48" i="15"/>
  <c r="E40" i="15"/>
  <c r="E48" i="15" s="1"/>
  <c r="E39" i="15"/>
  <c r="E47" i="15" s="1"/>
  <c r="E38" i="15"/>
  <c r="E46" i="15" s="1"/>
  <c r="E37" i="15"/>
  <c r="E45" i="15" s="1"/>
  <c r="AA32" i="15"/>
  <c r="Z32" i="15"/>
  <c r="Y32" i="15"/>
  <c r="X32" i="15"/>
  <c r="W32" i="15"/>
  <c r="V32" i="15"/>
  <c r="U32" i="15"/>
  <c r="T32" i="15"/>
  <c r="S32" i="15"/>
  <c r="R32" i="15"/>
  <c r="Q32" i="15"/>
  <c r="P32" i="15"/>
  <c r="O32" i="15"/>
  <c r="N32" i="15"/>
  <c r="M32" i="15"/>
  <c r="L32" i="15"/>
  <c r="K32" i="15"/>
  <c r="J32" i="15"/>
  <c r="I32" i="15"/>
  <c r="H32" i="15"/>
  <c r="G32" i="15"/>
  <c r="E32" i="15"/>
  <c r="E23" i="15"/>
  <c r="E31" i="15" s="1"/>
  <c r="E22" i="15"/>
  <c r="E30" i="15" s="1"/>
  <c r="E21" i="15"/>
  <c r="E29" i="15" s="1"/>
  <c r="G18" i="15"/>
  <c r="H18" i="15" s="1"/>
  <c r="I18" i="15" s="1"/>
  <c r="J18" i="15" s="1"/>
  <c r="K18" i="15" s="1"/>
  <c r="L18" i="15" s="1"/>
  <c r="M18" i="15" s="1"/>
  <c r="N18" i="15" s="1"/>
  <c r="O18" i="15" s="1"/>
  <c r="P18" i="15" s="1"/>
  <c r="Q18" i="15" s="1"/>
  <c r="R18" i="15" s="1"/>
  <c r="S18" i="15" s="1"/>
  <c r="T18" i="15" s="1"/>
  <c r="U18" i="15" s="1"/>
  <c r="V18" i="15" s="1"/>
  <c r="W18" i="15" s="1"/>
  <c r="X18" i="15" s="1"/>
  <c r="Y18" i="15" s="1"/>
  <c r="Z18" i="15" s="1"/>
  <c r="AA18" i="15" s="1"/>
  <c r="G17" i="15"/>
  <c r="G15" i="15"/>
  <c r="G14" i="15"/>
  <c r="Z80" i="15"/>
  <c r="L79" i="15"/>
  <c r="P1" i="15"/>
  <c r="O1" i="15"/>
  <c r="N1" i="15"/>
  <c r="M1" i="15"/>
  <c r="L1" i="15"/>
  <c r="K1" i="15"/>
  <c r="J1" i="15"/>
  <c r="I1" i="15"/>
  <c r="H1" i="15"/>
  <c r="G1" i="15"/>
  <c r="A1" i="15" a="1"/>
  <c r="A1" i="15" s="1"/>
  <c r="G289" i="14"/>
  <c r="I261" i="14"/>
  <c r="L241" i="14"/>
  <c r="L307" i="14" s="1"/>
  <c r="G241" i="14"/>
  <c r="G275" i="14" s="1"/>
  <c r="G240" i="14"/>
  <c r="G306" i="14" s="1"/>
  <c r="G239" i="14"/>
  <c r="G273" i="14" s="1"/>
  <c r="G237" i="14"/>
  <c r="G271" i="14" s="1"/>
  <c r="AA236" i="14"/>
  <c r="AA302" i="14" s="1"/>
  <c r="Z236" i="14"/>
  <c r="Z302" i="14" s="1"/>
  <c r="Y236" i="14"/>
  <c r="Y302" i="14" s="1"/>
  <c r="X236" i="14"/>
  <c r="X302" i="14" s="1"/>
  <c r="W236" i="14"/>
  <c r="W302" i="14" s="1"/>
  <c r="V236" i="14"/>
  <c r="V302" i="14" s="1"/>
  <c r="U236" i="14"/>
  <c r="U270" i="14" s="1"/>
  <c r="T236" i="14"/>
  <c r="T270" i="14" s="1"/>
  <c r="S236" i="14"/>
  <c r="R236" i="14"/>
  <c r="Q236" i="14"/>
  <c r="P236" i="14"/>
  <c r="P302" i="14" s="1"/>
  <c r="O236" i="14"/>
  <c r="O302" i="14" s="1"/>
  <c r="N236" i="14"/>
  <c r="N302" i="14" s="1"/>
  <c r="M236" i="14"/>
  <c r="M270" i="14" s="1"/>
  <c r="L236" i="14"/>
  <c r="L270" i="14" s="1"/>
  <c r="K236" i="14"/>
  <c r="K302" i="14" s="1"/>
  <c r="J236" i="14"/>
  <c r="J302" i="14" s="1"/>
  <c r="I236" i="14"/>
  <c r="I270" i="14" s="1"/>
  <c r="H236" i="14"/>
  <c r="H302" i="14" s="1"/>
  <c r="G236" i="14"/>
  <c r="G302" i="14" s="1"/>
  <c r="X227" i="14"/>
  <c r="G227" i="14"/>
  <c r="G225" i="14"/>
  <c r="G291" i="14" s="1"/>
  <c r="G224" i="14"/>
  <c r="G223" i="14"/>
  <c r="G257" i="14" s="1"/>
  <c r="AA214" i="14"/>
  <c r="AA241" i="14" s="1"/>
  <c r="Z214" i="14"/>
  <c r="Z241" i="14" s="1"/>
  <c r="Y214" i="14"/>
  <c r="Y241" i="14" s="1"/>
  <c r="X214" i="14"/>
  <c r="X241" i="14" s="1"/>
  <c r="W214" i="14"/>
  <c r="W241" i="14" s="1"/>
  <c r="V214" i="14"/>
  <c r="V241" i="14" s="1"/>
  <c r="U214" i="14"/>
  <c r="U241" i="14" s="1"/>
  <c r="T214" i="14"/>
  <c r="T241" i="14" s="1"/>
  <c r="S214" i="14"/>
  <c r="S241" i="14" s="1"/>
  <c r="R214" i="14"/>
  <c r="R241" i="14" s="1"/>
  <c r="R307" i="14" s="1"/>
  <c r="Q214" i="14"/>
  <c r="Q241" i="14" s="1"/>
  <c r="P214" i="14"/>
  <c r="P241" i="14" s="1"/>
  <c r="P275" i="14" s="1"/>
  <c r="O214" i="14"/>
  <c r="O241" i="14" s="1"/>
  <c r="O275" i="14" s="1"/>
  <c r="N214" i="14"/>
  <c r="N241" i="14" s="1"/>
  <c r="M214" i="14"/>
  <c r="M241" i="14" s="1"/>
  <c r="L214" i="14"/>
  <c r="K214" i="14"/>
  <c r="K241" i="14" s="1"/>
  <c r="J214" i="14"/>
  <c r="J241" i="14" s="1"/>
  <c r="J307" i="14" s="1"/>
  <c r="I214" i="14"/>
  <c r="I241" i="14" s="1"/>
  <c r="H214" i="14"/>
  <c r="H241" i="14" s="1"/>
  <c r="H275" i="14" s="1"/>
  <c r="AA207" i="14"/>
  <c r="AA227" i="14" s="1"/>
  <c r="AA293" i="14" s="1"/>
  <c r="Z207" i="14"/>
  <c r="Z227" i="14" s="1"/>
  <c r="Z261" i="14" s="1"/>
  <c r="Y207" i="14"/>
  <c r="Y227" i="14" s="1"/>
  <c r="Y293" i="14" s="1"/>
  <c r="X207" i="14"/>
  <c r="X240" i="14" s="1"/>
  <c r="X306" i="14" s="1"/>
  <c r="W207" i="14"/>
  <c r="W240" i="14" s="1"/>
  <c r="V207" i="14"/>
  <c r="V240" i="14" s="1"/>
  <c r="AB240" i="14" s="1"/>
  <c r="U207" i="14"/>
  <c r="U240" i="14" s="1"/>
  <c r="U274" i="14" s="1"/>
  <c r="T207" i="14"/>
  <c r="T227" i="14" s="1"/>
  <c r="S207" i="14"/>
  <c r="R207" i="14"/>
  <c r="R227" i="14" s="1"/>
  <c r="R293" i="14" s="1"/>
  <c r="Q207" i="14"/>
  <c r="Q227" i="14" s="1"/>
  <c r="Q293" i="14" s="1"/>
  <c r="P207" i="14"/>
  <c r="P240" i="14" s="1"/>
  <c r="P306" i="14" s="1"/>
  <c r="O207" i="14"/>
  <c r="O240" i="14" s="1"/>
  <c r="N207" i="14"/>
  <c r="N240" i="14" s="1"/>
  <c r="M207" i="14"/>
  <c r="M240" i="14" s="1"/>
  <c r="L207" i="14"/>
  <c r="L240" i="14" s="1"/>
  <c r="L306" i="14" s="1"/>
  <c r="K207" i="14"/>
  <c r="K227" i="14" s="1"/>
  <c r="J207" i="14"/>
  <c r="J227" i="14" s="1"/>
  <c r="J293" i="14" s="1"/>
  <c r="I207" i="14"/>
  <c r="I227" i="14" s="1"/>
  <c r="I293" i="14" s="1"/>
  <c r="H207" i="14"/>
  <c r="H240" i="14" s="1"/>
  <c r="C168" i="14"/>
  <c r="B168" i="14"/>
  <c r="C167" i="14"/>
  <c r="B167" i="14"/>
  <c r="C166" i="14"/>
  <c r="B166" i="14"/>
  <c r="C165" i="14"/>
  <c r="B165" i="14"/>
  <c r="C160" i="14"/>
  <c r="B160" i="14"/>
  <c r="C159" i="14"/>
  <c r="B159" i="14"/>
  <c r="C158" i="14"/>
  <c r="C164" i="14" s="1"/>
  <c r="B158" i="14"/>
  <c r="B164" i="14" s="1"/>
  <c r="G155" i="14"/>
  <c r="C147" i="14"/>
  <c r="B147" i="14"/>
  <c r="C146" i="14"/>
  <c r="B146" i="14"/>
  <c r="C145" i="14"/>
  <c r="B145" i="14"/>
  <c r="C144" i="14"/>
  <c r="B144" i="14"/>
  <c r="C139" i="14"/>
  <c r="B139" i="14"/>
  <c r="C138" i="14"/>
  <c r="B138" i="14"/>
  <c r="C137" i="14"/>
  <c r="C143" i="14" s="1"/>
  <c r="B137" i="14"/>
  <c r="B143" i="14" s="1"/>
  <c r="G134" i="14"/>
  <c r="C126" i="14"/>
  <c r="B126" i="14"/>
  <c r="C125" i="14"/>
  <c r="B125" i="14"/>
  <c r="C124" i="14"/>
  <c r="B124" i="14"/>
  <c r="C123" i="14"/>
  <c r="B123" i="14"/>
  <c r="C118" i="14"/>
  <c r="B118" i="14"/>
  <c r="C117" i="14"/>
  <c r="B117" i="14"/>
  <c r="C116" i="14"/>
  <c r="C122" i="14" s="1"/>
  <c r="B116" i="14"/>
  <c r="B122" i="14" s="1"/>
  <c r="G113" i="14"/>
  <c r="C105" i="14"/>
  <c r="B105" i="14"/>
  <c r="C104" i="14"/>
  <c r="B104" i="14"/>
  <c r="C103" i="14"/>
  <c r="B103" i="14"/>
  <c r="C102" i="14"/>
  <c r="B102" i="14"/>
  <c r="B101" i="14"/>
  <c r="C97" i="14"/>
  <c r="B97" i="14"/>
  <c r="C96" i="14"/>
  <c r="B96" i="14"/>
  <c r="C95" i="14"/>
  <c r="C101" i="14" s="1"/>
  <c r="B95" i="14"/>
  <c r="G92" i="14"/>
  <c r="AA84" i="14"/>
  <c r="AA235" i="14" s="1"/>
  <c r="E79" i="14"/>
  <c r="AA75" i="14"/>
  <c r="Z75" i="14"/>
  <c r="Y75" i="14"/>
  <c r="X75" i="14"/>
  <c r="W75" i="14"/>
  <c r="V75" i="14"/>
  <c r="U75" i="14"/>
  <c r="T75" i="14"/>
  <c r="S75" i="14"/>
  <c r="R75" i="14"/>
  <c r="Q75" i="14"/>
  <c r="P75" i="14"/>
  <c r="O75" i="14"/>
  <c r="N75" i="14"/>
  <c r="M75" i="14"/>
  <c r="L75" i="14"/>
  <c r="K75" i="14"/>
  <c r="J75" i="14"/>
  <c r="I75" i="14"/>
  <c r="H75" i="14"/>
  <c r="G75" i="14"/>
  <c r="E73" i="14"/>
  <c r="E80" i="14" s="1"/>
  <c r="E72" i="14"/>
  <c r="E71" i="14"/>
  <c r="E78" i="14" s="1"/>
  <c r="AA61" i="14"/>
  <c r="Z61" i="14"/>
  <c r="Z84" i="14" s="1"/>
  <c r="Z235" i="14" s="1"/>
  <c r="Y61" i="14"/>
  <c r="Y84" i="14" s="1"/>
  <c r="Y235" i="14" s="1"/>
  <c r="X61" i="14"/>
  <c r="W61" i="14"/>
  <c r="W84" i="14" s="1"/>
  <c r="W235" i="14" s="1"/>
  <c r="W301" i="14" s="1"/>
  <c r="V61" i="14"/>
  <c r="U61" i="14"/>
  <c r="U84" i="14" s="1"/>
  <c r="U235" i="14" s="1"/>
  <c r="T61" i="14"/>
  <c r="S61" i="14"/>
  <c r="R61" i="14"/>
  <c r="R84" i="14" s="1"/>
  <c r="R235" i="14" s="1"/>
  <c r="Q61" i="14"/>
  <c r="Q84" i="14" s="1"/>
  <c r="Q235" i="14" s="1"/>
  <c r="Q269" i="14" s="1"/>
  <c r="P61" i="14"/>
  <c r="O61" i="14"/>
  <c r="O84" i="14" s="1"/>
  <c r="O235" i="14" s="1"/>
  <c r="N61" i="14"/>
  <c r="M61" i="14"/>
  <c r="M84" i="14" s="1"/>
  <c r="M235" i="14" s="1"/>
  <c r="L61" i="14"/>
  <c r="K61" i="14"/>
  <c r="K84" i="14" s="1"/>
  <c r="K235" i="14" s="1"/>
  <c r="J61" i="14"/>
  <c r="J84" i="14" s="1"/>
  <c r="J235" i="14" s="1"/>
  <c r="J269" i="14" s="1"/>
  <c r="I61" i="14"/>
  <c r="I84" i="14" s="1"/>
  <c r="I235" i="14" s="1"/>
  <c r="H61" i="14"/>
  <c r="G61" i="14"/>
  <c r="G84" i="14" s="1"/>
  <c r="G235" i="14" s="1"/>
  <c r="E59" i="14"/>
  <c r="E66" i="14" s="1"/>
  <c r="E58" i="14"/>
  <c r="E65" i="14" s="1"/>
  <c r="E57" i="14"/>
  <c r="E64" i="14" s="1"/>
  <c r="AA48" i="14"/>
  <c r="Z48" i="14"/>
  <c r="Y48" i="14"/>
  <c r="X48" i="14"/>
  <c r="W48" i="14"/>
  <c r="V48" i="14"/>
  <c r="U48" i="14"/>
  <c r="T48" i="14"/>
  <c r="S48" i="14"/>
  <c r="R48" i="14"/>
  <c r="Q48" i="14"/>
  <c r="P48" i="14"/>
  <c r="O48" i="14"/>
  <c r="N48" i="14"/>
  <c r="M48" i="14"/>
  <c r="L48" i="14"/>
  <c r="K48" i="14"/>
  <c r="J48" i="14"/>
  <c r="I48" i="14"/>
  <c r="H48" i="14"/>
  <c r="G48" i="14"/>
  <c r="E40" i="14"/>
  <c r="E48" i="14" s="1"/>
  <c r="E39" i="14"/>
  <c r="E47" i="14" s="1"/>
  <c r="E38" i="14"/>
  <c r="E46" i="14" s="1"/>
  <c r="E37" i="14"/>
  <c r="E45" i="14" s="1"/>
  <c r="AA32" i="14"/>
  <c r="Z32" i="14"/>
  <c r="Y32" i="14"/>
  <c r="X32" i="14"/>
  <c r="W32" i="14"/>
  <c r="V32" i="14"/>
  <c r="U32" i="14"/>
  <c r="T32" i="14"/>
  <c r="S32" i="14"/>
  <c r="R32" i="14"/>
  <c r="Q32" i="14"/>
  <c r="P32" i="14"/>
  <c r="O32" i="14"/>
  <c r="N32" i="14"/>
  <c r="M32" i="14"/>
  <c r="L32" i="14"/>
  <c r="K32" i="14"/>
  <c r="J32" i="14"/>
  <c r="I32" i="14"/>
  <c r="H32" i="14"/>
  <c r="G32" i="14"/>
  <c r="E32" i="14"/>
  <c r="E23" i="14"/>
  <c r="E31" i="14" s="1"/>
  <c r="E22" i="14"/>
  <c r="E30" i="14" s="1"/>
  <c r="E21" i="14"/>
  <c r="E29" i="14" s="1"/>
  <c r="G18" i="14"/>
  <c r="H18" i="14" s="1"/>
  <c r="I18" i="14" s="1"/>
  <c r="J18" i="14" s="1"/>
  <c r="K18" i="14" s="1"/>
  <c r="L18" i="14" s="1"/>
  <c r="M18" i="14" s="1"/>
  <c r="N18" i="14" s="1"/>
  <c r="O18" i="14" s="1"/>
  <c r="P18" i="14" s="1"/>
  <c r="Q18" i="14" s="1"/>
  <c r="R18" i="14" s="1"/>
  <c r="S18" i="14" s="1"/>
  <c r="T18" i="14" s="1"/>
  <c r="U18" i="14" s="1"/>
  <c r="V18" i="14" s="1"/>
  <c r="W18" i="14" s="1"/>
  <c r="X18" i="14" s="1"/>
  <c r="Y18" i="14" s="1"/>
  <c r="Z18" i="14" s="1"/>
  <c r="AA18" i="14" s="1"/>
  <c r="G17" i="14"/>
  <c r="G15" i="14"/>
  <c r="G14" i="14"/>
  <c r="AA80" i="14"/>
  <c r="U79" i="14"/>
  <c r="H64" i="14"/>
  <c r="P1" i="14"/>
  <c r="O1" i="14"/>
  <c r="N1" i="14"/>
  <c r="M1" i="14"/>
  <c r="L1" i="14"/>
  <c r="K1" i="14"/>
  <c r="J1" i="14"/>
  <c r="I1" i="14"/>
  <c r="H1" i="14"/>
  <c r="G1" i="14"/>
  <c r="A1" i="14" a="1"/>
  <c r="A1" i="14" s="1"/>
  <c r="N302" i="13"/>
  <c r="Z270" i="13"/>
  <c r="R270" i="13"/>
  <c r="Y261" i="13"/>
  <c r="R241" i="13"/>
  <c r="R307" i="13" s="1"/>
  <c r="G241" i="13"/>
  <c r="G307" i="13" s="1"/>
  <c r="G240" i="13"/>
  <c r="G274" i="13" s="1"/>
  <c r="G239" i="13"/>
  <c r="G273" i="13" s="1"/>
  <c r="G237" i="13"/>
  <c r="G303" i="13" s="1"/>
  <c r="AA236" i="13"/>
  <c r="AA302" i="13" s="1"/>
  <c r="Z236" i="13"/>
  <c r="Z302" i="13" s="1"/>
  <c r="Y236" i="13"/>
  <c r="X236" i="13"/>
  <c r="X302" i="13" s="1"/>
  <c r="W236" i="13"/>
  <c r="V236" i="13"/>
  <c r="V270" i="13" s="1"/>
  <c r="U236" i="13"/>
  <c r="U302" i="13" s="1"/>
  <c r="T236" i="13"/>
  <c r="T302" i="13" s="1"/>
  <c r="S236" i="13"/>
  <c r="R236" i="13"/>
  <c r="R302" i="13" s="1"/>
  <c r="Q236" i="13"/>
  <c r="P236" i="13"/>
  <c r="P270" i="13" s="1"/>
  <c r="O236" i="13"/>
  <c r="O302" i="13" s="1"/>
  <c r="N236" i="13"/>
  <c r="N270" i="13" s="1"/>
  <c r="M236" i="13"/>
  <c r="M302" i="13" s="1"/>
  <c r="L236" i="13"/>
  <c r="L302" i="13" s="1"/>
  <c r="K236" i="13"/>
  <c r="J236" i="13"/>
  <c r="J302" i="13" s="1"/>
  <c r="I236" i="13"/>
  <c r="H236" i="13"/>
  <c r="H302" i="13" s="1"/>
  <c r="G236" i="13"/>
  <c r="G227" i="13"/>
  <c r="G261" i="13" s="1"/>
  <c r="G225" i="13"/>
  <c r="G291" i="13" s="1"/>
  <c r="G224" i="13"/>
  <c r="G223" i="13"/>
  <c r="G289" i="13" s="1"/>
  <c r="AA214" i="13"/>
  <c r="AA241" i="13" s="1"/>
  <c r="Z214" i="13"/>
  <c r="Z241" i="13" s="1"/>
  <c r="Y214" i="13"/>
  <c r="Y241" i="13" s="1"/>
  <c r="Y275" i="13" s="1"/>
  <c r="X214" i="13"/>
  <c r="X241" i="13" s="1"/>
  <c r="W214" i="13"/>
  <c r="W241" i="13" s="1"/>
  <c r="V214" i="13"/>
  <c r="V241" i="13" s="1"/>
  <c r="U214" i="13"/>
  <c r="U241" i="13" s="1"/>
  <c r="U307" i="13" s="1"/>
  <c r="T214" i="13"/>
  <c r="T241" i="13" s="1"/>
  <c r="S214" i="13"/>
  <c r="S241" i="13" s="1"/>
  <c r="R214" i="13"/>
  <c r="Q214" i="13"/>
  <c r="Q241" i="13" s="1"/>
  <c r="P214" i="13"/>
  <c r="P241" i="13" s="1"/>
  <c r="O214" i="13"/>
  <c r="O241" i="13" s="1"/>
  <c r="N214" i="13"/>
  <c r="N241" i="13" s="1"/>
  <c r="N307" i="13" s="1"/>
  <c r="M214" i="13"/>
  <c r="M241" i="13" s="1"/>
  <c r="L214" i="13"/>
  <c r="L241" i="13" s="1"/>
  <c r="K214" i="13"/>
  <c r="K241" i="13" s="1"/>
  <c r="J214" i="13"/>
  <c r="J241" i="13" s="1"/>
  <c r="J307" i="13" s="1"/>
  <c r="I214" i="13"/>
  <c r="I241" i="13" s="1"/>
  <c r="I275" i="13" s="1"/>
  <c r="H214" i="13"/>
  <c r="H241" i="13" s="1"/>
  <c r="AA207" i="13"/>
  <c r="Z207" i="13"/>
  <c r="Z227" i="13" s="1"/>
  <c r="Z293" i="13" s="1"/>
  <c r="Y207" i="13"/>
  <c r="Y227" i="13" s="1"/>
  <c r="Y293" i="13" s="1"/>
  <c r="X207" i="13"/>
  <c r="X240" i="13" s="1"/>
  <c r="W207" i="13"/>
  <c r="V207" i="13"/>
  <c r="V240" i="13" s="1"/>
  <c r="U207" i="13"/>
  <c r="T207" i="13"/>
  <c r="T227" i="13" s="1"/>
  <c r="S207" i="13"/>
  <c r="S227" i="13" s="1"/>
  <c r="S293" i="13" s="1"/>
  <c r="R207" i="13"/>
  <c r="R227" i="13" s="1"/>
  <c r="R293" i="13" s="1"/>
  <c r="Q207" i="13"/>
  <c r="P207" i="13"/>
  <c r="O207" i="13"/>
  <c r="N207" i="13"/>
  <c r="M207" i="13"/>
  <c r="M240" i="13" s="1"/>
  <c r="L207" i="13"/>
  <c r="L240" i="13" s="1"/>
  <c r="L306" i="13" s="1"/>
  <c r="K207" i="13"/>
  <c r="J207" i="13"/>
  <c r="J227" i="13" s="1"/>
  <c r="J293" i="13" s="1"/>
  <c r="I207" i="13"/>
  <c r="I227" i="13" s="1"/>
  <c r="I293" i="13" s="1"/>
  <c r="H207" i="13"/>
  <c r="C168" i="13"/>
  <c r="B168" i="13"/>
  <c r="C167" i="13"/>
  <c r="B167" i="13"/>
  <c r="C166" i="13"/>
  <c r="B166" i="13"/>
  <c r="C165" i="13"/>
  <c r="B165" i="13"/>
  <c r="B164" i="13"/>
  <c r="C160" i="13"/>
  <c r="B160" i="13"/>
  <c r="C159" i="13"/>
  <c r="B159" i="13"/>
  <c r="C158" i="13"/>
  <c r="C164" i="13" s="1"/>
  <c r="B158" i="13"/>
  <c r="C147" i="13"/>
  <c r="B147" i="13"/>
  <c r="C146" i="13"/>
  <c r="B146" i="13"/>
  <c r="C145" i="13"/>
  <c r="B145" i="13"/>
  <c r="C144" i="13"/>
  <c r="B144" i="13"/>
  <c r="C139" i="13"/>
  <c r="B139" i="13"/>
  <c r="C138" i="13"/>
  <c r="B138" i="13"/>
  <c r="C137" i="13"/>
  <c r="C143" i="13" s="1"/>
  <c r="B137" i="13"/>
  <c r="B143" i="13" s="1"/>
  <c r="C126" i="13"/>
  <c r="B126" i="13"/>
  <c r="C125" i="13"/>
  <c r="B125" i="13"/>
  <c r="C124" i="13"/>
  <c r="B124" i="13"/>
  <c r="C123" i="13"/>
  <c r="B123" i="13"/>
  <c r="C118" i="13"/>
  <c r="B118" i="13"/>
  <c r="C117" i="13"/>
  <c r="B117" i="13"/>
  <c r="C116" i="13"/>
  <c r="C122" i="13" s="1"/>
  <c r="B116" i="13"/>
  <c r="B122" i="13" s="1"/>
  <c r="C105" i="13"/>
  <c r="B105" i="13"/>
  <c r="C104" i="13"/>
  <c r="B104" i="13"/>
  <c r="C103" i="13"/>
  <c r="B103" i="13"/>
  <c r="C102" i="13"/>
  <c r="B102" i="13"/>
  <c r="C97" i="13"/>
  <c r="B97" i="13"/>
  <c r="C96" i="13"/>
  <c r="B96" i="13"/>
  <c r="C95" i="13"/>
  <c r="C101" i="13" s="1"/>
  <c r="B95" i="13"/>
  <c r="B101" i="13" s="1"/>
  <c r="AA75" i="13"/>
  <c r="Z75" i="13"/>
  <c r="Y75" i="13"/>
  <c r="X75" i="13"/>
  <c r="W75" i="13"/>
  <c r="V75" i="13"/>
  <c r="U75" i="13"/>
  <c r="T75" i="13"/>
  <c r="S75" i="13"/>
  <c r="R75" i="13"/>
  <c r="Q75" i="13"/>
  <c r="P75" i="13"/>
  <c r="O75" i="13"/>
  <c r="N75" i="13"/>
  <c r="M75" i="13"/>
  <c r="L75" i="13"/>
  <c r="K75" i="13"/>
  <c r="J75" i="13"/>
  <c r="I75" i="13"/>
  <c r="H75" i="13"/>
  <c r="G75" i="13"/>
  <c r="E73" i="13"/>
  <c r="E80" i="13" s="1"/>
  <c r="E72" i="13"/>
  <c r="E79" i="13" s="1"/>
  <c r="E71" i="13"/>
  <c r="E78" i="13" s="1"/>
  <c r="AA61" i="13"/>
  <c r="Z61" i="13"/>
  <c r="Y61" i="13"/>
  <c r="X61" i="13"/>
  <c r="W61" i="13"/>
  <c r="W84" i="13" s="1"/>
  <c r="W235" i="13" s="1"/>
  <c r="W269" i="13" s="1"/>
  <c r="V61" i="13"/>
  <c r="V84" i="13" s="1"/>
  <c r="V235" i="13" s="1"/>
  <c r="V269" i="13" s="1"/>
  <c r="U61" i="13"/>
  <c r="T61" i="13"/>
  <c r="T84" i="13" s="1"/>
  <c r="T235" i="13" s="1"/>
  <c r="S61" i="13"/>
  <c r="S84" i="13" s="1"/>
  <c r="S235" i="13" s="1"/>
  <c r="R61" i="13"/>
  <c r="Q61" i="13"/>
  <c r="P61" i="13"/>
  <c r="P84" i="13" s="1"/>
  <c r="P235" i="13" s="1"/>
  <c r="O61" i="13"/>
  <c r="O84" i="13" s="1"/>
  <c r="O235" i="13" s="1"/>
  <c r="N61" i="13"/>
  <c r="M61" i="13"/>
  <c r="L61" i="13"/>
  <c r="K61" i="13"/>
  <c r="J61" i="13"/>
  <c r="I61" i="13"/>
  <c r="I84" i="13" s="1"/>
  <c r="I235" i="13" s="1"/>
  <c r="H61" i="13"/>
  <c r="H84" i="13" s="1"/>
  <c r="H235" i="13" s="1"/>
  <c r="G61" i="13"/>
  <c r="G84" i="13" s="1"/>
  <c r="G235" i="13" s="1"/>
  <c r="G269" i="13" s="1"/>
  <c r="E59" i="13"/>
  <c r="E66" i="13" s="1"/>
  <c r="E58" i="13"/>
  <c r="E65" i="13" s="1"/>
  <c r="E57" i="13"/>
  <c r="E64" i="13" s="1"/>
  <c r="AA48" i="13"/>
  <c r="Z48" i="13"/>
  <c r="Y48" i="13"/>
  <c r="X48" i="13"/>
  <c r="W48" i="13"/>
  <c r="V48" i="13"/>
  <c r="U48" i="13"/>
  <c r="T48" i="13"/>
  <c r="S48" i="13"/>
  <c r="R48" i="13"/>
  <c r="Q48" i="13"/>
  <c r="P48" i="13"/>
  <c r="O48" i="13"/>
  <c r="N48" i="13"/>
  <c r="M48" i="13"/>
  <c r="L48" i="13"/>
  <c r="K48" i="13"/>
  <c r="J48" i="13"/>
  <c r="I48" i="13"/>
  <c r="H48" i="13"/>
  <c r="G48" i="13"/>
  <c r="E48" i="13"/>
  <c r="E40" i="13"/>
  <c r="E39" i="13"/>
  <c r="E47" i="13" s="1"/>
  <c r="E38" i="13"/>
  <c r="E46" i="13" s="1"/>
  <c r="E37" i="13"/>
  <c r="E45" i="13" s="1"/>
  <c r="AA32" i="13"/>
  <c r="Z32" i="13"/>
  <c r="Y32" i="13"/>
  <c r="X32" i="13"/>
  <c r="W32" i="13"/>
  <c r="V32" i="13"/>
  <c r="U32" i="13"/>
  <c r="T32" i="13"/>
  <c r="S32" i="13"/>
  <c r="R32" i="13"/>
  <c r="Q32" i="13"/>
  <c r="P32" i="13"/>
  <c r="O32" i="13"/>
  <c r="N32" i="13"/>
  <c r="M32" i="13"/>
  <c r="L32" i="13"/>
  <c r="K32" i="13"/>
  <c r="J32" i="13"/>
  <c r="I32" i="13"/>
  <c r="H32" i="13"/>
  <c r="G32" i="13"/>
  <c r="E32" i="13"/>
  <c r="E23" i="13"/>
  <c r="E31" i="13" s="1"/>
  <c r="E22" i="13"/>
  <c r="E30" i="13" s="1"/>
  <c r="E21" i="13"/>
  <c r="E29" i="13" s="1"/>
  <c r="G18" i="13"/>
  <c r="H18" i="13" s="1"/>
  <c r="I18" i="13" s="1"/>
  <c r="J18" i="13" s="1"/>
  <c r="K18" i="13" s="1"/>
  <c r="L18" i="13" s="1"/>
  <c r="M18" i="13" s="1"/>
  <c r="N18" i="13" s="1"/>
  <c r="O18" i="13" s="1"/>
  <c r="P18" i="13" s="1"/>
  <c r="Q18" i="13" s="1"/>
  <c r="R18" i="13" s="1"/>
  <c r="S18" i="13" s="1"/>
  <c r="T18" i="13" s="1"/>
  <c r="U18" i="13" s="1"/>
  <c r="V18" i="13" s="1"/>
  <c r="W18" i="13" s="1"/>
  <c r="X18" i="13" s="1"/>
  <c r="Y18" i="13" s="1"/>
  <c r="Z18" i="13" s="1"/>
  <c r="AA18" i="13" s="1"/>
  <c r="G17" i="13"/>
  <c r="G15" i="13"/>
  <c r="G14" i="13"/>
  <c r="P47" i="13"/>
  <c r="T79" i="13"/>
  <c r="R64" i="13"/>
  <c r="P1" i="13"/>
  <c r="O1" i="13"/>
  <c r="N1" i="13"/>
  <c r="M1" i="13"/>
  <c r="L1" i="13"/>
  <c r="K1" i="13"/>
  <c r="J1" i="13"/>
  <c r="I1" i="13"/>
  <c r="H1" i="13"/>
  <c r="G1" i="13"/>
  <c r="A1" i="13" a="1"/>
  <c r="A1" i="13" s="1"/>
  <c r="U302" i="12"/>
  <c r="M274" i="12"/>
  <c r="AA270" i="12"/>
  <c r="G259" i="12"/>
  <c r="G241" i="12"/>
  <c r="AB240" i="12"/>
  <c r="X240" i="12"/>
  <c r="X306" i="12" s="1"/>
  <c r="G240" i="12"/>
  <c r="G306" i="12" s="1"/>
  <c r="G239" i="12"/>
  <c r="G237" i="12"/>
  <c r="AA236" i="12"/>
  <c r="AA302" i="12" s="1"/>
  <c r="Z236" i="12"/>
  <c r="Z302" i="12" s="1"/>
  <c r="Y236" i="12"/>
  <c r="Y270" i="12" s="1"/>
  <c r="X236" i="12"/>
  <c r="X270" i="12" s="1"/>
  <c r="W236" i="12"/>
  <c r="W270" i="12" s="1"/>
  <c r="V236" i="12"/>
  <c r="V270" i="12" s="1"/>
  <c r="U236" i="12"/>
  <c r="U270" i="12" s="1"/>
  <c r="T236" i="12"/>
  <c r="T302" i="12" s="1"/>
  <c r="S236" i="12"/>
  <c r="S270" i="12" s="1"/>
  <c r="R236" i="12"/>
  <c r="R302" i="12" s="1"/>
  <c r="Q236" i="12"/>
  <c r="Q302" i="12" s="1"/>
  <c r="P236" i="12"/>
  <c r="P270" i="12" s="1"/>
  <c r="O236" i="12"/>
  <c r="O270" i="12" s="1"/>
  <c r="N236" i="12"/>
  <c r="N302" i="12" s="1"/>
  <c r="M236" i="12"/>
  <c r="M270" i="12" s="1"/>
  <c r="L236" i="12"/>
  <c r="K236" i="12"/>
  <c r="K302" i="12" s="1"/>
  <c r="J236" i="12"/>
  <c r="J302" i="12" s="1"/>
  <c r="I236" i="12"/>
  <c r="I302" i="12" s="1"/>
  <c r="H236" i="12"/>
  <c r="H302" i="12" s="1"/>
  <c r="G236" i="12"/>
  <c r="Y227" i="12"/>
  <c r="M227" i="12"/>
  <c r="M261" i="12" s="1"/>
  <c r="G227" i="12"/>
  <c r="G225" i="12"/>
  <c r="G291" i="12" s="1"/>
  <c r="G224" i="12"/>
  <c r="G290" i="12" s="1"/>
  <c r="G223" i="12"/>
  <c r="AA214" i="12"/>
  <c r="AA241" i="12" s="1"/>
  <c r="Z214" i="12"/>
  <c r="Z241" i="12" s="1"/>
  <c r="Y214" i="12"/>
  <c r="Y241" i="12" s="1"/>
  <c r="X214" i="12"/>
  <c r="X241" i="12" s="1"/>
  <c r="X275" i="12" s="1"/>
  <c r="W214" i="12"/>
  <c r="W241" i="12" s="1"/>
  <c r="W307" i="12" s="1"/>
  <c r="V214" i="12"/>
  <c r="V241" i="12" s="1"/>
  <c r="U214" i="12"/>
  <c r="U241" i="12" s="1"/>
  <c r="U307" i="12" s="1"/>
  <c r="T214" i="12"/>
  <c r="T241" i="12" s="1"/>
  <c r="S214" i="12"/>
  <c r="S241" i="12" s="1"/>
  <c r="R214" i="12"/>
  <c r="R241" i="12" s="1"/>
  <c r="Q214" i="12"/>
  <c r="Q241" i="12" s="1"/>
  <c r="P214" i="12"/>
  <c r="P241" i="12" s="1"/>
  <c r="P275" i="12" s="1"/>
  <c r="O214" i="12"/>
  <c r="O241" i="12" s="1"/>
  <c r="N214" i="12"/>
  <c r="N241" i="12" s="1"/>
  <c r="N275" i="12" s="1"/>
  <c r="M214" i="12"/>
  <c r="M241" i="12" s="1"/>
  <c r="L214" i="12"/>
  <c r="L241" i="12" s="1"/>
  <c r="K214" i="12"/>
  <c r="K241" i="12" s="1"/>
  <c r="J214" i="12"/>
  <c r="J241" i="12" s="1"/>
  <c r="I214" i="12"/>
  <c r="I241" i="12" s="1"/>
  <c r="I307" i="12" s="1"/>
  <c r="H214" i="12"/>
  <c r="H241" i="12" s="1"/>
  <c r="H275" i="12" s="1"/>
  <c r="AA207" i="12"/>
  <c r="AA227" i="12" s="1"/>
  <c r="AA293" i="12" s="1"/>
  <c r="Z207" i="12"/>
  <c r="Z227" i="12" s="1"/>
  <c r="Y207" i="12"/>
  <c r="Y240" i="12" s="1"/>
  <c r="X207" i="12"/>
  <c r="X227" i="12" s="1"/>
  <c r="X293" i="12" s="1"/>
  <c r="W207" i="12"/>
  <c r="V207" i="12"/>
  <c r="V240" i="12" s="1"/>
  <c r="U207" i="12"/>
  <c r="U240" i="12" s="1"/>
  <c r="U306" i="12" s="1"/>
  <c r="T207" i="12"/>
  <c r="S207" i="12"/>
  <c r="S240" i="12" s="1"/>
  <c r="S274" i="12" s="1"/>
  <c r="R207" i="12"/>
  <c r="Q207" i="12"/>
  <c r="Q227" i="12" s="1"/>
  <c r="Q261" i="12" s="1"/>
  <c r="P207" i="12"/>
  <c r="P227" i="12" s="1"/>
  <c r="O207" i="12"/>
  <c r="O240" i="12" s="1"/>
  <c r="N207" i="12"/>
  <c r="N240" i="12" s="1"/>
  <c r="M207" i="12"/>
  <c r="M240" i="12" s="1"/>
  <c r="M306" i="12" s="1"/>
  <c r="L207" i="12"/>
  <c r="L227" i="12" s="1"/>
  <c r="K207" i="12"/>
  <c r="J207" i="12"/>
  <c r="I207" i="12"/>
  <c r="I227" i="12" s="1"/>
  <c r="I261" i="12" s="1"/>
  <c r="H207" i="12"/>
  <c r="H227" i="12" s="1"/>
  <c r="H293" i="12" s="1"/>
  <c r="C168" i="12"/>
  <c r="B168" i="12"/>
  <c r="C167" i="12"/>
  <c r="B167" i="12"/>
  <c r="C166" i="12"/>
  <c r="B166" i="12"/>
  <c r="C165" i="12"/>
  <c r="B165" i="12"/>
  <c r="C160" i="12"/>
  <c r="B160" i="12"/>
  <c r="C159" i="12"/>
  <c r="B159" i="12"/>
  <c r="C158" i="12"/>
  <c r="C164" i="12" s="1"/>
  <c r="B158" i="12"/>
  <c r="B164" i="12" s="1"/>
  <c r="C147" i="12"/>
  <c r="B147" i="12"/>
  <c r="C146" i="12"/>
  <c r="B146" i="12"/>
  <c r="C145" i="12"/>
  <c r="B145" i="12"/>
  <c r="C144" i="12"/>
  <c r="B144" i="12"/>
  <c r="C139" i="12"/>
  <c r="B139" i="12"/>
  <c r="C138" i="12"/>
  <c r="B138" i="12"/>
  <c r="C137" i="12"/>
  <c r="C143" i="12" s="1"/>
  <c r="B137" i="12"/>
  <c r="B143" i="12" s="1"/>
  <c r="C126" i="12"/>
  <c r="B126" i="12"/>
  <c r="C125" i="12"/>
  <c r="B125" i="12"/>
  <c r="C124" i="12"/>
  <c r="B124" i="12"/>
  <c r="C123" i="12"/>
  <c r="B123" i="12"/>
  <c r="C118" i="12"/>
  <c r="B118" i="12"/>
  <c r="C117" i="12"/>
  <c r="B117" i="12"/>
  <c r="C116" i="12"/>
  <c r="C122" i="12" s="1"/>
  <c r="B116" i="12"/>
  <c r="B122" i="12" s="1"/>
  <c r="C105" i="12"/>
  <c r="B105" i="12"/>
  <c r="C104" i="12"/>
  <c r="B104" i="12"/>
  <c r="C103" i="12"/>
  <c r="B103" i="12"/>
  <c r="C102" i="12"/>
  <c r="B102" i="12"/>
  <c r="B101" i="12"/>
  <c r="C97" i="12"/>
  <c r="B97" i="12"/>
  <c r="C96" i="12"/>
  <c r="B96" i="12"/>
  <c r="C95" i="12"/>
  <c r="C101" i="12" s="1"/>
  <c r="B95" i="12"/>
  <c r="H84" i="12"/>
  <c r="H235" i="12" s="1"/>
  <c r="AA75" i="12"/>
  <c r="Z75" i="12"/>
  <c r="Y75" i="12"/>
  <c r="X75" i="12"/>
  <c r="W75" i="12"/>
  <c r="V75" i="12"/>
  <c r="U75" i="12"/>
  <c r="T75" i="12"/>
  <c r="S75" i="12"/>
  <c r="R75" i="12"/>
  <c r="Q75" i="12"/>
  <c r="P75" i="12"/>
  <c r="O75" i="12"/>
  <c r="N75" i="12"/>
  <c r="M75" i="12"/>
  <c r="L75" i="12"/>
  <c r="K75" i="12"/>
  <c r="J75" i="12"/>
  <c r="I75" i="12"/>
  <c r="H75" i="12"/>
  <c r="G75" i="12"/>
  <c r="E73" i="12"/>
  <c r="E80" i="12" s="1"/>
  <c r="E72" i="12"/>
  <c r="E79" i="12" s="1"/>
  <c r="E71" i="12"/>
  <c r="E78" i="12" s="1"/>
  <c r="AA61" i="12"/>
  <c r="Z61" i="12"/>
  <c r="Y61" i="12"/>
  <c r="X61" i="12"/>
  <c r="X84" i="12" s="1"/>
  <c r="X235" i="12" s="1"/>
  <c r="W61" i="12"/>
  <c r="W84" i="12" s="1"/>
  <c r="W235" i="12" s="1"/>
  <c r="W301" i="12" s="1"/>
  <c r="V61" i="12"/>
  <c r="V84" i="12" s="1"/>
  <c r="V235" i="12" s="1"/>
  <c r="U61" i="12"/>
  <c r="U84" i="12" s="1"/>
  <c r="U235" i="12" s="1"/>
  <c r="T61" i="12"/>
  <c r="S61" i="12"/>
  <c r="R61" i="12"/>
  <c r="Q61" i="12"/>
  <c r="P61" i="12"/>
  <c r="P84" i="12" s="1"/>
  <c r="P235" i="12" s="1"/>
  <c r="O61" i="12"/>
  <c r="O84" i="12" s="1"/>
  <c r="O235" i="12" s="1"/>
  <c r="N61" i="12"/>
  <c r="N84" i="12" s="1"/>
  <c r="N235" i="12" s="1"/>
  <c r="M61" i="12"/>
  <c r="M84" i="12" s="1"/>
  <c r="M235" i="12" s="1"/>
  <c r="M269" i="12" s="1"/>
  <c r="L61" i="12"/>
  <c r="L84" i="12" s="1"/>
  <c r="L235" i="12" s="1"/>
  <c r="K61" i="12"/>
  <c r="J61" i="12"/>
  <c r="I61" i="12"/>
  <c r="H61" i="12"/>
  <c r="G61" i="12"/>
  <c r="G84" i="12" s="1"/>
  <c r="G235" i="12" s="1"/>
  <c r="E59" i="12"/>
  <c r="E66" i="12" s="1"/>
  <c r="E58" i="12"/>
  <c r="E65" i="12" s="1"/>
  <c r="E57" i="12"/>
  <c r="E64" i="12" s="1"/>
  <c r="AA48" i="12"/>
  <c r="Z48" i="12"/>
  <c r="Y48" i="12"/>
  <c r="X48" i="12"/>
  <c r="W48" i="12"/>
  <c r="V48" i="12"/>
  <c r="U48" i="12"/>
  <c r="T48" i="12"/>
  <c r="S48" i="12"/>
  <c r="R48" i="12"/>
  <c r="Q48" i="12"/>
  <c r="P48" i="12"/>
  <c r="O48" i="12"/>
  <c r="N48" i="12"/>
  <c r="M48" i="12"/>
  <c r="L48" i="12"/>
  <c r="K48" i="12"/>
  <c r="J48" i="12"/>
  <c r="I48" i="12"/>
  <c r="H48" i="12"/>
  <c r="G48" i="12"/>
  <c r="E40" i="12"/>
  <c r="E48" i="12" s="1"/>
  <c r="E39" i="12"/>
  <c r="E47" i="12" s="1"/>
  <c r="E38" i="12"/>
  <c r="E46" i="12" s="1"/>
  <c r="E37" i="12"/>
  <c r="E45" i="12" s="1"/>
  <c r="AA32" i="12"/>
  <c r="Z32" i="12"/>
  <c r="Y32" i="12"/>
  <c r="X32" i="12"/>
  <c r="W32" i="12"/>
  <c r="V32" i="12"/>
  <c r="U32" i="12"/>
  <c r="T32" i="12"/>
  <c r="S32" i="12"/>
  <c r="R32" i="12"/>
  <c r="Q32" i="12"/>
  <c r="P32" i="12"/>
  <c r="O32" i="12"/>
  <c r="N32" i="12"/>
  <c r="M32" i="12"/>
  <c r="L32" i="12"/>
  <c r="K32" i="12"/>
  <c r="J32" i="12"/>
  <c r="I32" i="12"/>
  <c r="H32" i="12"/>
  <c r="G32" i="12"/>
  <c r="E32" i="12"/>
  <c r="E30" i="12"/>
  <c r="E23" i="12"/>
  <c r="E22" i="12"/>
  <c r="E21" i="12"/>
  <c r="E29" i="12" s="1"/>
  <c r="G18" i="12"/>
  <c r="H18" i="12" s="1"/>
  <c r="I18" i="12" s="1"/>
  <c r="J18" i="12" s="1"/>
  <c r="K18" i="12" s="1"/>
  <c r="L18" i="12" s="1"/>
  <c r="M18" i="12" s="1"/>
  <c r="N18" i="12" s="1"/>
  <c r="O18" i="12" s="1"/>
  <c r="P18" i="12" s="1"/>
  <c r="Q18" i="12" s="1"/>
  <c r="R18" i="12" s="1"/>
  <c r="S18" i="12" s="1"/>
  <c r="T18" i="12" s="1"/>
  <c r="U18" i="12" s="1"/>
  <c r="V18" i="12" s="1"/>
  <c r="W18" i="12" s="1"/>
  <c r="X18" i="12" s="1"/>
  <c r="Y18" i="12" s="1"/>
  <c r="Z18" i="12" s="1"/>
  <c r="AA18" i="12" s="1"/>
  <c r="G17" i="12"/>
  <c r="G15" i="12"/>
  <c r="G14" i="12"/>
  <c r="AA80" i="12"/>
  <c r="S79" i="12"/>
  <c r="N78" i="12"/>
  <c r="P1" i="12"/>
  <c r="O1" i="12"/>
  <c r="N1" i="12"/>
  <c r="M1" i="12"/>
  <c r="L1" i="12"/>
  <c r="K1" i="12"/>
  <c r="J1" i="12"/>
  <c r="I1" i="12"/>
  <c r="H1" i="12"/>
  <c r="G1" i="12"/>
  <c r="A1" i="12" a="1"/>
  <c r="A1" i="12" s="1"/>
  <c r="Y302" i="11"/>
  <c r="U302" i="11"/>
  <c r="U293" i="11"/>
  <c r="L293" i="11"/>
  <c r="Y274" i="11"/>
  <c r="U270" i="11"/>
  <c r="I270" i="11"/>
  <c r="O269" i="11"/>
  <c r="Q241" i="11"/>
  <c r="Q275" i="11" s="1"/>
  <c r="M241" i="11"/>
  <c r="M307" i="11" s="1"/>
  <c r="G241" i="11"/>
  <c r="G275" i="11" s="1"/>
  <c r="M240" i="11"/>
  <c r="M306" i="11" s="1"/>
  <c r="G240" i="11"/>
  <c r="G274" i="11" s="1"/>
  <c r="G239" i="11"/>
  <c r="G305" i="11" s="1"/>
  <c r="G237" i="11"/>
  <c r="G303" i="11" s="1"/>
  <c r="AA236" i="11"/>
  <c r="Z236" i="11"/>
  <c r="Z302" i="11" s="1"/>
  <c r="Y236" i="11"/>
  <c r="Y270" i="11" s="1"/>
  <c r="X236" i="11"/>
  <c r="X270" i="11" s="1"/>
  <c r="W236" i="11"/>
  <c r="V236" i="11"/>
  <c r="V270" i="11" s="1"/>
  <c r="U236" i="11"/>
  <c r="T236" i="11"/>
  <c r="T302" i="11" s="1"/>
  <c r="S236" i="11"/>
  <c r="R236" i="11"/>
  <c r="R302" i="11" s="1"/>
  <c r="Q236" i="11"/>
  <c r="Q302" i="11" s="1"/>
  <c r="P236" i="11"/>
  <c r="P270" i="11" s="1"/>
  <c r="O236" i="11"/>
  <c r="N236" i="11"/>
  <c r="N302" i="11" s="1"/>
  <c r="M236" i="11"/>
  <c r="M270" i="11" s="1"/>
  <c r="L236" i="11"/>
  <c r="L270" i="11" s="1"/>
  <c r="K236" i="11"/>
  <c r="K270" i="11" s="1"/>
  <c r="J236" i="11"/>
  <c r="J302" i="11" s="1"/>
  <c r="I236" i="11"/>
  <c r="I302" i="11" s="1"/>
  <c r="H236" i="11"/>
  <c r="H302" i="11" s="1"/>
  <c r="G236" i="11"/>
  <c r="G270" i="11" s="1"/>
  <c r="Y227" i="11"/>
  <c r="Y293" i="11" s="1"/>
  <c r="G227" i="11"/>
  <c r="G225" i="11"/>
  <c r="G259" i="11" s="1"/>
  <c r="G224" i="11"/>
  <c r="G223" i="11"/>
  <c r="G257" i="11" s="1"/>
  <c r="AA214" i="11"/>
  <c r="AA241" i="11" s="1"/>
  <c r="AA307" i="11" s="1"/>
  <c r="Z214" i="11"/>
  <c r="Z241" i="11" s="1"/>
  <c r="Y214" i="11"/>
  <c r="Y241" i="11" s="1"/>
  <c r="X214" i="11"/>
  <c r="X241" i="11" s="1"/>
  <c r="X275" i="11" s="1"/>
  <c r="W214" i="11"/>
  <c r="W241" i="11" s="1"/>
  <c r="W275" i="11" s="1"/>
  <c r="V214" i="11"/>
  <c r="V241" i="11" s="1"/>
  <c r="V307" i="11" s="1"/>
  <c r="AB307" i="11" s="1"/>
  <c r="U214" i="11"/>
  <c r="U241" i="11" s="1"/>
  <c r="T214" i="11"/>
  <c r="T241" i="11" s="1"/>
  <c r="T275" i="11" s="1"/>
  <c r="S214" i="11"/>
  <c r="S241" i="11" s="1"/>
  <c r="S307" i="11" s="1"/>
  <c r="R214" i="11"/>
  <c r="R241" i="11" s="1"/>
  <c r="Q214" i="11"/>
  <c r="P214" i="11"/>
  <c r="P241" i="11" s="1"/>
  <c r="O214" i="11"/>
  <c r="O241" i="11" s="1"/>
  <c r="O307" i="11" s="1"/>
  <c r="N214" i="11"/>
  <c r="N241" i="11" s="1"/>
  <c r="M214" i="11"/>
  <c r="L214" i="11"/>
  <c r="L241" i="11" s="1"/>
  <c r="L275" i="11" s="1"/>
  <c r="K214" i="11"/>
  <c r="K241" i="11" s="1"/>
  <c r="K275" i="11" s="1"/>
  <c r="J214" i="11"/>
  <c r="J241" i="11" s="1"/>
  <c r="I214" i="11"/>
  <c r="I241" i="11" s="1"/>
  <c r="I307" i="11" s="1"/>
  <c r="H214" i="11"/>
  <c r="H241" i="11" s="1"/>
  <c r="AA207" i="11"/>
  <c r="AA240" i="11" s="1"/>
  <c r="AA306" i="11" s="1"/>
  <c r="Z207" i="11"/>
  <c r="Z240" i="11" s="1"/>
  <c r="Z306" i="11" s="1"/>
  <c r="Y207" i="11"/>
  <c r="Y240" i="11" s="1"/>
  <c r="Y306" i="11" s="1"/>
  <c r="X207" i="11"/>
  <c r="X227" i="11" s="1"/>
  <c r="W207" i="11"/>
  <c r="V207" i="11"/>
  <c r="V227" i="11" s="1"/>
  <c r="V261" i="11" s="1"/>
  <c r="U207" i="11"/>
  <c r="U227" i="11" s="1"/>
  <c r="U261" i="11" s="1"/>
  <c r="T207" i="11"/>
  <c r="T227" i="11" s="1"/>
  <c r="S207" i="11"/>
  <c r="S227" i="11" s="1"/>
  <c r="R207" i="11"/>
  <c r="R240" i="11" s="1"/>
  <c r="R274" i="11" s="1"/>
  <c r="Q207" i="11"/>
  <c r="Q240" i="11" s="1"/>
  <c r="Q306" i="11" s="1"/>
  <c r="P207" i="11"/>
  <c r="P240" i="11" s="1"/>
  <c r="P306" i="11" s="1"/>
  <c r="O207" i="11"/>
  <c r="O240" i="11" s="1"/>
  <c r="O306" i="11" s="1"/>
  <c r="N207" i="11"/>
  <c r="N227" i="11" s="1"/>
  <c r="N293" i="11" s="1"/>
  <c r="M207" i="11"/>
  <c r="M227" i="11" s="1"/>
  <c r="M261" i="11" s="1"/>
  <c r="L207" i="11"/>
  <c r="L227" i="11" s="1"/>
  <c r="L261" i="11" s="1"/>
  <c r="K207" i="11"/>
  <c r="K227" i="11" s="1"/>
  <c r="K261" i="11" s="1"/>
  <c r="J207" i="11"/>
  <c r="I207" i="11"/>
  <c r="I240" i="11" s="1"/>
  <c r="H207" i="11"/>
  <c r="H227" i="11" s="1"/>
  <c r="C168" i="11"/>
  <c r="B168" i="11"/>
  <c r="C167" i="11"/>
  <c r="B167" i="11"/>
  <c r="C166" i="11"/>
  <c r="B166" i="11"/>
  <c r="C165" i="11"/>
  <c r="B165" i="11"/>
  <c r="C160" i="11"/>
  <c r="B160" i="11"/>
  <c r="C159" i="11"/>
  <c r="B159" i="11"/>
  <c r="C158" i="11"/>
  <c r="C164" i="11" s="1"/>
  <c r="B158" i="11"/>
  <c r="B164" i="11" s="1"/>
  <c r="G155" i="11"/>
  <c r="C147" i="11"/>
  <c r="B147" i="11"/>
  <c r="C146" i="11"/>
  <c r="B146" i="11"/>
  <c r="C145" i="11"/>
  <c r="B145" i="11"/>
  <c r="C144" i="11"/>
  <c r="B144" i="11"/>
  <c r="C139" i="11"/>
  <c r="B139" i="11"/>
  <c r="C138" i="11"/>
  <c r="B138" i="11"/>
  <c r="C137" i="11"/>
  <c r="C143" i="11" s="1"/>
  <c r="B137" i="11"/>
  <c r="B143" i="11" s="1"/>
  <c r="G134" i="11"/>
  <c r="C126" i="11"/>
  <c r="B126" i="11"/>
  <c r="C125" i="11"/>
  <c r="B125" i="11"/>
  <c r="C124" i="11"/>
  <c r="B124" i="11"/>
  <c r="C123" i="11"/>
  <c r="B123" i="11"/>
  <c r="C118" i="11"/>
  <c r="B118" i="11"/>
  <c r="C117" i="11"/>
  <c r="B117" i="11"/>
  <c r="C116" i="11"/>
  <c r="C122" i="11" s="1"/>
  <c r="B116" i="11"/>
  <c r="B122" i="11" s="1"/>
  <c r="G113" i="11"/>
  <c r="C105" i="11"/>
  <c r="B105" i="11"/>
  <c r="C104" i="11"/>
  <c r="B104" i="11"/>
  <c r="C103" i="11"/>
  <c r="B103" i="11"/>
  <c r="C102" i="11"/>
  <c r="B102" i="11"/>
  <c r="C97" i="11"/>
  <c r="B97" i="11"/>
  <c r="C96" i="11"/>
  <c r="B96" i="11"/>
  <c r="C95" i="11"/>
  <c r="C101" i="11" s="1"/>
  <c r="B95" i="11"/>
  <c r="B101" i="11" s="1"/>
  <c r="G92" i="11"/>
  <c r="L80" i="11"/>
  <c r="AA75" i="11"/>
  <c r="Z75" i="11"/>
  <c r="Y75" i="11"/>
  <c r="X75" i="11"/>
  <c r="W75" i="11"/>
  <c r="V75" i="11"/>
  <c r="U75" i="11"/>
  <c r="T75" i="11"/>
  <c r="S75" i="11"/>
  <c r="R75" i="11"/>
  <c r="Q75" i="11"/>
  <c r="P75" i="11"/>
  <c r="O75" i="11"/>
  <c r="N75" i="11"/>
  <c r="M75" i="11"/>
  <c r="L75" i="11"/>
  <c r="K75" i="11"/>
  <c r="J75" i="11"/>
  <c r="I75" i="11"/>
  <c r="H75" i="11"/>
  <c r="G75" i="11"/>
  <c r="E73" i="11"/>
  <c r="E80" i="11" s="1"/>
  <c r="E72" i="11"/>
  <c r="E79" i="11" s="1"/>
  <c r="E71" i="11"/>
  <c r="E78" i="11" s="1"/>
  <c r="AA61" i="11"/>
  <c r="AA84" i="11" s="1"/>
  <c r="AA235" i="11" s="1"/>
  <c r="AA269" i="11" s="1"/>
  <c r="Z61" i="11"/>
  <c r="Z84" i="11" s="1"/>
  <c r="Z235" i="11" s="1"/>
  <c r="Z301" i="11" s="1"/>
  <c r="Y61" i="11"/>
  <c r="Y84" i="11" s="1"/>
  <c r="Y235" i="11" s="1"/>
  <c r="Y301" i="11" s="1"/>
  <c r="X61" i="11"/>
  <c r="X84" i="11" s="1"/>
  <c r="X235" i="11" s="1"/>
  <c r="W61" i="11"/>
  <c r="W84" i="11" s="1"/>
  <c r="W235" i="11" s="1"/>
  <c r="W301" i="11" s="1"/>
  <c r="V61" i="11"/>
  <c r="V84" i="11" s="1"/>
  <c r="V235" i="11" s="1"/>
  <c r="U61" i="11"/>
  <c r="U84" i="11" s="1"/>
  <c r="U235" i="11" s="1"/>
  <c r="T61" i="11"/>
  <c r="T84" i="11" s="1"/>
  <c r="T235" i="11" s="1"/>
  <c r="S61" i="11"/>
  <c r="S84" i="11" s="1"/>
  <c r="S235" i="11" s="1"/>
  <c r="R61" i="11"/>
  <c r="R84" i="11" s="1"/>
  <c r="R235" i="11" s="1"/>
  <c r="Q61" i="11"/>
  <c r="Q84" i="11" s="1"/>
  <c r="Q235" i="11" s="1"/>
  <c r="P61" i="11"/>
  <c r="P84" i="11" s="1"/>
  <c r="P235" i="11" s="1"/>
  <c r="P269" i="11" s="1"/>
  <c r="O61" i="11"/>
  <c r="O84" i="11" s="1"/>
  <c r="O235" i="11" s="1"/>
  <c r="O301" i="11" s="1"/>
  <c r="N61" i="11"/>
  <c r="N84" i="11" s="1"/>
  <c r="N235" i="11" s="1"/>
  <c r="N269" i="11" s="1"/>
  <c r="M61" i="11"/>
  <c r="M84" i="11" s="1"/>
  <c r="M235" i="11" s="1"/>
  <c r="M301" i="11" s="1"/>
  <c r="L61" i="11"/>
  <c r="L84" i="11" s="1"/>
  <c r="L235" i="11" s="1"/>
  <c r="L301" i="11" s="1"/>
  <c r="K61" i="11"/>
  <c r="K84" i="11" s="1"/>
  <c r="K235" i="11" s="1"/>
  <c r="J61" i="11"/>
  <c r="J84" i="11" s="1"/>
  <c r="J235" i="11" s="1"/>
  <c r="I61" i="11"/>
  <c r="I84" i="11" s="1"/>
  <c r="I235" i="11" s="1"/>
  <c r="H61" i="11"/>
  <c r="H84" i="11" s="1"/>
  <c r="H235" i="11" s="1"/>
  <c r="G61" i="11"/>
  <c r="G84" i="11" s="1"/>
  <c r="G235" i="11" s="1"/>
  <c r="E59" i="11"/>
  <c r="E66" i="11" s="1"/>
  <c r="E58" i="11"/>
  <c r="E65" i="11" s="1"/>
  <c r="E57" i="11"/>
  <c r="E64" i="11" s="1"/>
  <c r="AA48" i="11"/>
  <c r="Z48" i="11"/>
  <c r="Y48" i="11"/>
  <c r="X48" i="11"/>
  <c r="W48" i="11"/>
  <c r="V48" i="11"/>
  <c r="U48" i="11"/>
  <c r="T48" i="11"/>
  <c r="S48" i="11"/>
  <c r="R48" i="11"/>
  <c r="Q48" i="11"/>
  <c r="P48" i="11"/>
  <c r="O48" i="11"/>
  <c r="N48" i="11"/>
  <c r="M48" i="11"/>
  <c r="L48" i="11"/>
  <c r="K48" i="11"/>
  <c r="J48" i="11"/>
  <c r="I48" i="11"/>
  <c r="H48" i="11"/>
  <c r="G48" i="11"/>
  <c r="E40" i="11"/>
  <c r="E48" i="11" s="1"/>
  <c r="E39" i="11"/>
  <c r="E47" i="11" s="1"/>
  <c r="E38" i="11"/>
  <c r="E46" i="11" s="1"/>
  <c r="E37" i="11"/>
  <c r="E45" i="11" s="1"/>
  <c r="AA32" i="11"/>
  <c r="Z32" i="11"/>
  <c r="Y32" i="11"/>
  <c r="X32" i="11"/>
  <c r="W32" i="11"/>
  <c r="V32" i="11"/>
  <c r="U32" i="11"/>
  <c r="T32" i="11"/>
  <c r="S32" i="11"/>
  <c r="R32" i="11"/>
  <c r="Q32" i="11"/>
  <c r="P32" i="11"/>
  <c r="O32" i="11"/>
  <c r="N32" i="11"/>
  <c r="M32" i="11"/>
  <c r="L32" i="11"/>
  <c r="K32" i="11"/>
  <c r="J32" i="11"/>
  <c r="I32" i="11"/>
  <c r="H32" i="11"/>
  <c r="G32" i="11"/>
  <c r="E32" i="11"/>
  <c r="E23" i="11"/>
  <c r="E22" i="11"/>
  <c r="E30" i="11" s="1"/>
  <c r="E21" i="11"/>
  <c r="E29" i="11" s="1"/>
  <c r="G18" i="11"/>
  <c r="H18" i="11" s="1"/>
  <c r="I18" i="11" s="1"/>
  <c r="J18" i="11" s="1"/>
  <c r="K18" i="11" s="1"/>
  <c r="L18" i="11" s="1"/>
  <c r="M18" i="11" s="1"/>
  <c r="N18" i="11" s="1"/>
  <c r="O18" i="11" s="1"/>
  <c r="P18" i="11" s="1"/>
  <c r="Q18" i="11" s="1"/>
  <c r="R18" i="11" s="1"/>
  <c r="S18" i="11" s="1"/>
  <c r="T18" i="11" s="1"/>
  <c r="U18" i="11" s="1"/>
  <c r="V18" i="11" s="1"/>
  <c r="W18" i="11" s="1"/>
  <c r="X18" i="11" s="1"/>
  <c r="Y18" i="11" s="1"/>
  <c r="Z18" i="11" s="1"/>
  <c r="AA18" i="11" s="1"/>
  <c r="G17" i="11"/>
  <c r="G15" i="11"/>
  <c r="G14" i="11"/>
  <c r="Z80" i="11"/>
  <c r="W79" i="11"/>
  <c r="U78" i="11"/>
  <c r="P1" i="11"/>
  <c r="O1" i="11"/>
  <c r="N1" i="11"/>
  <c r="M1" i="11"/>
  <c r="L1" i="11"/>
  <c r="K1" i="11"/>
  <c r="J1" i="11"/>
  <c r="I1" i="11"/>
  <c r="H1" i="11"/>
  <c r="G1" i="11"/>
  <c r="A1" i="11" a="1"/>
  <c r="A1" i="11" s="1"/>
  <c r="Y275" i="11" l="1"/>
  <c r="Y307" i="11"/>
  <c r="T84" i="12"/>
  <c r="T235" i="12" s="1"/>
  <c r="T270" i="11"/>
  <c r="P240" i="12"/>
  <c r="K270" i="12"/>
  <c r="M84" i="13"/>
  <c r="M235" i="13" s="1"/>
  <c r="U84" i="13"/>
  <c r="U235" i="13" s="1"/>
  <c r="L84" i="13"/>
  <c r="L235" i="13" s="1"/>
  <c r="L301" i="13" s="1"/>
  <c r="J270" i="13"/>
  <c r="I307" i="13"/>
  <c r="Y240" i="14"/>
  <c r="W270" i="14"/>
  <c r="G257" i="15"/>
  <c r="N84" i="13"/>
  <c r="N235" i="13" s="1"/>
  <c r="H84" i="14"/>
  <c r="H235" i="14" s="1"/>
  <c r="P84" i="14"/>
  <c r="P235" i="14" s="1"/>
  <c r="X84" i="14"/>
  <c r="X235" i="14" s="1"/>
  <c r="X270" i="14"/>
  <c r="X227" i="15"/>
  <c r="Q261" i="15"/>
  <c r="O227" i="11"/>
  <c r="O293" i="11" s="1"/>
  <c r="S275" i="11"/>
  <c r="K307" i="11"/>
  <c r="N227" i="12"/>
  <c r="I293" i="12"/>
  <c r="N275" i="13"/>
  <c r="I302" i="14"/>
  <c r="AA240" i="15"/>
  <c r="AA306" i="15" s="1"/>
  <c r="G274" i="15"/>
  <c r="Q227" i="11"/>
  <c r="G291" i="11"/>
  <c r="R275" i="13"/>
  <c r="H227" i="14"/>
  <c r="H274" i="15"/>
  <c r="P302" i="12"/>
  <c r="J84" i="13"/>
  <c r="J235" i="13" s="1"/>
  <c r="R84" i="13"/>
  <c r="R235" i="13" s="1"/>
  <c r="R301" i="13" s="1"/>
  <c r="Z84" i="13"/>
  <c r="Z235" i="13" s="1"/>
  <c r="Y84" i="13"/>
  <c r="Y235" i="13" s="1"/>
  <c r="G257" i="13"/>
  <c r="G301" i="13"/>
  <c r="L84" i="14"/>
  <c r="L235" i="14" s="1"/>
  <c r="L269" i="14" s="1"/>
  <c r="T84" i="14"/>
  <c r="T235" i="14" s="1"/>
  <c r="T301" i="14" s="1"/>
  <c r="S84" i="14"/>
  <c r="S235" i="14" s="1"/>
  <c r="W227" i="14"/>
  <c r="W261" i="14" s="1"/>
  <c r="G307" i="14"/>
  <c r="O302" i="15"/>
  <c r="V240" i="11"/>
  <c r="V306" i="11" s="1"/>
  <c r="AB306" i="11" s="1"/>
  <c r="Q270" i="11"/>
  <c r="L302" i="11"/>
  <c r="I240" i="12"/>
  <c r="H261" i="12"/>
  <c r="X302" i="12"/>
  <c r="X227" i="13"/>
  <c r="Z261" i="13"/>
  <c r="G305" i="13"/>
  <c r="O270" i="14"/>
  <c r="AB241" i="12"/>
  <c r="V275" i="12"/>
  <c r="AB275" i="12" s="1"/>
  <c r="T307" i="14"/>
  <c r="T275" i="14"/>
  <c r="Z275" i="13"/>
  <c r="Z307" i="13"/>
  <c r="U307" i="14"/>
  <c r="U275" i="14"/>
  <c r="L261" i="15"/>
  <c r="L293" i="15"/>
  <c r="R269" i="14"/>
  <c r="R301" i="14"/>
  <c r="L275" i="13"/>
  <c r="L307" i="13"/>
  <c r="T307" i="13"/>
  <c r="T275" i="13"/>
  <c r="M307" i="13"/>
  <c r="M275" i="13"/>
  <c r="V307" i="14"/>
  <c r="AB307" i="14" s="1"/>
  <c r="AB241" i="14"/>
  <c r="V275" i="14"/>
  <c r="AB275" i="14" s="1"/>
  <c r="L301" i="14"/>
  <c r="H275" i="11"/>
  <c r="H307" i="11"/>
  <c r="M269" i="14"/>
  <c r="M301" i="14"/>
  <c r="X293" i="11"/>
  <c r="X261" i="11"/>
  <c r="Y306" i="12"/>
  <c r="Y274" i="12"/>
  <c r="M275" i="12"/>
  <c r="M307" i="12"/>
  <c r="J269" i="15"/>
  <c r="J301" i="15"/>
  <c r="H240" i="11"/>
  <c r="H274" i="11" s="1"/>
  <c r="T240" i="11"/>
  <c r="T274" i="11" s="1"/>
  <c r="N261" i="11"/>
  <c r="Z269" i="11"/>
  <c r="G273" i="11"/>
  <c r="Q307" i="11"/>
  <c r="I270" i="12"/>
  <c r="K84" i="13"/>
  <c r="K235" i="13" s="1"/>
  <c r="R240" i="13"/>
  <c r="J261" i="13"/>
  <c r="J275" i="13"/>
  <c r="V301" i="13"/>
  <c r="G306" i="13"/>
  <c r="U227" i="14"/>
  <c r="R240" i="14"/>
  <c r="G303" i="14"/>
  <c r="L240" i="15"/>
  <c r="L274" i="15" s="1"/>
  <c r="R261" i="15"/>
  <c r="Q270" i="15"/>
  <c r="G291" i="15"/>
  <c r="Y302" i="15"/>
  <c r="Z84" i="12"/>
  <c r="Z235" i="12" s="1"/>
  <c r="N307" i="12"/>
  <c r="P227" i="11"/>
  <c r="U240" i="11"/>
  <c r="U274" i="11" s="1"/>
  <c r="H270" i="11"/>
  <c r="O274" i="11"/>
  <c r="K293" i="11"/>
  <c r="K302" i="11"/>
  <c r="R306" i="11"/>
  <c r="T307" i="11"/>
  <c r="Q84" i="12"/>
  <c r="Q235" i="12" s="1"/>
  <c r="Q269" i="12" s="1"/>
  <c r="G238" i="12"/>
  <c r="G258" i="12"/>
  <c r="J270" i="12"/>
  <c r="X274" i="12"/>
  <c r="S302" i="12"/>
  <c r="S240" i="13"/>
  <c r="S274" i="13" s="1"/>
  <c r="R261" i="13"/>
  <c r="X270" i="13"/>
  <c r="W301" i="13"/>
  <c r="N84" i="14"/>
  <c r="N235" i="14" s="1"/>
  <c r="V84" i="14"/>
  <c r="V235" i="14" s="1"/>
  <c r="V227" i="14"/>
  <c r="V293" i="14" s="1"/>
  <c r="T240" i="14"/>
  <c r="G259" i="14"/>
  <c r="P270" i="14"/>
  <c r="Q301" i="14"/>
  <c r="G84" i="15"/>
  <c r="G235" i="15" s="1"/>
  <c r="O84" i="15"/>
  <c r="O235" i="15" s="1"/>
  <c r="W84" i="15"/>
  <c r="W235" i="15" s="1"/>
  <c r="P240" i="15"/>
  <c r="P306" i="15" s="1"/>
  <c r="S261" i="15"/>
  <c r="Z270" i="15"/>
  <c r="K293" i="15"/>
  <c r="J84" i="12"/>
  <c r="J235" i="12" s="1"/>
  <c r="J269" i="12" s="1"/>
  <c r="L227" i="13"/>
  <c r="T240" i="13"/>
  <c r="T306" i="13" s="1"/>
  <c r="R227" i="11"/>
  <c r="K240" i="11"/>
  <c r="K306" i="11" s="1"/>
  <c r="X240" i="11"/>
  <c r="Z274" i="11"/>
  <c r="M293" i="11"/>
  <c r="M302" i="11"/>
  <c r="W307" i="11"/>
  <c r="K84" i="12"/>
  <c r="K235" i="12" s="1"/>
  <c r="S84" i="12"/>
  <c r="S235" i="12" s="1"/>
  <c r="AA84" i="12"/>
  <c r="AA235" i="12" s="1"/>
  <c r="AA269" i="12" s="1"/>
  <c r="I275" i="12"/>
  <c r="M293" i="12"/>
  <c r="V302" i="12"/>
  <c r="H307" i="12"/>
  <c r="M227" i="13"/>
  <c r="Y240" i="13"/>
  <c r="AA270" i="13"/>
  <c r="P302" i="13"/>
  <c r="L227" i="14"/>
  <c r="H307" i="14"/>
  <c r="N227" i="15"/>
  <c r="N261" i="15" s="1"/>
  <c r="R240" i="15"/>
  <c r="M269" i="15"/>
  <c r="R84" i="12"/>
  <c r="R235" i="12" s="1"/>
  <c r="M227" i="15"/>
  <c r="L240" i="11"/>
  <c r="L274" i="11" s="1"/>
  <c r="AB240" i="11"/>
  <c r="R270" i="11"/>
  <c r="AA274" i="11"/>
  <c r="P302" i="11"/>
  <c r="G307" i="11"/>
  <c r="X307" i="11"/>
  <c r="O227" i="12"/>
  <c r="H240" i="12"/>
  <c r="Z270" i="12"/>
  <c r="U275" i="12"/>
  <c r="W302" i="12"/>
  <c r="V227" i="13"/>
  <c r="V261" i="13" s="1"/>
  <c r="L269" i="13"/>
  <c r="M227" i="14"/>
  <c r="Z240" i="14"/>
  <c r="Z306" i="14" s="1"/>
  <c r="Q261" i="14"/>
  <c r="Y270" i="14"/>
  <c r="L302" i="14"/>
  <c r="P307" i="14"/>
  <c r="T227" i="15"/>
  <c r="S240" i="15"/>
  <c r="S306" i="15" s="1"/>
  <c r="G270" i="15"/>
  <c r="I275" i="15"/>
  <c r="U275" i="13"/>
  <c r="V302" i="13"/>
  <c r="N227" i="14"/>
  <c r="AA240" i="14"/>
  <c r="AA274" i="14" s="1"/>
  <c r="R261" i="14"/>
  <c r="Z270" i="14"/>
  <c r="T302" i="14"/>
  <c r="U227" i="15"/>
  <c r="I261" i="15"/>
  <c r="K270" i="15"/>
  <c r="T275" i="15"/>
  <c r="M302" i="15"/>
  <c r="O275" i="11"/>
  <c r="AA227" i="11"/>
  <c r="W269" i="11"/>
  <c r="V293" i="11"/>
  <c r="V227" i="12"/>
  <c r="X261" i="12"/>
  <c r="G274" i="12"/>
  <c r="W275" i="12"/>
  <c r="M302" i="12"/>
  <c r="Y302" i="12"/>
  <c r="P307" i="12"/>
  <c r="Q84" i="13"/>
  <c r="Q235" i="13" s="1"/>
  <c r="I240" i="13"/>
  <c r="G259" i="13"/>
  <c r="H270" i="13"/>
  <c r="G293" i="13"/>
  <c r="Y307" i="13"/>
  <c r="P227" i="14"/>
  <c r="AA261" i="14"/>
  <c r="U302" i="14"/>
  <c r="V227" i="15"/>
  <c r="V261" i="15" s="1"/>
  <c r="Z240" i="15"/>
  <c r="J261" i="15"/>
  <c r="Y275" i="15"/>
  <c r="N302" i="15"/>
  <c r="I227" i="11"/>
  <c r="I293" i="11" s="1"/>
  <c r="S240" i="11"/>
  <c r="Y269" i="11"/>
  <c r="G271" i="11"/>
  <c r="X302" i="11"/>
  <c r="L307" i="11"/>
  <c r="W269" i="12"/>
  <c r="O302" i="12"/>
  <c r="X307" i="12"/>
  <c r="J240" i="13"/>
  <c r="I261" i="13"/>
  <c r="L274" i="13"/>
  <c r="Q240" i="14"/>
  <c r="Q306" i="14" s="1"/>
  <c r="R275" i="14"/>
  <c r="J301" i="14"/>
  <c r="G16" i="12"/>
  <c r="E1" i="13"/>
  <c r="E1" i="11"/>
  <c r="E1" i="12"/>
  <c r="AA65" i="13"/>
  <c r="X80" i="12"/>
  <c r="S66" i="11"/>
  <c r="Y79" i="13"/>
  <c r="Q47" i="12"/>
  <c r="AA47" i="12"/>
  <c r="G64" i="12"/>
  <c r="Y47" i="13"/>
  <c r="P78" i="11"/>
  <c r="J66" i="12"/>
  <c r="O65" i="13"/>
  <c r="M65" i="14"/>
  <c r="U66" i="12"/>
  <c r="G46" i="13"/>
  <c r="H46" i="13"/>
  <c r="L79" i="14"/>
  <c r="K66" i="12"/>
  <c r="S47" i="11"/>
  <c r="I47" i="12"/>
  <c r="S46" i="13"/>
  <c r="M79" i="13"/>
  <c r="R46" i="15"/>
  <c r="T47" i="11"/>
  <c r="O64" i="11"/>
  <c r="P47" i="12"/>
  <c r="K80" i="12"/>
  <c r="U79" i="13"/>
  <c r="M47" i="14"/>
  <c r="O80" i="14"/>
  <c r="N47" i="15"/>
  <c r="N66" i="15"/>
  <c r="AA80" i="15"/>
  <c r="Q64" i="11"/>
  <c r="M80" i="11"/>
  <c r="V47" i="12"/>
  <c r="M66" i="12"/>
  <c r="L80" i="12"/>
  <c r="J46" i="13"/>
  <c r="G66" i="13"/>
  <c r="V79" i="13"/>
  <c r="N47" i="14"/>
  <c r="L66" i="14"/>
  <c r="V80" i="14"/>
  <c r="R47" i="15"/>
  <c r="O66" i="15"/>
  <c r="K80" i="15"/>
  <c r="L47" i="14"/>
  <c r="X66" i="14"/>
  <c r="N80" i="14"/>
  <c r="M47" i="15"/>
  <c r="M66" i="15"/>
  <c r="W80" i="15"/>
  <c r="P64" i="11"/>
  <c r="G80" i="15"/>
  <c r="R66" i="11"/>
  <c r="R80" i="11"/>
  <c r="W47" i="12"/>
  <c r="Q66" i="12"/>
  <c r="W80" i="12"/>
  <c r="R46" i="13"/>
  <c r="N65" i="13"/>
  <c r="I66" i="13"/>
  <c r="W79" i="13"/>
  <c r="O47" i="14"/>
  <c r="M66" i="14"/>
  <c r="W80" i="14"/>
  <c r="V47" i="15"/>
  <c r="S66" i="15"/>
  <c r="L80" i="15"/>
  <c r="T47" i="14"/>
  <c r="N66" i="14"/>
  <c r="X80" i="14"/>
  <c r="Z47" i="15"/>
  <c r="J47" i="11"/>
  <c r="T66" i="11"/>
  <c r="H64" i="12"/>
  <c r="W66" i="12"/>
  <c r="T46" i="13"/>
  <c r="P65" i="13"/>
  <c r="I79" i="13"/>
  <c r="AA79" i="13"/>
  <c r="V47" i="14"/>
  <c r="O66" i="14"/>
  <c r="H80" i="14"/>
  <c r="AA47" i="15"/>
  <c r="Z65" i="15"/>
  <c r="AA66" i="15"/>
  <c r="N80" i="15"/>
  <c r="W66" i="15"/>
  <c r="M80" i="15"/>
  <c r="R47" i="11"/>
  <c r="H47" i="12"/>
  <c r="Q64" i="12"/>
  <c r="AA66" i="12"/>
  <c r="U46" i="13"/>
  <c r="Q65" i="13"/>
  <c r="K79" i="13"/>
  <c r="R46" i="14"/>
  <c r="W47" i="14"/>
  <c r="P66" i="14"/>
  <c r="L80" i="14"/>
  <c r="K47" i="15"/>
  <c r="U80" i="15"/>
  <c r="O78" i="11"/>
  <c r="S64" i="12"/>
  <c r="V46" i="13"/>
  <c r="S65" i="13"/>
  <c r="L79" i="13"/>
  <c r="K47" i="14"/>
  <c r="AA47" i="14"/>
  <c r="W66" i="14"/>
  <c r="M80" i="14"/>
  <c r="L47" i="15"/>
  <c r="L66" i="15"/>
  <c r="R79" i="15"/>
  <c r="V80" i="15"/>
  <c r="T79" i="11"/>
  <c r="O46" i="11"/>
  <c r="Y46" i="11"/>
  <c r="Y47" i="11"/>
  <c r="V64" i="11"/>
  <c r="L65" i="11"/>
  <c r="X65" i="11"/>
  <c r="U66" i="11"/>
  <c r="Q78" i="11"/>
  <c r="K79" i="11"/>
  <c r="U79" i="11"/>
  <c r="S80" i="11"/>
  <c r="L47" i="12"/>
  <c r="X47" i="12"/>
  <c r="G65" i="12"/>
  <c r="R66" i="12"/>
  <c r="S78" i="12"/>
  <c r="M80" i="12"/>
  <c r="Y80" i="12"/>
  <c r="K46" i="13"/>
  <c r="AA46" i="13"/>
  <c r="G65" i="13"/>
  <c r="T65" i="13"/>
  <c r="M78" i="13"/>
  <c r="N79" i="13"/>
  <c r="Q46" i="14"/>
  <c r="S47" i="14"/>
  <c r="R65" i="14"/>
  <c r="T66" i="14"/>
  <c r="M79" i="14"/>
  <c r="P80" i="14"/>
  <c r="Z46" i="15"/>
  <c r="S47" i="15"/>
  <c r="T66" i="15"/>
  <c r="Z79" i="15"/>
  <c r="O80" i="15"/>
  <c r="S79" i="11"/>
  <c r="AA64" i="13"/>
  <c r="L46" i="11"/>
  <c r="P46" i="11"/>
  <c r="Z46" i="11"/>
  <c r="Z47" i="11"/>
  <c r="G64" i="11"/>
  <c r="W64" i="11"/>
  <c r="M65" i="11"/>
  <c r="Y65" i="11"/>
  <c r="V78" i="11"/>
  <c r="L79" i="11"/>
  <c r="X79" i="11"/>
  <c r="T80" i="11"/>
  <c r="N47" i="12"/>
  <c r="Y47" i="12"/>
  <c r="H66" i="12"/>
  <c r="S66" i="12"/>
  <c r="T78" i="12"/>
  <c r="O80" i="12"/>
  <c r="Z80" i="12"/>
  <c r="L46" i="13"/>
  <c r="H65" i="13"/>
  <c r="X65" i="13"/>
  <c r="Q78" i="13"/>
  <c r="P79" i="13"/>
  <c r="G66" i="14"/>
  <c r="U66" i="14"/>
  <c r="T80" i="14"/>
  <c r="T47" i="15"/>
  <c r="G66" i="15"/>
  <c r="U66" i="15"/>
  <c r="AA79" i="15"/>
  <c r="S80" i="15"/>
  <c r="K46" i="11"/>
  <c r="X46" i="11"/>
  <c r="U65" i="11"/>
  <c r="S46" i="15"/>
  <c r="AA65" i="15"/>
  <c r="S79" i="15"/>
  <c r="G46" i="11"/>
  <c r="Q46" i="11"/>
  <c r="AA46" i="11"/>
  <c r="H64" i="11"/>
  <c r="X64" i="11"/>
  <c r="P65" i="11"/>
  <c r="Z65" i="11"/>
  <c r="G78" i="11"/>
  <c r="W78" i="11"/>
  <c r="M79" i="11"/>
  <c r="Y79" i="11"/>
  <c r="O47" i="12"/>
  <c r="Z47" i="12"/>
  <c r="I66" i="12"/>
  <c r="T66" i="12"/>
  <c r="P80" i="12"/>
  <c r="P46" i="13"/>
  <c r="I65" i="13"/>
  <c r="Y65" i="13"/>
  <c r="U78" i="13"/>
  <c r="G47" i="14"/>
  <c r="U47" i="14"/>
  <c r="H66" i="14"/>
  <c r="V66" i="14"/>
  <c r="G80" i="14"/>
  <c r="U80" i="14"/>
  <c r="J47" i="15"/>
  <c r="U47" i="15"/>
  <c r="K66" i="15"/>
  <c r="V66" i="15"/>
  <c r="T80" i="15"/>
  <c r="W46" i="11"/>
  <c r="T65" i="11"/>
  <c r="K65" i="11"/>
  <c r="J79" i="11"/>
  <c r="H46" i="11"/>
  <c r="R46" i="11"/>
  <c r="I47" i="11"/>
  <c r="I64" i="11"/>
  <c r="Y64" i="11"/>
  <c r="Q65" i="11"/>
  <c r="AA65" i="11"/>
  <c r="H78" i="11"/>
  <c r="X78" i="11"/>
  <c r="P79" i="11"/>
  <c r="Z79" i="11"/>
  <c r="Z46" i="12"/>
  <c r="Q80" i="12"/>
  <c r="V78" i="13"/>
  <c r="J65" i="11"/>
  <c r="I79" i="11"/>
  <c r="I46" i="11"/>
  <c r="S46" i="11"/>
  <c r="N64" i="11"/>
  <c r="H65" i="11"/>
  <c r="R65" i="11"/>
  <c r="M66" i="11"/>
  <c r="I78" i="11"/>
  <c r="Y78" i="11"/>
  <c r="Q79" i="11"/>
  <c r="AA79" i="11"/>
  <c r="G80" i="12"/>
  <c r="T80" i="12"/>
  <c r="I64" i="13"/>
  <c r="J46" i="11"/>
  <c r="T46" i="11"/>
  <c r="I65" i="11"/>
  <c r="S65" i="11"/>
  <c r="N78" i="11"/>
  <c r="H79" i="11"/>
  <c r="R79" i="11"/>
  <c r="G47" i="12"/>
  <c r="R47" i="12"/>
  <c r="I64" i="12"/>
  <c r="L66" i="12"/>
  <c r="Z66" i="12"/>
  <c r="H80" i="12"/>
  <c r="U80" i="12"/>
  <c r="Z64" i="13"/>
  <c r="Q46" i="15"/>
  <c r="S65" i="15"/>
  <c r="G4" i="14"/>
  <c r="E1" i="14"/>
  <c r="AA275" i="14"/>
  <c r="AA307" i="14"/>
  <c r="P301" i="14"/>
  <c r="P269" i="14"/>
  <c r="U301" i="14"/>
  <c r="U269" i="14"/>
  <c r="V301" i="14"/>
  <c r="V269" i="14"/>
  <c r="S275" i="14"/>
  <c r="S307" i="14"/>
  <c r="G301" i="14"/>
  <c r="G269" i="14"/>
  <c r="S78" i="14"/>
  <c r="H301" i="14"/>
  <c r="H269" i="14"/>
  <c r="W78" i="14"/>
  <c r="O78" i="14"/>
  <c r="G78" i="14"/>
  <c r="W64" i="14"/>
  <c r="O64" i="14"/>
  <c r="G64" i="14"/>
  <c r="L64" i="14"/>
  <c r="V78" i="14"/>
  <c r="N78" i="14"/>
  <c r="V64" i="14"/>
  <c r="N64" i="14"/>
  <c r="T78" i="14"/>
  <c r="L78" i="14"/>
  <c r="U78" i="14"/>
  <c r="M78" i="14"/>
  <c r="U64" i="14"/>
  <c r="M64" i="14"/>
  <c r="T64" i="14"/>
  <c r="R78" i="14"/>
  <c r="S64" i="14"/>
  <c r="AA78" i="14"/>
  <c r="K64" i="14"/>
  <c r="Y78" i="14"/>
  <c r="Z64" i="14"/>
  <c r="X78" i="14"/>
  <c r="Y64" i="14"/>
  <c r="Q78" i="14"/>
  <c r="R64" i="14"/>
  <c r="P64" i="14"/>
  <c r="Z78" i="14"/>
  <c r="AA64" i="14"/>
  <c r="J64" i="14"/>
  <c r="H78" i="14"/>
  <c r="P78" i="14"/>
  <c r="Q64" i="14"/>
  <c r="K78" i="14"/>
  <c r="J78" i="14"/>
  <c r="I78" i="14"/>
  <c r="I64" i="14"/>
  <c r="X64" i="14"/>
  <c r="AA306" i="14"/>
  <c r="V78" i="15"/>
  <c r="N78" i="15"/>
  <c r="V64" i="15"/>
  <c r="N64" i="15"/>
  <c r="U78" i="15"/>
  <c r="M78" i="15"/>
  <c r="U64" i="15"/>
  <c r="M64" i="15"/>
  <c r="T78" i="15"/>
  <c r="L78" i="15"/>
  <c r="T64" i="15"/>
  <c r="L64" i="15"/>
  <c r="S78" i="15"/>
  <c r="H78" i="15"/>
  <c r="S64" i="15"/>
  <c r="H64" i="15"/>
  <c r="R78" i="15"/>
  <c r="G78" i="15"/>
  <c r="R64" i="15"/>
  <c r="G64" i="15"/>
  <c r="Q78" i="15"/>
  <c r="Q64" i="15"/>
  <c r="P78" i="15"/>
  <c r="W64" i="15"/>
  <c r="K64" i="15"/>
  <c r="O78" i="15"/>
  <c r="P64" i="15"/>
  <c r="K78" i="15"/>
  <c r="O64" i="15"/>
  <c r="AA78" i="15"/>
  <c r="J78" i="15"/>
  <c r="H261" i="14"/>
  <c r="H293" i="14"/>
  <c r="G16" i="15"/>
  <c r="W301" i="15"/>
  <c r="W269" i="15"/>
  <c r="R79" i="14"/>
  <c r="K293" i="14"/>
  <c r="K261" i="14"/>
  <c r="K275" i="14"/>
  <c r="K307" i="14"/>
  <c r="L293" i="14"/>
  <c r="L261" i="14"/>
  <c r="L274" i="14"/>
  <c r="T46" i="14"/>
  <c r="S79" i="14"/>
  <c r="P274" i="14"/>
  <c r="Q84" i="15"/>
  <c r="Q235" i="15" s="1"/>
  <c r="M306" i="14"/>
  <c r="M274" i="14"/>
  <c r="W78" i="15"/>
  <c r="S301" i="15"/>
  <c r="S269" i="15"/>
  <c r="U307" i="15"/>
  <c r="U275" i="15"/>
  <c r="J46" i="14"/>
  <c r="Z46" i="14"/>
  <c r="I269" i="14"/>
  <c r="I301" i="14"/>
  <c r="Y301" i="14"/>
  <c r="Y269" i="14"/>
  <c r="J65" i="14"/>
  <c r="Z65" i="14"/>
  <c r="N306" i="14"/>
  <c r="N274" i="14"/>
  <c r="V274" i="14"/>
  <c r="AB274" i="14" s="1"/>
  <c r="V306" i="14"/>
  <c r="AB306" i="14" s="1"/>
  <c r="Q302" i="14"/>
  <c r="Q270" i="14"/>
  <c r="N307" i="14"/>
  <c r="N275" i="14"/>
  <c r="J270" i="14"/>
  <c r="AA270" i="14"/>
  <c r="X78" i="15"/>
  <c r="T269" i="15"/>
  <c r="T301" i="15"/>
  <c r="G304" i="15"/>
  <c r="G272" i="15"/>
  <c r="J307" i="15"/>
  <c r="J275" i="15"/>
  <c r="G261" i="14"/>
  <c r="G293" i="14"/>
  <c r="X64" i="15"/>
  <c r="Z301" i="14"/>
  <c r="Z269" i="14"/>
  <c r="Z307" i="14"/>
  <c r="Z275" i="14"/>
  <c r="J275" i="14"/>
  <c r="Y79" i="14"/>
  <c r="Q79" i="14"/>
  <c r="I79" i="14"/>
  <c r="Y65" i="14"/>
  <c r="Q65" i="14"/>
  <c r="I65" i="14"/>
  <c r="X46" i="14"/>
  <c r="P46" i="14"/>
  <c r="H46" i="14"/>
  <c r="N79" i="14"/>
  <c r="N65" i="14"/>
  <c r="U46" i="14"/>
  <c r="X79" i="14"/>
  <c r="P79" i="14"/>
  <c r="H79" i="14"/>
  <c r="X65" i="14"/>
  <c r="P65" i="14"/>
  <c r="H65" i="14"/>
  <c r="W46" i="14"/>
  <c r="O46" i="14"/>
  <c r="G46" i="14"/>
  <c r="V65" i="14"/>
  <c r="M46" i="14"/>
  <c r="W79" i="14"/>
  <c r="O79" i="14"/>
  <c r="G79" i="14"/>
  <c r="W65" i="14"/>
  <c r="O65" i="14"/>
  <c r="G65" i="14"/>
  <c r="V46" i="14"/>
  <c r="N46" i="14"/>
  <c r="V79" i="14"/>
  <c r="AA301" i="14"/>
  <c r="AA269" i="14"/>
  <c r="AA64" i="15"/>
  <c r="I78" i="15"/>
  <c r="R301" i="15"/>
  <c r="R269" i="15"/>
  <c r="U65" i="14"/>
  <c r="T79" i="14"/>
  <c r="G258" i="14"/>
  <c r="G290" i="14"/>
  <c r="M307" i="14"/>
  <c r="M275" i="14"/>
  <c r="W269" i="14"/>
  <c r="Q274" i="14"/>
  <c r="K46" i="14"/>
  <c r="AA46" i="14"/>
  <c r="K65" i="14"/>
  <c r="AA65" i="14"/>
  <c r="J79" i="14"/>
  <c r="Z79" i="14"/>
  <c r="S301" i="14"/>
  <c r="S269" i="14"/>
  <c r="T293" i="14"/>
  <c r="T261" i="14"/>
  <c r="R302" i="14"/>
  <c r="R270" i="14"/>
  <c r="G238" i="14"/>
  <c r="Y306" i="14"/>
  <c r="Y274" i="14"/>
  <c r="K270" i="14"/>
  <c r="Z274" i="14"/>
  <c r="I64" i="15"/>
  <c r="Y78" i="15"/>
  <c r="Z269" i="15"/>
  <c r="Z301" i="15"/>
  <c r="V261" i="14"/>
  <c r="V301" i="15"/>
  <c r="V269" i="15"/>
  <c r="T269" i="14"/>
  <c r="Y64" i="15"/>
  <c r="G16" i="14"/>
  <c r="S46" i="14"/>
  <c r="N301" i="14"/>
  <c r="N269" i="14"/>
  <c r="S65" i="14"/>
  <c r="K301" i="14"/>
  <c r="K269" i="14"/>
  <c r="S227" i="14"/>
  <c r="S240" i="14"/>
  <c r="Z64" i="15"/>
  <c r="O301" i="14"/>
  <c r="O269" i="14"/>
  <c r="T65" i="14"/>
  <c r="I46" i="14"/>
  <c r="Y46" i="14"/>
  <c r="X301" i="14"/>
  <c r="X269" i="14"/>
  <c r="L46" i="14"/>
  <c r="L65" i="14"/>
  <c r="K79" i="14"/>
  <c r="AA79" i="14"/>
  <c r="H306" i="14"/>
  <c r="H274" i="14"/>
  <c r="U293" i="14"/>
  <c r="U261" i="14"/>
  <c r="S270" i="14"/>
  <c r="S302" i="14"/>
  <c r="K240" i="14"/>
  <c r="U306" i="14"/>
  <c r="U301" i="15"/>
  <c r="U269" i="15"/>
  <c r="J64" i="15"/>
  <c r="Z78" i="15"/>
  <c r="O306" i="14"/>
  <c r="O274" i="14"/>
  <c r="N301" i="15"/>
  <c r="N269" i="15"/>
  <c r="L65" i="15"/>
  <c r="H47" i="14"/>
  <c r="P47" i="14"/>
  <c r="X47" i="14"/>
  <c r="I66" i="14"/>
  <c r="Q66" i="14"/>
  <c r="Y66" i="14"/>
  <c r="I80" i="14"/>
  <c r="Q80" i="14"/>
  <c r="Y80" i="14"/>
  <c r="X307" i="14"/>
  <c r="X275" i="14"/>
  <c r="N293" i="14"/>
  <c r="N261" i="14"/>
  <c r="J261" i="14"/>
  <c r="G270" i="14"/>
  <c r="L275" i="14"/>
  <c r="Z293" i="14"/>
  <c r="G305" i="14"/>
  <c r="H46" i="15"/>
  <c r="G301" i="15"/>
  <c r="G269" i="15"/>
  <c r="O301" i="15"/>
  <c r="O269" i="15"/>
  <c r="M65" i="15"/>
  <c r="L301" i="15"/>
  <c r="L269" i="15"/>
  <c r="O240" i="15"/>
  <c r="O227" i="15"/>
  <c r="W240" i="15"/>
  <c r="W227" i="15"/>
  <c r="O307" i="15"/>
  <c r="O275" i="15"/>
  <c r="W307" i="15"/>
  <c r="W275" i="15"/>
  <c r="X293" i="15"/>
  <c r="X261" i="15"/>
  <c r="X307" i="15"/>
  <c r="W306" i="14"/>
  <c r="W274" i="14"/>
  <c r="W307" i="14"/>
  <c r="W275" i="14"/>
  <c r="X79" i="15"/>
  <c r="P79" i="15"/>
  <c r="H79" i="15"/>
  <c r="X65" i="15"/>
  <c r="P65" i="15"/>
  <c r="H65" i="15"/>
  <c r="W46" i="15"/>
  <c r="O46" i="15"/>
  <c r="G46" i="15"/>
  <c r="W79" i="15"/>
  <c r="O79" i="15"/>
  <c r="G79" i="15"/>
  <c r="W65" i="15"/>
  <c r="O65" i="15"/>
  <c r="G65" i="15"/>
  <c r="V46" i="15"/>
  <c r="N46" i="15"/>
  <c r="V79" i="15"/>
  <c r="N79" i="15"/>
  <c r="V65" i="15"/>
  <c r="N65" i="15"/>
  <c r="U46" i="15"/>
  <c r="M46" i="15"/>
  <c r="Y79" i="15"/>
  <c r="K79" i="15"/>
  <c r="Y65" i="15"/>
  <c r="K65" i="15"/>
  <c r="Y46" i="15"/>
  <c r="K46" i="15"/>
  <c r="U79" i="15"/>
  <c r="J79" i="15"/>
  <c r="U65" i="15"/>
  <c r="J65" i="15"/>
  <c r="X46" i="15"/>
  <c r="J46" i="15"/>
  <c r="T79" i="15"/>
  <c r="I79" i="15"/>
  <c r="T65" i="15"/>
  <c r="I65" i="15"/>
  <c r="T46" i="15"/>
  <c r="I46" i="15"/>
  <c r="AA46" i="15"/>
  <c r="AA301" i="15"/>
  <c r="I47" i="14"/>
  <c r="Q47" i="14"/>
  <c r="Y47" i="14"/>
  <c r="J66" i="14"/>
  <c r="R66" i="14"/>
  <c r="Z66" i="14"/>
  <c r="J80" i="14"/>
  <c r="R80" i="14"/>
  <c r="Z80" i="14"/>
  <c r="I307" i="14"/>
  <c r="I275" i="14"/>
  <c r="Q307" i="14"/>
  <c r="Q275" i="14"/>
  <c r="Y307" i="14"/>
  <c r="Y275" i="14"/>
  <c r="O227" i="14"/>
  <c r="I240" i="14"/>
  <c r="Y261" i="14"/>
  <c r="H270" i="14"/>
  <c r="X274" i="14"/>
  <c r="O307" i="14"/>
  <c r="L46" i="15"/>
  <c r="H84" i="15"/>
  <c r="H235" i="15" s="1"/>
  <c r="P84" i="15"/>
  <c r="P235" i="15" s="1"/>
  <c r="X84" i="15"/>
  <c r="X235" i="15" s="1"/>
  <c r="Q65" i="15"/>
  <c r="M79" i="15"/>
  <c r="P293" i="15"/>
  <c r="P261" i="15"/>
  <c r="X306" i="15"/>
  <c r="X274" i="15"/>
  <c r="H275" i="15"/>
  <c r="H307" i="15"/>
  <c r="P275" i="15"/>
  <c r="P307" i="15"/>
  <c r="H227" i="15"/>
  <c r="X261" i="14"/>
  <c r="X293" i="14"/>
  <c r="J47" i="14"/>
  <c r="R47" i="14"/>
  <c r="Z47" i="14"/>
  <c r="K66" i="14"/>
  <c r="S66" i="14"/>
  <c r="AA66" i="14"/>
  <c r="K80" i="14"/>
  <c r="S80" i="14"/>
  <c r="J240" i="14"/>
  <c r="P46" i="15"/>
  <c r="I84" i="15"/>
  <c r="I235" i="15" s="1"/>
  <c r="Y84" i="15"/>
  <c r="Y235" i="15" s="1"/>
  <c r="R65" i="15"/>
  <c r="Q79" i="15"/>
  <c r="M302" i="14"/>
  <c r="U293" i="15"/>
  <c r="U261" i="15"/>
  <c r="Q306" i="15"/>
  <c r="Q274" i="15"/>
  <c r="M306" i="15"/>
  <c r="M274" i="15"/>
  <c r="U306" i="15"/>
  <c r="U274" i="15"/>
  <c r="V293" i="15"/>
  <c r="J302" i="15"/>
  <c r="J270" i="15"/>
  <c r="R302" i="15"/>
  <c r="R270" i="15"/>
  <c r="S274" i="15"/>
  <c r="N270" i="14"/>
  <c r="V270" i="14"/>
  <c r="G274" i="14"/>
  <c r="E1" i="15"/>
  <c r="G4" i="15"/>
  <c r="K269" i="15"/>
  <c r="K301" i="15"/>
  <c r="N274" i="15"/>
  <c r="N306" i="15"/>
  <c r="V274" i="15"/>
  <c r="AB274" i="15" s="1"/>
  <c r="AB240" i="15"/>
  <c r="G290" i="15"/>
  <c r="G258" i="15"/>
  <c r="G293" i="15"/>
  <c r="G261" i="15"/>
  <c r="S302" i="15"/>
  <c r="S270" i="15"/>
  <c r="AA302" i="15"/>
  <c r="AA270" i="15"/>
  <c r="N307" i="15"/>
  <c r="N275" i="15"/>
  <c r="G47" i="15"/>
  <c r="O47" i="15"/>
  <c r="W47" i="15"/>
  <c r="H66" i="15"/>
  <c r="P66" i="15"/>
  <c r="X66" i="15"/>
  <c r="H80" i="15"/>
  <c r="P80" i="15"/>
  <c r="X80" i="15"/>
  <c r="R307" i="15"/>
  <c r="R275" i="15"/>
  <c r="N293" i="15"/>
  <c r="H47" i="15"/>
  <c r="P47" i="15"/>
  <c r="X47" i="15"/>
  <c r="I66" i="15"/>
  <c r="Q66" i="15"/>
  <c r="Y66" i="15"/>
  <c r="I80" i="15"/>
  <c r="Q80" i="15"/>
  <c r="Y80" i="15"/>
  <c r="Z307" i="15"/>
  <c r="Z275" i="15"/>
  <c r="AA274" i="15"/>
  <c r="S307" i="15"/>
  <c r="I47" i="15"/>
  <c r="Q47" i="15"/>
  <c r="Y47" i="15"/>
  <c r="J66" i="15"/>
  <c r="R66" i="15"/>
  <c r="Z66" i="15"/>
  <c r="J80" i="15"/>
  <c r="R80" i="15"/>
  <c r="K307" i="15"/>
  <c r="K275" i="15"/>
  <c r="AA307" i="15"/>
  <c r="AA275" i="15"/>
  <c r="L306" i="15"/>
  <c r="Q307" i="15"/>
  <c r="Q275" i="15"/>
  <c r="W302" i="15"/>
  <c r="W270" i="15"/>
  <c r="G305" i="15"/>
  <c r="G273" i="15"/>
  <c r="I240" i="15"/>
  <c r="T306" i="15"/>
  <c r="T274" i="15"/>
  <c r="V307" i="15"/>
  <c r="AB307" i="15" s="1"/>
  <c r="V275" i="15"/>
  <c r="AB275" i="15" s="1"/>
  <c r="Y261" i="15"/>
  <c r="H270" i="15"/>
  <c r="J240" i="15"/>
  <c r="L307" i="15"/>
  <c r="L275" i="15"/>
  <c r="Z261" i="15"/>
  <c r="I270" i="15"/>
  <c r="X270" i="15"/>
  <c r="K240" i="15"/>
  <c r="Y240" i="15"/>
  <c r="M307" i="15"/>
  <c r="M275" i="15"/>
  <c r="AA261" i="15"/>
  <c r="G303" i="15"/>
  <c r="G271" i="15"/>
  <c r="G307" i="15"/>
  <c r="G275" i="15"/>
  <c r="L270" i="15"/>
  <c r="T270" i="15"/>
  <c r="U302" i="15"/>
  <c r="V270" i="15"/>
  <c r="G4" i="13"/>
  <c r="G4" i="12"/>
  <c r="R269" i="11"/>
  <c r="R301" i="11"/>
  <c r="J269" i="11"/>
  <c r="J301" i="11"/>
  <c r="V301" i="12"/>
  <c r="V269" i="12"/>
  <c r="T301" i="11"/>
  <c r="T269" i="11"/>
  <c r="H269" i="11"/>
  <c r="H301" i="11"/>
  <c r="I269" i="11"/>
  <c r="I301" i="11"/>
  <c r="U269" i="13"/>
  <c r="U301" i="13"/>
  <c r="R307" i="11"/>
  <c r="R275" i="11"/>
  <c r="Q269" i="11"/>
  <c r="Q301" i="11"/>
  <c r="G301" i="12"/>
  <c r="G269" i="12"/>
  <c r="R269" i="12"/>
  <c r="R301" i="12"/>
  <c r="Z269" i="12"/>
  <c r="Z301" i="12"/>
  <c r="R307" i="12"/>
  <c r="R275" i="12"/>
  <c r="R293" i="11"/>
  <c r="R261" i="11"/>
  <c r="S269" i="11"/>
  <c r="S301" i="11"/>
  <c r="L301" i="12"/>
  <c r="L269" i="12"/>
  <c r="R227" i="12"/>
  <c r="R240" i="12"/>
  <c r="J307" i="12"/>
  <c r="J275" i="12"/>
  <c r="G302" i="13"/>
  <c r="G270" i="13"/>
  <c r="W270" i="13"/>
  <c r="W302" i="13"/>
  <c r="I306" i="11"/>
  <c r="I274" i="11"/>
  <c r="Z275" i="11"/>
  <c r="Z307" i="11"/>
  <c r="T79" i="12"/>
  <c r="L79" i="12"/>
  <c r="T65" i="12"/>
  <c r="L65" i="12"/>
  <c r="AA46" i="12"/>
  <c r="S46" i="12"/>
  <c r="K46" i="12"/>
  <c r="W79" i="12"/>
  <c r="N79" i="12"/>
  <c r="S65" i="12"/>
  <c r="J65" i="12"/>
  <c r="X46" i="12"/>
  <c r="O46" i="12"/>
  <c r="V79" i="12"/>
  <c r="M79" i="12"/>
  <c r="AA65" i="12"/>
  <c r="R65" i="12"/>
  <c r="I65" i="12"/>
  <c r="W46" i="12"/>
  <c r="N46" i="12"/>
  <c r="AA79" i="12"/>
  <c r="P79" i="12"/>
  <c r="Q65" i="12"/>
  <c r="U46" i="12"/>
  <c r="I46" i="12"/>
  <c r="R46" i="12"/>
  <c r="G46" i="12"/>
  <c r="J79" i="12"/>
  <c r="Y65" i="12"/>
  <c r="N65" i="12"/>
  <c r="Z79" i="12"/>
  <c r="O79" i="12"/>
  <c r="P65" i="12"/>
  <c r="T46" i="12"/>
  <c r="H46" i="12"/>
  <c r="Y79" i="12"/>
  <c r="K79" i="12"/>
  <c r="Z65" i="12"/>
  <c r="O65" i="12"/>
  <c r="X79" i="12"/>
  <c r="Q46" i="12"/>
  <c r="H65" i="12"/>
  <c r="U79" i="12"/>
  <c r="O301" i="12"/>
  <c r="O269" i="12"/>
  <c r="K240" i="12"/>
  <c r="K227" i="12"/>
  <c r="S307" i="12"/>
  <c r="S275" i="12"/>
  <c r="S227" i="12"/>
  <c r="Z240" i="12"/>
  <c r="X261" i="13"/>
  <c r="X293" i="13"/>
  <c r="J307" i="11"/>
  <c r="J275" i="11"/>
  <c r="G301" i="11"/>
  <c r="G269" i="11"/>
  <c r="P275" i="11"/>
  <c r="P307" i="11"/>
  <c r="J46" i="12"/>
  <c r="N269" i="12"/>
  <c r="N301" i="12"/>
  <c r="L261" i="12"/>
  <c r="L293" i="12"/>
  <c r="T240" i="12"/>
  <c r="T227" i="12"/>
  <c r="L275" i="12"/>
  <c r="L307" i="12"/>
  <c r="L302" i="12"/>
  <c r="L270" i="12"/>
  <c r="G303" i="12"/>
  <c r="G271" i="12"/>
  <c r="AA240" i="12"/>
  <c r="I301" i="13"/>
  <c r="I269" i="13"/>
  <c r="V269" i="11"/>
  <c r="V301" i="11"/>
  <c r="S293" i="11"/>
  <c r="S261" i="11"/>
  <c r="H293" i="11"/>
  <c r="H261" i="11"/>
  <c r="O270" i="11"/>
  <c r="O302" i="11"/>
  <c r="V302" i="11"/>
  <c r="L46" i="12"/>
  <c r="M65" i="12"/>
  <c r="X269" i="12"/>
  <c r="X301" i="12"/>
  <c r="I306" i="12"/>
  <c r="I274" i="12"/>
  <c r="AA261" i="12"/>
  <c r="T80" i="13"/>
  <c r="L80" i="13"/>
  <c r="T66" i="13"/>
  <c r="L66" i="13"/>
  <c r="AA47" i="13"/>
  <c r="S47" i="13"/>
  <c r="K47" i="13"/>
  <c r="U80" i="13"/>
  <c r="K80" i="13"/>
  <c r="Z66" i="13"/>
  <c r="Q66" i="13"/>
  <c r="H66" i="13"/>
  <c r="U47" i="13"/>
  <c r="L47" i="13"/>
  <c r="AA80" i="13"/>
  <c r="Q80" i="13"/>
  <c r="G80" i="13"/>
  <c r="V66" i="13"/>
  <c r="K66" i="13"/>
  <c r="X47" i="13"/>
  <c r="N47" i="13"/>
  <c r="Z80" i="13"/>
  <c r="P80" i="13"/>
  <c r="U66" i="13"/>
  <c r="J66" i="13"/>
  <c r="W47" i="13"/>
  <c r="M47" i="13"/>
  <c r="Y80" i="13"/>
  <c r="M80" i="13"/>
  <c r="R66" i="13"/>
  <c r="T47" i="13"/>
  <c r="G47" i="13"/>
  <c r="X80" i="13"/>
  <c r="J80" i="13"/>
  <c r="P66" i="13"/>
  <c r="R47" i="13"/>
  <c r="N80" i="13"/>
  <c r="O66" i="13"/>
  <c r="V47" i="13"/>
  <c r="I80" i="13"/>
  <c r="N66" i="13"/>
  <c r="Q47" i="13"/>
  <c r="W80" i="13"/>
  <c r="AA66" i="13"/>
  <c r="O47" i="13"/>
  <c r="S80" i="13"/>
  <c r="X66" i="13"/>
  <c r="W66" i="13"/>
  <c r="H47" i="13"/>
  <c r="V80" i="13"/>
  <c r="Y66" i="13"/>
  <c r="J47" i="13"/>
  <c r="I47" i="13"/>
  <c r="R80" i="13"/>
  <c r="M301" i="13"/>
  <c r="M269" i="13"/>
  <c r="T261" i="11"/>
  <c r="T293" i="11"/>
  <c r="G302" i="11"/>
  <c r="G306" i="11"/>
  <c r="O80" i="13"/>
  <c r="T293" i="13"/>
  <c r="T261" i="13"/>
  <c r="S306" i="13"/>
  <c r="E31" i="11"/>
  <c r="K47" i="11"/>
  <c r="AA47" i="11"/>
  <c r="J66" i="11"/>
  <c r="U80" i="11"/>
  <c r="K301" i="11"/>
  <c r="K269" i="11"/>
  <c r="U307" i="11"/>
  <c r="U275" i="11"/>
  <c r="L269" i="11"/>
  <c r="E31" i="12"/>
  <c r="I84" i="12"/>
  <c r="I235" i="12" s="1"/>
  <c r="Y84" i="12"/>
  <c r="Y235" i="12" s="1"/>
  <c r="V65" i="12"/>
  <c r="O307" i="12"/>
  <c r="O275" i="12"/>
  <c r="Q301" i="13"/>
  <c r="Q269" i="13"/>
  <c r="S269" i="13"/>
  <c r="S301" i="13"/>
  <c r="V307" i="13"/>
  <c r="AB307" i="13" s="1"/>
  <c r="AB241" i="13"/>
  <c r="V275" i="13"/>
  <c r="AB275" i="13" s="1"/>
  <c r="L47" i="11"/>
  <c r="K66" i="11"/>
  <c r="AA66" i="11"/>
  <c r="J80" i="11"/>
  <c r="N275" i="11"/>
  <c r="N307" i="11"/>
  <c r="Y261" i="11"/>
  <c r="M269" i="11"/>
  <c r="N270" i="11"/>
  <c r="P274" i="11"/>
  <c r="N301" i="11"/>
  <c r="V46" i="12"/>
  <c r="T64" i="12"/>
  <c r="W65" i="12"/>
  <c r="Q79" i="12"/>
  <c r="G257" i="12"/>
  <c r="G289" i="12"/>
  <c r="N261" i="12"/>
  <c r="N293" i="12"/>
  <c r="M301" i="12"/>
  <c r="J301" i="13"/>
  <c r="J269" i="13"/>
  <c r="Z301" i="13"/>
  <c r="Z269" i="13"/>
  <c r="L261" i="13"/>
  <c r="L293" i="13"/>
  <c r="S306" i="11"/>
  <c r="S274" i="11"/>
  <c r="T301" i="12"/>
  <c r="T269" i="12"/>
  <c r="H269" i="12"/>
  <c r="H301" i="12"/>
  <c r="J227" i="12"/>
  <c r="J240" i="12"/>
  <c r="Z293" i="12"/>
  <c r="Z261" i="12"/>
  <c r="Z275" i="12"/>
  <c r="Z307" i="12"/>
  <c r="P293" i="12"/>
  <c r="P261" i="12"/>
  <c r="V293" i="13"/>
  <c r="T306" i="11"/>
  <c r="U301" i="12"/>
  <c r="U269" i="12"/>
  <c r="K275" i="12"/>
  <c r="K307" i="12"/>
  <c r="AA307" i="12"/>
  <c r="AA275" i="12"/>
  <c r="S269" i="12"/>
  <c r="S301" i="12"/>
  <c r="S306" i="12"/>
  <c r="U301" i="11"/>
  <c r="U269" i="11"/>
  <c r="X269" i="11"/>
  <c r="X301" i="11"/>
  <c r="J240" i="11"/>
  <c r="J227" i="11"/>
  <c r="G290" i="11"/>
  <c r="G258" i="11"/>
  <c r="G238" i="11"/>
  <c r="G293" i="11"/>
  <c r="G261" i="11"/>
  <c r="K65" i="12"/>
  <c r="P301" i="12"/>
  <c r="P269" i="12"/>
  <c r="T307" i="12"/>
  <c r="T275" i="12"/>
  <c r="Y275" i="12"/>
  <c r="Y307" i="12"/>
  <c r="Z227" i="11"/>
  <c r="W302" i="11"/>
  <c r="W270" i="11"/>
  <c r="I275" i="11"/>
  <c r="AA301" i="11"/>
  <c r="G79" i="12"/>
  <c r="Z47" i="13"/>
  <c r="M66" i="13"/>
  <c r="H80" i="13"/>
  <c r="M46" i="12"/>
  <c r="U65" i="12"/>
  <c r="K301" i="12"/>
  <c r="K269" i="12"/>
  <c r="H79" i="12"/>
  <c r="L240" i="12"/>
  <c r="S66" i="13"/>
  <c r="N269" i="13"/>
  <c r="N301" i="13"/>
  <c r="Y80" i="11"/>
  <c r="Q80" i="11"/>
  <c r="I80" i="11"/>
  <c r="Y66" i="11"/>
  <c r="Q66" i="11"/>
  <c r="I66" i="11"/>
  <c r="X47" i="11"/>
  <c r="P47" i="11"/>
  <c r="H47" i="11"/>
  <c r="W80" i="11"/>
  <c r="G80" i="11"/>
  <c r="W66" i="11"/>
  <c r="G66" i="11"/>
  <c r="N47" i="11"/>
  <c r="V80" i="11"/>
  <c r="V66" i="11"/>
  <c r="X80" i="11"/>
  <c r="P80" i="11"/>
  <c r="H80" i="11"/>
  <c r="X66" i="11"/>
  <c r="P66" i="11"/>
  <c r="H66" i="11"/>
  <c r="W47" i="11"/>
  <c r="O47" i="11"/>
  <c r="G47" i="11"/>
  <c r="O80" i="11"/>
  <c r="O66" i="11"/>
  <c r="V47" i="11"/>
  <c r="N80" i="11"/>
  <c r="N66" i="11"/>
  <c r="U47" i="11"/>
  <c r="M47" i="11"/>
  <c r="Z66" i="11"/>
  <c r="G289" i="11"/>
  <c r="P46" i="12"/>
  <c r="I79" i="12"/>
  <c r="O274" i="12"/>
  <c r="O306" i="12"/>
  <c r="Y306" i="13"/>
  <c r="Y274" i="13"/>
  <c r="G4" i="11"/>
  <c r="Q47" i="11"/>
  <c r="L66" i="11"/>
  <c r="K80" i="11"/>
  <c r="AA80" i="11"/>
  <c r="W227" i="11"/>
  <c r="W240" i="11"/>
  <c r="Q293" i="11"/>
  <c r="Q261" i="11"/>
  <c r="Q274" i="11"/>
  <c r="P301" i="11"/>
  <c r="Z78" i="12"/>
  <c r="R78" i="12"/>
  <c r="J78" i="12"/>
  <c r="Z64" i="12"/>
  <c r="R64" i="12"/>
  <c r="J64" i="12"/>
  <c r="AA78" i="12"/>
  <c r="Q78" i="12"/>
  <c r="H78" i="12"/>
  <c r="W64" i="12"/>
  <c r="N64" i="12"/>
  <c r="Y78" i="12"/>
  <c r="P78" i="12"/>
  <c r="G78" i="12"/>
  <c r="V64" i="12"/>
  <c r="M64" i="12"/>
  <c r="X78" i="12"/>
  <c r="M78" i="12"/>
  <c r="P64" i="12"/>
  <c r="V78" i="12"/>
  <c r="L64" i="12"/>
  <c r="I78" i="12"/>
  <c r="K64" i="12"/>
  <c r="W78" i="12"/>
  <c r="L78" i="12"/>
  <c r="AA64" i="12"/>
  <c r="O64" i="12"/>
  <c r="K78" i="12"/>
  <c r="Y64" i="12"/>
  <c r="U78" i="12"/>
  <c r="X64" i="12"/>
  <c r="Y46" i="12"/>
  <c r="U64" i="12"/>
  <c r="X65" i="12"/>
  <c r="O78" i="12"/>
  <c r="R79" i="12"/>
  <c r="O261" i="12"/>
  <c r="O293" i="12"/>
  <c r="G304" i="12"/>
  <c r="G272" i="12"/>
  <c r="Q275" i="12"/>
  <c r="Q307" i="12"/>
  <c r="T270" i="12"/>
  <c r="K269" i="13"/>
  <c r="K301" i="13"/>
  <c r="O240" i="13"/>
  <c r="O227" i="13"/>
  <c r="W240" i="13"/>
  <c r="W227" i="13"/>
  <c r="O307" i="13"/>
  <c r="O275" i="13"/>
  <c r="W307" i="13"/>
  <c r="W275" i="13"/>
  <c r="M261" i="13"/>
  <c r="M293" i="13"/>
  <c r="O270" i="13"/>
  <c r="J64" i="11"/>
  <c r="R64" i="11"/>
  <c r="Z64" i="11"/>
  <c r="J78" i="11"/>
  <c r="Z78" i="11"/>
  <c r="J64" i="13"/>
  <c r="Y301" i="13"/>
  <c r="Y269" i="13"/>
  <c r="H227" i="13"/>
  <c r="H240" i="13"/>
  <c r="X274" i="13"/>
  <c r="X306" i="13"/>
  <c r="X307" i="13"/>
  <c r="X275" i="13"/>
  <c r="Q270" i="13"/>
  <c r="Q302" i="13"/>
  <c r="Y270" i="13"/>
  <c r="Y302" i="13"/>
  <c r="S64" i="11"/>
  <c r="K78" i="11"/>
  <c r="AA78" i="11"/>
  <c r="S270" i="11"/>
  <c r="S302" i="11"/>
  <c r="J270" i="11"/>
  <c r="V274" i="11"/>
  <c r="AB274" i="11" s="1"/>
  <c r="G258" i="13"/>
  <c r="G290" i="13"/>
  <c r="G238" i="13"/>
  <c r="G16" i="11"/>
  <c r="M46" i="11"/>
  <c r="U46" i="11"/>
  <c r="L64" i="11"/>
  <c r="T64" i="11"/>
  <c r="N65" i="11"/>
  <c r="V65" i="11"/>
  <c r="L78" i="11"/>
  <c r="T78" i="11"/>
  <c r="N79" i="11"/>
  <c r="V79" i="11"/>
  <c r="N240" i="11"/>
  <c r="W240" i="12"/>
  <c r="W227" i="12"/>
  <c r="Y293" i="12"/>
  <c r="Y261" i="12"/>
  <c r="G305" i="12"/>
  <c r="G273" i="12"/>
  <c r="N270" i="12"/>
  <c r="R78" i="11"/>
  <c r="V275" i="11"/>
  <c r="AB275" i="11" s="1"/>
  <c r="AB241" i="11"/>
  <c r="X78" i="13"/>
  <c r="P78" i="13"/>
  <c r="H78" i="13"/>
  <c r="X64" i="13"/>
  <c r="P64" i="13"/>
  <c r="H64" i="13"/>
  <c r="S78" i="13"/>
  <c r="J78" i="13"/>
  <c r="Y64" i="13"/>
  <c r="O64" i="13"/>
  <c r="T78" i="13"/>
  <c r="I78" i="13"/>
  <c r="W64" i="13"/>
  <c r="M64" i="13"/>
  <c r="R78" i="13"/>
  <c r="G78" i="13"/>
  <c r="V64" i="13"/>
  <c r="L64" i="13"/>
  <c r="O78" i="13"/>
  <c r="T64" i="13"/>
  <c r="G64" i="13"/>
  <c r="AA78" i="13"/>
  <c r="N78" i="13"/>
  <c r="S64" i="13"/>
  <c r="Z78" i="13"/>
  <c r="K78" i="13"/>
  <c r="N64" i="13"/>
  <c r="Y78" i="13"/>
  <c r="K64" i="13"/>
  <c r="W78" i="13"/>
  <c r="T301" i="13"/>
  <c r="T269" i="13"/>
  <c r="P227" i="13"/>
  <c r="P240" i="13"/>
  <c r="H307" i="13"/>
  <c r="H275" i="13"/>
  <c r="P307" i="13"/>
  <c r="P275" i="13"/>
  <c r="I302" i="13"/>
  <c r="I270" i="13"/>
  <c r="K64" i="11"/>
  <c r="AA64" i="11"/>
  <c r="S78" i="11"/>
  <c r="AA270" i="11"/>
  <c r="AA302" i="11"/>
  <c r="Q64" i="13"/>
  <c r="N46" i="11"/>
  <c r="V46" i="11"/>
  <c r="M64" i="11"/>
  <c r="U64" i="11"/>
  <c r="G65" i="11"/>
  <c r="O65" i="11"/>
  <c r="W65" i="11"/>
  <c r="M78" i="11"/>
  <c r="G79" i="11"/>
  <c r="O79" i="11"/>
  <c r="I261" i="11"/>
  <c r="Z270" i="11"/>
  <c r="M274" i="11"/>
  <c r="M275" i="11"/>
  <c r="AA275" i="11"/>
  <c r="U274" i="12"/>
  <c r="P301" i="13"/>
  <c r="P269" i="13"/>
  <c r="U64" i="13"/>
  <c r="L78" i="13"/>
  <c r="H301" i="13"/>
  <c r="H269" i="13"/>
  <c r="K227" i="13"/>
  <c r="K240" i="13"/>
  <c r="AA227" i="13"/>
  <c r="AA240" i="13"/>
  <c r="K275" i="13"/>
  <c r="K307" i="13"/>
  <c r="S275" i="13"/>
  <c r="S307" i="13"/>
  <c r="AA275" i="13"/>
  <c r="AA307" i="13"/>
  <c r="S261" i="13"/>
  <c r="J47" i="12"/>
  <c r="S47" i="12"/>
  <c r="O66" i="12"/>
  <c r="X66" i="12"/>
  <c r="I80" i="12"/>
  <c r="R80" i="12"/>
  <c r="G270" i="12"/>
  <c r="G302" i="12"/>
  <c r="H270" i="12"/>
  <c r="Q293" i="12"/>
  <c r="V80" i="12"/>
  <c r="N80" i="12"/>
  <c r="V66" i="12"/>
  <c r="N66" i="12"/>
  <c r="U47" i="12"/>
  <c r="M47" i="12"/>
  <c r="K47" i="12"/>
  <c r="T47" i="12"/>
  <c r="G66" i="12"/>
  <c r="P66" i="12"/>
  <c r="Y66" i="12"/>
  <c r="J80" i="12"/>
  <c r="S80" i="12"/>
  <c r="G261" i="12"/>
  <c r="G293" i="12"/>
  <c r="Q240" i="12"/>
  <c r="G307" i="12"/>
  <c r="G275" i="12"/>
  <c r="V307" i="12"/>
  <c r="AB307" i="12" s="1"/>
  <c r="O301" i="13"/>
  <c r="O269" i="13"/>
  <c r="N240" i="13"/>
  <c r="N227" i="13"/>
  <c r="V306" i="13"/>
  <c r="AB306" i="13" s="1"/>
  <c r="V274" i="13"/>
  <c r="AB274" i="13" s="1"/>
  <c r="AB240" i="13"/>
  <c r="Q270" i="12"/>
  <c r="G16" i="13"/>
  <c r="AA84" i="13"/>
  <c r="AA235" i="13" s="1"/>
  <c r="K302" i="13"/>
  <c r="K270" i="13"/>
  <c r="S302" i="13"/>
  <c r="S270" i="13"/>
  <c r="N274" i="12"/>
  <c r="N306" i="12"/>
  <c r="V274" i="12"/>
  <c r="AB274" i="12" s="1"/>
  <c r="V306" i="12"/>
  <c r="AB306" i="12" s="1"/>
  <c r="U227" i="12"/>
  <c r="R270" i="12"/>
  <c r="Z79" i="13"/>
  <c r="R79" i="13"/>
  <c r="J79" i="13"/>
  <c r="Z65" i="13"/>
  <c r="R65" i="13"/>
  <c r="J65" i="13"/>
  <c r="Y46" i="13"/>
  <c r="Q46" i="13"/>
  <c r="I46" i="13"/>
  <c r="X79" i="13"/>
  <c r="O79" i="13"/>
  <c r="U65" i="13"/>
  <c r="L65" i="13"/>
  <c r="X46" i="13"/>
  <c r="O46" i="13"/>
  <c r="M46" i="13"/>
  <c r="W46" i="13"/>
  <c r="X84" i="13"/>
  <c r="X235" i="13" s="1"/>
  <c r="K65" i="13"/>
  <c r="V65" i="13"/>
  <c r="G79" i="13"/>
  <c r="Q79" i="13"/>
  <c r="Q227" i="13"/>
  <c r="Q240" i="13"/>
  <c r="Q275" i="13"/>
  <c r="Q307" i="13"/>
  <c r="T274" i="13"/>
  <c r="N46" i="13"/>
  <c r="Z46" i="13"/>
  <c r="M65" i="13"/>
  <c r="W65" i="13"/>
  <c r="H79" i="13"/>
  <c r="S79" i="13"/>
  <c r="M306" i="13"/>
  <c r="M274" i="13"/>
  <c r="U240" i="13"/>
  <c r="U227" i="13"/>
  <c r="Z240" i="13"/>
  <c r="L270" i="13"/>
  <c r="T270" i="13"/>
  <c r="G271" i="13"/>
  <c r="G275" i="13"/>
  <c r="M270" i="13"/>
  <c r="U270" i="13"/>
  <c r="Q301" i="12" l="1"/>
  <c r="O261" i="11"/>
  <c r="U306" i="11"/>
  <c r="H306" i="11"/>
  <c r="P274" i="12"/>
  <c r="P306" i="12"/>
  <c r="W293" i="14"/>
  <c r="J301" i="12"/>
  <c r="R269" i="13"/>
  <c r="M261" i="15"/>
  <c r="M293" i="15"/>
  <c r="I306" i="13"/>
  <c r="I274" i="13"/>
  <c r="J306" i="13"/>
  <c r="J274" i="13"/>
  <c r="M293" i="14"/>
  <c r="M261" i="14"/>
  <c r="AA301" i="12"/>
  <c r="P261" i="14"/>
  <c r="P293" i="14"/>
  <c r="AA293" i="11"/>
  <c r="AA261" i="11"/>
  <c r="T293" i="15"/>
  <c r="T261" i="15"/>
  <c r="R274" i="15"/>
  <c r="R306" i="15"/>
  <c r="R274" i="13"/>
  <c r="R306" i="13"/>
  <c r="V293" i="12"/>
  <c r="V261" i="12"/>
  <c r="H306" i="12"/>
  <c r="H274" i="12"/>
  <c r="P293" i="11"/>
  <c r="P261" i="11"/>
  <c r="L306" i="11"/>
  <c r="K274" i="11"/>
  <c r="P274" i="15"/>
  <c r="R306" i="14"/>
  <c r="R274" i="14"/>
  <c r="Z274" i="15"/>
  <c r="Z306" i="15"/>
  <c r="X274" i="11"/>
  <c r="X306" i="11"/>
  <c r="T274" i="14"/>
  <c r="T306" i="14"/>
  <c r="J82" i="11"/>
  <c r="I68" i="12"/>
  <c r="M68" i="12"/>
  <c r="G68" i="12"/>
  <c r="I82" i="11"/>
  <c r="AA82" i="11"/>
  <c r="J68" i="12"/>
  <c r="T82" i="11"/>
  <c r="L68" i="11"/>
  <c r="W68" i="12"/>
  <c r="H68" i="12"/>
  <c r="S68" i="12"/>
  <c r="Z68" i="12"/>
  <c r="L68" i="12"/>
  <c r="I274" i="14"/>
  <c r="I306" i="14"/>
  <c r="S293" i="14"/>
  <c r="S261" i="14"/>
  <c r="Y301" i="15"/>
  <c r="Y269" i="15"/>
  <c r="Q301" i="15"/>
  <c r="Q269" i="15"/>
  <c r="J306" i="15"/>
  <c r="J274" i="15"/>
  <c r="X301" i="15"/>
  <c r="X269" i="15"/>
  <c r="V68" i="14"/>
  <c r="N68" i="14"/>
  <c r="U68" i="14"/>
  <c r="M68" i="14"/>
  <c r="S68" i="14"/>
  <c r="T68" i="14"/>
  <c r="L68" i="14"/>
  <c r="AA68" i="14"/>
  <c r="K68" i="14"/>
  <c r="Z68" i="14"/>
  <c r="J68" i="14"/>
  <c r="G68" i="14"/>
  <c r="Q68" i="14"/>
  <c r="Y68" i="14"/>
  <c r="I68" i="14"/>
  <c r="W68" i="14"/>
  <c r="R68" i="14"/>
  <c r="P68" i="14"/>
  <c r="X68" i="14"/>
  <c r="H68" i="14"/>
  <c r="O68" i="14"/>
  <c r="V82" i="14"/>
  <c r="N82" i="14"/>
  <c r="U82" i="14"/>
  <c r="M82" i="14"/>
  <c r="S82" i="14"/>
  <c r="T82" i="14"/>
  <c r="L82" i="14"/>
  <c r="AA82" i="14"/>
  <c r="K82" i="14"/>
  <c r="Y82" i="14"/>
  <c r="I82" i="14"/>
  <c r="Q82" i="14"/>
  <c r="O82" i="14"/>
  <c r="X82" i="14"/>
  <c r="H82" i="14"/>
  <c r="R82" i="14"/>
  <c r="W82" i="14"/>
  <c r="G82" i="14"/>
  <c r="P82" i="14"/>
  <c r="Z82" i="14"/>
  <c r="J82" i="14"/>
  <c r="S306" i="14"/>
  <c r="S274" i="14"/>
  <c r="W306" i="15"/>
  <c r="W274" i="15"/>
  <c r="O261" i="15"/>
  <c r="O293" i="15"/>
  <c r="I306" i="15"/>
  <c r="I274" i="15"/>
  <c r="I301" i="15"/>
  <c r="I269" i="15"/>
  <c r="O306" i="15"/>
  <c r="O274" i="15"/>
  <c r="U68" i="15"/>
  <c r="M68" i="15"/>
  <c r="T68" i="15"/>
  <c r="L68" i="15"/>
  <c r="AA68" i="15"/>
  <c r="S68" i="15"/>
  <c r="K68" i="15"/>
  <c r="R68" i="15"/>
  <c r="G68" i="15"/>
  <c r="Q68" i="15"/>
  <c r="P68" i="15"/>
  <c r="X68" i="15"/>
  <c r="W68" i="15"/>
  <c r="V68" i="15"/>
  <c r="O68" i="15"/>
  <c r="N68" i="15"/>
  <c r="Z68" i="15"/>
  <c r="Y68" i="15"/>
  <c r="J68" i="15"/>
  <c r="I68" i="15"/>
  <c r="H68" i="15"/>
  <c r="Y306" i="15"/>
  <c r="Y274" i="15"/>
  <c r="P301" i="15"/>
  <c r="P269" i="15"/>
  <c r="G304" i="14"/>
  <c r="G272" i="14"/>
  <c r="U82" i="15"/>
  <c r="M82" i="15"/>
  <c r="T82" i="15"/>
  <c r="L82" i="15"/>
  <c r="AA82" i="15"/>
  <c r="S82" i="15"/>
  <c r="K82" i="15"/>
  <c r="R82" i="15"/>
  <c r="G82" i="15"/>
  <c r="Q82" i="15"/>
  <c r="P82" i="15"/>
  <c r="W82" i="15"/>
  <c r="V82" i="15"/>
  <c r="O82" i="15"/>
  <c r="N82" i="15"/>
  <c r="I82" i="15"/>
  <c r="Z82" i="15"/>
  <c r="H82" i="15"/>
  <c r="Y82" i="15"/>
  <c r="X82" i="15"/>
  <c r="J82" i="15"/>
  <c r="W261" i="15"/>
  <c r="W293" i="15"/>
  <c r="H293" i="15"/>
  <c r="H261" i="15"/>
  <c r="O293" i="14"/>
  <c r="O261" i="14"/>
  <c r="K274" i="14"/>
  <c r="K306" i="14"/>
  <c r="X191" i="15"/>
  <c r="W191" i="15"/>
  <c r="V191" i="15"/>
  <c r="T191" i="15"/>
  <c r="S191" i="15"/>
  <c r="C183" i="15"/>
  <c r="R191" i="15"/>
  <c r="D132" i="15"/>
  <c r="D153" i="15"/>
  <c r="Y191" i="15"/>
  <c r="U191" i="15"/>
  <c r="C87" i="15"/>
  <c r="Q191" i="15"/>
  <c r="Z191" i="15"/>
  <c r="D111" i="15"/>
  <c r="D90" i="15"/>
  <c r="AA191" i="15"/>
  <c r="J274" i="14"/>
  <c r="J306" i="14"/>
  <c r="K306" i="15"/>
  <c r="K274" i="15"/>
  <c r="H301" i="15"/>
  <c r="H269" i="15"/>
  <c r="X191" i="14"/>
  <c r="W191" i="14"/>
  <c r="V191" i="14"/>
  <c r="S191" i="14"/>
  <c r="C87" i="14"/>
  <c r="R191" i="14"/>
  <c r="AA191" i="14"/>
  <c r="Q191" i="14"/>
  <c r="C183" i="14"/>
  <c r="D111" i="14"/>
  <c r="D132" i="14"/>
  <c r="D90" i="14"/>
  <c r="D153" i="14"/>
  <c r="U191" i="14"/>
  <c r="Z191" i="14"/>
  <c r="Y191" i="14"/>
  <c r="T191" i="14"/>
  <c r="V191" i="13"/>
  <c r="R191" i="13"/>
  <c r="Y191" i="13"/>
  <c r="W191" i="13"/>
  <c r="U191" i="13"/>
  <c r="D153" i="13"/>
  <c r="D111" i="13"/>
  <c r="C87" i="13"/>
  <c r="X191" i="13"/>
  <c r="T191" i="13"/>
  <c r="D132" i="13"/>
  <c r="Z191" i="13"/>
  <c r="D90" i="13"/>
  <c r="AA191" i="13"/>
  <c r="S191" i="13"/>
  <c r="C183" i="13"/>
  <c r="Q191" i="13"/>
  <c r="Y191" i="12"/>
  <c r="Q191" i="12"/>
  <c r="X191" i="12"/>
  <c r="C87" i="12"/>
  <c r="W191" i="12"/>
  <c r="D132" i="12"/>
  <c r="V191" i="12"/>
  <c r="U191" i="12"/>
  <c r="T191" i="12"/>
  <c r="D111" i="12"/>
  <c r="AA191" i="12"/>
  <c r="S191" i="12"/>
  <c r="C183" i="12"/>
  <c r="D153" i="12"/>
  <c r="Z191" i="12"/>
  <c r="R191" i="12"/>
  <c r="D90" i="12"/>
  <c r="W261" i="11"/>
  <c r="W293" i="11"/>
  <c r="K274" i="12"/>
  <c r="K306" i="12"/>
  <c r="W274" i="13"/>
  <c r="W306" i="13"/>
  <c r="G304" i="11"/>
  <c r="G272" i="11"/>
  <c r="U82" i="11"/>
  <c r="O68" i="11"/>
  <c r="P261" i="13"/>
  <c r="P293" i="13"/>
  <c r="G272" i="13"/>
  <c r="G304" i="13"/>
  <c r="K82" i="11"/>
  <c r="H68" i="11"/>
  <c r="AA68" i="12"/>
  <c r="S82" i="11"/>
  <c r="AA68" i="11"/>
  <c r="Z274" i="12"/>
  <c r="Z306" i="12"/>
  <c r="Q68" i="12"/>
  <c r="X301" i="13"/>
  <c r="X269" i="13"/>
  <c r="J293" i="11"/>
  <c r="J261" i="11"/>
  <c r="Q68" i="11"/>
  <c r="K68" i="12"/>
  <c r="AA274" i="12"/>
  <c r="AA306" i="12"/>
  <c r="Z68" i="11"/>
  <c r="U261" i="12"/>
  <c r="U293" i="12"/>
  <c r="P82" i="11"/>
  <c r="L306" i="12"/>
  <c r="L274" i="12"/>
  <c r="Z82" i="11"/>
  <c r="V68" i="12"/>
  <c r="W82" i="13"/>
  <c r="O82" i="13"/>
  <c r="G82" i="13"/>
  <c r="AA82" i="13"/>
  <c r="R82" i="13"/>
  <c r="I82" i="13"/>
  <c r="Q82" i="13"/>
  <c r="Z82" i="13"/>
  <c r="P82" i="13"/>
  <c r="T82" i="13"/>
  <c r="S82" i="13"/>
  <c r="K82" i="13"/>
  <c r="Y82" i="13"/>
  <c r="J82" i="13"/>
  <c r="V82" i="13"/>
  <c r="U82" i="13"/>
  <c r="X82" i="13"/>
  <c r="M82" i="13"/>
  <c r="H82" i="13"/>
  <c r="N82" i="13"/>
  <c r="L82" i="13"/>
  <c r="O261" i="13"/>
  <c r="O293" i="13"/>
  <c r="Z293" i="11"/>
  <c r="Z261" i="11"/>
  <c r="N68" i="12"/>
  <c r="R293" i="12"/>
  <c r="R261" i="12"/>
  <c r="O274" i="13"/>
  <c r="O306" i="13"/>
  <c r="V82" i="11"/>
  <c r="V68" i="11"/>
  <c r="O82" i="11"/>
  <c r="W261" i="12"/>
  <c r="W293" i="12"/>
  <c r="Y82" i="12"/>
  <c r="Q82" i="12"/>
  <c r="I82" i="12"/>
  <c r="Z82" i="12"/>
  <c r="P82" i="12"/>
  <c r="G82" i="12"/>
  <c r="G85" i="12" s="1"/>
  <c r="X82" i="12"/>
  <c r="O82" i="12"/>
  <c r="U82" i="12"/>
  <c r="J82" i="12"/>
  <c r="S82" i="12"/>
  <c r="R82" i="12"/>
  <c r="T82" i="12"/>
  <c r="H82" i="12"/>
  <c r="W82" i="12"/>
  <c r="V82" i="12"/>
  <c r="N82" i="12"/>
  <c r="M82" i="12"/>
  <c r="AA82" i="12"/>
  <c r="L82" i="12"/>
  <c r="K82" i="12"/>
  <c r="J274" i="12"/>
  <c r="J306" i="12"/>
  <c r="P68" i="11"/>
  <c r="N68" i="11"/>
  <c r="S293" i="12"/>
  <c r="S261" i="12"/>
  <c r="Y68" i="12"/>
  <c r="AA293" i="13"/>
  <c r="AA261" i="13"/>
  <c r="X82" i="11"/>
  <c r="M82" i="11"/>
  <c r="W82" i="11"/>
  <c r="J274" i="11"/>
  <c r="J306" i="11"/>
  <c r="J293" i="12"/>
  <c r="J261" i="12"/>
  <c r="Q82" i="11"/>
  <c r="I68" i="11"/>
  <c r="X68" i="12"/>
  <c r="U261" i="13"/>
  <c r="U293" i="13"/>
  <c r="Q274" i="13"/>
  <c r="Q306" i="13"/>
  <c r="N306" i="13"/>
  <c r="N274" i="13"/>
  <c r="Q306" i="12"/>
  <c r="Q274" i="12"/>
  <c r="K274" i="13"/>
  <c r="K306" i="13"/>
  <c r="Y301" i="12"/>
  <c r="Y269" i="12"/>
  <c r="R82" i="11"/>
  <c r="Y68" i="11"/>
  <c r="M68" i="11"/>
  <c r="X68" i="11"/>
  <c r="W261" i="13"/>
  <c r="W293" i="13"/>
  <c r="T274" i="12"/>
  <c r="T306" i="12"/>
  <c r="P274" i="13"/>
  <c r="P306" i="13"/>
  <c r="K68" i="11"/>
  <c r="R306" i="12"/>
  <c r="R274" i="12"/>
  <c r="U68" i="11"/>
  <c r="S68" i="11"/>
  <c r="AA269" i="13"/>
  <c r="AA301" i="13"/>
  <c r="AA274" i="13"/>
  <c r="AA306" i="13"/>
  <c r="P68" i="12"/>
  <c r="R68" i="12"/>
  <c r="Z306" i="13"/>
  <c r="Z274" i="13"/>
  <c r="N261" i="13"/>
  <c r="N293" i="13"/>
  <c r="W68" i="13"/>
  <c r="W85" i="13" s="1"/>
  <c r="O68" i="13"/>
  <c r="O85" i="13" s="1"/>
  <c r="G68" i="13"/>
  <c r="X68" i="13"/>
  <c r="N68" i="13"/>
  <c r="U68" i="13"/>
  <c r="K68" i="13"/>
  <c r="T68" i="13"/>
  <c r="J68" i="13"/>
  <c r="Z68" i="13"/>
  <c r="L68" i="13"/>
  <c r="Y68" i="13"/>
  <c r="I68" i="13"/>
  <c r="P68" i="13"/>
  <c r="M68" i="13"/>
  <c r="AA68" i="13"/>
  <c r="V68" i="13"/>
  <c r="R68" i="13"/>
  <c r="S68" i="13"/>
  <c r="Q68" i="13"/>
  <c r="H68" i="13"/>
  <c r="W306" i="12"/>
  <c r="W274" i="12"/>
  <c r="N82" i="11"/>
  <c r="R68" i="11"/>
  <c r="N306" i="11"/>
  <c r="N274" i="11"/>
  <c r="H306" i="13"/>
  <c r="H274" i="13"/>
  <c r="O68" i="12"/>
  <c r="W68" i="11"/>
  <c r="U306" i="13"/>
  <c r="U274" i="13"/>
  <c r="Q293" i="13"/>
  <c r="Q261" i="13"/>
  <c r="K293" i="13"/>
  <c r="K261" i="13"/>
  <c r="G82" i="11"/>
  <c r="H82" i="11"/>
  <c r="H261" i="13"/>
  <c r="H293" i="13"/>
  <c r="W306" i="11"/>
  <c r="W274" i="11"/>
  <c r="G68" i="11"/>
  <c r="AA191" i="11"/>
  <c r="S191" i="11"/>
  <c r="Z191" i="11"/>
  <c r="R191" i="11"/>
  <c r="C183" i="11"/>
  <c r="W191" i="11"/>
  <c r="U191" i="11"/>
  <c r="V191" i="11"/>
  <c r="D153" i="11"/>
  <c r="T191" i="11"/>
  <c r="D132" i="11"/>
  <c r="C87" i="11"/>
  <c r="Y191" i="11"/>
  <c r="X191" i="11"/>
  <c r="D111" i="11"/>
  <c r="Q191" i="11"/>
  <c r="D90" i="11"/>
  <c r="I301" i="12"/>
  <c r="I269" i="12"/>
  <c r="Y82" i="11"/>
  <c r="L82" i="11"/>
  <c r="T261" i="12"/>
  <c r="T293" i="12"/>
  <c r="J68" i="11"/>
  <c r="J85" i="11" s="1"/>
  <c r="T68" i="11"/>
  <c r="K261" i="12"/>
  <c r="K293" i="12"/>
  <c r="T68" i="12"/>
  <c r="U68" i="12"/>
  <c r="H85" i="12" l="1"/>
  <c r="M85" i="12"/>
  <c r="S85" i="12"/>
  <c r="I85" i="12"/>
  <c r="L85" i="11"/>
  <c r="X85" i="11"/>
  <c r="Z85" i="11"/>
  <c r="L85" i="12"/>
  <c r="G85" i="11"/>
  <c r="I85" i="11"/>
  <c r="P85" i="11"/>
  <c r="U85" i="12"/>
  <c r="W85" i="15"/>
  <c r="J85" i="14"/>
  <c r="J85" i="12"/>
  <c r="AA85" i="11"/>
  <c r="W85" i="14"/>
  <c r="AA85" i="14"/>
  <c r="Z85" i="13"/>
  <c r="K85" i="11"/>
  <c r="N85" i="12"/>
  <c r="V85" i="11"/>
  <c r="V85" i="15"/>
  <c r="S85" i="15"/>
  <c r="G85" i="14"/>
  <c r="M85" i="14"/>
  <c r="P85" i="13"/>
  <c r="AA85" i="15"/>
  <c r="X85" i="14"/>
  <c r="U85" i="14"/>
  <c r="W85" i="12"/>
  <c r="T85" i="11"/>
  <c r="U85" i="11"/>
  <c r="Q85" i="11"/>
  <c r="I85" i="15"/>
  <c r="X85" i="15"/>
  <c r="L85" i="15"/>
  <c r="P85" i="14"/>
  <c r="Z85" i="14"/>
  <c r="N85" i="14"/>
  <c r="X85" i="13"/>
  <c r="AA85" i="13"/>
  <c r="T85" i="13"/>
  <c r="Y85" i="11"/>
  <c r="H85" i="11"/>
  <c r="J85" i="15"/>
  <c r="R85" i="14"/>
  <c r="K85" i="14"/>
  <c r="V85" i="14"/>
  <c r="K85" i="13"/>
  <c r="V85" i="12"/>
  <c r="W85" i="11"/>
  <c r="M85" i="13"/>
  <c r="O85" i="12"/>
  <c r="U85" i="13"/>
  <c r="S85" i="11"/>
  <c r="Y85" i="12"/>
  <c r="Z85" i="12"/>
  <c r="Q85" i="12"/>
  <c r="H85" i="13"/>
  <c r="N85" i="13"/>
  <c r="K85" i="12"/>
  <c r="H85" i="14"/>
  <c r="D158" i="15"/>
  <c r="D168" i="15"/>
  <c r="G168" i="15" s="1"/>
  <c r="D160" i="15"/>
  <c r="D165" i="15"/>
  <c r="G165" i="15" s="1"/>
  <c r="D166" i="15"/>
  <c r="G166" i="15" s="1"/>
  <c r="D167" i="15"/>
  <c r="D159" i="15"/>
  <c r="D137" i="15"/>
  <c r="D139" i="15"/>
  <c r="D138" i="15"/>
  <c r="D147" i="15"/>
  <c r="G147" i="15" s="1"/>
  <c r="D146" i="15"/>
  <c r="G146" i="15" s="1"/>
  <c r="D145" i="15"/>
  <c r="G145" i="15" s="1"/>
  <c r="D144" i="15"/>
  <c r="G144" i="15" s="1"/>
  <c r="P85" i="15"/>
  <c r="T85" i="15"/>
  <c r="Y85" i="15"/>
  <c r="Q85" i="15"/>
  <c r="M85" i="15"/>
  <c r="D125" i="15"/>
  <c r="D118" i="15"/>
  <c r="D116" i="15"/>
  <c r="D123" i="15"/>
  <c r="G123" i="15" s="1"/>
  <c r="D124" i="15"/>
  <c r="G124" i="15" s="1"/>
  <c r="D126" i="15"/>
  <c r="G126" i="15" s="1"/>
  <c r="D117" i="15"/>
  <c r="Z85" i="15"/>
  <c r="G85" i="15"/>
  <c r="U85" i="15"/>
  <c r="I85" i="14"/>
  <c r="L85" i="14"/>
  <c r="D139" i="14"/>
  <c r="D138" i="14"/>
  <c r="D145" i="14"/>
  <c r="G145" i="14" s="1"/>
  <c r="D137" i="14"/>
  <c r="D146" i="14"/>
  <c r="G146" i="14" s="1"/>
  <c r="D144" i="14"/>
  <c r="G144" i="14" s="1"/>
  <c r="D147" i="14"/>
  <c r="G147" i="14" s="1"/>
  <c r="H85" i="15"/>
  <c r="D95" i="14"/>
  <c r="D96" i="14"/>
  <c r="D97" i="14"/>
  <c r="D105" i="14"/>
  <c r="G105" i="14" s="1"/>
  <c r="D103" i="14"/>
  <c r="G103" i="14" s="1"/>
  <c r="D104" i="14"/>
  <c r="G104" i="14" s="1"/>
  <c r="D102" i="14"/>
  <c r="G102" i="14" s="1"/>
  <c r="N85" i="15"/>
  <c r="R85" i="15"/>
  <c r="Y85" i="14"/>
  <c r="T85" i="14"/>
  <c r="D167" i="14"/>
  <c r="D166" i="14"/>
  <c r="G166" i="14" s="1"/>
  <c r="D165" i="14"/>
  <c r="G165" i="14" s="1"/>
  <c r="D159" i="14"/>
  <c r="D168" i="14"/>
  <c r="G168" i="14" s="1"/>
  <c r="D160" i="14"/>
  <c r="D158" i="14"/>
  <c r="D124" i="14"/>
  <c r="G124" i="14" s="1"/>
  <c r="D116" i="14"/>
  <c r="D125" i="14"/>
  <c r="D123" i="14"/>
  <c r="G123" i="14" s="1"/>
  <c r="D117" i="14"/>
  <c r="D126" i="14"/>
  <c r="G126" i="14" s="1"/>
  <c r="D118" i="14"/>
  <c r="D95" i="15"/>
  <c r="D96" i="15"/>
  <c r="D97" i="15"/>
  <c r="D103" i="15"/>
  <c r="G103" i="15" s="1"/>
  <c r="D102" i="15"/>
  <c r="G102" i="15" s="1"/>
  <c r="D105" i="15"/>
  <c r="G105" i="15" s="1"/>
  <c r="D104" i="15"/>
  <c r="G104" i="15" s="1"/>
  <c r="O85" i="15"/>
  <c r="K85" i="15"/>
  <c r="O85" i="14"/>
  <c r="Q85" i="14"/>
  <c r="S85" i="14"/>
  <c r="D97" i="13"/>
  <c r="D96" i="13"/>
  <c r="D95" i="13"/>
  <c r="D105" i="13"/>
  <c r="G105" i="13" s="1"/>
  <c r="D103" i="13"/>
  <c r="G103" i="13" s="1"/>
  <c r="D104" i="13"/>
  <c r="G104" i="13" s="1"/>
  <c r="D102" i="13"/>
  <c r="G102" i="13" s="1"/>
  <c r="D116" i="13"/>
  <c r="D123" i="13"/>
  <c r="G123" i="13" s="1"/>
  <c r="D126" i="13"/>
  <c r="G126" i="13" s="1"/>
  <c r="D124" i="13"/>
  <c r="G124" i="13" s="1"/>
  <c r="D118" i="13"/>
  <c r="D125" i="13"/>
  <c r="D117" i="13"/>
  <c r="D147" i="13"/>
  <c r="G147" i="13" s="1"/>
  <c r="D137" i="13"/>
  <c r="D139" i="13"/>
  <c r="D138" i="13"/>
  <c r="D144" i="13"/>
  <c r="G144" i="13" s="1"/>
  <c r="D145" i="13"/>
  <c r="G145" i="13" s="1"/>
  <c r="D146" i="13"/>
  <c r="G146" i="13" s="1"/>
  <c r="D165" i="13"/>
  <c r="G165" i="13" s="1"/>
  <c r="D168" i="13"/>
  <c r="G168" i="13" s="1"/>
  <c r="D167" i="13"/>
  <c r="D160" i="13"/>
  <c r="D158" i="13"/>
  <c r="D166" i="13"/>
  <c r="G166" i="13" s="1"/>
  <c r="D159" i="13"/>
  <c r="D168" i="12"/>
  <c r="G168" i="12" s="1"/>
  <c r="D167" i="12"/>
  <c r="D158" i="12"/>
  <c r="D166" i="12"/>
  <c r="G166" i="12" s="1"/>
  <c r="D160" i="12"/>
  <c r="D165" i="12"/>
  <c r="G165" i="12" s="1"/>
  <c r="D159" i="12"/>
  <c r="D102" i="12"/>
  <c r="G102" i="12" s="1"/>
  <c r="D96" i="12"/>
  <c r="D104" i="12"/>
  <c r="G104" i="12" s="1"/>
  <c r="D97" i="12"/>
  <c r="D95" i="12"/>
  <c r="D103" i="12"/>
  <c r="G103" i="12" s="1"/>
  <c r="D105" i="12"/>
  <c r="G105" i="12" s="1"/>
  <c r="D147" i="12"/>
  <c r="G147" i="12" s="1"/>
  <c r="D139" i="12"/>
  <c r="D144" i="12"/>
  <c r="G144" i="12" s="1"/>
  <c r="D145" i="12"/>
  <c r="G145" i="12" s="1"/>
  <c r="D138" i="12"/>
  <c r="D137" i="12"/>
  <c r="D146" i="12"/>
  <c r="G146" i="12" s="1"/>
  <c r="D116" i="12"/>
  <c r="D124" i="12"/>
  <c r="G124" i="12" s="1"/>
  <c r="D123" i="12"/>
  <c r="G123" i="12" s="1"/>
  <c r="D118" i="12"/>
  <c r="D126" i="12"/>
  <c r="G126" i="12" s="1"/>
  <c r="D117" i="12"/>
  <c r="D125" i="12"/>
  <c r="D147" i="11"/>
  <c r="G147" i="11" s="1"/>
  <c r="D144" i="11"/>
  <c r="G144" i="11" s="1"/>
  <c r="D145" i="11"/>
  <c r="G145" i="11" s="1"/>
  <c r="D146" i="11"/>
  <c r="G146" i="11" s="1"/>
  <c r="D137" i="11"/>
  <c r="D138" i="11"/>
  <c r="D139" i="11"/>
  <c r="D117" i="11"/>
  <c r="D126" i="11"/>
  <c r="G126" i="11" s="1"/>
  <c r="D125" i="11"/>
  <c r="D124" i="11"/>
  <c r="G124" i="11" s="1"/>
  <c r="D123" i="11"/>
  <c r="G123" i="11" s="1"/>
  <c r="D118" i="11"/>
  <c r="D116" i="11"/>
  <c r="Y85" i="13"/>
  <c r="M85" i="11"/>
  <c r="S85" i="13"/>
  <c r="L85" i="13"/>
  <c r="G85" i="13"/>
  <c r="D97" i="11"/>
  <c r="D95" i="11"/>
  <c r="D103" i="11"/>
  <c r="G103" i="11" s="1"/>
  <c r="D96" i="11"/>
  <c r="D102" i="11"/>
  <c r="G102" i="11" s="1"/>
  <c r="D105" i="11"/>
  <c r="G105" i="11" s="1"/>
  <c r="D104" i="11"/>
  <c r="G104" i="11" s="1"/>
  <c r="X85" i="12"/>
  <c r="N85" i="11"/>
  <c r="I85" i="13"/>
  <c r="T85" i="12"/>
  <c r="Q85" i="13"/>
  <c r="R85" i="13"/>
  <c r="R85" i="12"/>
  <c r="O85" i="11"/>
  <c r="D158" i="11"/>
  <c r="D165" i="11"/>
  <c r="G165" i="11" s="1"/>
  <c r="D160" i="11"/>
  <c r="D168" i="11"/>
  <c r="G168" i="11" s="1"/>
  <c r="D167" i="11"/>
  <c r="D166" i="11"/>
  <c r="G166" i="11" s="1"/>
  <c r="D159" i="11"/>
  <c r="R85" i="11"/>
  <c r="V85" i="13"/>
  <c r="J85" i="13"/>
  <c r="P85" i="12"/>
  <c r="AA85" i="12"/>
  <c r="Y97" i="15" l="1"/>
  <c r="Q97" i="15"/>
  <c r="I97" i="15"/>
  <c r="X97" i="15"/>
  <c r="P97" i="15"/>
  <c r="H97" i="15"/>
  <c r="W97" i="15"/>
  <c r="O97" i="15"/>
  <c r="V97" i="15"/>
  <c r="K97" i="15"/>
  <c r="U97" i="15"/>
  <c r="J97" i="15"/>
  <c r="T97" i="15"/>
  <c r="Z97" i="15"/>
  <c r="S97" i="15"/>
  <c r="R97" i="15"/>
  <c r="N97" i="15"/>
  <c r="M97" i="15"/>
  <c r="AA97" i="15"/>
  <c r="L97" i="15"/>
  <c r="X116" i="14"/>
  <c r="P116" i="14"/>
  <c r="H116" i="14"/>
  <c r="W116" i="14"/>
  <c r="O116" i="14"/>
  <c r="D122" i="14"/>
  <c r="U116" i="14"/>
  <c r="M116" i="14"/>
  <c r="V116" i="14"/>
  <c r="N116" i="14"/>
  <c r="K116" i="14"/>
  <c r="T116" i="14"/>
  <c r="S116" i="14"/>
  <c r="Q116" i="14"/>
  <c r="Z116" i="14"/>
  <c r="J116" i="14"/>
  <c r="R116" i="14"/>
  <c r="Y116" i="14"/>
  <c r="I116" i="14"/>
  <c r="L116" i="14"/>
  <c r="V137" i="14"/>
  <c r="N137" i="14"/>
  <c r="U137" i="14"/>
  <c r="M137" i="14"/>
  <c r="S137" i="14"/>
  <c r="T137" i="14"/>
  <c r="L137" i="14"/>
  <c r="K137" i="14"/>
  <c r="Z137" i="14"/>
  <c r="J137" i="14"/>
  <c r="R137" i="14"/>
  <c r="Y137" i="14"/>
  <c r="I137" i="14"/>
  <c r="X137" i="14"/>
  <c r="H137" i="14"/>
  <c r="D143" i="14"/>
  <c r="W137" i="14"/>
  <c r="Q137" i="14"/>
  <c r="P137" i="14"/>
  <c r="O137" i="14"/>
  <c r="W137" i="15"/>
  <c r="O137" i="15"/>
  <c r="V137" i="15"/>
  <c r="N137" i="15"/>
  <c r="Q137" i="15"/>
  <c r="Z137" i="15"/>
  <c r="P137" i="15"/>
  <c r="Y137" i="15"/>
  <c r="M137" i="15"/>
  <c r="L137" i="15"/>
  <c r="K137" i="15"/>
  <c r="J137" i="15"/>
  <c r="H137" i="15"/>
  <c r="U137" i="15"/>
  <c r="T137" i="15"/>
  <c r="X137" i="15"/>
  <c r="D143" i="15"/>
  <c r="S137" i="15"/>
  <c r="R137" i="15"/>
  <c r="I137" i="15"/>
  <c r="W138" i="14"/>
  <c r="O138" i="14"/>
  <c r="V138" i="14"/>
  <c r="N138" i="14"/>
  <c r="L138" i="14"/>
  <c r="U138" i="14"/>
  <c r="M138" i="14"/>
  <c r="T138" i="14"/>
  <c r="Q138" i="14"/>
  <c r="S138" i="14"/>
  <c r="P138" i="14"/>
  <c r="J138" i="14"/>
  <c r="H138" i="14"/>
  <c r="R138" i="14"/>
  <c r="AA138" i="14"/>
  <c r="K138" i="14"/>
  <c r="Z138" i="14"/>
  <c r="Y138" i="14"/>
  <c r="I138" i="14"/>
  <c r="X138" i="14"/>
  <c r="AA160" i="14"/>
  <c r="S160" i="14"/>
  <c r="K160" i="14"/>
  <c r="H160" i="14"/>
  <c r="Z160" i="14"/>
  <c r="R160" i="14"/>
  <c r="J160" i="14"/>
  <c r="X160" i="14"/>
  <c r="Y160" i="14"/>
  <c r="Q160" i="14"/>
  <c r="I160" i="14"/>
  <c r="P160" i="14"/>
  <c r="T160" i="14"/>
  <c r="L160" i="14"/>
  <c r="W160" i="14"/>
  <c r="U160" i="14"/>
  <c r="O160" i="14"/>
  <c r="M160" i="14"/>
  <c r="N160" i="14"/>
  <c r="V160" i="14"/>
  <c r="W95" i="14"/>
  <c r="O95" i="14"/>
  <c r="V95" i="14"/>
  <c r="N95" i="14"/>
  <c r="T95" i="14"/>
  <c r="U95" i="14"/>
  <c r="M95" i="14"/>
  <c r="L95" i="14"/>
  <c r="K95" i="14"/>
  <c r="X95" i="14"/>
  <c r="D101" i="14"/>
  <c r="Z95" i="14"/>
  <c r="J95" i="14"/>
  <c r="H95" i="14"/>
  <c r="S95" i="14"/>
  <c r="Y95" i="14"/>
  <c r="I95" i="14"/>
  <c r="R95" i="14"/>
  <c r="Q95" i="14"/>
  <c r="P95" i="14"/>
  <c r="W139" i="14"/>
  <c r="O139" i="14"/>
  <c r="V139" i="14"/>
  <c r="N139" i="14"/>
  <c r="L139" i="14"/>
  <c r="U139" i="14"/>
  <c r="M139" i="14"/>
  <c r="T139" i="14"/>
  <c r="R139" i="14"/>
  <c r="Z139" i="14"/>
  <c r="I139" i="14"/>
  <c r="Q139" i="14"/>
  <c r="K139" i="14"/>
  <c r="J139" i="14"/>
  <c r="Y139" i="14"/>
  <c r="H139" i="14"/>
  <c r="P139" i="14"/>
  <c r="AA139" i="14"/>
  <c r="X139" i="14"/>
  <c r="S139" i="14"/>
  <c r="W95" i="15"/>
  <c r="O95" i="15"/>
  <c r="V95" i="15"/>
  <c r="N95" i="15"/>
  <c r="U95" i="15"/>
  <c r="M95" i="15"/>
  <c r="S95" i="15"/>
  <c r="H95" i="15"/>
  <c r="R95" i="15"/>
  <c r="Q95" i="15"/>
  <c r="P95" i="15"/>
  <c r="L95" i="15"/>
  <c r="K95" i="15"/>
  <c r="J95" i="15"/>
  <c r="T95" i="15"/>
  <c r="D101" i="15"/>
  <c r="Z95" i="15"/>
  <c r="Y95" i="15"/>
  <c r="X95" i="15"/>
  <c r="I95" i="15"/>
  <c r="X96" i="14"/>
  <c r="P96" i="14"/>
  <c r="H96" i="14"/>
  <c r="W96" i="14"/>
  <c r="O96" i="14"/>
  <c r="M96" i="14"/>
  <c r="V96" i="14"/>
  <c r="N96" i="14"/>
  <c r="U96" i="14"/>
  <c r="R96" i="14"/>
  <c r="J96" i="14"/>
  <c r="I96" i="14"/>
  <c r="T96" i="14"/>
  <c r="Q96" i="14"/>
  <c r="AA96" i="14"/>
  <c r="Z96" i="14"/>
  <c r="Y96" i="14"/>
  <c r="L96" i="14"/>
  <c r="K96" i="14"/>
  <c r="S96" i="14"/>
  <c r="V118" i="14"/>
  <c r="N118" i="14"/>
  <c r="U118" i="14"/>
  <c r="M118" i="14"/>
  <c r="AA118" i="14"/>
  <c r="S118" i="14"/>
  <c r="K118" i="14"/>
  <c r="T118" i="14"/>
  <c r="L118" i="14"/>
  <c r="Z118" i="14"/>
  <c r="J118" i="14"/>
  <c r="Y118" i="14"/>
  <c r="I118" i="14"/>
  <c r="W118" i="14"/>
  <c r="P118" i="14"/>
  <c r="X118" i="14"/>
  <c r="H118" i="14"/>
  <c r="R118" i="14"/>
  <c r="Q118" i="14"/>
  <c r="O118" i="14"/>
  <c r="V160" i="15"/>
  <c r="N160" i="15"/>
  <c r="U160" i="15"/>
  <c r="M160" i="15"/>
  <c r="T160" i="15"/>
  <c r="L160" i="15"/>
  <c r="S160" i="15"/>
  <c r="H160" i="15"/>
  <c r="R160" i="15"/>
  <c r="Q160" i="15"/>
  <c r="O160" i="15"/>
  <c r="K160" i="15"/>
  <c r="AA160" i="15"/>
  <c r="J160" i="15"/>
  <c r="Z160" i="15"/>
  <c r="X160" i="15"/>
  <c r="W160" i="15"/>
  <c r="Y160" i="15"/>
  <c r="P160" i="15"/>
  <c r="I160" i="15"/>
  <c r="D164" i="14"/>
  <c r="V158" i="14"/>
  <c r="N158" i="14"/>
  <c r="S158" i="14"/>
  <c r="U158" i="14"/>
  <c r="M158" i="14"/>
  <c r="K158" i="14"/>
  <c r="T158" i="14"/>
  <c r="L158" i="14"/>
  <c r="Q158" i="14"/>
  <c r="W158" i="14"/>
  <c r="P158" i="14"/>
  <c r="J158" i="14"/>
  <c r="I158" i="14"/>
  <c r="H158" i="14"/>
  <c r="O158" i="14"/>
  <c r="Z158" i="14"/>
  <c r="Y158" i="14"/>
  <c r="X158" i="14"/>
  <c r="R158" i="14"/>
  <c r="X138" i="15"/>
  <c r="P138" i="15"/>
  <c r="H138" i="15"/>
  <c r="W138" i="15"/>
  <c r="O138" i="15"/>
  <c r="Z138" i="15"/>
  <c r="N138" i="15"/>
  <c r="Y138" i="15"/>
  <c r="M138" i="15"/>
  <c r="V138" i="15"/>
  <c r="L138" i="15"/>
  <c r="AA138" i="15"/>
  <c r="I138" i="15"/>
  <c r="U138" i="15"/>
  <c r="T138" i="15"/>
  <c r="S138" i="15"/>
  <c r="R138" i="15"/>
  <c r="Q138" i="15"/>
  <c r="K138" i="15"/>
  <c r="J138" i="15"/>
  <c r="W118" i="15"/>
  <c r="O118" i="15"/>
  <c r="V118" i="15"/>
  <c r="N118" i="15"/>
  <c r="U118" i="15"/>
  <c r="M118" i="15"/>
  <c r="Z118" i="15"/>
  <c r="L118" i="15"/>
  <c r="Y118" i="15"/>
  <c r="K118" i="15"/>
  <c r="X118" i="15"/>
  <c r="J118" i="15"/>
  <c r="P118" i="15"/>
  <c r="I118" i="15"/>
  <c r="H118" i="15"/>
  <c r="AA118" i="15"/>
  <c r="R118" i="15"/>
  <c r="T118" i="15"/>
  <c r="S118" i="15"/>
  <c r="Q118" i="15"/>
  <c r="X96" i="15"/>
  <c r="P96" i="15"/>
  <c r="H96" i="15"/>
  <c r="W96" i="15"/>
  <c r="O96" i="15"/>
  <c r="V96" i="15"/>
  <c r="N96" i="15"/>
  <c r="T96" i="15"/>
  <c r="I96" i="15"/>
  <c r="S96" i="15"/>
  <c r="R96" i="15"/>
  <c r="AA96" i="15"/>
  <c r="J96" i="15"/>
  <c r="Z96" i="15"/>
  <c r="U96" i="15"/>
  <c r="Y96" i="15"/>
  <c r="Q96" i="15"/>
  <c r="M96" i="15"/>
  <c r="L96" i="15"/>
  <c r="K96" i="15"/>
  <c r="Y97" i="14"/>
  <c r="Q97" i="14"/>
  <c r="I97" i="14"/>
  <c r="X97" i="14"/>
  <c r="P97" i="14"/>
  <c r="H97" i="14"/>
  <c r="V97" i="14"/>
  <c r="W97" i="14"/>
  <c r="O97" i="14"/>
  <c r="N97" i="14"/>
  <c r="Z97" i="14"/>
  <c r="J97" i="14"/>
  <c r="S97" i="14"/>
  <c r="U97" i="14"/>
  <c r="T97" i="14"/>
  <c r="R97" i="14"/>
  <c r="M97" i="14"/>
  <c r="L97" i="14"/>
  <c r="K97" i="14"/>
  <c r="AA97" i="14"/>
  <c r="Y116" i="15"/>
  <c r="Q116" i="15"/>
  <c r="I116" i="15"/>
  <c r="X116" i="15"/>
  <c r="P116" i="15"/>
  <c r="H116" i="15"/>
  <c r="W116" i="15"/>
  <c r="O116" i="15"/>
  <c r="R116" i="15"/>
  <c r="N116" i="15"/>
  <c r="M116" i="15"/>
  <c r="Z116" i="15"/>
  <c r="D122" i="15"/>
  <c r="V116" i="15"/>
  <c r="T116" i="15"/>
  <c r="U116" i="15"/>
  <c r="S116" i="15"/>
  <c r="K116" i="15"/>
  <c r="L116" i="15"/>
  <c r="J116" i="15"/>
  <c r="X139" i="15"/>
  <c r="P139" i="15"/>
  <c r="H139" i="15"/>
  <c r="W139" i="15"/>
  <c r="O139" i="15"/>
  <c r="V139" i="15"/>
  <c r="L139" i="15"/>
  <c r="U139" i="15"/>
  <c r="K139" i="15"/>
  <c r="T139" i="15"/>
  <c r="J139" i="15"/>
  <c r="R139" i="15"/>
  <c r="Q139" i="15"/>
  <c r="N139" i="15"/>
  <c r="Z139" i="15"/>
  <c r="Y139" i="15"/>
  <c r="AA139" i="15"/>
  <c r="I139" i="15"/>
  <c r="S139" i="15"/>
  <c r="M139" i="15"/>
  <c r="Y158" i="15"/>
  <c r="Q158" i="15"/>
  <c r="I158" i="15"/>
  <c r="X158" i="15"/>
  <c r="P158" i="15"/>
  <c r="H158" i="15"/>
  <c r="W158" i="15"/>
  <c r="O158" i="15"/>
  <c r="M158" i="15"/>
  <c r="Z158" i="15"/>
  <c r="L158" i="15"/>
  <c r="V158" i="15"/>
  <c r="K158" i="15"/>
  <c r="D164" i="15"/>
  <c r="U158" i="15"/>
  <c r="N158" i="15"/>
  <c r="J158" i="15"/>
  <c r="R158" i="15"/>
  <c r="T158" i="15"/>
  <c r="S158" i="15"/>
  <c r="R118" i="13"/>
  <c r="V118" i="13"/>
  <c r="U118" i="13"/>
  <c r="P118" i="13"/>
  <c r="O118" i="13"/>
  <c r="M118" i="13"/>
  <c r="Y118" i="13"/>
  <c r="H118" i="13"/>
  <c r="Q118" i="13"/>
  <c r="Z118" i="13"/>
  <c r="I118" i="13"/>
  <c r="L118" i="13"/>
  <c r="W118" i="13"/>
  <c r="X118" i="13"/>
  <c r="N118" i="13"/>
  <c r="K118" i="13"/>
  <c r="J118" i="13"/>
  <c r="T118" i="13"/>
  <c r="S118" i="13"/>
  <c r="K95" i="13"/>
  <c r="T95" i="13"/>
  <c r="O95" i="13"/>
  <c r="J95" i="13"/>
  <c r="X95" i="13"/>
  <c r="D101" i="13"/>
  <c r="S95" i="13"/>
  <c r="W95" i="13"/>
  <c r="Y95" i="13"/>
  <c r="H95" i="13"/>
  <c r="Z95" i="13"/>
  <c r="Q95" i="13"/>
  <c r="R95" i="13"/>
  <c r="V95" i="13"/>
  <c r="N95" i="13"/>
  <c r="M95" i="13"/>
  <c r="U95" i="13"/>
  <c r="I95" i="13"/>
  <c r="P95" i="13"/>
  <c r="L95" i="13"/>
  <c r="J160" i="13"/>
  <c r="Y160" i="13"/>
  <c r="M160" i="13"/>
  <c r="S160" i="13"/>
  <c r="H160" i="13"/>
  <c r="L160" i="13"/>
  <c r="N160" i="13"/>
  <c r="I160" i="13"/>
  <c r="X160" i="13"/>
  <c r="K160" i="13"/>
  <c r="R160" i="13"/>
  <c r="U160" i="13"/>
  <c r="W160" i="13"/>
  <c r="Q160" i="13"/>
  <c r="V160" i="13"/>
  <c r="Z160" i="13"/>
  <c r="T160" i="13"/>
  <c r="O160" i="13"/>
  <c r="P160" i="13"/>
  <c r="W139" i="13"/>
  <c r="L139" i="13"/>
  <c r="Z139" i="13"/>
  <c r="M139" i="13"/>
  <c r="V139" i="13"/>
  <c r="J139" i="13"/>
  <c r="N139" i="13"/>
  <c r="X139" i="13"/>
  <c r="U139" i="13"/>
  <c r="H139" i="13"/>
  <c r="Q139" i="13"/>
  <c r="T139" i="13"/>
  <c r="O139" i="13"/>
  <c r="S139" i="13"/>
  <c r="I139" i="13"/>
  <c r="P139" i="13"/>
  <c r="Y139" i="13"/>
  <c r="R139" i="13"/>
  <c r="K139" i="13"/>
  <c r="P96" i="13"/>
  <c r="W96" i="13"/>
  <c r="V96" i="13"/>
  <c r="I96" i="13"/>
  <c r="O96" i="13"/>
  <c r="L96" i="13"/>
  <c r="U96" i="13"/>
  <c r="Y96" i="13"/>
  <c r="N96" i="13"/>
  <c r="T96" i="13"/>
  <c r="X96" i="13"/>
  <c r="M96" i="13"/>
  <c r="K96" i="13"/>
  <c r="Z96" i="13"/>
  <c r="J96" i="13"/>
  <c r="Q96" i="13"/>
  <c r="H96" i="13"/>
  <c r="S96" i="13"/>
  <c r="R96" i="13"/>
  <c r="S137" i="13"/>
  <c r="V137" i="13"/>
  <c r="U137" i="13"/>
  <c r="P137" i="13"/>
  <c r="O137" i="13"/>
  <c r="I137" i="13"/>
  <c r="L137" i="13"/>
  <c r="Q137" i="13"/>
  <c r="D143" i="13"/>
  <c r="Z137" i="13"/>
  <c r="Y137" i="13"/>
  <c r="R137" i="13"/>
  <c r="N137" i="13"/>
  <c r="J137" i="13"/>
  <c r="X137" i="13"/>
  <c r="T137" i="13"/>
  <c r="K137" i="13"/>
  <c r="M137" i="13"/>
  <c r="W137" i="13"/>
  <c r="H137" i="13"/>
  <c r="R97" i="13"/>
  <c r="H97" i="13"/>
  <c r="Q97" i="13"/>
  <c r="I97" i="13"/>
  <c r="W97" i="13"/>
  <c r="U97" i="13"/>
  <c r="N97" i="13"/>
  <c r="J97" i="13"/>
  <c r="L97" i="13"/>
  <c r="X97" i="13"/>
  <c r="S97" i="13"/>
  <c r="T97" i="13"/>
  <c r="K97" i="13"/>
  <c r="V97" i="13"/>
  <c r="M97" i="13"/>
  <c r="Z97" i="13"/>
  <c r="Y97" i="13"/>
  <c r="P97" i="13"/>
  <c r="O97" i="13"/>
  <c r="P158" i="13"/>
  <c r="N158" i="13"/>
  <c r="U158" i="13"/>
  <c r="W158" i="13"/>
  <c r="H158" i="13"/>
  <c r="Z158" i="13"/>
  <c r="S158" i="13"/>
  <c r="J158" i="13"/>
  <c r="Q158" i="13"/>
  <c r="R158" i="13"/>
  <c r="K158" i="13"/>
  <c r="V158" i="13"/>
  <c r="M158" i="13"/>
  <c r="L158" i="13"/>
  <c r="I158" i="13"/>
  <c r="Y158" i="13"/>
  <c r="T158" i="13"/>
  <c r="D164" i="13"/>
  <c r="X158" i="13"/>
  <c r="O158" i="13"/>
  <c r="L116" i="13"/>
  <c r="U116" i="13"/>
  <c r="D122" i="13"/>
  <c r="T116" i="13"/>
  <c r="Y116" i="13"/>
  <c r="O116" i="13"/>
  <c r="S116" i="13"/>
  <c r="X116" i="13"/>
  <c r="K116" i="13"/>
  <c r="J116" i="13"/>
  <c r="V116" i="13"/>
  <c r="W116" i="13"/>
  <c r="I116" i="13"/>
  <c r="Z116" i="13"/>
  <c r="R116" i="13"/>
  <c r="H116" i="13"/>
  <c r="M116" i="13"/>
  <c r="N116" i="13"/>
  <c r="P116" i="13"/>
  <c r="Q116" i="13"/>
  <c r="U138" i="13"/>
  <c r="T138" i="13"/>
  <c r="R138" i="13"/>
  <c r="W138" i="13"/>
  <c r="S138" i="13"/>
  <c r="Y138" i="13"/>
  <c r="K138" i="13"/>
  <c r="L138" i="13"/>
  <c r="X138" i="13"/>
  <c r="Q138" i="13"/>
  <c r="O138" i="13"/>
  <c r="P138" i="13"/>
  <c r="V138" i="13"/>
  <c r="Z138" i="13"/>
  <c r="J138" i="13"/>
  <c r="M138" i="13"/>
  <c r="I138" i="13"/>
  <c r="N138" i="13"/>
  <c r="H138" i="13"/>
  <c r="K116" i="12"/>
  <c r="P116" i="12"/>
  <c r="Z116" i="12"/>
  <c r="O116" i="12"/>
  <c r="N116" i="12"/>
  <c r="S116" i="12"/>
  <c r="D122" i="12"/>
  <c r="I116" i="12"/>
  <c r="U116" i="12"/>
  <c r="X116" i="12"/>
  <c r="M116" i="12"/>
  <c r="H116" i="12"/>
  <c r="T116" i="12"/>
  <c r="R116" i="12"/>
  <c r="L116" i="12"/>
  <c r="Q116" i="12"/>
  <c r="J116" i="12"/>
  <c r="Y116" i="12"/>
  <c r="V116" i="12"/>
  <c r="W116" i="12"/>
  <c r="T137" i="12"/>
  <c r="I137" i="12"/>
  <c r="D143" i="12"/>
  <c r="W137" i="12"/>
  <c r="L137" i="12"/>
  <c r="Y137" i="12"/>
  <c r="N137" i="12"/>
  <c r="V137" i="12"/>
  <c r="M137" i="12"/>
  <c r="Z137" i="12"/>
  <c r="S137" i="12"/>
  <c r="X137" i="12"/>
  <c r="Q137" i="12"/>
  <c r="K137" i="12"/>
  <c r="H137" i="12"/>
  <c r="P137" i="12"/>
  <c r="J137" i="12"/>
  <c r="R137" i="12"/>
  <c r="U137" i="12"/>
  <c r="O137" i="12"/>
  <c r="L95" i="12"/>
  <c r="Q95" i="12"/>
  <c r="I95" i="12"/>
  <c r="D101" i="12"/>
  <c r="W95" i="12"/>
  <c r="T95" i="12"/>
  <c r="P95" i="12"/>
  <c r="M95" i="12"/>
  <c r="J95" i="12"/>
  <c r="V95" i="12"/>
  <c r="Y95" i="12"/>
  <c r="O95" i="12"/>
  <c r="X95" i="12"/>
  <c r="S95" i="12"/>
  <c r="N95" i="12"/>
  <c r="K95" i="12"/>
  <c r="U95" i="12"/>
  <c r="R95" i="12"/>
  <c r="Z95" i="12"/>
  <c r="H95" i="12"/>
  <c r="J160" i="12"/>
  <c r="M160" i="12"/>
  <c r="Y160" i="12"/>
  <c r="W160" i="12"/>
  <c r="P160" i="12"/>
  <c r="Q160" i="12"/>
  <c r="V160" i="12"/>
  <c r="U160" i="12"/>
  <c r="I160" i="12"/>
  <c r="L160" i="12"/>
  <c r="AA160" i="12"/>
  <c r="K160" i="12"/>
  <c r="T160" i="12"/>
  <c r="S160" i="12"/>
  <c r="O160" i="12"/>
  <c r="H160" i="12"/>
  <c r="R160" i="12"/>
  <c r="N160" i="12"/>
  <c r="Z160" i="12"/>
  <c r="X160" i="12"/>
  <c r="T138" i="12"/>
  <c r="Z138" i="12"/>
  <c r="W138" i="12"/>
  <c r="S138" i="12"/>
  <c r="L138" i="12"/>
  <c r="N138" i="12"/>
  <c r="V138" i="12"/>
  <c r="Q138" i="12"/>
  <c r="R138" i="12"/>
  <c r="Y138" i="12"/>
  <c r="H138" i="12"/>
  <c r="X138" i="12"/>
  <c r="J138" i="12"/>
  <c r="U138" i="12"/>
  <c r="O138" i="12"/>
  <c r="I138" i="12"/>
  <c r="M138" i="12"/>
  <c r="K138" i="12"/>
  <c r="P138" i="12"/>
  <c r="H97" i="12"/>
  <c r="W97" i="12"/>
  <c r="R97" i="12"/>
  <c r="Y97" i="12"/>
  <c r="X97" i="12"/>
  <c r="T97" i="12"/>
  <c r="N97" i="12"/>
  <c r="L97" i="12"/>
  <c r="P97" i="12"/>
  <c r="M97" i="12"/>
  <c r="V97" i="12"/>
  <c r="O97" i="12"/>
  <c r="K97" i="12"/>
  <c r="J97" i="12"/>
  <c r="Z97" i="12"/>
  <c r="S97" i="12"/>
  <c r="I97" i="12"/>
  <c r="AA97" i="12"/>
  <c r="U97" i="12"/>
  <c r="Q97" i="12"/>
  <c r="I158" i="12"/>
  <c r="Z158" i="12"/>
  <c r="V158" i="12"/>
  <c r="Y158" i="12"/>
  <c r="S158" i="12"/>
  <c r="J158" i="12"/>
  <c r="T158" i="12"/>
  <c r="Q158" i="12"/>
  <c r="L158" i="12"/>
  <c r="P158" i="12"/>
  <c r="H158" i="12"/>
  <c r="X158" i="12"/>
  <c r="D164" i="12"/>
  <c r="N158" i="12"/>
  <c r="O158" i="12"/>
  <c r="W158" i="12"/>
  <c r="K158" i="12"/>
  <c r="M158" i="12"/>
  <c r="U158" i="12"/>
  <c r="R158" i="12"/>
  <c r="Z118" i="12"/>
  <c r="Q118" i="12"/>
  <c r="O118" i="12"/>
  <c r="W118" i="12"/>
  <c r="R118" i="12"/>
  <c r="T118" i="12"/>
  <c r="AA118" i="12"/>
  <c r="L118" i="12"/>
  <c r="J118" i="12"/>
  <c r="P118" i="12"/>
  <c r="X118" i="12"/>
  <c r="I118" i="12"/>
  <c r="N118" i="12"/>
  <c r="V118" i="12"/>
  <c r="S118" i="12"/>
  <c r="M118" i="12"/>
  <c r="H118" i="12"/>
  <c r="K118" i="12"/>
  <c r="U118" i="12"/>
  <c r="Y118" i="12"/>
  <c r="U96" i="12"/>
  <c r="R96" i="12"/>
  <c r="Q96" i="12"/>
  <c r="S96" i="12"/>
  <c r="H96" i="12"/>
  <c r="K96" i="12"/>
  <c r="Z96" i="12"/>
  <c r="P96" i="12"/>
  <c r="X96" i="12"/>
  <c r="J96" i="12"/>
  <c r="N96" i="12"/>
  <c r="I96" i="12"/>
  <c r="W96" i="12"/>
  <c r="V96" i="12"/>
  <c r="T96" i="12"/>
  <c r="M96" i="12"/>
  <c r="Y96" i="12"/>
  <c r="L96" i="12"/>
  <c r="O96" i="12"/>
  <c r="V139" i="12"/>
  <c r="S139" i="12"/>
  <c r="R139" i="12"/>
  <c r="L139" i="12"/>
  <c r="O139" i="12"/>
  <c r="Q139" i="12"/>
  <c r="X139" i="12"/>
  <c r="Z139" i="12"/>
  <c r="N139" i="12"/>
  <c r="Y139" i="12"/>
  <c r="W139" i="12"/>
  <c r="I139" i="12"/>
  <c r="K139" i="12"/>
  <c r="U139" i="12"/>
  <c r="P139" i="12"/>
  <c r="H139" i="12"/>
  <c r="T139" i="12"/>
  <c r="AA139" i="12"/>
  <c r="M139" i="12"/>
  <c r="J139" i="12"/>
  <c r="U160" i="11"/>
  <c r="M160" i="11"/>
  <c r="T160" i="11"/>
  <c r="L160" i="11"/>
  <c r="V160" i="11"/>
  <c r="J160" i="11"/>
  <c r="R160" i="11"/>
  <c r="Q160" i="11"/>
  <c r="S160" i="11"/>
  <c r="I160" i="11"/>
  <c r="H160" i="11"/>
  <c r="X160" i="11"/>
  <c r="O160" i="11"/>
  <c r="N160" i="11"/>
  <c r="Z160" i="11"/>
  <c r="Y160" i="11"/>
  <c r="W160" i="11"/>
  <c r="P160" i="11"/>
  <c r="K160" i="11"/>
  <c r="U95" i="11"/>
  <c r="M95" i="11"/>
  <c r="AA95" i="11"/>
  <c r="K95" i="11"/>
  <c r="R95" i="11"/>
  <c r="T95" i="11"/>
  <c r="L95" i="11"/>
  <c r="S95" i="11"/>
  <c r="Z95" i="11"/>
  <c r="J95" i="11"/>
  <c r="W95" i="11"/>
  <c r="N95" i="11"/>
  <c r="Y95" i="11"/>
  <c r="H95" i="11"/>
  <c r="V95" i="11"/>
  <c r="D101" i="11"/>
  <c r="Q95" i="11"/>
  <c r="P95" i="11"/>
  <c r="O95" i="11"/>
  <c r="I95" i="11"/>
  <c r="X95" i="11"/>
  <c r="W97" i="11"/>
  <c r="O97" i="11"/>
  <c r="U97" i="11"/>
  <c r="L97" i="11"/>
  <c r="V97" i="11"/>
  <c r="N97" i="11"/>
  <c r="M97" i="11"/>
  <c r="T97" i="11"/>
  <c r="Q97" i="11"/>
  <c r="K97" i="11"/>
  <c r="J97" i="11"/>
  <c r="I97" i="11"/>
  <c r="H97" i="11"/>
  <c r="S97" i="11"/>
  <c r="P97" i="11"/>
  <c r="Z97" i="11"/>
  <c r="Y97" i="11"/>
  <c r="X97" i="11"/>
  <c r="R97" i="11"/>
  <c r="U138" i="11"/>
  <c r="M138" i="11"/>
  <c r="S138" i="11"/>
  <c r="Z138" i="11"/>
  <c r="J138" i="11"/>
  <c r="T138" i="11"/>
  <c r="L138" i="11"/>
  <c r="AA138" i="11"/>
  <c r="K138" i="11"/>
  <c r="R138" i="11"/>
  <c r="X138" i="11"/>
  <c r="H138" i="11"/>
  <c r="Q138" i="11"/>
  <c r="P138" i="11"/>
  <c r="O138" i="11"/>
  <c r="N138" i="11"/>
  <c r="Y138" i="11"/>
  <c r="W138" i="11"/>
  <c r="V138" i="11"/>
  <c r="I138" i="11"/>
  <c r="X158" i="11"/>
  <c r="P158" i="11"/>
  <c r="H158" i="11"/>
  <c r="W158" i="11"/>
  <c r="O158" i="11"/>
  <c r="S158" i="11"/>
  <c r="I158" i="11"/>
  <c r="AA158" i="11"/>
  <c r="D164" i="11"/>
  <c r="Z158" i="11"/>
  <c r="R158" i="11"/>
  <c r="Q158" i="11"/>
  <c r="N158" i="11"/>
  <c r="M158" i="11"/>
  <c r="K158" i="11"/>
  <c r="V158" i="11"/>
  <c r="U158" i="11"/>
  <c r="L158" i="11"/>
  <c r="J158" i="11"/>
  <c r="Y158" i="11"/>
  <c r="T158" i="11"/>
  <c r="V116" i="11"/>
  <c r="N116" i="11"/>
  <c r="T116" i="11"/>
  <c r="S116" i="11"/>
  <c r="D122" i="11"/>
  <c r="U116" i="11"/>
  <c r="M116" i="11"/>
  <c r="L116" i="11"/>
  <c r="AA116" i="11"/>
  <c r="K116" i="11"/>
  <c r="P116" i="11"/>
  <c r="J116" i="11"/>
  <c r="Y116" i="11"/>
  <c r="X116" i="11"/>
  <c r="R116" i="11"/>
  <c r="Q116" i="11"/>
  <c r="O116" i="11"/>
  <c r="Z116" i="11"/>
  <c r="I116" i="11"/>
  <c r="H116" i="11"/>
  <c r="W116" i="11"/>
  <c r="T118" i="11"/>
  <c r="L118" i="11"/>
  <c r="R118" i="11"/>
  <c r="J118" i="11"/>
  <c r="Y118" i="11"/>
  <c r="I118" i="11"/>
  <c r="S118" i="11"/>
  <c r="K118" i="11"/>
  <c r="Z118" i="11"/>
  <c r="Q118" i="11"/>
  <c r="P118" i="11"/>
  <c r="N118" i="11"/>
  <c r="X118" i="11"/>
  <c r="V118" i="11"/>
  <c r="U118" i="11"/>
  <c r="O118" i="11"/>
  <c r="M118" i="11"/>
  <c r="H118" i="11"/>
  <c r="W118" i="11"/>
  <c r="U139" i="11"/>
  <c r="M139" i="11"/>
  <c r="K139" i="11"/>
  <c r="R139" i="11"/>
  <c r="T139" i="11"/>
  <c r="L139" i="11"/>
  <c r="S139" i="11"/>
  <c r="Z139" i="11"/>
  <c r="J139" i="11"/>
  <c r="N139" i="11"/>
  <c r="H139" i="11"/>
  <c r="W139" i="11"/>
  <c r="V139" i="11"/>
  <c r="Y139" i="11"/>
  <c r="I139" i="11"/>
  <c r="X139" i="11"/>
  <c r="Q139" i="11"/>
  <c r="P139" i="11"/>
  <c r="O139" i="11"/>
  <c r="T137" i="11"/>
  <c r="L137" i="11"/>
  <c r="Z137" i="11"/>
  <c r="J137" i="11"/>
  <c r="Q137" i="11"/>
  <c r="AA137" i="11"/>
  <c r="S137" i="11"/>
  <c r="K137" i="11"/>
  <c r="D143" i="11"/>
  <c r="R137" i="11"/>
  <c r="Y137" i="11"/>
  <c r="I137" i="11"/>
  <c r="P137" i="11"/>
  <c r="X137" i="11"/>
  <c r="H137" i="11"/>
  <c r="U137" i="11"/>
  <c r="O137" i="11"/>
  <c r="N137" i="11"/>
  <c r="M137" i="11"/>
  <c r="W137" i="11"/>
  <c r="V137" i="11"/>
  <c r="V96" i="11"/>
  <c r="N96" i="11"/>
  <c r="S96" i="11"/>
  <c r="U96" i="11"/>
  <c r="M96" i="11"/>
  <c r="T96" i="11"/>
  <c r="L96" i="11"/>
  <c r="AA96" i="11"/>
  <c r="K96" i="11"/>
  <c r="Z96" i="11"/>
  <c r="J96" i="11"/>
  <c r="H96" i="11"/>
  <c r="O96" i="11"/>
  <c r="Y96" i="11"/>
  <c r="I96" i="11"/>
  <c r="X96" i="11"/>
  <c r="W96" i="11"/>
  <c r="R96" i="11"/>
  <c r="Q96" i="11"/>
  <c r="P96" i="11"/>
  <c r="AA101" i="15" l="1"/>
  <c r="AA101" i="14"/>
  <c r="AA164" i="14"/>
  <c r="AA143" i="15"/>
  <c r="AA164" i="15"/>
  <c r="AA143" i="14"/>
  <c r="AA122" i="14"/>
  <c r="AA122" i="15"/>
  <c r="AA164" i="13"/>
  <c r="AA101" i="13"/>
  <c r="AA122" i="13"/>
  <c r="AA143" i="13"/>
  <c r="AA164" i="12"/>
  <c r="AA143" i="12"/>
  <c r="AA122" i="12"/>
  <c r="AA101" i="12"/>
  <c r="AA122" i="11"/>
  <c r="AA101" i="11"/>
  <c r="AA143" i="11"/>
  <c r="AA164" i="11"/>
  <c r="G14" i="10" l="1"/>
  <c r="G14" i="9"/>
  <c r="G14" i="8"/>
  <c r="AE4" i="7"/>
  <c r="AC4" i="7"/>
  <c r="AE4" i="6"/>
  <c r="AF4" i="6" s="1"/>
  <c r="AG4" i="6" s="1"/>
  <c r="AH4" i="6" s="1"/>
  <c r="AI4" i="6" s="1"/>
  <c r="AJ4" i="6" s="1"/>
  <c r="AK4" i="6" s="1"/>
  <c r="AL4" i="6" s="1"/>
  <c r="AM4" i="6" s="1"/>
  <c r="AN4" i="6" s="1"/>
  <c r="AO4" i="6" s="1"/>
  <c r="AP4" i="6" s="1"/>
  <c r="AQ4" i="6" s="1"/>
  <c r="AR4" i="6" s="1"/>
  <c r="AS4" i="6" s="1"/>
  <c r="AT4" i="6" s="1"/>
  <c r="AU4" i="6" s="1"/>
  <c r="AV4" i="6" s="1"/>
  <c r="AW4" i="6" s="1"/>
  <c r="AX4" i="6" s="1"/>
  <c r="AY4" i="6" s="1"/>
  <c r="AZ4" i="6" s="1"/>
  <c r="BA4" i="6" s="1"/>
  <c r="BB4" i="6" s="1"/>
  <c r="BC4" i="6" s="1"/>
  <c r="BD4" i="6" s="1"/>
  <c r="BE4" i="6" s="1"/>
  <c r="BF4" i="6" s="1"/>
  <c r="BG4" i="6" s="1"/>
  <c r="BH4" i="6" s="1"/>
  <c r="BI4" i="6" s="1"/>
  <c r="BJ4" i="6" s="1"/>
  <c r="BK4" i="6" s="1"/>
  <c r="BL4" i="6" s="1"/>
  <c r="AC4" i="6"/>
  <c r="AE4" i="4"/>
  <c r="AF4" i="4" s="1"/>
  <c r="AG4" i="4" s="1"/>
  <c r="AH4" i="4" s="1"/>
  <c r="AI4" i="4" s="1"/>
  <c r="AJ4" i="4" s="1"/>
  <c r="AK4" i="4" s="1"/>
  <c r="AL4" i="4" s="1"/>
  <c r="AM4" i="4" s="1"/>
  <c r="AN4" i="4" s="1"/>
  <c r="AO4" i="4" s="1"/>
  <c r="AP4" i="4" s="1"/>
  <c r="AQ4" i="4" s="1"/>
  <c r="AR4" i="4" s="1"/>
  <c r="AS4" i="4" s="1"/>
  <c r="AT4" i="4" s="1"/>
  <c r="AU4" i="4" s="1"/>
  <c r="AV4" i="4" s="1"/>
  <c r="AW4" i="4" s="1"/>
  <c r="AX4" i="4" s="1"/>
  <c r="AY4" i="4" s="1"/>
  <c r="AZ4" i="4" s="1"/>
  <c r="BA4" i="4" s="1"/>
  <c r="BB4" i="4" s="1"/>
  <c r="BC4" i="4" s="1"/>
  <c r="BD4" i="4" s="1"/>
  <c r="BE4" i="4" s="1"/>
  <c r="BF4" i="4" s="1"/>
  <c r="BG4" i="4" s="1"/>
  <c r="BH4" i="4" s="1"/>
  <c r="BI4" i="4" s="1"/>
  <c r="BJ4" i="4" s="1"/>
  <c r="BK4" i="4" s="1"/>
  <c r="BL4" i="4" s="1"/>
  <c r="AC4" i="4"/>
  <c r="AD94" i="4"/>
  <c r="H101" i="13" s="1"/>
  <c r="H105" i="13" l="1"/>
  <c r="H104" i="13"/>
  <c r="H102" i="13"/>
  <c r="H103" i="13"/>
  <c r="AF4" i="7"/>
  <c r="AE260" i="7"/>
  <c r="G155" i="8"/>
  <c r="G134" i="8"/>
  <c r="G113" i="8"/>
  <c r="G92" i="8"/>
  <c r="B53" i="7"/>
  <c r="A53" i="7" a="1"/>
  <c r="A53" i="7" s="1"/>
  <c r="B52" i="7"/>
  <c r="A52" i="7" a="1"/>
  <c r="A52" i="7" s="1"/>
  <c r="B51" i="7"/>
  <c r="A51" i="7" a="1"/>
  <c r="A51" i="7" s="1"/>
  <c r="B50" i="7"/>
  <c r="A50" i="7" a="1"/>
  <c r="A50" i="7" s="1"/>
  <c r="B49" i="7"/>
  <c r="A49" i="7" a="1"/>
  <c r="A49" i="7" s="1"/>
  <c r="B48" i="7"/>
  <c r="A48" i="7" a="1"/>
  <c r="A48" i="7" s="1"/>
  <c r="AG4" i="7" l="1"/>
  <c r="AF260" i="7"/>
  <c r="A241" i="7" a="1"/>
  <c r="A241" i="7" s="1"/>
  <c r="A240" i="7" a="1"/>
  <c r="A240" i="7" s="1"/>
  <c r="A239" i="7" a="1"/>
  <c r="A239" i="7" s="1"/>
  <c r="A238" i="7" a="1"/>
  <c r="A238" i="7" s="1"/>
  <c r="A237" i="7" a="1"/>
  <c r="A237" i="7" s="1"/>
  <c r="A236" i="7" a="1"/>
  <c r="A236" i="7" s="1"/>
  <c r="A228" i="7" a="1"/>
  <c r="A228" i="7" s="1"/>
  <c r="A227" i="7" a="1"/>
  <c r="A227" i="7" s="1"/>
  <c r="A226" i="7" a="1"/>
  <c r="A226" i="7" s="1"/>
  <c r="A225" i="7" a="1"/>
  <c r="A225" i="7" s="1"/>
  <c r="A224" i="7" a="1"/>
  <c r="A224" i="7" s="1"/>
  <c r="A223" i="7" a="1"/>
  <c r="A223" i="7" s="1"/>
  <c r="A222" i="7" a="1"/>
  <c r="A222" i="7" s="1"/>
  <c r="A221" i="7" a="1"/>
  <c r="A221" i="7" s="1"/>
  <c r="A220" i="7" a="1"/>
  <c r="A220" i="7" s="1"/>
  <c r="A219" i="7" a="1"/>
  <c r="A219" i="7" s="1"/>
  <c r="A218" i="7" a="1"/>
  <c r="A218" i="7" s="1"/>
  <c r="A217" i="7" a="1"/>
  <c r="A217" i="7" s="1"/>
  <c r="A216" i="7" a="1"/>
  <c r="A216" i="7" s="1"/>
  <c r="A215" i="7" a="1"/>
  <c r="A215" i="7" s="1"/>
  <c r="A214" i="7" a="1"/>
  <c r="A214" i="7" s="1"/>
  <c r="A213" i="7" a="1"/>
  <c r="A213" i="7" s="1"/>
  <c r="A212" i="7" a="1"/>
  <c r="A212" i="7" s="1"/>
  <c r="A211" i="7" a="1"/>
  <c r="A211" i="7" s="1"/>
  <c r="A248" i="7" a="1"/>
  <c r="A248" i="7" s="1"/>
  <c r="A247" i="7" a="1"/>
  <c r="A247" i="7" s="1"/>
  <c r="A246" i="7" a="1"/>
  <c r="A246" i="7" s="1"/>
  <c r="A245" i="7" a="1"/>
  <c r="A245" i="7" s="1"/>
  <c r="A244" i="7" a="1"/>
  <c r="A244" i="7" s="1"/>
  <c r="A243" i="7" a="1"/>
  <c r="A243" i="7" s="1"/>
  <c r="A255" i="7" a="1"/>
  <c r="A255" i="7" s="1"/>
  <c r="A254" i="7" a="1"/>
  <c r="A254" i="7" s="1"/>
  <c r="A253" i="7" a="1"/>
  <c r="A253" i="7" s="1"/>
  <c r="A252" i="7" a="1"/>
  <c r="A252" i="7" s="1"/>
  <c r="A251" i="7" a="1"/>
  <c r="A251" i="7" s="1"/>
  <c r="A250" i="7" a="1"/>
  <c r="A250" i="7" s="1"/>
  <c r="A80" i="6" a="1"/>
  <c r="A80" i="6" s="1"/>
  <c r="A79" i="6" a="1"/>
  <c r="A79" i="6" s="1"/>
  <c r="A78" i="6" a="1"/>
  <c r="A78" i="6" s="1"/>
  <c r="A77" i="6" a="1"/>
  <c r="A77" i="6" s="1"/>
  <c r="A76" i="6" a="1"/>
  <c r="A76" i="6" s="1"/>
  <c r="A75" i="6" a="1"/>
  <c r="A75" i="6" s="1"/>
  <c r="A72" i="6" a="1"/>
  <c r="A72" i="6" s="1"/>
  <c r="A71" i="6" a="1"/>
  <c r="A71" i="6" s="1"/>
  <c r="A70" i="6" a="1"/>
  <c r="A70" i="6" s="1"/>
  <c r="A69" i="6" a="1"/>
  <c r="A69" i="6" s="1"/>
  <c r="A68" i="6" a="1"/>
  <c r="A68" i="6" s="1"/>
  <c r="A67" i="6" a="1"/>
  <c r="A67" i="6" s="1"/>
  <c r="A66" i="6" a="1"/>
  <c r="A66" i="6" s="1"/>
  <c r="A65" i="6" a="1"/>
  <c r="A65" i="6" s="1"/>
  <c r="A64" i="6" a="1"/>
  <c r="A64" i="6" s="1"/>
  <c r="A63" i="6" a="1"/>
  <c r="A63" i="6" s="1"/>
  <c r="A53" i="6" a="1"/>
  <c r="A53" i="6" s="1"/>
  <c r="A52" i="6" a="1"/>
  <c r="A52" i="6" s="1"/>
  <c r="A51" i="6" a="1"/>
  <c r="A51" i="6" s="1"/>
  <c r="A50" i="6" a="1"/>
  <c r="A50" i="6" s="1"/>
  <c r="A49" i="6" a="1"/>
  <c r="A49" i="6" s="1"/>
  <c r="A48" i="6" a="1"/>
  <c r="A48" i="6" s="1"/>
  <c r="A47" i="6" a="1"/>
  <c r="A47" i="6" s="1"/>
  <c r="A46" i="6" a="1"/>
  <c r="A46" i="6" s="1"/>
  <c r="A45" i="6" a="1"/>
  <c r="A45" i="6" s="1"/>
  <c r="A44" i="6" a="1"/>
  <c r="A44" i="6" s="1"/>
  <c r="B59" i="5"/>
  <c r="A59" i="5" a="1"/>
  <c r="A59" i="5" s="1"/>
  <c r="B58" i="5"/>
  <c r="A58" i="5" a="1"/>
  <c r="A58" i="5" s="1"/>
  <c r="B57" i="5"/>
  <c r="A57" i="5" a="1"/>
  <c r="A57" i="5" s="1"/>
  <c r="B56" i="5"/>
  <c r="A56" i="5" a="1"/>
  <c r="A56" i="5" s="1"/>
  <c r="B55" i="5"/>
  <c r="A55" i="5" a="1"/>
  <c r="A55" i="5" s="1"/>
  <c r="B54" i="5"/>
  <c r="A54" i="5" a="1"/>
  <c r="A54" i="5" s="1"/>
  <c r="B53" i="5"/>
  <c r="A53" i="5" a="1"/>
  <c r="A53" i="5" s="1"/>
  <c r="B52" i="5"/>
  <c r="A52" i="5" a="1"/>
  <c r="A52" i="5" s="1"/>
  <c r="B51" i="5"/>
  <c r="A51" i="5" a="1"/>
  <c r="A51" i="5" s="1"/>
  <c r="B50" i="5"/>
  <c r="A50" i="5" a="1"/>
  <c r="A50" i="5" s="1"/>
  <c r="B49" i="5"/>
  <c r="A49" i="5" a="1"/>
  <c r="A49" i="5" s="1"/>
  <c r="B48" i="5"/>
  <c r="A48" i="5" a="1"/>
  <c r="A48" i="5" s="1"/>
  <c r="B47" i="5"/>
  <c r="A47" i="5" a="1"/>
  <c r="A47" i="5" s="1"/>
  <c r="B46" i="5"/>
  <c r="A46" i="5" a="1"/>
  <c r="A46" i="5" s="1"/>
  <c r="B45" i="5"/>
  <c r="A45" i="5" a="1"/>
  <c r="A45" i="5" s="1"/>
  <c r="B44" i="5"/>
  <c r="A44" i="5" a="1"/>
  <c r="A44" i="5" s="1"/>
  <c r="B43" i="5"/>
  <c r="A43" i="5" a="1"/>
  <c r="A43" i="5" s="1"/>
  <c r="B42" i="5"/>
  <c r="A42" i="5" a="1"/>
  <c r="A42" i="5" s="1"/>
  <c r="B41" i="5"/>
  <c r="A41" i="5" a="1"/>
  <c r="A41" i="5" s="1"/>
  <c r="B40" i="5"/>
  <c r="A40" i="5" a="1"/>
  <c r="A40" i="5" s="1"/>
  <c r="B39" i="5"/>
  <c r="A39" i="5" a="1"/>
  <c r="A39" i="5" s="1"/>
  <c r="B38" i="5"/>
  <c r="A38" i="5" a="1"/>
  <c r="A38" i="5" s="1"/>
  <c r="B37" i="5"/>
  <c r="A37" i="5" a="1"/>
  <c r="A37" i="5" s="1"/>
  <c r="B36" i="5"/>
  <c r="A36" i="5" a="1"/>
  <c r="A36" i="5" s="1"/>
  <c r="B35" i="5"/>
  <c r="A35" i="5" a="1"/>
  <c r="A35" i="5" s="1"/>
  <c r="B34" i="5"/>
  <c r="A34" i="5" a="1"/>
  <c r="A34" i="5" s="1"/>
  <c r="B33" i="5"/>
  <c r="A33" i="5" a="1"/>
  <c r="A33" i="5" s="1"/>
  <c r="B32" i="5"/>
  <c r="A32" i="5" a="1"/>
  <c r="A32" i="5" s="1"/>
  <c r="B31" i="5"/>
  <c r="A31" i="5" a="1"/>
  <c r="A31" i="5" s="1"/>
  <c r="B30" i="5"/>
  <c r="A30" i="5" a="1"/>
  <c r="A30" i="5" s="1"/>
  <c r="B29" i="5"/>
  <c r="A29" i="5" a="1"/>
  <c r="A29" i="5" s="1"/>
  <c r="B28" i="5"/>
  <c r="A28" i="5" a="1"/>
  <c r="A28" i="5" s="1"/>
  <c r="B27" i="5"/>
  <c r="A27" i="5" a="1"/>
  <c r="A27" i="5" s="1"/>
  <c r="B26" i="5"/>
  <c r="A26" i="5" a="1"/>
  <c r="A26" i="5" s="1"/>
  <c r="B25" i="5"/>
  <c r="A25" i="5" a="1"/>
  <c r="A25" i="5" s="1"/>
  <c r="B24" i="5"/>
  <c r="A24" i="5" a="1"/>
  <c r="A24" i="5" s="1"/>
  <c r="B23" i="5"/>
  <c r="A23" i="5" a="1"/>
  <c r="A23" i="5" s="1"/>
  <c r="B22" i="5"/>
  <c r="A22" i="5" a="1"/>
  <c r="A22" i="5" s="1"/>
  <c r="B21" i="5"/>
  <c r="A21" i="5" a="1"/>
  <c r="A21" i="5" s="1"/>
  <c r="B20" i="5"/>
  <c r="A20" i="5" a="1"/>
  <c r="A20" i="5" s="1"/>
  <c r="B19" i="5"/>
  <c r="A19" i="5" a="1"/>
  <c r="A19" i="5" s="1"/>
  <c r="B18" i="5"/>
  <c r="A18" i="5" a="1"/>
  <c r="A18" i="5" s="1"/>
  <c r="B17" i="5"/>
  <c r="A17" i="5" a="1"/>
  <c r="A17" i="5" s="1"/>
  <c r="B16" i="5"/>
  <c r="A16" i="5" a="1"/>
  <c r="A16" i="5" s="1"/>
  <c r="B15" i="5"/>
  <c r="A15" i="5" a="1"/>
  <c r="A15" i="5" s="1"/>
  <c r="B14" i="5"/>
  <c r="A14" i="5" a="1"/>
  <c r="A14" i="5" s="1"/>
  <c r="B13" i="5"/>
  <c r="A13" i="5" a="1"/>
  <c r="A13" i="5" s="1"/>
  <c r="B12" i="5"/>
  <c r="A12" i="5" a="1"/>
  <c r="A12" i="5" s="1"/>
  <c r="B111" i="5"/>
  <c r="A111" i="5" a="1"/>
  <c r="A111" i="5" s="1"/>
  <c r="B110" i="5"/>
  <c r="A110" i="5" a="1"/>
  <c r="A110" i="5" s="1"/>
  <c r="B109" i="5"/>
  <c r="A109" i="5" a="1"/>
  <c r="A109" i="5" s="1"/>
  <c r="B108" i="5"/>
  <c r="A108" i="5" a="1"/>
  <c r="A108" i="5" s="1"/>
  <c r="B107" i="5"/>
  <c r="A107" i="5" a="1"/>
  <c r="A107" i="5" s="1"/>
  <c r="B106" i="5"/>
  <c r="A106" i="5" a="1"/>
  <c r="A106" i="5" s="1"/>
  <c r="B105" i="5"/>
  <c r="A105" i="5" a="1"/>
  <c r="A105" i="5" s="1"/>
  <c r="B104" i="5"/>
  <c r="A104" i="5" a="1"/>
  <c r="A104" i="5" s="1"/>
  <c r="B103" i="5"/>
  <c r="A103" i="5" a="1"/>
  <c r="A103" i="5" s="1"/>
  <c r="B102" i="5"/>
  <c r="A102" i="5" a="1"/>
  <c r="A102" i="5" s="1"/>
  <c r="B101" i="5"/>
  <c r="A101" i="5" a="1"/>
  <c r="A101" i="5" s="1"/>
  <c r="B100" i="5"/>
  <c r="A100" i="5" a="1"/>
  <c r="A100" i="5" s="1"/>
  <c r="B99" i="5"/>
  <c r="A99" i="5" a="1"/>
  <c r="A99" i="5" s="1"/>
  <c r="B98" i="5"/>
  <c r="A98" i="5" a="1"/>
  <c r="A98" i="5" s="1"/>
  <c r="B97" i="5"/>
  <c r="A97" i="5" a="1"/>
  <c r="A97" i="5" s="1"/>
  <c r="B96" i="5"/>
  <c r="A96" i="5" a="1"/>
  <c r="A96" i="5" s="1"/>
  <c r="B95" i="5"/>
  <c r="A95" i="5" a="1"/>
  <c r="A95" i="5" s="1"/>
  <c r="B94" i="5"/>
  <c r="A94" i="5" a="1"/>
  <c r="A94" i="5" s="1"/>
  <c r="B93" i="5"/>
  <c r="A93" i="5" a="1"/>
  <c r="A93" i="5" s="1"/>
  <c r="B92" i="5"/>
  <c r="A92" i="5" a="1"/>
  <c r="A92" i="5" s="1"/>
  <c r="B91" i="5"/>
  <c r="A91" i="5" a="1"/>
  <c r="A91" i="5" s="1"/>
  <c r="B90" i="5"/>
  <c r="A90" i="5" a="1"/>
  <c r="A90" i="5" s="1"/>
  <c r="B89" i="5"/>
  <c r="A89" i="5" a="1"/>
  <c r="A89" i="5" s="1"/>
  <c r="B88" i="5"/>
  <c r="A88" i="5" a="1"/>
  <c r="A88" i="5" s="1"/>
  <c r="B87" i="5"/>
  <c r="A87" i="5" a="1"/>
  <c r="A87" i="5" s="1"/>
  <c r="B86" i="5"/>
  <c r="A86" i="5" a="1"/>
  <c r="A86" i="5" s="1"/>
  <c r="B85" i="5"/>
  <c r="A85" i="5" a="1"/>
  <c r="A85" i="5" s="1"/>
  <c r="B84" i="5"/>
  <c r="A84" i="5" a="1"/>
  <c r="A84" i="5" s="1"/>
  <c r="B83" i="5"/>
  <c r="A83" i="5" a="1"/>
  <c r="A83" i="5" s="1"/>
  <c r="B82" i="5"/>
  <c r="A82" i="5" a="1"/>
  <c r="A82" i="5" s="1"/>
  <c r="B81" i="5"/>
  <c r="A81" i="5" a="1"/>
  <c r="A81" i="5" s="1"/>
  <c r="B80" i="5"/>
  <c r="A80" i="5" a="1"/>
  <c r="A80" i="5" s="1"/>
  <c r="B79" i="5"/>
  <c r="A79" i="5" a="1"/>
  <c r="A79" i="5" s="1"/>
  <c r="B78" i="5"/>
  <c r="A78" i="5" a="1"/>
  <c r="A78" i="5" s="1"/>
  <c r="B77" i="5"/>
  <c r="A77" i="5" a="1"/>
  <c r="A77" i="5" s="1"/>
  <c r="B76" i="5"/>
  <c r="A76" i="5" a="1"/>
  <c r="A76" i="5" s="1"/>
  <c r="B75" i="5"/>
  <c r="A75" i="5" a="1"/>
  <c r="A75" i="5" s="1"/>
  <c r="B74" i="5"/>
  <c r="A74" i="5" a="1"/>
  <c r="A74" i="5" s="1"/>
  <c r="B73" i="5"/>
  <c r="A73" i="5" a="1"/>
  <c r="A73" i="5" s="1"/>
  <c r="B72" i="5"/>
  <c r="A72" i="5" a="1"/>
  <c r="A72" i="5" s="1"/>
  <c r="B71" i="5"/>
  <c r="A71" i="5" a="1"/>
  <c r="A71" i="5" s="1"/>
  <c r="B70" i="5"/>
  <c r="A70" i="5" a="1"/>
  <c r="A70" i="5" s="1"/>
  <c r="B69" i="5"/>
  <c r="A69" i="5" a="1"/>
  <c r="A69" i="5" s="1"/>
  <c r="B68" i="5"/>
  <c r="A68" i="5" a="1"/>
  <c r="A68" i="5" s="1"/>
  <c r="B67" i="5"/>
  <c r="A67" i="5" a="1"/>
  <c r="A67" i="5" s="1"/>
  <c r="B66" i="5"/>
  <c r="A66" i="5" a="1"/>
  <c r="A66" i="5" s="1"/>
  <c r="B65" i="5"/>
  <c r="A65" i="5" a="1"/>
  <c r="A65" i="5" s="1"/>
  <c r="B64" i="5"/>
  <c r="A64" i="5" a="1"/>
  <c r="A64" i="5" s="1"/>
  <c r="G272" i="10"/>
  <c r="R270" i="10"/>
  <c r="L270" i="10"/>
  <c r="G241" i="10"/>
  <c r="H240" i="10"/>
  <c r="G240" i="10"/>
  <c r="G239" i="10"/>
  <c r="G237" i="10"/>
  <c r="AA236" i="10"/>
  <c r="AA302" i="10" s="1"/>
  <c r="Z236" i="10"/>
  <c r="Z302" i="10" s="1"/>
  <c r="Y236" i="10"/>
  <c r="X236" i="10"/>
  <c r="W236" i="10"/>
  <c r="V236" i="10"/>
  <c r="U236" i="10"/>
  <c r="U302" i="10" s="1"/>
  <c r="T236" i="10"/>
  <c r="T302" i="10" s="1"/>
  <c r="S236" i="10"/>
  <c r="S302" i="10" s="1"/>
  <c r="R236" i="10"/>
  <c r="R302" i="10" s="1"/>
  <c r="Q236" i="10"/>
  <c r="P236" i="10"/>
  <c r="O236" i="10"/>
  <c r="N236" i="10"/>
  <c r="M236" i="10"/>
  <c r="M270" i="10" s="1"/>
  <c r="L236" i="10"/>
  <c r="L302" i="10" s="1"/>
  <c r="K236" i="10"/>
  <c r="K302" i="10" s="1"/>
  <c r="J236" i="10"/>
  <c r="J302" i="10" s="1"/>
  <c r="I236" i="10"/>
  <c r="I270" i="10" s="1"/>
  <c r="H236" i="10"/>
  <c r="G236" i="10"/>
  <c r="G270" i="10" s="1"/>
  <c r="G227" i="10"/>
  <c r="G261" i="10" s="1"/>
  <c r="G225" i="10"/>
  <c r="G224" i="10"/>
  <c r="G238" i="10" s="1"/>
  <c r="G304" i="10" s="1"/>
  <c r="G223" i="10"/>
  <c r="AA214" i="10"/>
  <c r="AA241" i="10" s="1"/>
  <c r="Z214" i="10"/>
  <c r="Z241" i="10" s="1"/>
  <c r="Y214" i="10"/>
  <c r="Y241" i="10" s="1"/>
  <c r="X214" i="10"/>
  <c r="X241" i="10" s="1"/>
  <c r="W214" i="10"/>
  <c r="W241" i="10" s="1"/>
  <c r="V214" i="10"/>
  <c r="V241" i="10" s="1"/>
  <c r="AB241" i="10" s="1"/>
  <c r="U214" i="10"/>
  <c r="U241" i="10" s="1"/>
  <c r="T214" i="10"/>
  <c r="T241" i="10" s="1"/>
  <c r="S214" i="10"/>
  <c r="S241" i="10" s="1"/>
  <c r="R214" i="10"/>
  <c r="R241" i="10" s="1"/>
  <c r="Q214" i="10"/>
  <c r="Q241" i="10" s="1"/>
  <c r="P214" i="10"/>
  <c r="P241" i="10" s="1"/>
  <c r="O214" i="10"/>
  <c r="O241" i="10" s="1"/>
  <c r="N214" i="10"/>
  <c r="N241" i="10" s="1"/>
  <c r="M214" i="10"/>
  <c r="M241" i="10" s="1"/>
  <c r="L214" i="10"/>
  <c r="L241" i="10" s="1"/>
  <c r="K214" i="10"/>
  <c r="K241" i="10" s="1"/>
  <c r="J214" i="10"/>
  <c r="J241" i="10" s="1"/>
  <c r="I214" i="10"/>
  <c r="I241" i="10" s="1"/>
  <c r="I275" i="10" s="1"/>
  <c r="H214" i="10"/>
  <c r="H241" i="10" s="1"/>
  <c r="AA207" i="10"/>
  <c r="Z207" i="10"/>
  <c r="Y207" i="10"/>
  <c r="Y227" i="10" s="1"/>
  <c r="X207" i="10"/>
  <c r="X227" i="10" s="1"/>
  <c r="W207" i="10"/>
  <c r="W227" i="10" s="1"/>
  <c r="W293" i="10" s="1"/>
  <c r="V207" i="10"/>
  <c r="V240" i="10" s="1"/>
  <c r="V306" i="10" s="1"/>
  <c r="AB306" i="10" s="1"/>
  <c r="U207" i="10"/>
  <c r="T207" i="10"/>
  <c r="S207" i="10"/>
  <c r="S240" i="10" s="1"/>
  <c r="R207" i="10"/>
  <c r="R227" i="10" s="1"/>
  <c r="Q207" i="10"/>
  <c r="Q227" i="10" s="1"/>
  <c r="P207" i="10"/>
  <c r="P227" i="10" s="1"/>
  <c r="O207" i="10"/>
  <c r="O227" i="10" s="1"/>
  <c r="N207" i="10"/>
  <c r="N240" i="10" s="1"/>
  <c r="N306" i="10" s="1"/>
  <c r="M207" i="10"/>
  <c r="M240" i="10" s="1"/>
  <c r="L207" i="10"/>
  <c r="L240" i="10" s="1"/>
  <c r="L306" i="10" s="1"/>
  <c r="K207" i="10"/>
  <c r="J207" i="10"/>
  <c r="I207" i="10"/>
  <c r="I227" i="10" s="1"/>
  <c r="H207" i="10"/>
  <c r="H227" i="10" s="1"/>
  <c r="C168" i="10"/>
  <c r="B168" i="10"/>
  <c r="C167" i="10"/>
  <c r="B167" i="10"/>
  <c r="C166" i="10"/>
  <c r="B166" i="10"/>
  <c r="C165" i="10"/>
  <c r="B165" i="10"/>
  <c r="C160" i="10"/>
  <c r="B160" i="10"/>
  <c r="C159" i="10"/>
  <c r="B159" i="10"/>
  <c r="C158" i="10"/>
  <c r="C164" i="10" s="1"/>
  <c r="B158" i="10"/>
  <c r="B164" i="10" s="1"/>
  <c r="C147" i="10"/>
  <c r="B147" i="10"/>
  <c r="C146" i="10"/>
  <c r="B146" i="10"/>
  <c r="C145" i="10"/>
  <c r="B145" i="10"/>
  <c r="C144" i="10"/>
  <c r="B144" i="10"/>
  <c r="C139" i="10"/>
  <c r="B139" i="10"/>
  <c r="C138" i="10"/>
  <c r="B138" i="10"/>
  <c r="C137" i="10"/>
  <c r="C143" i="10" s="1"/>
  <c r="B137" i="10"/>
  <c r="B143" i="10" s="1"/>
  <c r="C126" i="10"/>
  <c r="B126" i="10"/>
  <c r="C125" i="10"/>
  <c r="B125" i="10"/>
  <c r="C124" i="10"/>
  <c r="B124" i="10"/>
  <c r="C123" i="10"/>
  <c r="B123" i="10"/>
  <c r="C118" i="10"/>
  <c r="B118" i="10"/>
  <c r="C117" i="10"/>
  <c r="B117" i="10"/>
  <c r="C116" i="10"/>
  <c r="C122" i="10" s="1"/>
  <c r="B116" i="10"/>
  <c r="B122" i="10" s="1"/>
  <c r="C105" i="10"/>
  <c r="B105" i="10"/>
  <c r="C104" i="10"/>
  <c r="B104" i="10"/>
  <c r="C103" i="10"/>
  <c r="B103" i="10"/>
  <c r="C102" i="10"/>
  <c r="B102" i="10"/>
  <c r="C97" i="10"/>
  <c r="B97" i="10"/>
  <c r="C96" i="10"/>
  <c r="B96" i="10"/>
  <c r="C95" i="10"/>
  <c r="C101" i="10" s="1"/>
  <c r="B95" i="10"/>
  <c r="B101" i="10" s="1"/>
  <c r="K84" i="10"/>
  <c r="K235" i="10" s="1"/>
  <c r="AA75" i="10"/>
  <c r="Z75" i="10"/>
  <c r="Y75" i="10"/>
  <c r="X75" i="10"/>
  <c r="W75" i="10"/>
  <c r="V75" i="10"/>
  <c r="U75" i="10"/>
  <c r="T75" i="10"/>
  <c r="S75" i="10"/>
  <c r="R75" i="10"/>
  <c r="Q75" i="10"/>
  <c r="P75" i="10"/>
  <c r="O75" i="10"/>
  <c r="N75" i="10"/>
  <c r="M75" i="10"/>
  <c r="L75" i="10"/>
  <c r="K75" i="10"/>
  <c r="J75" i="10"/>
  <c r="I75" i="10"/>
  <c r="H75" i="10"/>
  <c r="G75" i="10"/>
  <c r="E73" i="10"/>
  <c r="E80" i="10" s="1"/>
  <c r="E72" i="10"/>
  <c r="E79" i="10" s="1"/>
  <c r="E71" i="10"/>
  <c r="E78" i="10" s="1"/>
  <c r="AA61" i="10"/>
  <c r="AA84" i="10" s="1"/>
  <c r="AA235" i="10" s="1"/>
  <c r="Z61" i="10"/>
  <c r="Y61" i="10"/>
  <c r="Y84" i="10" s="1"/>
  <c r="Y235" i="10" s="1"/>
  <c r="X61" i="10"/>
  <c r="X84" i="10" s="1"/>
  <c r="X235" i="10" s="1"/>
  <c r="W61" i="10"/>
  <c r="V61" i="10"/>
  <c r="V84" i="10" s="1"/>
  <c r="V235" i="10" s="1"/>
  <c r="U61" i="10"/>
  <c r="U84" i="10" s="1"/>
  <c r="U235" i="10" s="1"/>
  <c r="T61" i="10"/>
  <c r="T84" i="10" s="1"/>
  <c r="T235" i="10" s="1"/>
  <c r="S61" i="10"/>
  <c r="S84" i="10" s="1"/>
  <c r="S235" i="10" s="1"/>
  <c r="R61" i="10"/>
  <c r="R84" i="10" s="1"/>
  <c r="R235" i="10" s="1"/>
  <c r="Q61" i="10"/>
  <c r="Q84" i="10" s="1"/>
  <c r="Q235" i="10" s="1"/>
  <c r="P61" i="10"/>
  <c r="P84" i="10" s="1"/>
  <c r="P235" i="10" s="1"/>
  <c r="O61" i="10"/>
  <c r="N61" i="10"/>
  <c r="N84" i="10" s="1"/>
  <c r="N235" i="10" s="1"/>
  <c r="M61" i="10"/>
  <c r="M84" i="10" s="1"/>
  <c r="M235" i="10" s="1"/>
  <c r="L61" i="10"/>
  <c r="L84" i="10" s="1"/>
  <c r="L235" i="10" s="1"/>
  <c r="K61" i="10"/>
  <c r="J61" i="10"/>
  <c r="J84" i="10" s="1"/>
  <c r="J235" i="10" s="1"/>
  <c r="I61" i="10"/>
  <c r="I84" i="10" s="1"/>
  <c r="I235" i="10" s="1"/>
  <c r="H61" i="10"/>
  <c r="H84" i="10" s="1"/>
  <c r="H235" i="10" s="1"/>
  <c r="G61" i="10"/>
  <c r="E59" i="10"/>
  <c r="E66" i="10" s="1"/>
  <c r="E58" i="10"/>
  <c r="E65" i="10" s="1"/>
  <c r="E57" i="10"/>
  <c r="E64" i="10" s="1"/>
  <c r="AA48" i="10"/>
  <c r="Z48" i="10"/>
  <c r="Y48" i="10"/>
  <c r="X48" i="10"/>
  <c r="W48" i="10"/>
  <c r="V48" i="10"/>
  <c r="U48" i="10"/>
  <c r="T48" i="10"/>
  <c r="S48" i="10"/>
  <c r="R48" i="10"/>
  <c r="Q48" i="10"/>
  <c r="P48" i="10"/>
  <c r="O48" i="10"/>
  <c r="N48" i="10"/>
  <c r="M48" i="10"/>
  <c r="L48" i="10"/>
  <c r="K48" i="10"/>
  <c r="J48" i="10"/>
  <c r="I48" i="10"/>
  <c r="H48" i="10"/>
  <c r="G48" i="10"/>
  <c r="E40" i="10"/>
  <c r="E48" i="10" s="1"/>
  <c r="E39" i="10"/>
  <c r="E47" i="10" s="1"/>
  <c r="E38" i="10"/>
  <c r="E46" i="10" s="1"/>
  <c r="E37" i="10"/>
  <c r="E45" i="10" s="1"/>
  <c r="AA32" i="10"/>
  <c r="Z32" i="10"/>
  <c r="Y32" i="10"/>
  <c r="X32" i="10"/>
  <c r="W32" i="10"/>
  <c r="V32" i="10"/>
  <c r="U32" i="10"/>
  <c r="T32" i="10"/>
  <c r="S32" i="10"/>
  <c r="R32" i="10"/>
  <c r="Q32" i="10"/>
  <c r="P32" i="10"/>
  <c r="O32" i="10"/>
  <c r="N32" i="10"/>
  <c r="M32" i="10"/>
  <c r="L32" i="10"/>
  <c r="K32" i="10"/>
  <c r="J32" i="10"/>
  <c r="I32" i="10"/>
  <c r="H32" i="10"/>
  <c r="G32" i="10"/>
  <c r="E32" i="10"/>
  <c r="E23" i="10"/>
  <c r="E31" i="10" s="1"/>
  <c r="E22" i="10"/>
  <c r="E30" i="10" s="1"/>
  <c r="E21" i="10"/>
  <c r="E29" i="10" s="1"/>
  <c r="G18" i="10"/>
  <c r="H18" i="10" s="1"/>
  <c r="I18" i="10" s="1"/>
  <c r="J18" i="10" s="1"/>
  <c r="K18" i="10" s="1"/>
  <c r="L18" i="10" s="1"/>
  <c r="M18" i="10" s="1"/>
  <c r="N18" i="10" s="1"/>
  <c r="O18" i="10" s="1"/>
  <c r="P18" i="10" s="1"/>
  <c r="Q18" i="10" s="1"/>
  <c r="R18" i="10" s="1"/>
  <c r="S18" i="10" s="1"/>
  <c r="T18" i="10" s="1"/>
  <c r="U18" i="10" s="1"/>
  <c r="V18" i="10" s="1"/>
  <c r="W18" i="10" s="1"/>
  <c r="X18" i="10" s="1"/>
  <c r="Y18" i="10" s="1"/>
  <c r="Z18" i="10" s="1"/>
  <c r="AA18" i="10" s="1"/>
  <c r="G17" i="10"/>
  <c r="G15" i="10"/>
  <c r="U66" i="10"/>
  <c r="W79" i="10"/>
  <c r="U78" i="10"/>
  <c r="A1" i="10" a="1"/>
  <c r="A1" i="10" s="1"/>
  <c r="Q307" i="9"/>
  <c r="X302" i="9"/>
  <c r="V302" i="9"/>
  <c r="N302" i="9"/>
  <c r="H302" i="9"/>
  <c r="V270" i="9"/>
  <c r="G258" i="9"/>
  <c r="G241" i="9"/>
  <c r="G307" i="9" s="1"/>
  <c r="G240" i="9"/>
  <c r="G306" i="9" s="1"/>
  <c r="G239" i="9"/>
  <c r="G273" i="9" s="1"/>
  <c r="G237" i="9"/>
  <c r="G303" i="9" s="1"/>
  <c r="AA236" i="9"/>
  <c r="AA302" i="9" s="1"/>
  <c r="Z236" i="9"/>
  <c r="Z302" i="9" s="1"/>
  <c r="Y236" i="9"/>
  <c r="X236" i="9"/>
  <c r="X270" i="9" s="1"/>
  <c r="W236" i="9"/>
  <c r="W270" i="9" s="1"/>
  <c r="V236" i="9"/>
  <c r="U236" i="9"/>
  <c r="U270" i="9" s="1"/>
  <c r="T236" i="9"/>
  <c r="T302" i="9" s="1"/>
  <c r="S236" i="9"/>
  <c r="S302" i="9" s="1"/>
  <c r="R236" i="9"/>
  <c r="R302" i="9" s="1"/>
  <c r="Q236" i="9"/>
  <c r="P236" i="9"/>
  <c r="P302" i="9" s="1"/>
  <c r="O236" i="9"/>
  <c r="O270" i="9" s="1"/>
  <c r="N236" i="9"/>
  <c r="N270" i="9" s="1"/>
  <c r="M236" i="9"/>
  <c r="M270" i="9" s="1"/>
  <c r="L236" i="9"/>
  <c r="L302" i="9" s="1"/>
  <c r="K236" i="9"/>
  <c r="K302" i="9" s="1"/>
  <c r="J236" i="9"/>
  <c r="J302" i="9" s="1"/>
  <c r="I236" i="9"/>
  <c r="H236" i="9"/>
  <c r="H270" i="9" s="1"/>
  <c r="G236" i="9"/>
  <c r="G270" i="9" s="1"/>
  <c r="K227" i="9"/>
  <c r="K293" i="9" s="1"/>
  <c r="G227" i="9"/>
  <c r="G261" i="9" s="1"/>
  <c r="G225" i="9"/>
  <c r="G224" i="9"/>
  <c r="G290" i="9" s="1"/>
  <c r="G223" i="9"/>
  <c r="G257" i="9" s="1"/>
  <c r="AA214" i="9"/>
  <c r="AA241" i="9" s="1"/>
  <c r="Z214" i="9"/>
  <c r="Z241" i="9" s="1"/>
  <c r="Y214" i="9"/>
  <c r="Y241" i="9" s="1"/>
  <c r="X214" i="9"/>
  <c r="X241" i="9" s="1"/>
  <c r="W214" i="9"/>
  <c r="W241" i="9" s="1"/>
  <c r="V214" i="9"/>
  <c r="V241" i="9" s="1"/>
  <c r="AB241" i="9" s="1"/>
  <c r="U214" i="9"/>
  <c r="U241" i="9" s="1"/>
  <c r="T214" i="9"/>
  <c r="T241" i="9" s="1"/>
  <c r="S214" i="9"/>
  <c r="S241" i="9" s="1"/>
  <c r="R214" i="9"/>
  <c r="R241" i="9" s="1"/>
  <c r="R275" i="9" s="1"/>
  <c r="Q214" i="9"/>
  <c r="Q241" i="9" s="1"/>
  <c r="Q275" i="9" s="1"/>
  <c r="P214" i="9"/>
  <c r="P241" i="9" s="1"/>
  <c r="P275" i="9" s="1"/>
  <c r="O214" i="9"/>
  <c r="O241" i="9" s="1"/>
  <c r="N214" i="9"/>
  <c r="N241" i="9" s="1"/>
  <c r="M214" i="9"/>
  <c r="M241" i="9" s="1"/>
  <c r="L214" i="9"/>
  <c r="L241" i="9" s="1"/>
  <c r="L307" i="9" s="1"/>
  <c r="K214" i="9"/>
  <c r="K241" i="9" s="1"/>
  <c r="K275" i="9" s="1"/>
  <c r="J214" i="9"/>
  <c r="J241" i="9" s="1"/>
  <c r="I214" i="9"/>
  <c r="I241" i="9" s="1"/>
  <c r="H214" i="9"/>
  <c r="H241" i="9" s="1"/>
  <c r="AA207" i="9"/>
  <c r="AA240" i="9" s="1"/>
  <c r="Z207" i="9"/>
  <c r="Z227" i="9" s="1"/>
  <c r="Y207" i="9"/>
  <c r="X207" i="9"/>
  <c r="W207" i="9"/>
  <c r="W227" i="9" s="1"/>
  <c r="V207" i="9"/>
  <c r="V240" i="9" s="1"/>
  <c r="V306" i="9" s="1"/>
  <c r="AB306" i="9" s="1"/>
  <c r="U207" i="9"/>
  <c r="U240" i="9" s="1"/>
  <c r="T207" i="9"/>
  <c r="T240" i="9" s="1"/>
  <c r="S207" i="9"/>
  <c r="S240" i="9" s="1"/>
  <c r="R207" i="9"/>
  <c r="R227" i="9" s="1"/>
  <c r="Q207" i="9"/>
  <c r="Q227" i="9" s="1"/>
  <c r="Q293" i="9" s="1"/>
  <c r="P207" i="9"/>
  <c r="P227" i="9" s="1"/>
  <c r="P293" i="9" s="1"/>
  <c r="O207" i="9"/>
  <c r="O227" i="9" s="1"/>
  <c r="N207" i="9"/>
  <c r="N240" i="9" s="1"/>
  <c r="N274" i="9" s="1"/>
  <c r="M207" i="9"/>
  <c r="M240" i="9" s="1"/>
  <c r="L207" i="9"/>
  <c r="L240" i="9" s="1"/>
  <c r="K207" i="9"/>
  <c r="K240" i="9" s="1"/>
  <c r="J207" i="9"/>
  <c r="J227" i="9" s="1"/>
  <c r="I207" i="9"/>
  <c r="H207" i="9"/>
  <c r="C168" i="9"/>
  <c r="B168" i="9"/>
  <c r="C167" i="9"/>
  <c r="B167" i="9"/>
  <c r="C166" i="9"/>
  <c r="B166" i="9"/>
  <c r="C165" i="9"/>
  <c r="B165" i="9"/>
  <c r="C160" i="9"/>
  <c r="B160" i="9"/>
  <c r="C159" i="9"/>
  <c r="B159" i="9"/>
  <c r="C158" i="9"/>
  <c r="C164" i="9" s="1"/>
  <c r="B158" i="9"/>
  <c r="B164" i="9" s="1"/>
  <c r="C147" i="9"/>
  <c r="B147" i="9"/>
  <c r="C146" i="9"/>
  <c r="B146" i="9"/>
  <c r="C145" i="9"/>
  <c r="B145" i="9"/>
  <c r="C144" i="9"/>
  <c r="B144" i="9"/>
  <c r="C139" i="9"/>
  <c r="B139" i="9"/>
  <c r="C138" i="9"/>
  <c r="B138" i="9"/>
  <c r="C137" i="9"/>
  <c r="C143" i="9" s="1"/>
  <c r="B137" i="9"/>
  <c r="B143" i="9" s="1"/>
  <c r="C126" i="9"/>
  <c r="B126" i="9"/>
  <c r="C125" i="9"/>
  <c r="B125" i="9"/>
  <c r="C124" i="9"/>
  <c r="B124" i="9"/>
  <c r="C123" i="9"/>
  <c r="B123" i="9"/>
  <c r="C118" i="9"/>
  <c r="B118" i="9"/>
  <c r="C117" i="9"/>
  <c r="B117" i="9"/>
  <c r="C116" i="9"/>
  <c r="C122" i="9" s="1"/>
  <c r="B116" i="9"/>
  <c r="B122" i="9" s="1"/>
  <c r="C105" i="9"/>
  <c r="B105" i="9"/>
  <c r="C104" i="9"/>
  <c r="B104" i="9"/>
  <c r="C103" i="9"/>
  <c r="B103" i="9"/>
  <c r="C102" i="9"/>
  <c r="B102" i="9"/>
  <c r="C97" i="9"/>
  <c r="B97" i="9"/>
  <c r="C96" i="9"/>
  <c r="B96" i="9"/>
  <c r="C95" i="9"/>
  <c r="C101" i="9" s="1"/>
  <c r="B95" i="9"/>
  <c r="B101" i="9" s="1"/>
  <c r="X84" i="9"/>
  <c r="X235" i="9" s="1"/>
  <c r="H84" i="9"/>
  <c r="H235" i="9" s="1"/>
  <c r="AA75" i="9"/>
  <c r="Z75" i="9"/>
  <c r="Y75" i="9"/>
  <c r="X75" i="9"/>
  <c r="W75" i="9"/>
  <c r="V75" i="9"/>
  <c r="U75" i="9"/>
  <c r="T75" i="9"/>
  <c r="S75" i="9"/>
  <c r="R75" i="9"/>
  <c r="Q75" i="9"/>
  <c r="P75" i="9"/>
  <c r="O75" i="9"/>
  <c r="N75" i="9"/>
  <c r="M75" i="9"/>
  <c r="L75" i="9"/>
  <c r="K75" i="9"/>
  <c r="J75" i="9"/>
  <c r="I75" i="9"/>
  <c r="H75" i="9"/>
  <c r="G75" i="9"/>
  <c r="E73" i="9"/>
  <c r="E80" i="9" s="1"/>
  <c r="E72" i="9"/>
  <c r="E79" i="9" s="1"/>
  <c r="E71" i="9"/>
  <c r="E78" i="9" s="1"/>
  <c r="AA61" i="9"/>
  <c r="Z61" i="9"/>
  <c r="Z84" i="9" s="1"/>
  <c r="Z235" i="9" s="1"/>
  <c r="Y61" i="9"/>
  <c r="X61" i="9"/>
  <c r="W61" i="9"/>
  <c r="V61" i="9"/>
  <c r="V84" i="9" s="1"/>
  <c r="V235" i="9" s="1"/>
  <c r="V301" i="9" s="1"/>
  <c r="U61" i="9"/>
  <c r="T61" i="9"/>
  <c r="S61" i="9"/>
  <c r="R61" i="9"/>
  <c r="R84" i="9" s="1"/>
  <c r="R235" i="9" s="1"/>
  <c r="Q61" i="9"/>
  <c r="P61" i="9"/>
  <c r="P84" i="9" s="1"/>
  <c r="P235" i="9" s="1"/>
  <c r="O61" i="9"/>
  <c r="N61" i="9"/>
  <c r="N84" i="9" s="1"/>
  <c r="N235" i="9" s="1"/>
  <c r="M61" i="9"/>
  <c r="L61" i="9"/>
  <c r="K61" i="9"/>
  <c r="J61" i="9"/>
  <c r="J84" i="9" s="1"/>
  <c r="J235" i="9" s="1"/>
  <c r="I61" i="9"/>
  <c r="H61" i="9"/>
  <c r="G61" i="9"/>
  <c r="E59" i="9"/>
  <c r="E66" i="9" s="1"/>
  <c r="E58" i="9"/>
  <c r="E65" i="9" s="1"/>
  <c r="E57" i="9"/>
  <c r="E64" i="9" s="1"/>
  <c r="AA48" i="9"/>
  <c r="Z48" i="9"/>
  <c r="Y48" i="9"/>
  <c r="X48" i="9"/>
  <c r="W48" i="9"/>
  <c r="V48" i="9"/>
  <c r="U48" i="9"/>
  <c r="T48" i="9"/>
  <c r="S48" i="9"/>
  <c r="R48" i="9"/>
  <c r="Q48" i="9"/>
  <c r="P48" i="9"/>
  <c r="O48" i="9"/>
  <c r="N48" i="9"/>
  <c r="M48" i="9"/>
  <c r="L48" i="9"/>
  <c r="K48" i="9"/>
  <c r="J48" i="9"/>
  <c r="I48" i="9"/>
  <c r="H48" i="9"/>
  <c r="G48" i="9"/>
  <c r="E46" i="9"/>
  <c r="E40" i="9"/>
  <c r="E48" i="9" s="1"/>
  <c r="E39" i="9"/>
  <c r="E47" i="9" s="1"/>
  <c r="E38" i="9"/>
  <c r="E37" i="9"/>
  <c r="E45" i="9" s="1"/>
  <c r="AA32" i="9"/>
  <c r="Z32" i="9"/>
  <c r="Y32" i="9"/>
  <c r="X32" i="9"/>
  <c r="W32" i="9"/>
  <c r="V32" i="9"/>
  <c r="U32" i="9"/>
  <c r="T32" i="9"/>
  <c r="S32" i="9"/>
  <c r="R32" i="9"/>
  <c r="Q32" i="9"/>
  <c r="P32" i="9"/>
  <c r="O32" i="9"/>
  <c r="N32" i="9"/>
  <c r="M32" i="9"/>
  <c r="L32" i="9"/>
  <c r="K32" i="9"/>
  <c r="J32" i="9"/>
  <c r="I32" i="9"/>
  <c r="H32" i="9"/>
  <c r="G32" i="9"/>
  <c r="E32" i="9"/>
  <c r="E23" i="9"/>
  <c r="E31" i="9" s="1"/>
  <c r="E22" i="9"/>
  <c r="E30" i="9" s="1"/>
  <c r="E21" i="9"/>
  <c r="E29" i="9" s="1"/>
  <c r="G18" i="9"/>
  <c r="H18" i="9" s="1"/>
  <c r="I18" i="9" s="1"/>
  <c r="J18" i="9" s="1"/>
  <c r="K18" i="9" s="1"/>
  <c r="L18" i="9" s="1"/>
  <c r="M18" i="9" s="1"/>
  <c r="N18" i="9" s="1"/>
  <c r="O18" i="9" s="1"/>
  <c r="P18" i="9" s="1"/>
  <c r="Q18" i="9" s="1"/>
  <c r="R18" i="9" s="1"/>
  <c r="S18" i="9" s="1"/>
  <c r="T18" i="9" s="1"/>
  <c r="U18" i="9" s="1"/>
  <c r="V18" i="9" s="1"/>
  <c r="W18" i="9" s="1"/>
  <c r="X18" i="9" s="1"/>
  <c r="Y18" i="9" s="1"/>
  <c r="Z18" i="9" s="1"/>
  <c r="AA18" i="9" s="1"/>
  <c r="G17" i="9"/>
  <c r="G15" i="9"/>
  <c r="G16" i="9" s="1"/>
  <c r="X80" i="9"/>
  <c r="L46" i="9"/>
  <c r="Z78" i="9"/>
  <c r="A1" i="9" a="1"/>
  <c r="A1" i="9" s="1"/>
  <c r="AA302" i="8"/>
  <c r="T275" i="8"/>
  <c r="L275" i="8"/>
  <c r="Z270" i="8"/>
  <c r="G241" i="8"/>
  <c r="G275" i="8" s="1"/>
  <c r="S240" i="8"/>
  <c r="S274" i="8" s="1"/>
  <c r="G240" i="8"/>
  <c r="G239" i="8"/>
  <c r="G305" i="8" s="1"/>
  <c r="G237" i="8"/>
  <c r="AA236" i="8"/>
  <c r="AA270" i="8" s="1"/>
  <c r="Z236" i="8"/>
  <c r="Z302" i="8" s="1"/>
  <c r="Y236" i="8"/>
  <c r="Y302" i="8" s="1"/>
  <c r="X236" i="8"/>
  <c r="X302" i="8" s="1"/>
  <c r="W236" i="8"/>
  <c r="W302" i="8" s="1"/>
  <c r="V236" i="8"/>
  <c r="U236" i="8"/>
  <c r="T236" i="8"/>
  <c r="S236" i="8"/>
  <c r="S302" i="8" s="1"/>
  <c r="R236" i="8"/>
  <c r="R302" i="8" s="1"/>
  <c r="Q236" i="8"/>
  <c r="Q302" i="8" s="1"/>
  <c r="P236" i="8"/>
  <c r="P302" i="8" s="1"/>
  <c r="O236" i="8"/>
  <c r="O302" i="8" s="1"/>
  <c r="N236" i="8"/>
  <c r="N302" i="8" s="1"/>
  <c r="M236" i="8"/>
  <c r="M302" i="8" s="1"/>
  <c r="L236" i="8"/>
  <c r="K236" i="8"/>
  <c r="K270" i="8" s="1"/>
  <c r="J236" i="8"/>
  <c r="J270" i="8" s="1"/>
  <c r="I236" i="8"/>
  <c r="I302" i="8" s="1"/>
  <c r="H236" i="8"/>
  <c r="H302" i="8" s="1"/>
  <c r="G236" i="8"/>
  <c r="G302" i="8" s="1"/>
  <c r="S227" i="8"/>
  <c r="G227" i="8"/>
  <c r="G293" i="8" s="1"/>
  <c r="G225" i="8"/>
  <c r="G224" i="8"/>
  <c r="G238" i="8" s="1"/>
  <c r="G223" i="8"/>
  <c r="G257" i="8" s="1"/>
  <c r="AA214" i="8"/>
  <c r="AA241" i="8" s="1"/>
  <c r="Z214" i="8"/>
  <c r="Z241" i="8" s="1"/>
  <c r="Y214" i="8"/>
  <c r="Y241" i="8" s="1"/>
  <c r="X214" i="8"/>
  <c r="X241" i="8" s="1"/>
  <c r="W214" i="8"/>
  <c r="W241" i="8" s="1"/>
  <c r="V214" i="8"/>
  <c r="V241" i="8" s="1"/>
  <c r="U214" i="8"/>
  <c r="U241" i="8" s="1"/>
  <c r="T214" i="8"/>
  <c r="T241" i="8" s="1"/>
  <c r="T307" i="8" s="1"/>
  <c r="S214" i="8"/>
  <c r="S241" i="8" s="1"/>
  <c r="R214" i="8"/>
  <c r="R241" i="8" s="1"/>
  <c r="Q214" i="8"/>
  <c r="Q241" i="8" s="1"/>
  <c r="P214" i="8"/>
  <c r="P241" i="8" s="1"/>
  <c r="O214" i="8"/>
  <c r="O241" i="8" s="1"/>
  <c r="N214" i="8"/>
  <c r="N241" i="8" s="1"/>
  <c r="M214" i="8"/>
  <c r="M241" i="8" s="1"/>
  <c r="M307" i="8" s="1"/>
  <c r="L214" i="8"/>
  <c r="L241" i="8" s="1"/>
  <c r="L307" i="8" s="1"/>
  <c r="K214" i="8"/>
  <c r="K241" i="8" s="1"/>
  <c r="J214" i="8"/>
  <c r="J241" i="8" s="1"/>
  <c r="I214" i="8"/>
  <c r="I241" i="8" s="1"/>
  <c r="I307" i="8" s="1"/>
  <c r="H214" i="8"/>
  <c r="H241" i="8" s="1"/>
  <c r="AA207" i="8"/>
  <c r="AA227" i="8" s="1"/>
  <c r="Z207" i="8"/>
  <c r="Z227" i="8" s="1"/>
  <c r="Z261" i="8" s="1"/>
  <c r="Y207" i="8"/>
  <c r="X207" i="8"/>
  <c r="W207" i="8"/>
  <c r="V207" i="8"/>
  <c r="U207" i="8"/>
  <c r="U240" i="8" s="1"/>
  <c r="T207" i="8"/>
  <c r="T240" i="8" s="1"/>
  <c r="T274" i="8" s="1"/>
  <c r="S207" i="8"/>
  <c r="R207" i="8"/>
  <c r="R240" i="8" s="1"/>
  <c r="Q207" i="8"/>
  <c r="P207" i="8"/>
  <c r="O207" i="8"/>
  <c r="N207" i="8"/>
  <c r="M207" i="8"/>
  <c r="M240" i="8" s="1"/>
  <c r="L207" i="8"/>
  <c r="L240" i="8" s="1"/>
  <c r="L306" i="8" s="1"/>
  <c r="K207" i="8"/>
  <c r="K240" i="8" s="1"/>
  <c r="K306" i="8" s="1"/>
  <c r="J207" i="8"/>
  <c r="J240" i="8" s="1"/>
  <c r="J306" i="8" s="1"/>
  <c r="I207" i="8"/>
  <c r="H207" i="8"/>
  <c r="C168" i="8"/>
  <c r="B168" i="8"/>
  <c r="C167" i="8"/>
  <c r="B167" i="8"/>
  <c r="C166" i="8"/>
  <c r="B166" i="8"/>
  <c r="C165" i="8"/>
  <c r="B165" i="8"/>
  <c r="C160" i="8"/>
  <c r="B160" i="8"/>
  <c r="C159" i="8"/>
  <c r="B159" i="8"/>
  <c r="C158" i="8"/>
  <c r="C164" i="8" s="1"/>
  <c r="B158" i="8"/>
  <c r="B164" i="8" s="1"/>
  <c r="C147" i="8"/>
  <c r="B147" i="8"/>
  <c r="C146" i="8"/>
  <c r="B146" i="8"/>
  <c r="C145" i="8"/>
  <c r="B145" i="8"/>
  <c r="C144" i="8"/>
  <c r="B144" i="8"/>
  <c r="C139" i="8"/>
  <c r="B139" i="8"/>
  <c r="C138" i="8"/>
  <c r="B138" i="8"/>
  <c r="C137" i="8"/>
  <c r="C143" i="8" s="1"/>
  <c r="B137" i="8"/>
  <c r="B143" i="8" s="1"/>
  <c r="C126" i="8"/>
  <c r="B126" i="8"/>
  <c r="C125" i="8"/>
  <c r="B125" i="8"/>
  <c r="C124" i="8"/>
  <c r="B124" i="8"/>
  <c r="C123" i="8"/>
  <c r="B123" i="8"/>
  <c r="C118" i="8"/>
  <c r="B118" i="8"/>
  <c r="C117" i="8"/>
  <c r="B117" i="8"/>
  <c r="C116" i="8"/>
  <c r="C122" i="8" s="1"/>
  <c r="B116" i="8"/>
  <c r="B122" i="8" s="1"/>
  <c r="C105" i="8"/>
  <c r="B105" i="8"/>
  <c r="C104" i="8"/>
  <c r="B104" i="8"/>
  <c r="C103" i="8"/>
  <c r="B103" i="8"/>
  <c r="C102" i="8"/>
  <c r="B102" i="8"/>
  <c r="C97" i="8"/>
  <c r="B97" i="8"/>
  <c r="C96" i="8"/>
  <c r="B96" i="8"/>
  <c r="C95" i="8"/>
  <c r="C101" i="8" s="1"/>
  <c r="B95" i="8"/>
  <c r="B101" i="8" s="1"/>
  <c r="V84" i="8"/>
  <c r="V235" i="8" s="1"/>
  <c r="E80" i="8"/>
  <c r="AA75" i="8"/>
  <c r="Z75" i="8"/>
  <c r="Y75" i="8"/>
  <c r="X75" i="8"/>
  <c r="X84" i="8" s="1"/>
  <c r="X235" i="8" s="1"/>
  <c r="W75" i="8"/>
  <c r="V75" i="8"/>
  <c r="U75" i="8"/>
  <c r="T75" i="8"/>
  <c r="S75" i="8"/>
  <c r="R75" i="8"/>
  <c r="Q75" i="8"/>
  <c r="P75" i="8"/>
  <c r="O75" i="8"/>
  <c r="N75" i="8"/>
  <c r="N84" i="8" s="1"/>
  <c r="N235" i="8" s="1"/>
  <c r="N301" i="8" s="1"/>
  <c r="M75" i="8"/>
  <c r="L75" i="8"/>
  <c r="K75" i="8"/>
  <c r="J75" i="8"/>
  <c r="I75" i="8"/>
  <c r="H75" i="8"/>
  <c r="G75" i="8"/>
  <c r="E73" i="8"/>
  <c r="E72" i="8"/>
  <c r="E79" i="8" s="1"/>
  <c r="E71" i="8"/>
  <c r="E78" i="8" s="1"/>
  <c r="AA61" i="8"/>
  <c r="AA84" i="8" s="1"/>
  <c r="AA235" i="8" s="1"/>
  <c r="Z61" i="8"/>
  <c r="Y61" i="8"/>
  <c r="X61" i="8"/>
  <c r="W61" i="8"/>
  <c r="W84" i="8" s="1"/>
  <c r="W235" i="8" s="1"/>
  <c r="V61" i="8"/>
  <c r="U61" i="8"/>
  <c r="U84" i="8" s="1"/>
  <c r="U235" i="8" s="1"/>
  <c r="T61" i="8"/>
  <c r="S61" i="8"/>
  <c r="S84" i="8" s="1"/>
  <c r="S235" i="8" s="1"/>
  <c r="R61" i="8"/>
  <c r="Q61" i="8"/>
  <c r="P61" i="8"/>
  <c r="P84" i="8" s="1"/>
  <c r="P235" i="8" s="1"/>
  <c r="O61" i="8"/>
  <c r="O84" i="8" s="1"/>
  <c r="O235" i="8" s="1"/>
  <c r="N61" i="8"/>
  <c r="M61" i="8"/>
  <c r="M84" i="8" s="1"/>
  <c r="M235" i="8" s="1"/>
  <c r="L61" i="8"/>
  <c r="K61" i="8"/>
  <c r="K84" i="8" s="1"/>
  <c r="K235" i="8" s="1"/>
  <c r="J61" i="8"/>
  <c r="I61" i="8"/>
  <c r="H61" i="8"/>
  <c r="H84" i="8" s="1"/>
  <c r="H235" i="8" s="1"/>
  <c r="G61" i="8"/>
  <c r="G84" i="8" s="1"/>
  <c r="G235" i="8" s="1"/>
  <c r="E59" i="8"/>
  <c r="E66" i="8" s="1"/>
  <c r="E58" i="8"/>
  <c r="E65" i="8" s="1"/>
  <c r="E57" i="8"/>
  <c r="E64" i="8" s="1"/>
  <c r="AA48" i="8"/>
  <c r="Z48" i="8"/>
  <c r="Y48" i="8"/>
  <c r="X48" i="8"/>
  <c r="W48" i="8"/>
  <c r="V48" i="8"/>
  <c r="U48" i="8"/>
  <c r="T48" i="8"/>
  <c r="S48" i="8"/>
  <c r="R48" i="8"/>
  <c r="Q48" i="8"/>
  <c r="P48" i="8"/>
  <c r="O48" i="8"/>
  <c r="N48" i="8"/>
  <c r="M48" i="8"/>
  <c r="L48" i="8"/>
  <c r="K48" i="8"/>
  <c r="J48" i="8"/>
  <c r="I48" i="8"/>
  <c r="H48" i="8"/>
  <c r="G48" i="8"/>
  <c r="E40" i="8"/>
  <c r="E48" i="8" s="1"/>
  <c r="E39" i="8"/>
  <c r="E47" i="8" s="1"/>
  <c r="E38" i="8"/>
  <c r="E46" i="8" s="1"/>
  <c r="E37" i="8"/>
  <c r="E45" i="8" s="1"/>
  <c r="AA32" i="8"/>
  <c r="Z32" i="8"/>
  <c r="Y32" i="8"/>
  <c r="X32" i="8"/>
  <c r="W32" i="8"/>
  <c r="V32" i="8"/>
  <c r="U32" i="8"/>
  <c r="T32" i="8"/>
  <c r="S32" i="8"/>
  <c r="R32" i="8"/>
  <c r="Q32" i="8"/>
  <c r="P32" i="8"/>
  <c r="O32" i="8"/>
  <c r="N32" i="8"/>
  <c r="M32" i="8"/>
  <c r="L32" i="8"/>
  <c r="K32" i="8"/>
  <c r="J32" i="8"/>
  <c r="I32" i="8"/>
  <c r="H32" i="8"/>
  <c r="G32" i="8"/>
  <c r="E32" i="8"/>
  <c r="E23" i="8"/>
  <c r="E31" i="8" s="1"/>
  <c r="E22" i="8"/>
  <c r="E30" i="8" s="1"/>
  <c r="E21" i="8"/>
  <c r="G18" i="8"/>
  <c r="H18" i="8" s="1"/>
  <c r="I18" i="8" s="1"/>
  <c r="J18" i="8" s="1"/>
  <c r="K18" i="8" s="1"/>
  <c r="L18" i="8" s="1"/>
  <c r="M18" i="8" s="1"/>
  <c r="N18" i="8" s="1"/>
  <c r="O18" i="8" s="1"/>
  <c r="P18" i="8" s="1"/>
  <c r="Q18" i="8" s="1"/>
  <c r="R18" i="8" s="1"/>
  <c r="S18" i="8" s="1"/>
  <c r="T18" i="8" s="1"/>
  <c r="U18" i="8" s="1"/>
  <c r="V18" i="8" s="1"/>
  <c r="W18" i="8" s="1"/>
  <c r="X18" i="8" s="1"/>
  <c r="Y18" i="8" s="1"/>
  <c r="Z18" i="8" s="1"/>
  <c r="AA18" i="8" s="1"/>
  <c r="G17" i="8"/>
  <c r="G15" i="8"/>
  <c r="G16" i="8" s="1"/>
  <c r="Z66" i="8"/>
  <c r="P79" i="8"/>
  <c r="Z78" i="8"/>
  <c r="A1" i="8" a="1"/>
  <c r="A1" i="8" s="1"/>
  <c r="L255" i="7" a="1"/>
  <c r="L255" i="7" s="1"/>
  <c r="J228" i="7" s="1"/>
  <c r="L254" i="7" a="1"/>
  <c r="L254" i="7" s="1"/>
  <c r="J227" i="7" s="1"/>
  <c r="L253" i="7" a="1"/>
  <c r="L253" i="7" s="1"/>
  <c r="J226" i="7" s="1"/>
  <c r="L252" i="7" a="1"/>
  <c r="L252" i="7" s="1"/>
  <c r="J225" i="7" s="1"/>
  <c r="L251" i="7" a="1"/>
  <c r="L251" i="7" s="1"/>
  <c r="J224" i="7" s="1"/>
  <c r="L250" i="7" a="1"/>
  <c r="L250" i="7" s="1"/>
  <c r="J223" i="7" s="1"/>
  <c r="L248" i="7" a="1"/>
  <c r="L248" i="7" s="1"/>
  <c r="J222" i="7" s="1"/>
  <c r="L247" i="7" a="1"/>
  <c r="L247" i="7" s="1"/>
  <c r="J221" i="7" s="1"/>
  <c r="L246" i="7" a="1"/>
  <c r="L246" i="7" s="1"/>
  <c r="J220" i="7" s="1"/>
  <c r="L245" i="7" a="1"/>
  <c r="L245" i="7" s="1"/>
  <c r="J219" i="7" s="1"/>
  <c r="L244" i="7" a="1"/>
  <c r="L244" i="7" s="1"/>
  <c r="J218" i="7" s="1"/>
  <c r="L243" i="7" a="1"/>
  <c r="L243" i="7" s="1"/>
  <c r="J217" i="7" s="1"/>
  <c r="L241" i="7" a="1"/>
  <c r="L241" i="7" s="1"/>
  <c r="J216" i="7" s="1"/>
  <c r="L240" i="7" a="1"/>
  <c r="L240" i="7" s="1"/>
  <c r="J215" i="7" s="1"/>
  <c r="L239" i="7" a="1"/>
  <c r="L239" i="7" s="1"/>
  <c r="J214" i="7" s="1"/>
  <c r="L238" i="7" a="1"/>
  <c r="L238" i="7" s="1"/>
  <c r="J213" i="7" s="1"/>
  <c r="L237" i="7" a="1"/>
  <c r="L237" i="7" s="1"/>
  <c r="J212" i="7" s="1"/>
  <c r="L236" i="7" a="1"/>
  <c r="L236" i="7" s="1"/>
  <c r="J211" i="7" s="1"/>
  <c r="AB78" i="7"/>
  <c r="AA78" i="7"/>
  <c r="K77" i="7"/>
  <c r="K76" i="7"/>
  <c r="K75" i="7"/>
  <c r="K74" i="7"/>
  <c r="K73" i="7"/>
  <c r="K72" i="7"/>
  <c r="K71" i="7"/>
  <c r="K70" i="7"/>
  <c r="K69" i="7"/>
  <c r="K67" i="7"/>
  <c r="K66" i="7"/>
  <c r="K65" i="7"/>
  <c r="AH46" i="7"/>
  <c r="AI46" i="7" s="1"/>
  <c r="AJ46" i="7" s="1"/>
  <c r="AH45" i="7"/>
  <c r="AI45" i="7" s="1"/>
  <c r="AJ45" i="7" s="1"/>
  <c r="AH44" i="7"/>
  <c r="AI44" i="7" s="1"/>
  <c r="AB7" i="7"/>
  <c r="AA7" i="7"/>
  <c r="Z7" i="7"/>
  <c r="Y7" i="7"/>
  <c r="X7" i="7"/>
  <c r="W7" i="7"/>
  <c r="V7" i="7"/>
  <c r="U7" i="7"/>
  <c r="T7" i="7"/>
  <c r="S7" i="7"/>
  <c r="R7" i="7"/>
  <c r="Q7" i="7"/>
  <c r="P7" i="7"/>
  <c r="O7" i="7"/>
  <c r="N7" i="7"/>
  <c r="M7" i="7"/>
  <c r="L7" i="7"/>
  <c r="K7" i="7"/>
  <c r="J7" i="7"/>
  <c r="AL91" i="6"/>
  <c r="AK91" i="6"/>
  <c r="AJ91" i="6"/>
  <c r="AI91" i="6"/>
  <c r="AH91" i="6"/>
  <c r="AG91" i="6"/>
  <c r="AF91" i="6"/>
  <c r="AE91" i="6"/>
  <c r="AD91" i="6"/>
  <c r="AC91" i="6"/>
  <c r="AC100" i="6" s="1"/>
  <c r="AL88" i="6"/>
  <c r="AK88" i="6"/>
  <c r="AJ88" i="6"/>
  <c r="AI88" i="6"/>
  <c r="AH88" i="6"/>
  <c r="AG88" i="6"/>
  <c r="AF88" i="6"/>
  <c r="AE88" i="6"/>
  <c r="AD88" i="6"/>
  <c r="AC88" i="6"/>
  <c r="AC98" i="6" s="1"/>
  <c r="G192" i="11" s="1"/>
  <c r="AL85" i="6"/>
  <c r="AK85" i="6"/>
  <c r="AJ85" i="6"/>
  <c r="AI85" i="6"/>
  <c r="AH85" i="6"/>
  <c r="AG85" i="6"/>
  <c r="AF85" i="6"/>
  <c r="AE85" i="6"/>
  <c r="AD85" i="6"/>
  <c r="AC85" i="6"/>
  <c r="AC97" i="6" s="1"/>
  <c r="G192" i="12" s="1"/>
  <c r="AL35" i="6" a="1"/>
  <c r="AL35" i="6" s="1"/>
  <c r="AK35" i="6" a="1"/>
  <c r="AK35" i="6" s="1"/>
  <c r="AJ35" i="6" a="1"/>
  <c r="AJ35" i="6" s="1"/>
  <c r="AI35" i="6" a="1"/>
  <c r="AI35" i="6" s="1"/>
  <c r="AH35" i="6" a="1"/>
  <c r="AH35" i="6" s="1"/>
  <c r="AH72" i="6" s="1"/>
  <c r="AG35" i="6" a="1"/>
  <c r="AG35" i="6" s="1"/>
  <c r="AG70" i="6" s="1"/>
  <c r="AF35" i="6" a="1"/>
  <c r="AF35" i="6" s="1"/>
  <c r="AE35" i="6" a="1"/>
  <c r="AE35" i="6" s="1"/>
  <c r="AD35" i="6" a="1"/>
  <c r="AD35" i="6" s="1"/>
  <c r="AC35" i="6" a="1"/>
  <c r="AC35" i="6" s="1"/>
  <c r="AC71" i="6" s="1"/>
  <c r="AL34" i="6" a="1"/>
  <c r="AL34" i="6" s="1"/>
  <c r="AK34" i="6" a="1"/>
  <c r="AK34" i="6" s="1"/>
  <c r="AJ34" i="6" a="1"/>
  <c r="AJ34" i="6" s="1"/>
  <c r="AI34" i="6" a="1"/>
  <c r="AI34" i="6" s="1"/>
  <c r="AH34" i="6" a="1"/>
  <c r="AH34" i="6" s="1"/>
  <c r="AG34" i="6" a="1"/>
  <c r="AG34" i="6" s="1"/>
  <c r="AF34" i="6" a="1"/>
  <c r="AF34" i="6" s="1"/>
  <c r="AE34" i="6" a="1"/>
  <c r="AE34" i="6" s="1"/>
  <c r="AD34" i="6" a="1"/>
  <c r="AD34" i="6" s="1"/>
  <c r="AC34" i="6" a="1"/>
  <c r="AC34" i="6" s="1"/>
  <c r="AL33" i="6" a="1"/>
  <c r="AL33" i="6" s="1"/>
  <c r="AK33" i="6" a="1"/>
  <c r="AK33" i="6" s="1"/>
  <c r="AJ33" i="6" a="1"/>
  <c r="AJ33" i="6" s="1"/>
  <c r="AJ63" i="6" s="1"/>
  <c r="AI33" i="6" a="1"/>
  <c r="AI33" i="6" s="1"/>
  <c r="AI64" i="6" s="1"/>
  <c r="AH33" i="6" a="1"/>
  <c r="AH33" i="6" s="1"/>
  <c r="AG33" i="6" a="1"/>
  <c r="AG33" i="6" s="1"/>
  <c r="AF33" i="6" a="1"/>
  <c r="AF33" i="6" s="1"/>
  <c r="AE33" i="6" a="1"/>
  <c r="AE33" i="6" s="1"/>
  <c r="AE65" i="6" s="1"/>
  <c r="AD33" i="6" a="1"/>
  <c r="AD33" i="6" s="1"/>
  <c r="AC33" i="6" a="1"/>
  <c r="AC33" i="6" s="1"/>
  <c r="AL27" i="6" a="1"/>
  <c r="AL27" i="6" s="1"/>
  <c r="AK27" i="6" a="1"/>
  <c r="AK27" i="6" s="1"/>
  <c r="AJ27" i="6" a="1"/>
  <c r="AJ27" i="6" s="1"/>
  <c r="AI27" i="6" a="1"/>
  <c r="AI27" i="6" s="1"/>
  <c r="AH27" i="6" a="1"/>
  <c r="AH27" i="6" s="1"/>
  <c r="AG27" i="6" a="1"/>
  <c r="AG27" i="6" s="1"/>
  <c r="AF27" i="6" a="1"/>
  <c r="AF27" i="6" s="1"/>
  <c r="AE27" i="6" a="1"/>
  <c r="AE27" i="6" s="1"/>
  <c r="AD27" i="6" a="1"/>
  <c r="AD27" i="6" s="1"/>
  <c r="AC27" i="6" a="1"/>
  <c r="AC27" i="6" s="1"/>
  <c r="AL26" i="6" a="1"/>
  <c r="AL26" i="6" s="1"/>
  <c r="AK26" i="6" a="1"/>
  <c r="AK26" i="6" s="1"/>
  <c r="AJ26" i="6" a="1"/>
  <c r="AJ26" i="6" s="1"/>
  <c r="AI26" i="6" a="1"/>
  <c r="AI26" i="6" s="1"/>
  <c r="AH26" i="6" a="1"/>
  <c r="AH26" i="6" s="1"/>
  <c r="AG26" i="6" a="1"/>
  <c r="AG26" i="6" s="1"/>
  <c r="AF26" i="6" a="1"/>
  <c r="AF26" i="6" s="1"/>
  <c r="AE26" i="6" a="1"/>
  <c r="AE26" i="6" s="1"/>
  <c r="AD26" i="6" a="1"/>
  <c r="AD26" i="6" s="1"/>
  <c r="AC26" i="6" a="1"/>
  <c r="AC26" i="6" s="1"/>
  <c r="AL25" i="6" a="1"/>
  <c r="AL25" i="6" s="1"/>
  <c r="AK25" i="6" a="1"/>
  <c r="AK25" i="6" s="1"/>
  <c r="AJ25" i="6" a="1"/>
  <c r="AJ25" i="6" s="1"/>
  <c r="AI25" i="6" a="1"/>
  <c r="AI25" i="6" s="1"/>
  <c r="AH25" i="6" a="1"/>
  <c r="AH25" i="6" s="1"/>
  <c r="AG25" i="6" a="1"/>
  <c r="AG25" i="6" s="1"/>
  <c r="AF25" i="6" a="1"/>
  <c r="AF25" i="6" s="1"/>
  <c r="AE25" i="6" a="1"/>
  <c r="AE25" i="6" s="1"/>
  <c r="AD25" i="6" a="1"/>
  <c r="AD25" i="6" s="1"/>
  <c r="AC25" i="6" a="1"/>
  <c r="AC25" i="6" s="1"/>
  <c r="AM21" i="6"/>
  <c r="AN21" i="6" s="1"/>
  <c r="AO21" i="6" s="1"/>
  <c r="AP21" i="6" s="1"/>
  <c r="AQ21" i="6" s="1"/>
  <c r="AR21" i="6" s="1"/>
  <c r="AS21" i="6" s="1"/>
  <c r="AT21" i="6" s="1"/>
  <c r="AU21" i="6" s="1"/>
  <c r="AV21" i="6" s="1"/>
  <c r="AW21" i="6" s="1"/>
  <c r="AM20" i="6"/>
  <c r="AN20" i="6" s="1"/>
  <c r="AO20" i="6" s="1"/>
  <c r="AP20" i="6" s="1"/>
  <c r="AQ20" i="6" s="1"/>
  <c r="AR20" i="6" s="1"/>
  <c r="AS20" i="6" s="1"/>
  <c r="AT20" i="6" s="1"/>
  <c r="AU20" i="6" s="1"/>
  <c r="AV20" i="6" s="1"/>
  <c r="AW20" i="6" s="1"/>
  <c r="AM19" i="6"/>
  <c r="AN19" i="6" s="1"/>
  <c r="AO19" i="6" s="1"/>
  <c r="AP19" i="6" s="1"/>
  <c r="AQ19" i="6" s="1"/>
  <c r="AR19" i="6" s="1"/>
  <c r="AS19" i="6" s="1"/>
  <c r="AT19" i="6" s="1"/>
  <c r="AU19" i="6" s="1"/>
  <c r="AV19" i="6" s="1"/>
  <c r="AW19" i="6" s="1"/>
  <c r="AM18" i="6"/>
  <c r="AN18" i="6" s="1"/>
  <c r="AO18" i="6" s="1"/>
  <c r="AP18" i="6" s="1"/>
  <c r="AQ18" i="6" s="1"/>
  <c r="AR18" i="6" s="1"/>
  <c r="AS18" i="6" s="1"/>
  <c r="AT18" i="6" s="1"/>
  <c r="AU18" i="6" s="1"/>
  <c r="AV18" i="6" s="1"/>
  <c r="AW18" i="6" s="1"/>
  <c r="AM17" i="6"/>
  <c r="AN17" i="6" s="1"/>
  <c r="AO17" i="6" s="1"/>
  <c r="AP17" i="6" s="1"/>
  <c r="AQ17" i="6" s="1"/>
  <c r="AR17" i="6" s="1"/>
  <c r="AS17" i="6" s="1"/>
  <c r="AT17" i="6" s="1"/>
  <c r="AU17" i="6" s="1"/>
  <c r="AV17" i="6" s="1"/>
  <c r="AW17" i="6" s="1"/>
  <c r="AM16" i="6"/>
  <c r="AN16" i="6" s="1"/>
  <c r="AO16" i="6" s="1"/>
  <c r="AP16" i="6" s="1"/>
  <c r="AQ16" i="6" s="1"/>
  <c r="AR16" i="6" s="1"/>
  <c r="AS16" i="6" s="1"/>
  <c r="AT16" i="6" s="1"/>
  <c r="AU16" i="6" s="1"/>
  <c r="AV16" i="6" s="1"/>
  <c r="AW16" i="6" s="1"/>
  <c r="AM15" i="6"/>
  <c r="AN15" i="6" s="1"/>
  <c r="AO15" i="6" s="1"/>
  <c r="AP15" i="6" s="1"/>
  <c r="AQ15" i="6" s="1"/>
  <c r="AR15" i="6" s="1"/>
  <c r="AS15" i="6" s="1"/>
  <c r="AT15" i="6" s="1"/>
  <c r="AU15" i="6" s="1"/>
  <c r="AV15" i="6" s="1"/>
  <c r="AW15" i="6" s="1"/>
  <c r="AM14" i="6"/>
  <c r="AN14" i="6" s="1"/>
  <c r="AO14" i="6" s="1"/>
  <c r="AP14" i="6" s="1"/>
  <c r="AQ14" i="6" s="1"/>
  <c r="AR14" i="6" s="1"/>
  <c r="AS14" i="6" s="1"/>
  <c r="AT14" i="6" s="1"/>
  <c r="AU14" i="6" s="1"/>
  <c r="AV14" i="6" s="1"/>
  <c r="AW14" i="6" s="1"/>
  <c r="AM13" i="6"/>
  <c r="AB7" i="6"/>
  <c r="AA7" i="6"/>
  <c r="Z7" i="6"/>
  <c r="Y7" i="6"/>
  <c r="X7" i="6"/>
  <c r="W7" i="6"/>
  <c r="V7" i="6"/>
  <c r="U7" i="6"/>
  <c r="T7" i="6"/>
  <c r="S7" i="6"/>
  <c r="R7" i="6"/>
  <c r="Q7" i="6"/>
  <c r="P7" i="6"/>
  <c r="O7" i="6"/>
  <c r="N7" i="6"/>
  <c r="M7" i="6"/>
  <c r="L7" i="6"/>
  <c r="K7" i="6"/>
  <c r="J7" i="6"/>
  <c r="F155" i="5"/>
  <c r="F166" i="5" s="1"/>
  <c r="F151" i="5"/>
  <c r="F162" i="5" s="1"/>
  <c r="F147" i="5"/>
  <c r="F182" i="5" s="1"/>
  <c r="D147" i="5"/>
  <c r="D182" i="5" s="1"/>
  <c r="C147" i="5"/>
  <c r="F146" i="5"/>
  <c r="F181" i="5" s="1"/>
  <c r="D146" i="5"/>
  <c r="D158" i="5" s="1"/>
  <c r="C146" i="5"/>
  <c r="F145" i="5"/>
  <c r="F157" i="5" s="1"/>
  <c r="F168" i="5" s="1"/>
  <c r="D145" i="5"/>
  <c r="D157" i="5" s="1"/>
  <c r="C145" i="5"/>
  <c r="C157" i="5" s="1"/>
  <c r="F144" i="5"/>
  <c r="F179" i="5" s="1"/>
  <c r="D144" i="5"/>
  <c r="D156" i="5" s="1"/>
  <c r="C144" i="5"/>
  <c r="F143" i="5"/>
  <c r="F178" i="5" s="1"/>
  <c r="D143" i="5"/>
  <c r="D178" i="5" s="1"/>
  <c r="C143" i="5"/>
  <c r="F142" i="5"/>
  <c r="F177" i="5" s="1"/>
  <c r="D142" i="5"/>
  <c r="C142" i="5"/>
  <c r="F141" i="5"/>
  <c r="F176" i="5" s="1"/>
  <c r="D141" i="5"/>
  <c r="C141" i="5"/>
  <c r="AH141" i="5" s="1"/>
  <c r="F140" i="5"/>
  <c r="F175" i="5" s="1"/>
  <c r="D140" i="5"/>
  <c r="D152" i="5" s="1"/>
  <c r="C140" i="5"/>
  <c r="C175" i="5" s="1"/>
  <c r="F139" i="5"/>
  <c r="F174" i="5" s="1"/>
  <c r="D139" i="5"/>
  <c r="D151" i="5" s="1"/>
  <c r="C139" i="5"/>
  <c r="F138" i="5"/>
  <c r="F173" i="5" s="1"/>
  <c r="D138" i="5"/>
  <c r="D173" i="5" s="1"/>
  <c r="C138" i="5"/>
  <c r="BL111" i="5"/>
  <c r="BK111" i="5"/>
  <c r="BJ111" i="5"/>
  <c r="BI111" i="5"/>
  <c r="BH111" i="5"/>
  <c r="BG111" i="5"/>
  <c r="BF111" i="5"/>
  <c r="BE111" i="5"/>
  <c r="BD111" i="5"/>
  <c r="BC111" i="5"/>
  <c r="BB111" i="5"/>
  <c r="BA111" i="5"/>
  <c r="AZ111" i="5"/>
  <c r="AY111" i="5"/>
  <c r="AX111" i="5"/>
  <c r="AW111" i="5"/>
  <c r="AV111" i="5"/>
  <c r="AU111" i="5"/>
  <c r="AT111" i="5"/>
  <c r="AS111" i="5"/>
  <c r="AR111" i="5"/>
  <c r="AQ111" i="5"/>
  <c r="AP111" i="5"/>
  <c r="AO111" i="5"/>
  <c r="AN111" i="5"/>
  <c r="AM111" i="5"/>
  <c r="AL111" i="5"/>
  <c r="AK111" i="5"/>
  <c r="AJ111" i="5"/>
  <c r="AI111" i="5"/>
  <c r="AH111" i="5"/>
  <c r="AG111" i="5"/>
  <c r="AF111" i="5"/>
  <c r="AE111" i="5"/>
  <c r="AD111" i="5"/>
  <c r="AC111" i="5"/>
  <c r="AA111" i="5"/>
  <c r="Z111" i="5"/>
  <c r="Y111" i="5"/>
  <c r="X111" i="5"/>
  <c r="W111" i="5"/>
  <c r="V111" i="5"/>
  <c r="U111" i="5"/>
  <c r="T111" i="5"/>
  <c r="S111" i="5" s="1"/>
  <c r="H111" i="5"/>
  <c r="G111" i="5"/>
  <c r="BL110" i="5"/>
  <c r="BK110" i="5"/>
  <c r="BJ110" i="5"/>
  <c r="BI110" i="5"/>
  <c r="BH110" i="5"/>
  <c r="BG110" i="5"/>
  <c r="BF110" i="5"/>
  <c r="BE110" i="5"/>
  <c r="BD110" i="5"/>
  <c r="BC110" i="5"/>
  <c r="BB110" i="5"/>
  <c r="BA110" i="5"/>
  <c r="AZ110" i="5"/>
  <c r="AY110" i="5"/>
  <c r="AX110" i="5"/>
  <c r="AW110" i="5"/>
  <c r="AV110" i="5"/>
  <c r="AU110" i="5"/>
  <c r="AT110" i="5"/>
  <c r="AS110" i="5"/>
  <c r="AR110" i="5"/>
  <c r="AQ110" i="5"/>
  <c r="AP110" i="5"/>
  <c r="AO110" i="5"/>
  <c r="AN110" i="5"/>
  <c r="AM110" i="5"/>
  <c r="AL110" i="5"/>
  <c r="AK110" i="5"/>
  <c r="AJ110" i="5"/>
  <c r="AI110" i="5"/>
  <c r="AH110" i="5"/>
  <c r="AG110" i="5"/>
  <c r="AF110" i="5"/>
  <c r="AE110" i="5"/>
  <c r="AD110" i="5"/>
  <c r="AC110" i="5"/>
  <c r="AB110" i="5"/>
  <c r="AA110" i="5"/>
  <c r="Z110" i="5"/>
  <c r="Y110" i="5"/>
  <c r="X110" i="5"/>
  <c r="W110" i="5"/>
  <c r="V110" i="5"/>
  <c r="U110" i="5"/>
  <c r="T110" i="5"/>
  <c r="S110" i="5"/>
  <c r="G110" i="5"/>
  <c r="BL109" i="5"/>
  <c r="BK109" i="5"/>
  <c r="BJ109" i="5"/>
  <c r="BI109" i="5"/>
  <c r="BH109" i="5"/>
  <c r="BG109" i="5"/>
  <c r="BF109" i="5"/>
  <c r="BE109" i="5"/>
  <c r="BD109" i="5"/>
  <c r="BC109" i="5"/>
  <c r="BB109" i="5"/>
  <c r="BA109" i="5"/>
  <c r="AZ109" i="5"/>
  <c r="AY109" i="5"/>
  <c r="AX109" i="5"/>
  <c r="AW109" i="5"/>
  <c r="AV109" i="5"/>
  <c r="AU109" i="5"/>
  <c r="AT109" i="5"/>
  <c r="AS109" i="5"/>
  <c r="AR109" i="5"/>
  <c r="AQ109" i="5"/>
  <c r="AP109" i="5"/>
  <c r="AO109" i="5"/>
  <c r="AN109" i="5"/>
  <c r="AM109" i="5"/>
  <c r="AL109" i="5"/>
  <c r="AK109" i="5"/>
  <c r="AJ109" i="5"/>
  <c r="AI109" i="5"/>
  <c r="AH109" i="5"/>
  <c r="AG109" i="5"/>
  <c r="AF109" i="5"/>
  <c r="AE109" i="5"/>
  <c r="AD109" i="5"/>
  <c r="AC109" i="5"/>
  <c r="AA109" i="5"/>
  <c r="Z109" i="5"/>
  <c r="Y109" i="5"/>
  <c r="X109" i="5"/>
  <c r="W109" i="5"/>
  <c r="V109" i="5"/>
  <c r="U109" i="5"/>
  <c r="T109" i="5"/>
  <c r="S109" i="5" s="1"/>
  <c r="H109" i="5"/>
  <c r="G109" i="5"/>
  <c r="BL108" i="5"/>
  <c r="BK108" i="5"/>
  <c r="BJ108" i="5"/>
  <c r="BI108" i="5"/>
  <c r="BH108" i="5"/>
  <c r="BG108" i="5"/>
  <c r="BF108" i="5"/>
  <c r="BE108" i="5"/>
  <c r="BD108" i="5"/>
  <c r="BC108" i="5"/>
  <c r="BB108" i="5"/>
  <c r="BA108" i="5"/>
  <c r="AZ108" i="5"/>
  <c r="AY108" i="5"/>
  <c r="AX108" i="5"/>
  <c r="AW108" i="5"/>
  <c r="AV108" i="5"/>
  <c r="AU108" i="5"/>
  <c r="AT108" i="5"/>
  <c r="AS108" i="5"/>
  <c r="AR108" i="5"/>
  <c r="AQ108" i="5"/>
  <c r="AP108" i="5"/>
  <c r="AO108" i="5"/>
  <c r="AN108" i="5"/>
  <c r="AM108" i="5"/>
  <c r="AL108" i="5"/>
  <c r="AK108" i="5"/>
  <c r="AJ108" i="5"/>
  <c r="AI108" i="5"/>
  <c r="AH108" i="5"/>
  <c r="AG108" i="5"/>
  <c r="AF108" i="5"/>
  <c r="AE108" i="5"/>
  <c r="AD108" i="5"/>
  <c r="AC108" i="5"/>
  <c r="AB108" i="5"/>
  <c r="AA108" i="5"/>
  <c r="Z108" i="5"/>
  <c r="Y108" i="5"/>
  <c r="X108" i="5"/>
  <c r="W108" i="5"/>
  <c r="V108" i="5"/>
  <c r="U108" i="5"/>
  <c r="T108" i="5"/>
  <c r="S108" i="5"/>
  <c r="G108" i="5"/>
  <c r="BL107" i="5"/>
  <c r="BK107" i="5"/>
  <c r="BJ107" i="5"/>
  <c r="BI107" i="5"/>
  <c r="BH107" i="5"/>
  <c r="BG107" i="5"/>
  <c r="BF107" i="5"/>
  <c r="BE107" i="5"/>
  <c r="BD107" i="5"/>
  <c r="BC107" i="5"/>
  <c r="BB107" i="5"/>
  <c r="BA107" i="5"/>
  <c r="AZ107" i="5"/>
  <c r="AY107" i="5"/>
  <c r="AX107" i="5"/>
  <c r="AW107" i="5"/>
  <c r="AV107" i="5"/>
  <c r="AU107" i="5"/>
  <c r="AT107" i="5"/>
  <c r="AS107" i="5"/>
  <c r="AR107" i="5"/>
  <c r="AQ107" i="5"/>
  <c r="AP107" i="5"/>
  <c r="AO107" i="5"/>
  <c r="AN107" i="5"/>
  <c r="AM107" i="5"/>
  <c r="AL107" i="5"/>
  <c r="AK107" i="5"/>
  <c r="AJ107" i="5"/>
  <c r="AI107" i="5"/>
  <c r="AH107" i="5"/>
  <c r="AG107" i="5"/>
  <c r="AF107" i="5"/>
  <c r="AE107" i="5"/>
  <c r="AD107" i="5"/>
  <c r="AC107" i="5"/>
  <c r="AA107" i="5"/>
  <c r="Z107" i="5"/>
  <c r="Y107" i="5"/>
  <c r="X107" i="5"/>
  <c r="W107" i="5"/>
  <c r="V107" i="5"/>
  <c r="U107" i="5"/>
  <c r="T107" i="5"/>
  <c r="S107" i="5" s="1"/>
  <c r="H107" i="5"/>
  <c r="G107" i="5"/>
  <c r="BL106" i="5"/>
  <c r="BK106" i="5"/>
  <c r="BJ106" i="5"/>
  <c r="BI106" i="5"/>
  <c r="BH106" i="5"/>
  <c r="BG106" i="5"/>
  <c r="BF106" i="5"/>
  <c r="BE106" i="5"/>
  <c r="BD106" i="5"/>
  <c r="BC106" i="5"/>
  <c r="BB106" i="5"/>
  <c r="BA106" i="5"/>
  <c r="AZ106" i="5"/>
  <c r="AY106" i="5"/>
  <c r="AX106" i="5"/>
  <c r="AW106" i="5"/>
  <c r="AV106" i="5"/>
  <c r="AU106" i="5"/>
  <c r="AT106" i="5"/>
  <c r="AS106" i="5"/>
  <c r="AR106" i="5"/>
  <c r="AQ106" i="5"/>
  <c r="AP106" i="5"/>
  <c r="AO106" i="5"/>
  <c r="AN106" i="5"/>
  <c r="AM106" i="5"/>
  <c r="AL106" i="5"/>
  <c r="AK106" i="5"/>
  <c r="AJ106" i="5"/>
  <c r="AI106" i="5"/>
  <c r="AH106" i="5"/>
  <c r="AG106" i="5"/>
  <c r="AF106" i="5"/>
  <c r="AE106" i="5"/>
  <c r="AD106" i="5"/>
  <c r="AC106" i="5"/>
  <c r="AB106" i="5"/>
  <c r="AA106" i="5"/>
  <c r="Z106" i="5"/>
  <c r="Y106" i="5"/>
  <c r="X106" i="5"/>
  <c r="W106" i="5"/>
  <c r="V106" i="5"/>
  <c r="U106" i="5"/>
  <c r="T106" i="5"/>
  <c r="S106" i="5"/>
  <c r="G106" i="5"/>
  <c r="BL105" i="5"/>
  <c r="BK105" i="5"/>
  <c r="BJ105" i="5"/>
  <c r="BI105" i="5"/>
  <c r="BH105" i="5"/>
  <c r="BG105" i="5"/>
  <c r="BF105" i="5"/>
  <c r="BE105" i="5"/>
  <c r="BD105" i="5"/>
  <c r="BC105" i="5"/>
  <c r="BB105" i="5"/>
  <c r="BA105" i="5"/>
  <c r="AZ105" i="5"/>
  <c r="AY105" i="5"/>
  <c r="AX105" i="5"/>
  <c r="AW105" i="5"/>
  <c r="AV105" i="5"/>
  <c r="AU105" i="5"/>
  <c r="AT105" i="5"/>
  <c r="AS105" i="5"/>
  <c r="AR105" i="5"/>
  <c r="AQ105" i="5"/>
  <c r="AP105" i="5"/>
  <c r="AO105" i="5"/>
  <c r="AN105" i="5"/>
  <c r="AM105" i="5"/>
  <c r="AL105" i="5"/>
  <c r="AK105" i="5"/>
  <c r="AJ105" i="5"/>
  <c r="AI105" i="5"/>
  <c r="AH105" i="5"/>
  <c r="AG105" i="5"/>
  <c r="AF105" i="5"/>
  <c r="AE105" i="5"/>
  <c r="AD105" i="5"/>
  <c r="AC105" i="5"/>
  <c r="AA105" i="5"/>
  <c r="Z105" i="5"/>
  <c r="Y105" i="5"/>
  <c r="X105" i="5"/>
  <c r="W105" i="5"/>
  <c r="V105" i="5"/>
  <c r="U105" i="5"/>
  <c r="T105" i="5"/>
  <c r="S105" i="5" s="1"/>
  <c r="H105" i="5"/>
  <c r="G105" i="5"/>
  <c r="BL104" i="5"/>
  <c r="BK104" i="5"/>
  <c r="BJ104" i="5"/>
  <c r="BI104" i="5"/>
  <c r="BH104" i="5"/>
  <c r="BG104" i="5"/>
  <c r="BF104" i="5"/>
  <c r="BE104" i="5"/>
  <c r="BD104" i="5"/>
  <c r="BC104" i="5"/>
  <c r="BB104" i="5"/>
  <c r="BA104" i="5"/>
  <c r="AZ104" i="5"/>
  <c r="AY104" i="5"/>
  <c r="AX104" i="5"/>
  <c r="AW104" i="5"/>
  <c r="AV104" i="5"/>
  <c r="AU104" i="5"/>
  <c r="AT104" i="5"/>
  <c r="AS104" i="5"/>
  <c r="AR104" i="5"/>
  <c r="AQ104" i="5"/>
  <c r="AP104" i="5"/>
  <c r="AO104" i="5"/>
  <c r="AN104" i="5"/>
  <c r="AM104" i="5"/>
  <c r="AL104" i="5"/>
  <c r="AK104" i="5"/>
  <c r="AJ104" i="5"/>
  <c r="AI104" i="5"/>
  <c r="AH104" i="5"/>
  <c r="AG104" i="5"/>
  <c r="AF104" i="5"/>
  <c r="AE104" i="5"/>
  <c r="AD104" i="5"/>
  <c r="AC104" i="5"/>
  <c r="AB104" i="5"/>
  <c r="AA104" i="5"/>
  <c r="Z104" i="5"/>
  <c r="Y104" i="5"/>
  <c r="X104" i="5"/>
  <c r="W104" i="5"/>
  <c r="V104" i="5"/>
  <c r="U104" i="5"/>
  <c r="T104" i="5"/>
  <c r="S104" i="5"/>
  <c r="G104" i="5"/>
  <c r="BL103" i="5"/>
  <c r="BK103" i="5"/>
  <c r="BJ103" i="5"/>
  <c r="BI103" i="5"/>
  <c r="BH103" i="5"/>
  <c r="BG103" i="5"/>
  <c r="BF103" i="5"/>
  <c r="BE103" i="5"/>
  <c r="BD103" i="5"/>
  <c r="BC103" i="5"/>
  <c r="BB103" i="5"/>
  <c r="BA103" i="5"/>
  <c r="AZ103" i="5"/>
  <c r="AY103" i="5"/>
  <c r="AX103" i="5"/>
  <c r="AW103" i="5"/>
  <c r="AV103" i="5"/>
  <c r="AU103" i="5"/>
  <c r="AT103" i="5"/>
  <c r="AS103" i="5"/>
  <c r="AR103" i="5"/>
  <c r="AQ103" i="5"/>
  <c r="AP103" i="5"/>
  <c r="AO103" i="5"/>
  <c r="AN103" i="5"/>
  <c r="AM103" i="5"/>
  <c r="AL103" i="5"/>
  <c r="AK103" i="5"/>
  <c r="AJ103" i="5"/>
  <c r="AI103" i="5"/>
  <c r="AH103" i="5"/>
  <c r="AG103" i="5"/>
  <c r="AF103" i="5"/>
  <c r="AE103" i="5"/>
  <c r="AD103" i="5"/>
  <c r="AC103" i="5"/>
  <c r="AA103" i="5"/>
  <c r="Z103" i="5"/>
  <c r="Y103" i="5"/>
  <c r="X103" i="5"/>
  <c r="W103" i="5"/>
  <c r="V103" i="5"/>
  <c r="U103" i="5"/>
  <c r="T103" i="5"/>
  <c r="S103" i="5" s="1"/>
  <c r="H103" i="5"/>
  <c r="G103" i="5"/>
  <c r="BL102" i="5"/>
  <c r="BK102" i="5"/>
  <c r="BJ102" i="5"/>
  <c r="BI102" i="5"/>
  <c r="BH102" i="5"/>
  <c r="BG102" i="5"/>
  <c r="BF102" i="5"/>
  <c r="BE102" i="5"/>
  <c r="BD102" i="5"/>
  <c r="BC102" i="5"/>
  <c r="BB102" i="5"/>
  <c r="BA102" i="5"/>
  <c r="AZ102" i="5"/>
  <c r="AY102" i="5"/>
  <c r="AX102" i="5"/>
  <c r="AW102" i="5"/>
  <c r="AV102" i="5"/>
  <c r="AU102" i="5"/>
  <c r="AT102" i="5"/>
  <c r="AS102" i="5"/>
  <c r="AR102" i="5"/>
  <c r="AQ102" i="5"/>
  <c r="AP102" i="5"/>
  <c r="AO102" i="5"/>
  <c r="AN102" i="5"/>
  <c r="AM102" i="5"/>
  <c r="AL102" i="5"/>
  <c r="AK102" i="5"/>
  <c r="AJ102" i="5"/>
  <c r="AI102" i="5"/>
  <c r="AH102" i="5"/>
  <c r="AG102" i="5"/>
  <c r="AF102" i="5"/>
  <c r="AE102" i="5"/>
  <c r="AD102" i="5"/>
  <c r="AC102" i="5"/>
  <c r="AB102" i="5"/>
  <c r="AA102" i="5"/>
  <c r="Z102" i="5"/>
  <c r="Y102" i="5"/>
  <c r="X102" i="5"/>
  <c r="W102" i="5"/>
  <c r="V102" i="5"/>
  <c r="U102" i="5"/>
  <c r="T102" i="5"/>
  <c r="S102" i="5"/>
  <c r="G102" i="5"/>
  <c r="BL101" i="5"/>
  <c r="BK101" i="5"/>
  <c r="BJ101" i="5"/>
  <c r="BI101" i="5"/>
  <c r="BH101" i="5"/>
  <c r="BG101" i="5"/>
  <c r="BF101" i="5"/>
  <c r="BE101" i="5"/>
  <c r="BD101" i="5"/>
  <c r="BC101" i="5"/>
  <c r="BB101" i="5"/>
  <c r="BA101" i="5"/>
  <c r="AZ101" i="5"/>
  <c r="AY101" i="5"/>
  <c r="AX101" i="5"/>
  <c r="AW101" i="5"/>
  <c r="AV101" i="5"/>
  <c r="AU101" i="5"/>
  <c r="AT101" i="5"/>
  <c r="AS101" i="5"/>
  <c r="AR101" i="5"/>
  <c r="AQ101" i="5"/>
  <c r="AP101" i="5"/>
  <c r="AO101" i="5"/>
  <c r="AN101" i="5"/>
  <c r="AM101" i="5"/>
  <c r="AL101" i="5"/>
  <c r="AK101" i="5"/>
  <c r="AJ101" i="5"/>
  <c r="AI101" i="5"/>
  <c r="AH101" i="5"/>
  <c r="AG101" i="5"/>
  <c r="AF101" i="5"/>
  <c r="AE101" i="5"/>
  <c r="AD101" i="5"/>
  <c r="AC101" i="5"/>
  <c r="AA101" i="5"/>
  <c r="Z101" i="5"/>
  <c r="Y101" i="5"/>
  <c r="X101" i="5"/>
  <c r="W101" i="5"/>
  <c r="V101" i="5"/>
  <c r="U101" i="5"/>
  <c r="T101" i="5"/>
  <c r="S101" i="5" s="1"/>
  <c r="H101" i="5"/>
  <c r="G101"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W100" i="5"/>
  <c r="V100" i="5"/>
  <c r="U100" i="5"/>
  <c r="T100" i="5"/>
  <c r="S100" i="5"/>
  <c r="G100" i="5"/>
  <c r="BL99" i="5"/>
  <c r="BK99" i="5"/>
  <c r="BJ99" i="5"/>
  <c r="BI99" i="5"/>
  <c r="BH99" i="5"/>
  <c r="BG99" i="5"/>
  <c r="BF99" i="5"/>
  <c r="BE99" i="5"/>
  <c r="BD99" i="5"/>
  <c r="BC99" i="5"/>
  <c r="BB99" i="5"/>
  <c r="BA99" i="5"/>
  <c r="AZ99" i="5"/>
  <c r="AY99" i="5"/>
  <c r="AX99" i="5"/>
  <c r="AW99" i="5"/>
  <c r="AV99" i="5"/>
  <c r="AU99" i="5"/>
  <c r="AT99" i="5"/>
  <c r="AS99" i="5"/>
  <c r="AR99" i="5"/>
  <c r="AQ99" i="5"/>
  <c r="AP99" i="5"/>
  <c r="AO99" i="5"/>
  <c r="AN99" i="5"/>
  <c r="AM99" i="5"/>
  <c r="AL99" i="5"/>
  <c r="AK99" i="5"/>
  <c r="AJ99" i="5"/>
  <c r="AI99" i="5"/>
  <c r="AH99" i="5"/>
  <c r="AG99" i="5"/>
  <c r="AF99" i="5"/>
  <c r="AE99" i="5"/>
  <c r="AD99" i="5"/>
  <c r="AC99" i="5"/>
  <c r="AA99" i="5"/>
  <c r="Z99" i="5"/>
  <c r="Y99" i="5"/>
  <c r="X99" i="5"/>
  <c r="W99" i="5"/>
  <c r="V99" i="5"/>
  <c r="U99" i="5"/>
  <c r="T99" i="5"/>
  <c r="S99" i="5"/>
  <c r="H99" i="5"/>
  <c r="G99" i="5"/>
  <c r="BL98" i="5"/>
  <c r="BK98" i="5"/>
  <c r="BJ98" i="5"/>
  <c r="BI98" i="5"/>
  <c r="BH98" i="5"/>
  <c r="BG98" i="5"/>
  <c r="BF98" i="5"/>
  <c r="BE98" i="5"/>
  <c r="BD98" i="5"/>
  <c r="BC98" i="5"/>
  <c r="BB98" i="5"/>
  <c r="BA98" i="5"/>
  <c r="AZ98" i="5"/>
  <c r="AY98" i="5"/>
  <c r="AX98" i="5"/>
  <c r="AW98" i="5"/>
  <c r="AV98" i="5"/>
  <c r="AU98" i="5"/>
  <c r="AT98" i="5"/>
  <c r="AS98" i="5"/>
  <c r="AR98" i="5"/>
  <c r="AQ98" i="5"/>
  <c r="AP98" i="5"/>
  <c r="AO98" i="5"/>
  <c r="AN98" i="5"/>
  <c r="AM98" i="5"/>
  <c r="AL98" i="5"/>
  <c r="AK98" i="5"/>
  <c r="AJ98" i="5"/>
  <c r="AI98" i="5"/>
  <c r="AH98" i="5"/>
  <c r="AG98" i="5"/>
  <c r="AF98" i="5"/>
  <c r="AE98" i="5"/>
  <c r="AD98" i="5"/>
  <c r="AC98" i="5"/>
  <c r="AA98" i="5"/>
  <c r="Z98" i="5"/>
  <c r="Y98" i="5"/>
  <c r="X98" i="5"/>
  <c r="W98" i="5"/>
  <c r="V98" i="5"/>
  <c r="U98" i="5"/>
  <c r="T98" i="5"/>
  <c r="S98" i="5" s="1"/>
  <c r="H98" i="5"/>
  <c r="G98"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B97" i="5"/>
  <c r="AA97" i="5"/>
  <c r="Z97" i="5"/>
  <c r="Y97" i="5"/>
  <c r="X97" i="5"/>
  <c r="W97" i="5"/>
  <c r="V97" i="5"/>
  <c r="U97" i="5"/>
  <c r="T97" i="5"/>
  <c r="S97" i="5"/>
  <c r="G97" i="5"/>
  <c r="BL96" i="5"/>
  <c r="BK96" i="5"/>
  <c r="BJ96" i="5"/>
  <c r="BI96" i="5"/>
  <c r="BH96" i="5"/>
  <c r="BG96" i="5"/>
  <c r="BF96" i="5"/>
  <c r="BE96" i="5"/>
  <c r="BD96" i="5"/>
  <c r="BC96" i="5"/>
  <c r="BB96" i="5"/>
  <c r="BA96" i="5"/>
  <c r="AZ96" i="5"/>
  <c r="AY96" i="5"/>
  <c r="AX96" i="5"/>
  <c r="AW96" i="5"/>
  <c r="AV96" i="5"/>
  <c r="AU96" i="5"/>
  <c r="AT96" i="5"/>
  <c r="AS96" i="5"/>
  <c r="AR96" i="5"/>
  <c r="AQ96" i="5"/>
  <c r="AP96" i="5"/>
  <c r="AO96" i="5"/>
  <c r="AN96" i="5"/>
  <c r="AM96" i="5"/>
  <c r="AL96" i="5"/>
  <c r="AK96" i="5"/>
  <c r="AJ96" i="5"/>
  <c r="AI96" i="5"/>
  <c r="AH96" i="5"/>
  <c r="AG96" i="5"/>
  <c r="AF96" i="5"/>
  <c r="AE96" i="5"/>
  <c r="AD96" i="5"/>
  <c r="AC96" i="5"/>
  <c r="AA96" i="5"/>
  <c r="Z96" i="5"/>
  <c r="Y96" i="5"/>
  <c r="X96" i="5"/>
  <c r="W96" i="5"/>
  <c r="V96" i="5"/>
  <c r="U96" i="5"/>
  <c r="T96" i="5"/>
  <c r="S96" i="5" s="1"/>
  <c r="H96" i="5"/>
  <c r="G96" i="5"/>
  <c r="BL95" i="5"/>
  <c r="BK95" i="5"/>
  <c r="BJ95" i="5"/>
  <c r="BI95" i="5"/>
  <c r="BH95" i="5"/>
  <c r="BG95" i="5"/>
  <c r="BF95" i="5"/>
  <c r="BE95" i="5"/>
  <c r="BD95" i="5"/>
  <c r="BC95" i="5"/>
  <c r="BB95" i="5"/>
  <c r="BA95" i="5"/>
  <c r="AZ95" i="5"/>
  <c r="AY95" i="5"/>
  <c r="AX95" i="5"/>
  <c r="AW95" i="5"/>
  <c r="AV95" i="5"/>
  <c r="AU95" i="5"/>
  <c r="AT95" i="5"/>
  <c r="AS95" i="5"/>
  <c r="AR95" i="5"/>
  <c r="AQ95" i="5"/>
  <c r="AP95" i="5"/>
  <c r="AO95" i="5"/>
  <c r="AN95" i="5"/>
  <c r="AM95" i="5"/>
  <c r="AL95" i="5"/>
  <c r="AK95" i="5"/>
  <c r="AJ95" i="5"/>
  <c r="AI95" i="5"/>
  <c r="AH95" i="5"/>
  <c r="AG95" i="5"/>
  <c r="AF95" i="5"/>
  <c r="AE95" i="5"/>
  <c r="AD95" i="5"/>
  <c r="AC95" i="5"/>
  <c r="AB95" i="5"/>
  <c r="AA95" i="5"/>
  <c r="Z95" i="5"/>
  <c r="Y95" i="5"/>
  <c r="X95" i="5"/>
  <c r="W95" i="5"/>
  <c r="V95" i="5"/>
  <c r="U95" i="5"/>
  <c r="T95" i="5"/>
  <c r="S95" i="5"/>
  <c r="G95" i="5"/>
  <c r="BL94" i="5"/>
  <c r="BK94" i="5"/>
  <c r="BJ94" i="5"/>
  <c r="BI94" i="5"/>
  <c r="BH94" i="5"/>
  <c r="BG94" i="5"/>
  <c r="BF94" i="5"/>
  <c r="BE94" i="5"/>
  <c r="BD94" i="5"/>
  <c r="BC94" i="5"/>
  <c r="BB94" i="5"/>
  <c r="BA94" i="5"/>
  <c r="AZ94" i="5"/>
  <c r="AY94" i="5"/>
  <c r="AX94" i="5"/>
  <c r="AW94" i="5"/>
  <c r="AV94" i="5"/>
  <c r="AU94" i="5"/>
  <c r="AT94" i="5"/>
  <c r="AS94" i="5"/>
  <c r="AR94" i="5"/>
  <c r="AQ94" i="5"/>
  <c r="AP94" i="5"/>
  <c r="AO94" i="5"/>
  <c r="AN94" i="5"/>
  <c r="AM94" i="5"/>
  <c r="AL94" i="5"/>
  <c r="AK94" i="5"/>
  <c r="AJ94" i="5"/>
  <c r="AI94" i="5"/>
  <c r="AH94" i="5"/>
  <c r="AG94" i="5"/>
  <c r="AF94" i="5"/>
  <c r="AE94" i="5"/>
  <c r="AD94" i="5"/>
  <c r="AC94" i="5"/>
  <c r="AA94" i="5"/>
  <c r="Z94" i="5"/>
  <c r="Y94" i="5"/>
  <c r="X94" i="5"/>
  <c r="W94" i="5"/>
  <c r="V94" i="5"/>
  <c r="U94" i="5"/>
  <c r="T94" i="5"/>
  <c r="S94" i="5" s="1"/>
  <c r="H94" i="5"/>
  <c r="G94" i="5"/>
  <c r="BL93" i="5"/>
  <c r="BK93" i="5"/>
  <c r="BJ93" i="5"/>
  <c r="BI93" i="5"/>
  <c r="BH93" i="5"/>
  <c r="BG93" i="5"/>
  <c r="BF93" i="5"/>
  <c r="BE93" i="5"/>
  <c r="BD93" i="5"/>
  <c r="BC93" i="5"/>
  <c r="BB93" i="5"/>
  <c r="BA93" i="5"/>
  <c r="AZ93" i="5"/>
  <c r="AY93" i="5"/>
  <c r="AX93" i="5"/>
  <c r="AW93" i="5"/>
  <c r="AV93" i="5"/>
  <c r="AU93" i="5"/>
  <c r="AT93" i="5"/>
  <c r="AS93" i="5"/>
  <c r="AR93" i="5"/>
  <c r="AQ93" i="5"/>
  <c r="AP93" i="5"/>
  <c r="AO93" i="5"/>
  <c r="AN93" i="5"/>
  <c r="AM93" i="5"/>
  <c r="AL93" i="5"/>
  <c r="AK93" i="5"/>
  <c r="AJ93" i="5"/>
  <c r="AI93" i="5"/>
  <c r="AH93" i="5"/>
  <c r="AG93" i="5"/>
  <c r="AF93" i="5"/>
  <c r="AE93" i="5"/>
  <c r="AD93" i="5"/>
  <c r="AC93" i="5"/>
  <c r="AB93" i="5"/>
  <c r="AA93" i="5"/>
  <c r="Z93" i="5"/>
  <c r="Y93" i="5"/>
  <c r="X93" i="5"/>
  <c r="W93" i="5"/>
  <c r="V93" i="5"/>
  <c r="U93" i="5"/>
  <c r="T93" i="5"/>
  <c r="S93" i="5"/>
  <c r="G93" i="5"/>
  <c r="BL92" i="5"/>
  <c r="BK92" i="5"/>
  <c r="BJ92" i="5"/>
  <c r="BI92" i="5"/>
  <c r="BH92" i="5"/>
  <c r="BG92" i="5"/>
  <c r="BF92" i="5"/>
  <c r="BE92" i="5"/>
  <c r="BD92" i="5"/>
  <c r="BC92" i="5"/>
  <c r="BB92" i="5"/>
  <c r="BA92" i="5"/>
  <c r="AZ92" i="5"/>
  <c r="AY92" i="5"/>
  <c r="AX92" i="5"/>
  <c r="AW92" i="5"/>
  <c r="AV92" i="5"/>
  <c r="AU92" i="5"/>
  <c r="AT92" i="5"/>
  <c r="AS92" i="5"/>
  <c r="AR92" i="5"/>
  <c r="AQ92" i="5"/>
  <c r="AP92" i="5"/>
  <c r="AO92" i="5"/>
  <c r="AN92" i="5"/>
  <c r="AM92" i="5"/>
  <c r="AL92" i="5"/>
  <c r="AK92" i="5"/>
  <c r="AJ92" i="5"/>
  <c r="AI92" i="5"/>
  <c r="AH92" i="5"/>
  <c r="AG92" i="5"/>
  <c r="AF92" i="5"/>
  <c r="AE92" i="5"/>
  <c r="AD92" i="5"/>
  <c r="AC92" i="5"/>
  <c r="AA92" i="5"/>
  <c r="Z92" i="5"/>
  <c r="Y92" i="5"/>
  <c r="X92" i="5"/>
  <c r="W92" i="5"/>
  <c r="V92" i="5"/>
  <c r="U92" i="5"/>
  <c r="T92" i="5"/>
  <c r="S92" i="5" s="1"/>
  <c r="H92" i="5"/>
  <c r="G92" i="5"/>
  <c r="BL91" i="5"/>
  <c r="BK91" i="5"/>
  <c r="BJ91" i="5"/>
  <c r="BI91" i="5"/>
  <c r="BH91" i="5"/>
  <c r="BG91" i="5"/>
  <c r="BF91" i="5"/>
  <c r="BE91" i="5"/>
  <c r="BD91" i="5"/>
  <c r="BC91" i="5"/>
  <c r="BB91" i="5"/>
  <c r="BA91" i="5"/>
  <c r="AZ91" i="5"/>
  <c r="AY91" i="5"/>
  <c r="AX91" i="5"/>
  <c r="AW91" i="5"/>
  <c r="AV91" i="5"/>
  <c r="AU91"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S91" i="5"/>
  <c r="G91" i="5"/>
  <c r="BL90" i="5"/>
  <c r="BK90" i="5"/>
  <c r="BJ90" i="5"/>
  <c r="BI90" i="5"/>
  <c r="BH90" i="5"/>
  <c r="BG90" i="5"/>
  <c r="BF90" i="5"/>
  <c r="BE90" i="5"/>
  <c r="BD90" i="5"/>
  <c r="BC90" i="5"/>
  <c r="BB90" i="5"/>
  <c r="BA90" i="5"/>
  <c r="AZ90" i="5"/>
  <c r="AY90" i="5"/>
  <c r="AX90" i="5"/>
  <c r="AW90" i="5"/>
  <c r="AV90" i="5"/>
  <c r="AU90" i="5"/>
  <c r="AT90" i="5"/>
  <c r="AS90" i="5"/>
  <c r="AR90" i="5"/>
  <c r="AQ90" i="5"/>
  <c r="AP90" i="5"/>
  <c r="AO90" i="5"/>
  <c r="AN90" i="5"/>
  <c r="AM90" i="5"/>
  <c r="AL90" i="5"/>
  <c r="AK90" i="5"/>
  <c r="AJ90" i="5"/>
  <c r="AI90" i="5"/>
  <c r="AH90" i="5"/>
  <c r="AG90" i="5"/>
  <c r="AF90" i="5"/>
  <c r="AE90" i="5"/>
  <c r="AD90" i="5"/>
  <c r="AC90" i="5"/>
  <c r="AB90" i="5"/>
  <c r="AA90" i="5"/>
  <c r="Z90" i="5"/>
  <c r="Y90" i="5"/>
  <c r="X90" i="5"/>
  <c r="W90" i="5"/>
  <c r="V90" i="5"/>
  <c r="U90" i="5"/>
  <c r="T90" i="5"/>
  <c r="S90" i="5" s="1"/>
  <c r="G90"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W89" i="5"/>
  <c r="V89" i="5"/>
  <c r="U89" i="5"/>
  <c r="T89" i="5"/>
  <c r="S89" i="5"/>
  <c r="G89" i="5"/>
  <c r="BL88" i="5"/>
  <c r="BK88" i="5"/>
  <c r="BJ88" i="5"/>
  <c r="BI88" i="5"/>
  <c r="BH88" i="5"/>
  <c r="BG88" i="5"/>
  <c r="BF88" i="5"/>
  <c r="BE88" i="5"/>
  <c r="BD88" i="5"/>
  <c r="BC88" i="5"/>
  <c r="BB88" i="5"/>
  <c r="BA88" i="5"/>
  <c r="AZ88" i="5"/>
  <c r="AY88" i="5"/>
  <c r="AX88" i="5"/>
  <c r="AW88" i="5"/>
  <c r="AV88" i="5"/>
  <c r="AU88" i="5"/>
  <c r="AT88" i="5"/>
  <c r="AS88" i="5"/>
  <c r="AR88" i="5"/>
  <c r="AQ88" i="5"/>
  <c r="AP88" i="5"/>
  <c r="AO88" i="5"/>
  <c r="AN88" i="5"/>
  <c r="AM88" i="5"/>
  <c r="AL88" i="5"/>
  <c r="AK88" i="5"/>
  <c r="AJ88" i="5"/>
  <c r="AI88" i="5"/>
  <c r="AH88" i="5"/>
  <c r="AG88" i="5"/>
  <c r="AF88" i="5"/>
  <c r="AE88" i="5"/>
  <c r="AD88" i="5"/>
  <c r="AC88" i="5"/>
  <c r="AB88" i="5"/>
  <c r="AA88" i="5"/>
  <c r="Z88" i="5"/>
  <c r="Y88" i="5"/>
  <c r="X88" i="5"/>
  <c r="W88" i="5"/>
  <c r="V88" i="5"/>
  <c r="U88" i="5"/>
  <c r="T88" i="5"/>
  <c r="S88" i="5" s="1"/>
  <c r="G88" i="5"/>
  <c r="BL87" i="5"/>
  <c r="BK87" i="5"/>
  <c r="BJ87" i="5"/>
  <c r="BI87" i="5"/>
  <c r="BH87" i="5"/>
  <c r="BG87" i="5"/>
  <c r="BF87" i="5"/>
  <c r="BE87" i="5"/>
  <c r="BD87" i="5"/>
  <c r="BC87" i="5"/>
  <c r="BB87" i="5"/>
  <c r="BA87" i="5"/>
  <c r="AZ87" i="5"/>
  <c r="AY87" i="5"/>
  <c r="AX87" i="5"/>
  <c r="AW87" i="5"/>
  <c r="AV87" i="5"/>
  <c r="AU87" i="5"/>
  <c r="AT87" i="5"/>
  <c r="AS87" i="5"/>
  <c r="AR87" i="5"/>
  <c r="AQ87" i="5"/>
  <c r="AP87" i="5"/>
  <c r="AO87" i="5"/>
  <c r="AN87" i="5"/>
  <c r="AM87" i="5"/>
  <c r="AL87" i="5"/>
  <c r="AK87" i="5"/>
  <c r="AJ87" i="5"/>
  <c r="AI87" i="5"/>
  <c r="AH87" i="5"/>
  <c r="AG87" i="5"/>
  <c r="AF87" i="5"/>
  <c r="AE87" i="5"/>
  <c r="AD87" i="5"/>
  <c r="AC87" i="5"/>
  <c r="AA87" i="5"/>
  <c r="Z87" i="5"/>
  <c r="Y87" i="5"/>
  <c r="X87" i="5"/>
  <c r="W87" i="5"/>
  <c r="V87" i="5"/>
  <c r="U87" i="5"/>
  <c r="T87" i="5"/>
  <c r="S87" i="5" s="1"/>
  <c r="H87" i="5"/>
  <c r="G87" i="5"/>
  <c r="BL86" i="5"/>
  <c r="BK86" i="5"/>
  <c r="BJ86" i="5"/>
  <c r="BI86" i="5"/>
  <c r="BH86" i="5"/>
  <c r="BG86" i="5"/>
  <c r="BF86" i="5"/>
  <c r="BE86" i="5"/>
  <c r="BD86" i="5"/>
  <c r="BC86" i="5"/>
  <c r="BB86" i="5"/>
  <c r="BA86" i="5"/>
  <c r="AZ86" i="5"/>
  <c r="AY86" i="5"/>
  <c r="AX86" i="5"/>
  <c r="AW86" i="5"/>
  <c r="AV86" i="5"/>
  <c r="AU86" i="5"/>
  <c r="AT86" i="5"/>
  <c r="AS86" i="5"/>
  <c r="AR86" i="5"/>
  <c r="AQ86" i="5"/>
  <c r="AP86" i="5"/>
  <c r="AO86" i="5"/>
  <c r="AN86" i="5"/>
  <c r="AM86" i="5"/>
  <c r="AL86" i="5"/>
  <c r="AK86" i="5"/>
  <c r="AJ86" i="5"/>
  <c r="AI86" i="5"/>
  <c r="AH86" i="5"/>
  <c r="AG86" i="5"/>
  <c r="AF86" i="5"/>
  <c r="AE86" i="5"/>
  <c r="AD86" i="5"/>
  <c r="AC86" i="5"/>
  <c r="AB86" i="5"/>
  <c r="AA86" i="5"/>
  <c r="Z86" i="5"/>
  <c r="Y86" i="5"/>
  <c r="X86" i="5"/>
  <c r="W86" i="5"/>
  <c r="V86" i="5"/>
  <c r="U86" i="5"/>
  <c r="T86" i="5"/>
  <c r="S86" i="5"/>
  <c r="G86" i="5"/>
  <c r="BL85" i="5"/>
  <c r="BK85" i="5"/>
  <c r="BJ85" i="5"/>
  <c r="BI85" i="5"/>
  <c r="BH85" i="5"/>
  <c r="BG85" i="5"/>
  <c r="BF85" i="5"/>
  <c r="BE85" i="5"/>
  <c r="BD85" i="5"/>
  <c r="BC85" i="5"/>
  <c r="BB85" i="5"/>
  <c r="BA85" i="5"/>
  <c r="AZ85" i="5"/>
  <c r="AY85" i="5"/>
  <c r="AX85" i="5"/>
  <c r="AW85" i="5"/>
  <c r="AV85" i="5"/>
  <c r="AU85" i="5"/>
  <c r="AT85" i="5"/>
  <c r="AS85" i="5"/>
  <c r="AR85" i="5"/>
  <c r="AQ85" i="5"/>
  <c r="AP85" i="5"/>
  <c r="AO85" i="5"/>
  <c r="AN85" i="5"/>
  <c r="AM85" i="5"/>
  <c r="AL85" i="5"/>
  <c r="AK85" i="5"/>
  <c r="AJ85" i="5"/>
  <c r="AI85" i="5"/>
  <c r="AH85" i="5"/>
  <c r="AG85" i="5"/>
  <c r="AF85" i="5"/>
  <c r="AE85" i="5"/>
  <c r="AD85" i="5"/>
  <c r="AC85" i="5"/>
  <c r="AB85" i="5"/>
  <c r="AA85" i="5"/>
  <c r="Z85" i="5"/>
  <c r="Y85" i="5"/>
  <c r="X85" i="5"/>
  <c r="W85" i="5"/>
  <c r="V85" i="5"/>
  <c r="U85" i="5"/>
  <c r="T85" i="5"/>
  <c r="S85" i="5"/>
  <c r="G85" i="5"/>
  <c r="BL84" i="5"/>
  <c r="BK84" i="5"/>
  <c r="BJ84" i="5"/>
  <c r="BI84" i="5"/>
  <c r="BH84" i="5"/>
  <c r="BG84" i="5"/>
  <c r="BF84" i="5"/>
  <c r="BE84" i="5"/>
  <c r="BD84" i="5"/>
  <c r="BC84" i="5"/>
  <c r="BB84" i="5"/>
  <c r="BA84" i="5"/>
  <c r="AZ84" i="5"/>
  <c r="AY84" i="5"/>
  <c r="AX84" i="5"/>
  <c r="AW84" i="5"/>
  <c r="AV84" i="5"/>
  <c r="AU84" i="5"/>
  <c r="AT84" i="5"/>
  <c r="AS84" i="5"/>
  <c r="AR84" i="5"/>
  <c r="AQ84" i="5"/>
  <c r="AP84" i="5"/>
  <c r="AO84" i="5"/>
  <c r="AN84" i="5"/>
  <c r="AM84" i="5"/>
  <c r="AL84" i="5"/>
  <c r="AK84" i="5"/>
  <c r="AJ84" i="5"/>
  <c r="AI84" i="5"/>
  <c r="AH84" i="5"/>
  <c r="AG84" i="5"/>
  <c r="AF84" i="5"/>
  <c r="AE84" i="5"/>
  <c r="AD84" i="5"/>
  <c r="AC84" i="5"/>
  <c r="AA84" i="5"/>
  <c r="Z84" i="5"/>
  <c r="Y84" i="5"/>
  <c r="X84" i="5"/>
  <c r="W84" i="5"/>
  <c r="V84" i="5"/>
  <c r="U84" i="5"/>
  <c r="T84" i="5"/>
  <c r="S84" i="5" s="1"/>
  <c r="H84" i="5"/>
  <c r="G84" i="5"/>
  <c r="BL83" i="5"/>
  <c r="BK83" i="5"/>
  <c r="BJ83" i="5"/>
  <c r="BI83" i="5"/>
  <c r="BH83" i="5"/>
  <c r="BG83" i="5"/>
  <c r="BF83" i="5"/>
  <c r="BE83" i="5"/>
  <c r="BD83" i="5"/>
  <c r="BC83" i="5"/>
  <c r="BB83" i="5"/>
  <c r="BA83" i="5"/>
  <c r="AZ83" i="5"/>
  <c r="AY83" i="5"/>
  <c r="AX83" i="5"/>
  <c r="AW83" i="5"/>
  <c r="AV83" i="5"/>
  <c r="AU83" i="5"/>
  <c r="AT83" i="5"/>
  <c r="AS83" i="5"/>
  <c r="AR83" i="5"/>
  <c r="AQ83" i="5"/>
  <c r="AP83" i="5"/>
  <c r="AO83" i="5"/>
  <c r="AN83" i="5"/>
  <c r="AM83" i="5"/>
  <c r="AL83" i="5"/>
  <c r="AK83" i="5"/>
  <c r="AJ83" i="5"/>
  <c r="AI83" i="5"/>
  <c r="AH83" i="5"/>
  <c r="AG83" i="5"/>
  <c r="AF83" i="5"/>
  <c r="AE83" i="5"/>
  <c r="AD83" i="5"/>
  <c r="AC83" i="5"/>
  <c r="AB83" i="5"/>
  <c r="AA83" i="5"/>
  <c r="Z83" i="5"/>
  <c r="Y83" i="5"/>
  <c r="X83" i="5"/>
  <c r="W83" i="5"/>
  <c r="V83" i="5"/>
  <c r="U83" i="5"/>
  <c r="T83" i="5"/>
  <c r="S83" i="5"/>
  <c r="G83" i="5"/>
  <c r="BL82" i="5"/>
  <c r="BK82" i="5"/>
  <c r="BJ82" i="5"/>
  <c r="BI82" i="5"/>
  <c r="BH82" i="5"/>
  <c r="BG82" i="5"/>
  <c r="BF82" i="5"/>
  <c r="BE82" i="5"/>
  <c r="BD82" i="5"/>
  <c r="BC82" i="5"/>
  <c r="BB82" i="5"/>
  <c r="BA82" i="5"/>
  <c r="AZ82" i="5"/>
  <c r="AY82" i="5"/>
  <c r="AX82" i="5"/>
  <c r="AW82" i="5"/>
  <c r="AV82" i="5"/>
  <c r="AU82" i="5"/>
  <c r="AT82" i="5"/>
  <c r="AS82" i="5"/>
  <c r="AR82" i="5"/>
  <c r="AQ82" i="5"/>
  <c r="AP82" i="5"/>
  <c r="AO82" i="5"/>
  <c r="AN82" i="5"/>
  <c r="AM82" i="5"/>
  <c r="AL82" i="5"/>
  <c r="AK82" i="5"/>
  <c r="AJ82" i="5"/>
  <c r="AI82" i="5"/>
  <c r="AH82" i="5"/>
  <c r="AG82" i="5"/>
  <c r="AF82" i="5"/>
  <c r="AE82" i="5"/>
  <c r="AD82" i="5"/>
  <c r="AC82" i="5"/>
  <c r="AA82" i="5"/>
  <c r="Z82" i="5"/>
  <c r="Y82" i="5"/>
  <c r="X82" i="5"/>
  <c r="W82" i="5"/>
  <c r="V82" i="5"/>
  <c r="U82" i="5"/>
  <c r="T82" i="5"/>
  <c r="S82" i="5" s="1"/>
  <c r="H82" i="5"/>
  <c r="G82" i="5"/>
  <c r="BL81" i="5"/>
  <c r="BK81" i="5"/>
  <c r="BJ81" i="5"/>
  <c r="BI81" i="5"/>
  <c r="BH81" i="5"/>
  <c r="BG81" i="5"/>
  <c r="BF81" i="5"/>
  <c r="BE81" i="5"/>
  <c r="BD81" i="5"/>
  <c r="BC81" i="5"/>
  <c r="BB81" i="5"/>
  <c r="BA81" i="5"/>
  <c r="AZ81" i="5"/>
  <c r="AY81" i="5"/>
  <c r="AX81" i="5"/>
  <c r="AW81" i="5"/>
  <c r="AV81" i="5"/>
  <c r="AU81" i="5"/>
  <c r="AT81" i="5"/>
  <c r="AS81" i="5"/>
  <c r="AR81" i="5"/>
  <c r="AQ81" i="5"/>
  <c r="AP81" i="5"/>
  <c r="AO81" i="5"/>
  <c r="AN81" i="5"/>
  <c r="AM81" i="5"/>
  <c r="AL81" i="5"/>
  <c r="AK81" i="5"/>
  <c r="AJ81" i="5"/>
  <c r="AI81" i="5"/>
  <c r="AH81" i="5"/>
  <c r="AG81" i="5"/>
  <c r="AF81" i="5"/>
  <c r="AE81" i="5"/>
  <c r="AD81" i="5"/>
  <c r="AC81" i="5"/>
  <c r="AA81" i="5"/>
  <c r="Z81" i="5"/>
  <c r="Y81" i="5"/>
  <c r="X81" i="5"/>
  <c r="W81" i="5"/>
  <c r="V81" i="5"/>
  <c r="U81" i="5"/>
  <c r="T81" i="5"/>
  <c r="S81" i="5" s="1"/>
  <c r="H81" i="5"/>
  <c r="G81" i="5"/>
  <c r="BL80" i="5"/>
  <c r="BK80" i="5"/>
  <c r="BJ80" i="5"/>
  <c r="BI80" i="5"/>
  <c r="BH80" i="5"/>
  <c r="BG80" i="5"/>
  <c r="BF80" i="5"/>
  <c r="BE80" i="5"/>
  <c r="BD80" i="5"/>
  <c r="BC80" i="5"/>
  <c r="BB80" i="5"/>
  <c r="BA80" i="5"/>
  <c r="AZ80" i="5"/>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G80" i="5"/>
  <c r="BL79" i="5"/>
  <c r="BK79" i="5"/>
  <c r="BJ79" i="5"/>
  <c r="BI79" i="5"/>
  <c r="BH79" i="5"/>
  <c r="BG79" i="5"/>
  <c r="BF79" i="5"/>
  <c r="BE79" i="5"/>
  <c r="BD79" i="5"/>
  <c r="BC79" i="5"/>
  <c r="BB79" i="5"/>
  <c r="BA79" i="5"/>
  <c r="AZ79" i="5"/>
  <c r="AY79" i="5"/>
  <c r="AX79" i="5"/>
  <c r="AW79" i="5"/>
  <c r="AV79" i="5"/>
  <c r="AU79" i="5"/>
  <c r="AT79" i="5"/>
  <c r="AS79" i="5"/>
  <c r="AR79" i="5"/>
  <c r="AQ79" i="5"/>
  <c r="AP79" i="5"/>
  <c r="AO79" i="5"/>
  <c r="AN79" i="5"/>
  <c r="AM79" i="5"/>
  <c r="AL79" i="5"/>
  <c r="AK79" i="5"/>
  <c r="AJ79" i="5"/>
  <c r="AI79" i="5"/>
  <c r="AH79" i="5"/>
  <c r="AG79" i="5"/>
  <c r="AF79" i="5"/>
  <c r="AE79" i="5"/>
  <c r="AD79" i="5"/>
  <c r="AC79" i="5"/>
  <c r="AB79" i="5"/>
  <c r="AA79" i="5"/>
  <c r="Z79" i="5"/>
  <c r="Y79" i="5"/>
  <c r="X79" i="5"/>
  <c r="W79" i="5"/>
  <c r="V79" i="5"/>
  <c r="U79" i="5"/>
  <c r="T79" i="5"/>
  <c r="S79" i="5"/>
  <c r="G79"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A78" i="5"/>
  <c r="Z78" i="5"/>
  <c r="Y78" i="5"/>
  <c r="X78" i="5"/>
  <c r="W78" i="5"/>
  <c r="V78" i="5"/>
  <c r="U78" i="5"/>
  <c r="T78" i="5"/>
  <c r="S78" i="5" s="1"/>
  <c r="H78" i="5"/>
  <c r="G78" i="5"/>
  <c r="BL77" i="5"/>
  <c r="BK77" i="5"/>
  <c r="BJ77" i="5"/>
  <c r="BI77" i="5"/>
  <c r="BH77" i="5"/>
  <c r="BG77" i="5"/>
  <c r="BF77" i="5"/>
  <c r="BE77" i="5"/>
  <c r="BD77" i="5"/>
  <c r="BC77" i="5"/>
  <c r="BB77" i="5"/>
  <c r="BA77" i="5"/>
  <c r="AZ77" i="5"/>
  <c r="AY77" i="5"/>
  <c r="AX77" i="5"/>
  <c r="AW77" i="5"/>
  <c r="AV77" i="5"/>
  <c r="AU77" i="5"/>
  <c r="AT77" i="5"/>
  <c r="AS77" i="5"/>
  <c r="AR77" i="5"/>
  <c r="AQ77" i="5"/>
  <c r="AP77" i="5"/>
  <c r="AO77" i="5"/>
  <c r="AN77" i="5"/>
  <c r="AM77" i="5"/>
  <c r="AL77" i="5"/>
  <c r="AK77" i="5"/>
  <c r="AJ77" i="5"/>
  <c r="AI77" i="5"/>
  <c r="AH77" i="5"/>
  <c r="AG77" i="5"/>
  <c r="AF77" i="5"/>
  <c r="AE77" i="5"/>
  <c r="AD77" i="5"/>
  <c r="AC77" i="5"/>
  <c r="AB77" i="5"/>
  <c r="AA77" i="5"/>
  <c r="Z77" i="5"/>
  <c r="Y77" i="5"/>
  <c r="X77" i="5"/>
  <c r="W77" i="5"/>
  <c r="V77" i="5"/>
  <c r="U77" i="5"/>
  <c r="T77" i="5"/>
  <c r="S77" i="5"/>
  <c r="G77" i="5"/>
  <c r="BL76" i="5"/>
  <c r="BK76" i="5"/>
  <c r="BJ76" i="5"/>
  <c r="BI76" i="5"/>
  <c r="BH76" i="5"/>
  <c r="BG76" i="5"/>
  <c r="BF76" i="5"/>
  <c r="BE76" i="5"/>
  <c r="BD76" i="5"/>
  <c r="BC76" i="5"/>
  <c r="BB76" i="5"/>
  <c r="BA76" i="5"/>
  <c r="AZ76" i="5"/>
  <c r="AY76" i="5"/>
  <c r="AX76" i="5"/>
  <c r="AW76" i="5"/>
  <c r="AV76" i="5"/>
  <c r="AU76" i="5"/>
  <c r="AT76" i="5"/>
  <c r="AS76" i="5"/>
  <c r="AR76" i="5"/>
  <c r="AQ76" i="5"/>
  <c r="AP76" i="5"/>
  <c r="AO76" i="5"/>
  <c r="AN76" i="5"/>
  <c r="AM76" i="5"/>
  <c r="AL76" i="5"/>
  <c r="AK76" i="5"/>
  <c r="AJ76" i="5"/>
  <c r="AI76" i="5"/>
  <c r="AH76" i="5"/>
  <c r="AG76" i="5"/>
  <c r="AF76" i="5"/>
  <c r="AE76" i="5"/>
  <c r="AD76" i="5"/>
  <c r="AC76" i="5"/>
  <c r="AA76" i="5"/>
  <c r="Z76" i="5"/>
  <c r="Y76" i="5"/>
  <c r="X76" i="5"/>
  <c r="W76" i="5"/>
  <c r="V76" i="5"/>
  <c r="U76" i="5"/>
  <c r="T76" i="5"/>
  <c r="S76" i="5" s="1"/>
  <c r="H76" i="5"/>
  <c r="G76" i="5"/>
  <c r="BL75" i="5"/>
  <c r="BK75" i="5"/>
  <c r="BJ75" i="5"/>
  <c r="BI75" i="5"/>
  <c r="BH75" i="5"/>
  <c r="BG75" i="5"/>
  <c r="BF75" i="5"/>
  <c r="BE75" i="5"/>
  <c r="BD75" i="5"/>
  <c r="BC75" i="5"/>
  <c r="BB75" i="5"/>
  <c r="BA75" i="5"/>
  <c r="AZ75" i="5"/>
  <c r="AY75" i="5"/>
  <c r="AX75" i="5"/>
  <c r="AW75" i="5"/>
  <c r="AV75" i="5"/>
  <c r="AU75" i="5"/>
  <c r="AT75" i="5"/>
  <c r="AS75" i="5"/>
  <c r="AR75" i="5"/>
  <c r="AQ75" i="5"/>
  <c r="AP75" i="5"/>
  <c r="AO75" i="5"/>
  <c r="AN75" i="5"/>
  <c r="AM75" i="5"/>
  <c r="AL75" i="5"/>
  <c r="AK75" i="5"/>
  <c r="AJ75" i="5"/>
  <c r="AI75" i="5"/>
  <c r="AH75" i="5"/>
  <c r="AG75" i="5"/>
  <c r="AF75" i="5"/>
  <c r="AE75" i="5"/>
  <c r="AD75" i="5"/>
  <c r="AC75" i="5"/>
  <c r="AB75" i="5"/>
  <c r="AA75" i="5"/>
  <c r="Z75" i="5"/>
  <c r="Y75" i="5"/>
  <c r="X75" i="5"/>
  <c r="W75" i="5"/>
  <c r="V75" i="5"/>
  <c r="U75" i="5"/>
  <c r="T75" i="5"/>
  <c r="S75" i="5"/>
  <c r="H75" i="5"/>
  <c r="I75" i="5" s="1"/>
  <c r="I99" i="5" s="1"/>
  <c r="G75" i="5"/>
  <c r="BL74" i="5"/>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E74" i="5"/>
  <c r="AD74" i="5"/>
  <c r="AC74" i="5"/>
  <c r="AB74" i="5"/>
  <c r="AA74" i="5"/>
  <c r="Z74" i="5"/>
  <c r="Y74" i="5"/>
  <c r="X74" i="5"/>
  <c r="W74" i="5"/>
  <c r="V74" i="5"/>
  <c r="U74" i="5"/>
  <c r="T74" i="5"/>
  <c r="S74" i="5" s="1"/>
  <c r="H74" i="5"/>
  <c r="I74" i="5" s="1"/>
  <c r="I98" i="5" s="1"/>
  <c r="G74" i="5"/>
  <c r="BL73" i="5"/>
  <c r="BK73" i="5"/>
  <c r="BJ73" i="5"/>
  <c r="BI73" i="5"/>
  <c r="BH73" i="5"/>
  <c r="BG73" i="5"/>
  <c r="BF73" i="5"/>
  <c r="BE73" i="5"/>
  <c r="BD73" i="5"/>
  <c r="BC73" i="5"/>
  <c r="BB73" i="5"/>
  <c r="BA73" i="5"/>
  <c r="AZ73" i="5"/>
  <c r="AY73" i="5"/>
  <c r="AX73" i="5"/>
  <c r="AW73" i="5"/>
  <c r="AV73" i="5"/>
  <c r="AU73" i="5"/>
  <c r="AT73" i="5"/>
  <c r="AS73" i="5"/>
  <c r="AR73" i="5"/>
  <c r="AQ73" i="5"/>
  <c r="AP73" i="5"/>
  <c r="AO73" i="5"/>
  <c r="AN73" i="5"/>
  <c r="AM73" i="5"/>
  <c r="AL73" i="5"/>
  <c r="AK73" i="5"/>
  <c r="AJ73" i="5"/>
  <c r="AI73" i="5"/>
  <c r="AH73" i="5"/>
  <c r="AG73" i="5"/>
  <c r="AF73" i="5"/>
  <c r="AE73" i="5"/>
  <c r="AD73" i="5"/>
  <c r="AC73" i="5"/>
  <c r="AB73" i="5"/>
  <c r="AA73" i="5"/>
  <c r="Z73" i="5"/>
  <c r="Y73" i="5"/>
  <c r="X73" i="5"/>
  <c r="W73" i="5"/>
  <c r="V73" i="5"/>
  <c r="U73" i="5"/>
  <c r="T73" i="5"/>
  <c r="S73" i="5"/>
  <c r="G73" i="5"/>
  <c r="BL72" i="5"/>
  <c r="BK72" i="5"/>
  <c r="BJ72" i="5"/>
  <c r="BI72" i="5"/>
  <c r="BH72" i="5"/>
  <c r="BG72" i="5"/>
  <c r="BF72" i="5"/>
  <c r="BE72" i="5"/>
  <c r="BD72" i="5"/>
  <c r="BC72" i="5"/>
  <c r="BB72" i="5"/>
  <c r="BA72" i="5"/>
  <c r="AZ72" i="5"/>
  <c r="AY72" i="5"/>
  <c r="AX72" i="5"/>
  <c r="AW72" i="5"/>
  <c r="AV72" i="5"/>
  <c r="AU72" i="5"/>
  <c r="AT72" i="5"/>
  <c r="AS72" i="5"/>
  <c r="AR72" i="5"/>
  <c r="AQ72" i="5"/>
  <c r="AP72" i="5"/>
  <c r="AO72" i="5"/>
  <c r="AN72" i="5"/>
  <c r="AM72" i="5"/>
  <c r="AL72" i="5"/>
  <c r="AK72" i="5"/>
  <c r="AJ72" i="5"/>
  <c r="AI72" i="5"/>
  <c r="AH72" i="5"/>
  <c r="AG72" i="5"/>
  <c r="AF72" i="5"/>
  <c r="AE72" i="5"/>
  <c r="AD72" i="5"/>
  <c r="AC72" i="5"/>
  <c r="AB72" i="5"/>
  <c r="AA72" i="5"/>
  <c r="Z72" i="5"/>
  <c r="Y72" i="5"/>
  <c r="X72" i="5"/>
  <c r="W72" i="5"/>
  <c r="V72" i="5"/>
  <c r="U72" i="5"/>
  <c r="T72" i="5"/>
  <c r="S72" i="5" s="1"/>
  <c r="H72" i="5"/>
  <c r="I72" i="5" s="1"/>
  <c r="I96" i="5" s="1"/>
  <c r="G72" i="5"/>
  <c r="BL71" i="5"/>
  <c r="BK71" i="5"/>
  <c r="BJ71" i="5"/>
  <c r="BI71" i="5"/>
  <c r="BH71" i="5"/>
  <c r="BG71" i="5"/>
  <c r="BF71" i="5"/>
  <c r="BE71" i="5"/>
  <c r="BD71" i="5"/>
  <c r="BC71" i="5"/>
  <c r="BB71" i="5"/>
  <c r="BA71" i="5"/>
  <c r="AZ71" i="5"/>
  <c r="AY71" i="5"/>
  <c r="AX71" i="5"/>
  <c r="AW71" i="5"/>
  <c r="AV71" i="5"/>
  <c r="AU71" i="5"/>
  <c r="AT71" i="5"/>
  <c r="AS71" i="5"/>
  <c r="AR71" i="5"/>
  <c r="AQ71" i="5"/>
  <c r="AP71" i="5"/>
  <c r="AO71" i="5"/>
  <c r="AN71" i="5"/>
  <c r="AM71" i="5"/>
  <c r="AL71" i="5"/>
  <c r="AK71" i="5"/>
  <c r="AJ71" i="5"/>
  <c r="AI71" i="5"/>
  <c r="AH71" i="5"/>
  <c r="AG71" i="5"/>
  <c r="AF71" i="5"/>
  <c r="AE71" i="5"/>
  <c r="AD71" i="5"/>
  <c r="AC71" i="5"/>
  <c r="AB71" i="5"/>
  <c r="AA71" i="5"/>
  <c r="Z71" i="5"/>
  <c r="Y71" i="5"/>
  <c r="X71" i="5"/>
  <c r="W71" i="5"/>
  <c r="V71" i="5"/>
  <c r="U71" i="5"/>
  <c r="T71" i="5"/>
  <c r="S71" i="5"/>
  <c r="G71" i="5"/>
  <c r="BL70" i="5"/>
  <c r="BK70" i="5"/>
  <c r="BJ70" i="5"/>
  <c r="BI70" i="5"/>
  <c r="BH70" i="5"/>
  <c r="BG70" i="5"/>
  <c r="BF70" i="5"/>
  <c r="BE70" i="5"/>
  <c r="BD70" i="5"/>
  <c r="BC70" i="5"/>
  <c r="BB70" i="5"/>
  <c r="BA70" i="5"/>
  <c r="AZ70" i="5"/>
  <c r="AY70" i="5"/>
  <c r="AX70" i="5"/>
  <c r="AW70" i="5"/>
  <c r="AV70" i="5"/>
  <c r="AU70" i="5"/>
  <c r="AT70" i="5"/>
  <c r="AS70" i="5"/>
  <c r="AR70" i="5"/>
  <c r="AQ70" i="5"/>
  <c r="AP70" i="5"/>
  <c r="AO70" i="5"/>
  <c r="AN70" i="5"/>
  <c r="AM70" i="5"/>
  <c r="AL70" i="5"/>
  <c r="AK70" i="5"/>
  <c r="AJ70" i="5"/>
  <c r="AI70" i="5"/>
  <c r="AH70" i="5"/>
  <c r="AG70" i="5"/>
  <c r="AF70" i="5"/>
  <c r="AE70" i="5"/>
  <c r="AD70" i="5"/>
  <c r="AC70" i="5"/>
  <c r="AB70" i="5"/>
  <c r="AA70" i="5"/>
  <c r="Z70" i="5"/>
  <c r="Y70" i="5"/>
  <c r="X70" i="5"/>
  <c r="W70" i="5"/>
  <c r="V70" i="5"/>
  <c r="U70" i="5"/>
  <c r="T70" i="5"/>
  <c r="S70" i="5" s="1"/>
  <c r="H70" i="5"/>
  <c r="I70" i="5" s="1"/>
  <c r="I94" i="5" s="1"/>
  <c r="G70" i="5"/>
  <c r="BL69" i="5"/>
  <c r="BK69" i="5"/>
  <c r="BJ69" i="5"/>
  <c r="BI69" i="5"/>
  <c r="BH69" i="5"/>
  <c r="BG69" i="5"/>
  <c r="BF69" i="5"/>
  <c r="BE69" i="5"/>
  <c r="BD69" i="5"/>
  <c r="BC69" i="5"/>
  <c r="BB69" i="5"/>
  <c r="BA69" i="5"/>
  <c r="AZ69" i="5"/>
  <c r="AY69" i="5"/>
  <c r="AX69" i="5"/>
  <c r="AW69" i="5"/>
  <c r="AV69" i="5"/>
  <c r="AU69" i="5"/>
  <c r="AT69" i="5"/>
  <c r="AS69" i="5"/>
  <c r="AR69" i="5"/>
  <c r="AQ69" i="5"/>
  <c r="AP69" i="5"/>
  <c r="AO69" i="5"/>
  <c r="AN69" i="5"/>
  <c r="AM69" i="5"/>
  <c r="AL69" i="5"/>
  <c r="AK69" i="5"/>
  <c r="AJ69" i="5"/>
  <c r="AI69" i="5"/>
  <c r="AH69" i="5"/>
  <c r="AG69" i="5"/>
  <c r="AF69" i="5"/>
  <c r="AE69" i="5"/>
  <c r="AD69" i="5"/>
  <c r="AC69" i="5"/>
  <c r="AB69" i="5"/>
  <c r="AA69" i="5"/>
  <c r="Z69" i="5"/>
  <c r="Y69" i="5"/>
  <c r="X69" i="5"/>
  <c r="W69" i="5"/>
  <c r="V69" i="5"/>
  <c r="U69" i="5"/>
  <c r="T69" i="5"/>
  <c r="S69" i="5"/>
  <c r="G69" i="5"/>
  <c r="BL68" i="5"/>
  <c r="BK68" i="5"/>
  <c r="BJ68" i="5"/>
  <c r="BI68" i="5"/>
  <c r="BH68" i="5"/>
  <c r="BG68" i="5"/>
  <c r="BF68" i="5"/>
  <c r="BE68" i="5"/>
  <c r="BD68" i="5"/>
  <c r="BC68" i="5"/>
  <c r="BB68" i="5"/>
  <c r="BA68" i="5"/>
  <c r="AZ68" i="5"/>
  <c r="AY68" i="5"/>
  <c r="AX68" i="5"/>
  <c r="AW68" i="5"/>
  <c r="AV68" i="5"/>
  <c r="AU68" i="5"/>
  <c r="AT68" i="5"/>
  <c r="AS68" i="5"/>
  <c r="AR68" i="5"/>
  <c r="AQ68" i="5"/>
  <c r="AP68" i="5"/>
  <c r="AO68" i="5"/>
  <c r="AN68" i="5"/>
  <c r="AM68" i="5"/>
  <c r="AL68" i="5"/>
  <c r="AK68" i="5"/>
  <c r="AJ68" i="5"/>
  <c r="AI68" i="5"/>
  <c r="AH68" i="5"/>
  <c r="AG68" i="5"/>
  <c r="AF68" i="5"/>
  <c r="AE68" i="5"/>
  <c r="AD68" i="5"/>
  <c r="AC68" i="5"/>
  <c r="AA68" i="5"/>
  <c r="Z68" i="5"/>
  <c r="Y68" i="5"/>
  <c r="X68" i="5"/>
  <c r="W68" i="5"/>
  <c r="V68" i="5"/>
  <c r="U68" i="5"/>
  <c r="T68" i="5"/>
  <c r="S68" i="5" s="1"/>
  <c r="H68" i="5"/>
  <c r="I68" i="5" s="1"/>
  <c r="G68"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G67" i="5"/>
  <c r="BL66" i="5"/>
  <c r="BK66" i="5"/>
  <c r="BJ66" i="5"/>
  <c r="BI66" i="5"/>
  <c r="BH66" i="5"/>
  <c r="BG66" i="5"/>
  <c r="BF66" i="5"/>
  <c r="BE66" i="5"/>
  <c r="BD66" i="5"/>
  <c r="BC66" i="5"/>
  <c r="BB66" i="5"/>
  <c r="BA66" i="5"/>
  <c r="AZ66" i="5"/>
  <c r="AY66" i="5"/>
  <c r="AX66" i="5"/>
  <c r="AW66" i="5"/>
  <c r="AV66" i="5"/>
  <c r="AU66" i="5"/>
  <c r="AT66" i="5"/>
  <c r="AS66" i="5"/>
  <c r="AR66" i="5"/>
  <c r="AQ66" i="5"/>
  <c r="AP66" i="5"/>
  <c r="AO66" i="5"/>
  <c r="AN66" i="5"/>
  <c r="AM66" i="5"/>
  <c r="AL66" i="5"/>
  <c r="AK66" i="5"/>
  <c r="AJ66" i="5"/>
  <c r="AI66" i="5"/>
  <c r="AH66" i="5"/>
  <c r="AG66" i="5"/>
  <c r="AF66" i="5"/>
  <c r="AE66" i="5"/>
  <c r="AD66" i="5"/>
  <c r="AC66" i="5"/>
  <c r="AB66" i="5"/>
  <c r="AA66" i="5"/>
  <c r="Z66" i="5"/>
  <c r="Y66" i="5"/>
  <c r="X66" i="5"/>
  <c r="W66" i="5"/>
  <c r="V66" i="5"/>
  <c r="U66" i="5"/>
  <c r="T66" i="5"/>
  <c r="S66" i="5" s="1"/>
  <c r="G66" i="5"/>
  <c r="BL65" i="5"/>
  <c r="BK65" i="5"/>
  <c r="BJ65" i="5"/>
  <c r="BI65" i="5"/>
  <c r="BH65" i="5"/>
  <c r="BG65" i="5"/>
  <c r="BF65" i="5"/>
  <c r="BE65" i="5"/>
  <c r="BD65" i="5"/>
  <c r="BC65" i="5"/>
  <c r="BB65" i="5"/>
  <c r="BA65" i="5"/>
  <c r="AZ65" i="5"/>
  <c r="AY65" i="5"/>
  <c r="AX65" i="5"/>
  <c r="AW65" i="5"/>
  <c r="AV65" i="5"/>
  <c r="AU65" i="5"/>
  <c r="AT65" i="5"/>
  <c r="AS65" i="5"/>
  <c r="AR65" i="5"/>
  <c r="AQ65" i="5"/>
  <c r="AP65" i="5"/>
  <c r="AO65" i="5"/>
  <c r="AN65" i="5"/>
  <c r="AM65" i="5"/>
  <c r="AL65" i="5"/>
  <c r="AK65" i="5"/>
  <c r="AJ65" i="5"/>
  <c r="AI65" i="5"/>
  <c r="AH65" i="5"/>
  <c r="AG65" i="5"/>
  <c r="AF65" i="5"/>
  <c r="AE65" i="5"/>
  <c r="AD65" i="5"/>
  <c r="AC65" i="5"/>
  <c r="AB65" i="5"/>
  <c r="AA65" i="5"/>
  <c r="Z65" i="5"/>
  <c r="Y65" i="5"/>
  <c r="X65" i="5"/>
  <c r="W65" i="5"/>
  <c r="V65" i="5"/>
  <c r="U65" i="5"/>
  <c r="T65" i="5"/>
  <c r="S65" i="5"/>
  <c r="G65" i="5"/>
  <c r="BL64" i="5"/>
  <c r="BK64" i="5"/>
  <c r="BJ64" i="5"/>
  <c r="BI64" i="5"/>
  <c r="BH64" i="5"/>
  <c r="BG64" i="5"/>
  <c r="BF64" i="5"/>
  <c r="BE64" i="5"/>
  <c r="BD64" i="5"/>
  <c r="BC64" i="5"/>
  <c r="BB64" i="5"/>
  <c r="BA64" i="5"/>
  <c r="AZ64" i="5"/>
  <c r="AY64" i="5"/>
  <c r="AX64" i="5"/>
  <c r="AW64" i="5"/>
  <c r="AV64" i="5"/>
  <c r="AU64" i="5"/>
  <c r="AT64" i="5"/>
  <c r="AS64" i="5"/>
  <c r="AR64" i="5"/>
  <c r="AQ64" i="5"/>
  <c r="AP64" i="5"/>
  <c r="AO64" i="5"/>
  <c r="AN64" i="5"/>
  <c r="AM64" i="5"/>
  <c r="AL64" i="5"/>
  <c r="AK64" i="5"/>
  <c r="AJ64" i="5"/>
  <c r="AI64" i="5"/>
  <c r="AH64" i="5"/>
  <c r="AG64" i="5"/>
  <c r="AF64" i="5"/>
  <c r="AE64" i="5"/>
  <c r="AD64" i="5"/>
  <c r="AC64" i="5"/>
  <c r="AB64" i="5"/>
  <c r="AA64" i="5"/>
  <c r="Z64" i="5"/>
  <c r="Y64" i="5"/>
  <c r="X64" i="5"/>
  <c r="W64" i="5"/>
  <c r="V64" i="5"/>
  <c r="U64" i="5"/>
  <c r="T64" i="5"/>
  <c r="S64" i="5" s="1"/>
  <c r="G64" i="5"/>
  <c r="BL61" i="5"/>
  <c r="BK61" i="5"/>
  <c r="BJ61" i="5"/>
  <c r="BI61" i="5"/>
  <c r="BH61" i="5"/>
  <c r="BG61" i="5"/>
  <c r="BF61" i="5"/>
  <c r="BE61" i="5"/>
  <c r="BD61" i="5"/>
  <c r="BC61" i="5"/>
  <c r="BB61" i="5"/>
  <c r="BA61" i="5"/>
  <c r="AZ61" i="5"/>
  <c r="AY61" i="5"/>
  <c r="AX61" i="5"/>
  <c r="AW61" i="5"/>
  <c r="AV61" i="5"/>
  <c r="AU61" i="5"/>
  <c r="AT61" i="5"/>
  <c r="AS61" i="5"/>
  <c r="AR61" i="5"/>
  <c r="AQ61" i="5"/>
  <c r="AP61" i="5"/>
  <c r="AO61" i="5"/>
  <c r="AN61" i="5"/>
  <c r="AM61" i="5"/>
  <c r="AL61" i="5"/>
  <c r="AK61" i="5"/>
  <c r="AJ61" i="5"/>
  <c r="AI61" i="5"/>
  <c r="AH61" i="5"/>
  <c r="AG61" i="5"/>
  <c r="AF61" i="5"/>
  <c r="AE61" i="5"/>
  <c r="AD61" i="5"/>
  <c r="AC61" i="5"/>
  <c r="AB61" i="5"/>
  <c r="AA61" i="5"/>
  <c r="Z61" i="5"/>
  <c r="Y61" i="5"/>
  <c r="X61" i="5"/>
  <c r="W61" i="5"/>
  <c r="V61" i="5"/>
  <c r="U61" i="5"/>
  <c r="T61" i="5"/>
  <c r="J6" i="5"/>
  <c r="J6" i="7" s="1"/>
  <c r="J5" i="5"/>
  <c r="J5" i="7" s="1"/>
  <c r="AE4" i="5"/>
  <c r="AF4" i="5" s="1"/>
  <c r="AC4" i="5"/>
  <c r="AB4" i="5" s="1"/>
  <c r="AW128" i="4"/>
  <c r="AW127" i="4"/>
  <c r="AW126" i="4"/>
  <c r="AW125" i="4"/>
  <c r="AW124" i="4"/>
  <c r="AW123" i="4"/>
  <c r="AW122" i="4"/>
  <c r="AW121" i="4"/>
  <c r="AW120" i="4"/>
  <c r="AW119" i="4"/>
  <c r="AW118" i="4"/>
  <c r="AW117" i="4"/>
  <c r="AW116" i="4"/>
  <c r="AW115" i="4"/>
  <c r="AW114" i="4"/>
  <c r="AW113" i="4"/>
  <c r="AV109" i="4"/>
  <c r="AU109" i="4"/>
  <c r="AT109" i="4"/>
  <c r="AS109" i="4"/>
  <c r="AR109" i="4"/>
  <c r="AQ109" i="4"/>
  <c r="AP109" i="4"/>
  <c r="AO109" i="4"/>
  <c r="AN109" i="4"/>
  <c r="AM109" i="4"/>
  <c r="AL109" i="4"/>
  <c r="AK109" i="4"/>
  <c r="AJ109" i="4"/>
  <c r="AI109" i="4"/>
  <c r="AH109" i="4"/>
  <c r="AG109" i="4"/>
  <c r="AF109" i="4"/>
  <c r="AE109" i="4"/>
  <c r="AD109" i="4"/>
  <c r="AV108" i="4"/>
  <c r="Z164" i="11" s="1"/>
  <c r="AU108" i="4"/>
  <c r="Y164" i="11" s="1"/>
  <c r="AT108" i="4"/>
  <c r="X164" i="11" s="1"/>
  <c r="AS108" i="4"/>
  <c r="W164" i="11" s="1"/>
  <c r="AR108" i="4"/>
  <c r="V164" i="11" s="1"/>
  <c r="AQ108" i="4"/>
  <c r="U164" i="11" s="1"/>
  <c r="AP108" i="4"/>
  <c r="T164" i="11" s="1"/>
  <c r="AO108" i="4"/>
  <c r="S164" i="11" s="1"/>
  <c r="AN108" i="4"/>
  <c r="R164" i="11" s="1"/>
  <c r="AM108" i="4"/>
  <c r="Q164" i="11" s="1"/>
  <c r="AL108" i="4"/>
  <c r="P164" i="11" s="1"/>
  <c r="AK108" i="4"/>
  <c r="O164" i="11" s="1"/>
  <c r="AJ108" i="4"/>
  <c r="N164" i="11" s="1"/>
  <c r="AI108" i="4"/>
  <c r="M164" i="11" s="1"/>
  <c r="AH108" i="4"/>
  <c r="L164" i="11" s="1"/>
  <c r="AG108" i="4"/>
  <c r="K164" i="11" s="1"/>
  <c r="AF108" i="4"/>
  <c r="J164" i="11" s="1"/>
  <c r="AE108" i="4"/>
  <c r="I164" i="11" s="1"/>
  <c r="AD108" i="4"/>
  <c r="H164" i="11" s="1"/>
  <c r="AV107" i="4"/>
  <c r="Z164" i="12" s="1"/>
  <c r="AU107" i="4"/>
  <c r="Y164" i="12" s="1"/>
  <c r="AT107" i="4"/>
  <c r="X164" i="12" s="1"/>
  <c r="AS107" i="4"/>
  <c r="W164" i="12" s="1"/>
  <c r="AR107" i="4"/>
  <c r="V164" i="12" s="1"/>
  <c r="AQ107" i="4"/>
  <c r="U164" i="12" s="1"/>
  <c r="AP107" i="4"/>
  <c r="T164" i="12" s="1"/>
  <c r="AO107" i="4"/>
  <c r="S164" i="12" s="1"/>
  <c r="AN107" i="4"/>
  <c r="R164" i="12" s="1"/>
  <c r="AM107" i="4"/>
  <c r="Q164" i="12" s="1"/>
  <c r="AL107" i="4"/>
  <c r="P164" i="12" s="1"/>
  <c r="AK107" i="4"/>
  <c r="O164" i="12" s="1"/>
  <c r="AJ107" i="4"/>
  <c r="N164" i="12" s="1"/>
  <c r="AI107" i="4"/>
  <c r="M164" i="12" s="1"/>
  <c r="AH107" i="4"/>
  <c r="L164" i="12" s="1"/>
  <c r="AG107" i="4"/>
  <c r="K164" i="12" s="1"/>
  <c r="AF107" i="4"/>
  <c r="J164" i="12" s="1"/>
  <c r="AE107" i="4"/>
  <c r="I164" i="12" s="1"/>
  <c r="AD107" i="4"/>
  <c r="H164" i="12" s="1"/>
  <c r="AV106" i="4"/>
  <c r="Z164" i="13" s="1"/>
  <c r="AU106" i="4"/>
  <c r="Y164" i="13" s="1"/>
  <c r="AT106" i="4"/>
  <c r="X164" i="13" s="1"/>
  <c r="AS106" i="4"/>
  <c r="W164" i="13" s="1"/>
  <c r="AR106" i="4"/>
  <c r="V164" i="13" s="1"/>
  <c r="AQ106" i="4"/>
  <c r="U164" i="13" s="1"/>
  <c r="AP106" i="4"/>
  <c r="T164" i="13" s="1"/>
  <c r="AO106" i="4"/>
  <c r="S164" i="13" s="1"/>
  <c r="AN106" i="4"/>
  <c r="R164" i="13" s="1"/>
  <c r="AM106" i="4"/>
  <c r="Q164" i="13" s="1"/>
  <c r="AL106" i="4"/>
  <c r="P164" i="13" s="1"/>
  <c r="AK106" i="4"/>
  <c r="O164" i="13" s="1"/>
  <c r="AJ106" i="4"/>
  <c r="N164" i="13" s="1"/>
  <c r="AI106" i="4"/>
  <c r="M164" i="13" s="1"/>
  <c r="AH106" i="4"/>
  <c r="L164" i="13" s="1"/>
  <c r="AG106" i="4"/>
  <c r="K164" i="13" s="1"/>
  <c r="AF106" i="4"/>
  <c r="J164" i="13" s="1"/>
  <c r="AE106" i="4"/>
  <c r="I164" i="13" s="1"/>
  <c r="AD106" i="4"/>
  <c r="H164" i="13" s="1"/>
  <c r="AV105" i="4"/>
  <c r="AU105" i="4"/>
  <c r="AT105" i="4"/>
  <c r="AS105" i="4"/>
  <c r="AR105" i="4"/>
  <c r="AQ105" i="4"/>
  <c r="AP105" i="4"/>
  <c r="AO105" i="4"/>
  <c r="AN105" i="4"/>
  <c r="AM105" i="4"/>
  <c r="AL105" i="4"/>
  <c r="AK105" i="4"/>
  <c r="AJ105" i="4"/>
  <c r="AI105" i="4"/>
  <c r="AH105" i="4"/>
  <c r="AG105" i="4"/>
  <c r="AF105" i="4"/>
  <c r="AE105" i="4"/>
  <c r="AD105" i="4"/>
  <c r="AV104" i="4"/>
  <c r="Z143" i="11" s="1"/>
  <c r="AU104" i="4"/>
  <c r="Y143" i="11" s="1"/>
  <c r="AT104" i="4"/>
  <c r="X143" i="11" s="1"/>
  <c r="AS104" i="4"/>
  <c r="W143" i="11" s="1"/>
  <c r="AR104" i="4"/>
  <c r="V143" i="11" s="1"/>
  <c r="AQ104" i="4"/>
  <c r="U143" i="11" s="1"/>
  <c r="AP104" i="4"/>
  <c r="T143" i="11" s="1"/>
  <c r="AO104" i="4"/>
  <c r="S143" i="11" s="1"/>
  <c r="AN104" i="4"/>
  <c r="R143" i="11" s="1"/>
  <c r="AM104" i="4"/>
  <c r="Q143" i="11" s="1"/>
  <c r="AL104" i="4"/>
  <c r="P143" i="11" s="1"/>
  <c r="AK104" i="4"/>
  <c r="O143" i="11" s="1"/>
  <c r="AJ104" i="4"/>
  <c r="N143" i="11" s="1"/>
  <c r="AI104" i="4"/>
  <c r="M143" i="11" s="1"/>
  <c r="AH104" i="4"/>
  <c r="L143" i="11" s="1"/>
  <c r="AG104" i="4"/>
  <c r="K143" i="11" s="1"/>
  <c r="AF104" i="4"/>
  <c r="J143" i="11" s="1"/>
  <c r="AE104" i="4"/>
  <c r="I143" i="11" s="1"/>
  <c r="AD104" i="4"/>
  <c r="H143" i="11" s="1"/>
  <c r="AV103" i="4"/>
  <c r="Z143" i="12" s="1"/>
  <c r="AU103" i="4"/>
  <c r="Y143" i="12" s="1"/>
  <c r="AT103" i="4"/>
  <c r="X143" i="12" s="1"/>
  <c r="AS103" i="4"/>
  <c r="W143" i="12" s="1"/>
  <c r="AR103" i="4"/>
  <c r="V143" i="12" s="1"/>
  <c r="AQ103" i="4"/>
  <c r="U143" i="12" s="1"/>
  <c r="AP103" i="4"/>
  <c r="T143" i="12" s="1"/>
  <c r="AO103" i="4"/>
  <c r="S143" i="12" s="1"/>
  <c r="AN103" i="4"/>
  <c r="R143" i="12" s="1"/>
  <c r="AM103" i="4"/>
  <c r="Q143" i="12" s="1"/>
  <c r="AL103" i="4"/>
  <c r="P143" i="12" s="1"/>
  <c r="AK103" i="4"/>
  <c r="O143" i="12" s="1"/>
  <c r="AJ103" i="4"/>
  <c r="N143" i="12" s="1"/>
  <c r="AI103" i="4"/>
  <c r="M143" i="12" s="1"/>
  <c r="AH103" i="4"/>
  <c r="L143" i="12" s="1"/>
  <c r="AG103" i="4"/>
  <c r="K143" i="12" s="1"/>
  <c r="AF103" i="4"/>
  <c r="J143" i="12" s="1"/>
  <c r="AE103" i="4"/>
  <c r="I143" i="12" s="1"/>
  <c r="AD103" i="4"/>
  <c r="H143" i="12" s="1"/>
  <c r="AV102" i="4"/>
  <c r="Z143" i="13" s="1"/>
  <c r="AU102" i="4"/>
  <c r="Y143" i="13" s="1"/>
  <c r="AT102" i="4"/>
  <c r="X143" i="13" s="1"/>
  <c r="AS102" i="4"/>
  <c r="W143" i="13" s="1"/>
  <c r="AR102" i="4"/>
  <c r="V143" i="13" s="1"/>
  <c r="AQ102" i="4"/>
  <c r="U143" i="13" s="1"/>
  <c r="AP102" i="4"/>
  <c r="T143" i="13" s="1"/>
  <c r="AO102" i="4"/>
  <c r="S143" i="13" s="1"/>
  <c r="AN102" i="4"/>
  <c r="R143" i="13" s="1"/>
  <c r="AM102" i="4"/>
  <c r="Q143" i="13" s="1"/>
  <c r="AL102" i="4"/>
  <c r="P143" i="13" s="1"/>
  <c r="AK102" i="4"/>
  <c r="O143" i="13" s="1"/>
  <c r="AJ102" i="4"/>
  <c r="N143" i="13" s="1"/>
  <c r="AI102" i="4"/>
  <c r="M143" i="13" s="1"/>
  <c r="AH102" i="4"/>
  <c r="L143" i="13" s="1"/>
  <c r="AG102" i="4"/>
  <c r="K143" i="13" s="1"/>
  <c r="AF102" i="4"/>
  <c r="J143" i="13" s="1"/>
  <c r="AE102" i="4"/>
  <c r="I143" i="13" s="1"/>
  <c r="AD102" i="4"/>
  <c r="H143" i="13" s="1"/>
  <c r="AV101" i="4"/>
  <c r="AU101" i="4"/>
  <c r="AT101" i="4"/>
  <c r="AS101" i="4"/>
  <c r="AR101" i="4"/>
  <c r="AQ101" i="4"/>
  <c r="AP101" i="4"/>
  <c r="AO101" i="4"/>
  <c r="AN101" i="4"/>
  <c r="AM101" i="4"/>
  <c r="AL101" i="4"/>
  <c r="AK101" i="4"/>
  <c r="AJ101" i="4"/>
  <c r="AI101" i="4"/>
  <c r="AH101" i="4"/>
  <c r="AG101" i="4"/>
  <c r="AF101" i="4"/>
  <c r="AE101" i="4"/>
  <c r="AD101" i="4"/>
  <c r="AV100" i="4"/>
  <c r="Z122" i="11" s="1"/>
  <c r="AU100" i="4"/>
  <c r="Y122" i="11" s="1"/>
  <c r="AT100" i="4"/>
  <c r="X122" i="11" s="1"/>
  <c r="AS100" i="4"/>
  <c r="W122" i="11" s="1"/>
  <c r="AR100" i="4"/>
  <c r="V122" i="11" s="1"/>
  <c r="AQ100" i="4"/>
  <c r="U122" i="11" s="1"/>
  <c r="AP100" i="4"/>
  <c r="T122" i="11" s="1"/>
  <c r="AO100" i="4"/>
  <c r="S122" i="11" s="1"/>
  <c r="AN100" i="4"/>
  <c r="R122" i="11" s="1"/>
  <c r="AM100" i="4"/>
  <c r="Q122" i="11" s="1"/>
  <c r="AL100" i="4"/>
  <c r="P122" i="11" s="1"/>
  <c r="AK100" i="4"/>
  <c r="O122" i="11" s="1"/>
  <c r="AJ100" i="4"/>
  <c r="N122" i="11" s="1"/>
  <c r="AI100" i="4"/>
  <c r="M122" i="11" s="1"/>
  <c r="AH100" i="4"/>
  <c r="L122" i="11" s="1"/>
  <c r="AG100" i="4"/>
  <c r="K122" i="11" s="1"/>
  <c r="AF100" i="4"/>
  <c r="J122" i="11" s="1"/>
  <c r="AE100" i="4"/>
  <c r="I122" i="11" s="1"/>
  <c r="AD100" i="4"/>
  <c r="H122" i="11" s="1"/>
  <c r="AV99" i="4"/>
  <c r="Z122" i="12" s="1"/>
  <c r="AU99" i="4"/>
  <c r="Y122" i="12" s="1"/>
  <c r="AT99" i="4"/>
  <c r="X122" i="12" s="1"/>
  <c r="AS99" i="4"/>
  <c r="W122" i="12" s="1"/>
  <c r="AR99" i="4"/>
  <c r="V122" i="12" s="1"/>
  <c r="AQ99" i="4"/>
  <c r="U122" i="12" s="1"/>
  <c r="AP99" i="4"/>
  <c r="T122" i="12" s="1"/>
  <c r="AO99" i="4"/>
  <c r="S122" i="12" s="1"/>
  <c r="AN99" i="4"/>
  <c r="R122" i="12" s="1"/>
  <c r="AM99" i="4"/>
  <c r="Q122" i="12" s="1"/>
  <c r="AL99" i="4"/>
  <c r="P122" i="12" s="1"/>
  <c r="AK99" i="4"/>
  <c r="O122" i="12" s="1"/>
  <c r="AJ99" i="4"/>
  <c r="N122" i="12" s="1"/>
  <c r="AI99" i="4"/>
  <c r="M122" i="12" s="1"/>
  <c r="AH99" i="4"/>
  <c r="L122" i="12" s="1"/>
  <c r="AG99" i="4"/>
  <c r="K122" i="12" s="1"/>
  <c r="AF99" i="4"/>
  <c r="J122" i="12" s="1"/>
  <c r="AE99" i="4"/>
  <c r="I122" i="12" s="1"/>
  <c r="AD99" i="4"/>
  <c r="H122" i="12" s="1"/>
  <c r="AV98" i="4"/>
  <c r="Z122" i="13" s="1"/>
  <c r="AU98" i="4"/>
  <c r="Y122" i="13" s="1"/>
  <c r="AT98" i="4"/>
  <c r="X122" i="13" s="1"/>
  <c r="AS98" i="4"/>
  <c r="W122" i="13" s="1"/>
  <c r="AR98" i="4"/>
  <c r="V122" i="13" s="1"/>
  <c r="AQ98" i="4"/>
  <c r="U122" i="13" s="1"/>
  <c r="AP98" i="4"/>
  <c r="T122" i="13" s="1"/>
  <c r="AO98" i="4"/>
  <c r="S122" i="13" s="1"/>
  <c r="AN98" i="4"/>
  <c r="R122" i="13" s="1"/>
  <c r="AM98" i="4"/>
  <c r="Q122" i="13" s="1"/>
  <c r="AL98" i="4"/>
  <c r="P122" i="13" s="1"/>
  <c r="AK98" i="4"/>
  <c r="O122" i="13" s="1"/>
  <c r="AJ98" i="4"/>
  <c r="N122" i="13" s="1"/>
  <c r="AI98" i="4"/>
  <c r="M122" i="13" s="1"/>
  <c r="AH98" i="4"/>
  <c r="L122" i="13" s="1"/>
  <c r="AG98" i="4"/>
  <c r="K122" i="13" s="1"/>
  <c r="AF98" i="4"/>
  <c r="J122" i="13" s="1"/>
  <c r="AE98" i="4"/>
  <c r="I122" i="13" s="1"/>
  <c r="AD98" i="4"/>
  <c r="H122" i="13" s="1"/>
  <c r="AV97" i="4"/>
  <c r="AU97" i="4"/>
  <c r="AT97" i="4"/>
  <c r="AS97" i="4"/>
  <c r="AR97" i="4"/>
  <c r="AQ97" i="4"/>
  <c r="AP97" i="4"/>
  <c r="AO97" i="4"/>
  <c r="AN97" i="4"/>
  <c r="AM97" i="4"/>
  <c r="AL97" i="4"/>
  <c r="AK97" i="4"/>
  <c r="AJ97" i="4"/>
  <c r="AI97" i="4"/>
  <c r="AH97" i="4"/>
  <c r="AG97" i="4"/>
  <c r="AF97" i="4"/>
  <c r="AE97" i="4"/>
  <c r="AD97" i="4"/>
  <c r="AV96" i="4"/>
  <c r="Z101" i="11" s="1"/>
  <c r="AU96" i="4"/>
  <c r="Y101" i="11" s="1"/>
  <c r="AT96" i="4"/>
  <c r="X101" i="11" s="1"/>
  <c r="AS96" i="4"/>
  <c r="W101" i="11" s="1"/>
  <c r="AR96" i="4"/>
  <c r="V101" i="11" s="1"/>
  <c r="AQ96" i="4"/>
  <c r="U101" i="11" s="1"/>
  <c r="AP96" i="4"/>
  <c r="T101" i="11" s="1"/>
  <c r="AO96" i="4"/>
  <c r="S101" i="11" s="1"/>
  <c r="AN96" i="4"/>
  <c r="R101" i="11" s="1"/>
  <c r="AM96" i="4"/>
  <c r="Q101" i="11" s="1"/>
  <c r="AL96" i="4"/>
  <c r="P101" i="11" s="1"/>
  <c r="AK96" i="4"/>
  <c r="O101" i="11" s="1"/>
  <c r="AJ96" i="4"/>
  <c r="N101" i="11" s="1"/>
  <c r="AI96" i="4"/>
  <c r="M101" i="11" s="1"/>
  <c r="AH96" i="4"/>
  <c r="L101" i="11" s="1"/>
  <c r="AG96" i="4"/>
  <c r="K101" i="11" s="1"/>
  <c r="AF96" i="4"/>
  <c r="J101" i="11" s="1"/>
  <c r="AE96" i="4"/>
  <c r="I101" i="11" s="1"/>
  <c r="AD96" i="4"/>
  <c r="H101" i="11" s="1"/>
  <c r="AV95" i="4"/>
  <c r="Z101" i="12" s="1"/>
  <c r="AU95" i="4"/>
  <c r="Y101" i="12" s="1"/>
  <c r="AT95" i="4"/>
  <c r="X101" i="12" s="1"/>
  <c r="AS95" i="4"/>
  <c r="W101" i="12" s="1"/>
  <c r="AR95" i="4"/>
  <c r="V101" i="12" s="1"/>
  <c r="AQ95" i="4"/>
  <c r="U101" i="12" s="1"/>
  <c r="AP95" i="4"/>
  <c r="T101" i="12" s="1"/>
  <c r="AO95" i="4"/>
  <c r="S101" i="12" s="1"/>
  <c r="AN95" i="4"/>
  <c r="R101" i="12" s="1"/>
  <c r="AM95" i="4"/>
  <c r="Q101" i="12" s="1"/>
  <c r="AL95" i="4"/>
  <c r="P101" i="12" s="1"/>
  <c r="AK95" i="4"/>
  <c r="O101" i="12" s="1"/>
  <c r="AJ95" i="4"/>
  <c r="N101" i="12" s="1"/>
  <c r="AI95" i="4"/>
  <c r="M101" i="12" s="1"/>
  <c r="AH95" i="4"/>
  <c r="L101" i="12" s="1"/>
  <c r="AG95" i="4"/>
  <c r="K101" i="12" s="1"/>
  <c r="AF95" i="4"/>
  <c r="J101" i="12" s="1"/>
  <c r="AE95" i="4"/>
  <c r="I101" i="12" s="1"/>
  <c r="AD95" i="4"/>
  <c r="H101" i="12" s="1"/>
  <c r="AV94" i="4"/>
  <c r="Z101" i="13" s="1"/>
  <c r="AU94" i="4"/>
  <c r="Y101" i="13" s="1"/>
  <c r="AT94" i="4"/>
  <c r="X101" i="13" s="1"/>
  <c r="AS94" i="4"/>
  <c r="W101" i="13" s="1"/>
  <c r="AR94" i="4"/>
  <c r="V101" i="13" s="1"/>
  <c r="AQ94" i="4"/>
  <c r="U101" i="13" s="1"/>
  <c r="AP94" i="4"/>
  <c r="T101" i="13" s="1"/>
  <c r="AO94" i="4"/>
  <c r="S101" i="13" s="1"/>
  <c r="AN94" i="4"/>
  <c r="R101" i="13" s="1"/>
  <c r="AM94" i="4"/>
  <c r="Q101" i="13" s="1"/>
  <c r="AL94" i="4"/>
  <c r="P101" i="13" s="1"/>
  <c r="AK94" i="4"/>
  <c r="O101" i="13" s="1"/>
  <c r="AJ94" i="4"/>
  <c r="N101" i="13" s="1"/>
  <c r="AI94" i="4"/>
  <c r="M101" i="13" s="1"/>
  <c r="AH94" i="4"/>
  <c r="L101" i="13" s="1"/>
  <c r="AG94" i="4"/>
  <c r="K101" i="13" s="1"/>
  <c r="AF94" i="4"/>
  <c r="J101" i="13" s="1"/>
  <c r="AE94" i="4"/>
  <c r="I101" i="13" s="1"/>
  <c r="I103" i="13" s="1"/>
  <c r="AV88" i="4"/>
  <c r="AU88" i="4"/>
  <c r="AT88" i="4"/>
  <c r="AS88" i="4"/>
  <c r="AR88" i="4"/>
  <c r="AQ88" i="4"/>
  <c r="AP88" i="4"/>
  <c r="AO88" i="4"/>
  <c r="AN88" i="4"/>
  <c r="AM88" i="4"/>
  <c r="AL88" i="4"/>
  <c r="AK88" i="4"/>
  <c r="AJ88" i="4"/>
  <c r="AI88" i="4"/>
  <c r="AH88" i="4"/>
  <c r="AG88" i="4"/>
  <c r="AF88" i="4"/>
  <c r="AE88" i="4"/>
  <c r="AD88" i="4"/>
  <c r="AV87" i="4"/>
  <c r="AU87" i="4"/>
  <c r="AT87" i="4"/>
  <c r="AS87" i="4"/>
  <c r="AR87" i="4"/>
  <c r="AQ87" i="4"/>
  <c r="AP87" i="4"/>
  <c r="AO87" i="4"/>
  <c r="AN87" i="4"/>
  <c r="AM87" i="4"/>
  <c r="AL87" i="4"/>
  <c r="AK87" i="4"/>
  <c r="AJ87" i="4"/>
  <c r="AI87" i="4"/>
  <c r="AH87" i="4"/>
  <c r="AG87" i="4"/>
  <c r="AF87" i="4"/>
  <c r="AE87" i="4"/>
  <c r="AD87" i="4"/>
  <c r="AV86" i="4"/>
  <c r="AU86" i="4"/>
  <c r="AT86" i="4"/>
  <c r="AS86" i="4"/>
  <c r="AR86" i="4"/>
  <c r="AQ86" i="4"/>
  <c r="AP86" i="4"/>
  <c r="AO86" i="4"/>
  <c r="AN86" i="4"/>
  <c r="AM86" i="4"/>
  <c r="AL86" i="4"/>
  <c r="AK86" i="4"/>
  <c r="AJ86" i="4"/>
  <c r="AI86" i="4"/>
  <c r="AH86" i="4"/>
  <c r="AG86" i="4"/>
  <c r="AF86" i="4"/>
  <c r="AE86" i="4"/>
  <c r="AD86" i="4"/>
  <c r="AV85" i="4"/>
  <c r="AU85" i="4"/>
  <c r="AT85" i="4"/>
  <c r="AS85" i="4"/>
  <c r="AR85" i="4"/>
  <c r="AQ85" i="4"/>
  <c r="AP85" i="4"/>
  <c r="AO85" i="4"/>
  <c r="AN85" i="4"/>
  <c r="AM85" i="4"/>
  <c r="AL85" i="4"/>
  <c r="AK85" i="4"/>
  <c r="AJ85" i="4"/>
  <c r="AI85" i="4"/>
  <c r="AH85" i="4"/>
  <c r="AG85" i="4"/>
  <c r="AF85" i="4"/>
  <c r="AE85" i="4"/>
  <c r="AD85" i="4"/>
  <c r="AV84" i="4"/>
  <c r="AU84" i="4"/>
  <c r="AT84" i="4"/>
  <c r="AS84" i="4"/>
  <c r="AR84" i="4"/>
  <c r="AQ84" i="4"/>
  <c r="AP84" i="4"/>
  <c r="AO84" i="4"/>
  <c r="AN84" i="4"/>
  <c r="AM84" i="4"/>
  <c r="AL84" i="4"/>
  <c r="AK84" i="4"/>
  <c r="AJ84" i="4"/>
  <c r="AI84" i="4"/>
  <c r="AH84" i="4"/>
  <c r="AG84" i="4"/>
  <c r="AF84" i="4"/>
  <c r="AE84" i="4"/>
  <c r="AD84" i="4"/>
  <c r="AV83" i="4"/>
  <c r="AU83" i="4"/>
  <c r="AT83" i="4"/>
  <c r="AS83" i="4"/>
  <c r="AR83" i="4"/>
  <c r="AQ83" i="4"/>
  <c r="AP83" i="4"/>
  <c r="AO83" i="4"/>
  <c r="AN83" i="4"/>
  <c r="AM83" i="4"/>
  <c r="AL83" i="4"/>
  <c r="AK83" i="4"/>
  <c r="AJ83" i="4"/>
  <c r="AI83" i="4"/>
  <c r="AH83" i="4"/>
  <c r="AG83" i="4"/>
  <c r="AF83" i="4"/>
  <c r="AE83" i="4"/>
  <c r="AD83" i="4"/>
  <c r="AV82" i="4"/>
  <c r="AU82" i="4"/>
  <c r="AT82" i="4"/>
  <c r="AS82" i="4"/>
  <c r="AR82" i="4"/>
  <c r="AQ82" i="4"/>
  <c r="AP82" i="4"/>
  <c r="AO82" i="4"/>
  <c r="AN82" i="4"/>
  <c r="AM82" i="4"/>
  <c r="AL82" i="4"/>
  <c r="AK82" i="4"/>
  <c r="AJ82" i="4"/>
  <c r="AI82" i="4"/>
  <c r="AH82" i="4"/>
  <c r="AG82" i="4"/>
  <c r="AF82" i="4"/>
  <c r="AE82" i="4"/>
  <c r="AD82" i="4"/>
  <c r="AV81" i="4"/>
  <c r="AU81" i="4"/>
  <c r="AT81" i="4"/>
  <c r="AS81" i="4"/>
  <c r="AR81" i="4"/>
  <c r="AQ81" i="4"/>
  <c r="AP81" i="4"/>
  <c r="AO81" i="4"/>
  <c r="AN81" i="4"/>
  <c r="AM81" i="4"/>
  <c r="AL81" i="4"/>
  <c r="AK81" i="4"/>
  <c r="AJ81" i="4"/>
  <c r="AI81" i="4"/>
  <c r="AH81" i="4"/>
  <c r="AG81" i="4"/>
  <c r="AF81" i="4"/>
  <c r="AE81" i="4"/>
  <c r="AD81" i="4"/>
  <c r="AV80" i="4"/>
  <c r="AU80" i="4"/>
  <c r="AT80" i="4"/>
  <c r="AS80" i="4"/>
  <c r="AR80" i="4"/>
  <c r="AQ80" i="4"/>
  <c r="AP80" i="4"/>
  <c r="AO80" i="4"/>
  <c r="AN80" i="4"/>
  <c r="AM80" i="4"/>
  <c r="AL80" i="4"/>
  <c r="AK80" i="4"/>
  <c r="AJ80" i="4"/>
  <c r="AI80" i="4"/>
  <c r="AH80" i="4"/>
  <c r="AG80" i="4"/>
  <c r="AF80" i="4"/>
  <c r="AE80" i="4"/>
  <c r="AD80" i="4"/>
  <c r="AV79" i="4"/>
  <c r="AU79" i="4"/>
  <c r="AT79" i="4"/>
  <c r="AS79" i="4"/>
  <c r="AR79" i="4"/>
  <c r="AQ79" i="4"/>
  <c r="AP79" i="4"/>
  <c r="AO79" i="4"/>
  <c r="AN79" i="4"/>
  <c r="AM79" i="4"/>
  <c r="AL79" i="4"/>
  <c r="AK79" i="4"/>
  <c r="AJ79" i="4"/>
  <c r="AI79" i="4"/>
  <c r="AH79" i="4"/>
  <c r="AG79" i="4"/>
  <c r="AF79" i="4"/>
  <c r="AE79" i="4"/>
  <c r="AD79" i="4"/>
  <c r="AV78" i="4"/>
  <c r="AU78" i="4"/>
  <c r="AT78" i="4"/>
  <c r="AS78" i="4"/>
  <c r="AR78" i="4"/>
  <c r="AQ78" i="4"/>
  <c r="AP78" i="4"/>
  <c r="AO78" i="4"/>
  <c r="AN78" i="4"/>
  <c r="AM78" i="4"/>
  <c r="AL78" i="4"/>
  <c r="AK78" i="4"/>
  <c r="AJ78" i="4"/>
  <c r="AI78" i="4"/>
  <c r="AH78" i="4"/>
  <c r="AG78" i="4"/>
  <c r="AF78" i="4"/>
  <c r="AE78" i="4"/>
  <c r="AD78" i="4"/>
  <c r="AV77" i="4"/>
  <c r="AU77" i="4"/>
  <c r="AT77" i="4"/>
  <c r="AS77" i="4"/>
  <c r="AR77" i="4"/>
  <c r="AQ77" i="4"/>
  <c r="AP77" i="4"/>
  <c r="AO77" i="4"/>
  <c r="AN77" i="4"/>
  <c r="AM77" i="4"/>
  <c r="AL77" i="4"/>
  <c r="AK77" i="4"/>
  <c r="AJ77" i="4"/>
  <c r="AI77" i="4"/>
  <c r="AH77" i="4"/>
  <c r="AG77" i="4"/>
  <c r="AF77" i="4"/>
  <c r="AE77" i="4"/>
  <c r="AD77" i="4"/>
  <c r="AV76" i="4"/>
  <c r="AU76" i="4"/>
  <c r="AT76" i="4"/>
  <c r="AS76" i="4"/>
  <c r="AR76" i="4"/>
  <c r="AQ76" i="4"/>
  <c r="AP76" i="4"/>
  <c r="AO76" i="4"/>
  <c r="AN76" i="4"/>
  <c r="AM76" i="4"/>
  <c r="AL76" i="4"/>
  <c r="AK76" i="4"/>
  <c r="AJ76" i="4"/>
  <c r="AI76" i="4"/>
  <c r="AH76" i="4"/>
  <c r="AG76" i="4"/>
  <c r="AF76" i="4"/>
  <c r="AE76" i="4"/>
  <c r="AD76" i="4"/>
  <c r="AV75" i="4"/>
  <c r="AU75" i="4"/>
  <c r="AT75" i="4"/>
  <c r="AS75" i="4"/>
  <c r="AR75" i="4"/>
  <c r="AQ75" i="4"/>
  <c r="AP75" i="4"/>
  <c r="AO75" i="4"/>
  <c r="AN75" i="4"/>
  <c r="AM75" i="4"/>
  <c r="AL75" i="4"/>
  <c r="AK75" i="4"/>
  <c r="AJ75" i="4"/>
  <c r="AI75" i="4"/>
  <c r="AH75" i="4"/>
  <c r="AG75" i="4"/>
  <c r="AF75" i="4"/>
  <c r="AE75" i="4"/>
  <c r="AD75" i="4"/>
  <c r="AV74" i="4"/>
  <c r="AU74" i="4"/>
  <c r="AT74" i="4"/>
  <c r="AS74" i="4"/>
  <c r="AR74" i="4"/>
  <c r="AQ74" i="4"/>
  <c r="AP74" i="4"/>
  <c r="AO74" i="4"/>
  <c r="AN74" i="4"/>
  <c r="AM74" i="4"/>
  <c r="AL74" i="4"/>
  <c r="AK74" i="4"/>
  <c r="AJ74" i="4"/>
  <c r="AI74" i="4"/>
  <c r="AH74" i="4"/>
  <c r="AG74" i="4"/>
  <c r="AF74" i="4"/>
  <c r="AE74" i="4"/>
  <c r="AD74" i="4"/>
  <c r="AV73" i="4"/>
  <c r="AU73" i="4"/>
  <c r="AT73" i="4"/>
  <c r="AS73" i="4"/>
  <c r="AR73" i="4"/>
  <c r="AQ73" i="4"/>
  <c r="AP73" i="4"/>
  <c r="AO73" i="4"/>
  <c r="AN73" i="4"/>
  <c r="AM73" i="4"/>
  <c r="AL73" i="4"/>
  <c r="AK73" i="4"/>
  <c r="AJ73" i="4"/>
  <c r="AI73" i="4"/>
  <c r="AH73" i="4"/>
  <c r="AG73" i="4"/>
  <c r="AF73" i="4"/>
  <c r="AE73" i="4"/>
  <c r="AD73" i="4"/>
  <c r="AV72" i="4"/>
  <c r="AU72" i="4"/>
  <c r="AT72" i="4"/>
  <c r="AS72" i="4"/>
  <c r="AR72" i="4"/>
  <c r="AQ72" i="4"/>
  <c r="AP72" i="4"/>
  <c r="AO72" i="4"/>
  <c r="AN72" i="4"/>
  <c r="AM72" i="4"/>
  <c r="AL72" i="4"/>
  <c r="AK72" i="4"/>
  <c r="AJ72" i="4"/>
  <c r="AI72" i="4"/>
  <c r="AH72" i="4"/>
  <c r="AG72" i="4"/>
  <c r="AF72" i="4"/>
  <c r="AE72" i="4"/>
  <c r="AD72" i="4"/>
  <c r="AV71" i="4"/>
  <c r="AU71" i="4"/>
  <c r="AT71" i="4"/>
  <c r="AS71" i="4"/>
  <c r="AR71" i="4"/>
  <c r="AQ71" i="4"/>
  <c r="AP71" i="4"/>
  <c r="AO71" i="4"/>
  <c r="AN71" i="4"/>
  <c r="AM71" i="4"/>
  <c r="AL71" i="4"/>
  <c r="AK71" i="4"/>
  <c r="AJ71" i="4"/>
  <c r="AI71" i="4"/>
  <c r="AH71" i="4"/>
  <c r="AG71" i="4"/>
  <c r="AF71" i="4"/>
  <c r="AE71" i="4"/>
  <c r="AD71" i="4"/>
  <c r="AV70" i="4"/>
  <c r="AU70" i="4"/>
  <c r="AT70" i="4"/>
  <c r="AS70" i="4"/>
  <c r="AR70" i="4"/>
  <c r="AQ70" i="4"/>
  <c r="AP70" i="4"/>
  <c r="AO70" i="4"/>
  <c r="AN70" i="4"/>
  <c r="AM70" i="4"/>
  <c r="AL70" i="4"/>
  <c r="AK70" i="4"/>
  <c r="AJ70" i="4"/>
  <c r="AI70" i="4"/>
  <c r="AH70" i="4"/>
  <c r="AG70" i="4"/>
  <c r="AF70" i="4"/>
  <c r="AE70" i="4"/>
  <c r="AD70" i="4"/>
  <c r="AV69" i="4"/>
  <c r="AU69" i="4"/>
  <c r="AT69" i="4"/>
  <c r="AS69" i="4"/>
  <c r="AR69" i="4"/>
  <c r="AQ69" i="4"/>
  <c r="AP69" i="4"/>
  <c r="AO69" i="4"/>
  <c r="AN69" i="4"/>
  <c r="AM69" i="4"/>
  <c r="AL69" i="4"/>
  <c r="AK69" i="4"/>
  <c r="AJ69" i="4"/>
  <c r="AI69" i="4"/>
  <c r="AH69" i="4"/>
  <c r="AG69" i="4"/>
  <c r="AF69" i="4"/>
  <c r="AE69" i="4"/>
  <c r="AD69" i="4"/>
  <c r="AV68" i="4"/>
  <c r="AU68" i="4"/>
  <c r="AT68" i="4"/>
  <c r="AS68" i="4"/>
  <c r="AR68" i="4"/>
  <c r="AQ68" i="4"/>
  <c r="AP68" i="4"/>
  <c r="AO68" i="4"/>
  <c r="AN68" i="4"/>
  <c r="AM68" i="4"/>
  <c r="AL68" i="4"/>
  <c r="AK68" i="4"/>
  <c r="AJ68" i="4"/>
  <c r="AI68" i="4"/>
  <c r="AH68" i="4"/>
  <c r="AG68" i="4"/>
  <c r="AF68" i="4"/>
  <c r="AE68" i="4"/>
  <c r="AD68" i="4"/>
  <c r="AV67" i="4"/>
  <c r="AU67" i="4"/>
  <c r="AT67" i="4"/>
  <c r="AS67" i="4"/>
  <c r="AR67" i="4"/>
  <c r="AQ67" i="4"/>
  <c r="AP67" i="4"/>
  <c r="AO67" i="4"/>
  <c r="AN67" i="4"/>
  <c r="AM67" i="4"/>
  <c r="AL67" i="4"/>
  <c r="AK67" i="4"/>
  <c r="AJ67" i="4"/>
  <c r="AI67" i="4"/>
  <c r="AH67" i="4"/>
  <c r="AG67" i="4"/>
  <c r="AF67" i="4"/>
  <c r="AE67" i="4"/>
  <c r="AD67" i="4"/>
  <c r="AV66" i="4"/>
  <c r="AU66" i="4"/>
  <c r="AT66" i="4"/>
  <c r="AS66" i="4"/>
  <c r="AR66" i="4"/>
  <c r="AQ66" i="4"/>
  <c r="AP66" i="4"/>
  <c r="AO66" i="4"/>
  <c r="AN66" i="4"/>
  <c r="AM66" i="4"/>
  <c r="AL66" i="4"/>
  <c r="AK66" i="4"/>
  <c r="AJ66" i="4"/>
  <c r="AI66" i="4"/>
  <c r="AH66" i="4"/>
  <c r="AG66" i="4"/>
  <c r="AF66" i="4"/>
  <c r="AE66" i="4"/>
  <c r="AV65" i="4"/>
  <c r="AU65" i="4"/>
  <c r="AT65" i="4"/>
  <c r="AS65" i="4"/>
  <c r="AR65" i="4"/>
  <c r="AQ65" i="4"/>
  <c r="AP65" i="4"/>
  <c r="AO65" i="4"/>
  <c r="AN65" i="4"/>
  <c r="AM65" i="4"/>
  <c r="AL65" i="4"/>
  <c r="AK65" i="4"/>
  <c r="AJ65" i="4"/>
  <c r="AI65" i="4"/>
  <c r="AH65" i="4"/>
  <c r="AG65" i="4"/>
  <c r="AF65" i="4"/>
  <c r="AE65" i="4"/>
  <c r="AD65" i="4"/>
  <c r="AV64" i="4"/>
  <c r="AU64" i="4"/>
  <c r="AT64" i="4"/>
  <c r="AS64" i="4"/>
  <c r="AR64" i="4"/>
  <c r="AQ64" i="4"/>
  <c r="AP64" i="4"/>
  <c r="AO64" i="4"/>
  <c r="AN64" i="4"/>
  <c r="AM64" i="4"/>
  <c r="AL64" i="4"/>
  <c r="AK64" i="4"/>
  <c r="AJ64" i="4"/>
  <c r="AI64" i="4"/>
  <c r="AH64" i="4"/>
  <c r="AG64" i="4"/>
  <c r="AF64" i="4"/>
  <c r="AE64" i="4"/>
  <c r="AV63" i="4"/>
  <c r="AU63" i="4"/>
  <c r="AT63" i="4"/>
  <c r="AS63" i="4"/>
  <c r="AR63" i="4"/>
  <c r="AQ63" i="4"/>
  <c r="AP63" i="4"/>
  <c r="AO63" i="4"/>
  <c r="AN63" i="4"/>
  <c r="AM63" i="4"/>
  <c r="AL63" i="4"/>
  <c r="AK63" i="4"/>
  <c r="AJ63" i="4"/>
  <c r="AI63" i="4"/>
  <c r="AH63" i="4"/>
  <c r="AG63" i="4"/>
  <c r="AF63" i="4"/>
  <c r="AE63" i="4"/>
  <c r="AD63" i="4"/>
  <c r="AV62" i="4"/>
  <c r="AU62" i="4"/>
  <c r="AT62" i="4"/>
  <c r="AS62" i="4"/>
  <c r="AR62" i="4"/>
  <c r="AQ62" i="4"/>
  <c r="AP62" i="4"/>
  <c r="AO62" i="4"/>
  <c r="AN62" i="4"/>
  <c r="AM62" i="4"/>
  <c r="AL62" i="4"/>
  <c r="AK62" i="4"/>
  <c r="AJ62" i="4"/>
  <c r="AI62" i="4"/>
  <c r="AH62" i="4"/>
  <c r="AG62" i="4"/>
  <c r="AF62" i="4"/>
  <c r="AE62" i="4"/>
  <c r="AD62" i="4"/>
  <c r="AV61" i="4"/>
  <c r="AU61" i="4"/>
  <c r="AT61" i="4"/>
  <c r="AS61" i="4"/>
  <c r="AR61" i="4"/>
  <c r="AQ61" i="4"/>
  <c r="AP61" i="4"/>
  <c r="AO61" i="4"/>
  <c r="AN61" i="4"/>
  <c r="AM61" i="4"/>
  <c r="AL61" i="4"/>
  <c r="AK61" i="4"/>
  <c r="AJ61" i="4"/>
  <c r="AI61" i="4"/>
  <c r="AH61" i="4"/>
  <c r="AG61" i="4"/>
  <c r="AF61" i="4"/>
  <c r="AE61" i="4"/>
  <c r="AD61" i="4"/>
  <c r="AW58" i="4"/>
  <c r="AW57" i="4"/>
  <c r="AW56" i="4"/>
  <c r="AW55" i="4"/>
  <c r="AW54" i="4"/>
  <c r="AW53" i="4"/>
  <c r="AW52" i="4"/>
  <c r="AW51" i="4"/>
  <c r="AW50" i="4"/>
  <c r="AW49" i="4"/>
  <c r="AW48" i="4"/>
  <c r="AW47" i="4"/>
  <c r="AW46" i="4"/>
  <c r="AW45" i="4"/>
  <c r="AW44" i="4"/>
  <c r="AW43" i="4"/>
  <c r="AW42" i="4"/>
  <c r="AW41" i="4"/>
  <c r="AW40" i="4"/>
  <c r="AW39" i="4"/>
  <c r="AW38" i="4"/>
  <c r="AW37" i="4"/>
  <c r="AW36" i="4"/>
  <c r="AW35" i="4"/>
  <c r="AW34" i="4"/>
  <c r="AW33" i="4"/>
  <c r="AW32" i="4"/>
  <c r="AW31" i="4"/>
  <c r="AC11" i="4"/>
  <c r="AB11" i="4"/>
  <c r="AA11" i="4"/>
  <c r="Z11" i="4"/>
  <c r="Y11" i="4"/>
  <c r="X11" i="4"/>
  <c r="AD10" i="4"/>
  <c r="AE10" i="4" s="1"/>
  <c r="AF10" i="4" s="1"/>
  <c r="AG10" i="4" s="1"/>
  <c r="J6" i="4"/>
  <c r="K6" i="4" s="1"/>
  <c r="L6" i="4" s="1"/>
  <c r="M6" i="4" s="1"/>
  <c r="N6" i="4" s="1"/>
  <c r="O6" i="4" s="1"/>
  <c r="P6" i="4" s="1"/>
  <c r="Q6" i="4" s="1"/>
  <c r="R6" i="4" s="1"/>
  <c r="S6" i="4" s="1"/>
  <c r="T6" i="4" s="1"/>
  <c r="U6" i="4" s="1"/>
  <c r="V6" i="4" s="1"/>
  <c r="W6" i="4" s="1"/>
  <c r="J5" i="4"/>
  <c r="K5" i="4" s="1"/>
  <c r="L5" i="4" s="1"/>
  <c r="M5" i="4" s="1"/>
  <c r="N5" i="4" s="1"/>
  <c r="O5" i="4" s="1"/>
  <c r="P5" i="4" s="1"/>
  <c r="Q5" i="4" s="1"/>
  <c r="R5" i="4" s="1"/>
  <c r="S5" i="4" s="1"/>
  <c r="T5" i="4" s="1"/>
  <c r="U5" i="4" s="1"/>
  <c r="V5" i="4" s="1"/>
  <c r="W5" i="4" s="1"/>
  <c r="X5" i="4" s="1"/>
  <c r="Y5" i="4" s="1"/>
  <c r="Z5" i="4" s="1"/>
  <c r="AA5" i="4" s="1"/>
  <c r="AB5" i="4" s="1"/>
  <c r="AC5" i="4" s="1"/>
  <c r="AD5" i="4" s="1"/>
  <c r="AE5" i="4" s="1"/>
  <c r="AF5" i="4" s="1"/>
  <c r="AG5" i="4" s="1"/>
  <c r="AH5" i="4" s="1"/>
  <c r="AI5" i="4" s="1"/>
  <c r="AJ5" i="4" s="1"/>
  <c r="AK5" i="4" s="1"/>
  <c r="AL5" i="4" s="1"/>
  <c r="AM5" i="4" s="1"/>
  <c r="AB4" i="4"/>
  <c r="AA4" i="4" s="1"/>
  <c r="Z4" i="4" s="1"/>
  <c r="Y4" i="4" s="1"/>
  <c r="X4" i="4" s="1"/>
  <c r="W4" i="4" s="1"/>
  <c r="V4" i="4" s="1"/>
  <c r="U4" i="4" s="1"/>
  <c r="T4" i="4" s="1"/>
  <c r="S4" i="4" s="1"/>
  <c r="R4" i="4" s="1"/>
  <c r="Q4" i="4" s="1"/>
  <c r="P4" i="4" s="1"/>
  <c r="O4" i="4" s="1"/>
  <c r="N4" i="4" s="1"/>
  <c r="M4" i="4" s="1"/>
  <c r="L4" i="4" s="1"/>
  <c r="K4" i="4" s="1"/>
  <c r="J4" i="4" s="1"/>
  <c r="I4" i="4" s="1"/>
  <c r="F95" i="2"/>
  <c r="F94" i="2"/>
  <c r="F93" i="2"/>
  <c r="F92" i="2"/>
  <c r="F91" i="2"/>
  <c r="F90" i="2"/>
  <c r="F89" i="2"/>
  <c r="F88" i="2"/>
  <c r="BF121" i="5" l="1"/>
  <c r="BM141" i="5"/>
  <c r="AQ146" i="5"/>
  <c r="C176" i="5"/>
  <c r="J84" i="8"/>
  <c r="J235" i="8" s="1"/>
  <c r="R84" i="8"/>
  <c r="R235" i="8" s="1"/>
  <c r="R269" i="8" s="1"/>
  <c r="Z84" i="8"/>
  <c r="Z235" i="8" s="1"/>
  <c r="U227" i="8"/>
  <c r="U293" i="8" s="1"/>
  <c r="G84" i="9"/>
  <c r="G235" i="9" s="1"/>
  <c r="O84" i="9"/>
  <c r="O235" i="9" s="1"/>
  <c r="W84" i="9"/>
  <c r="W235" i="9" s="1"/>
  <c r="P261" i="9"/>
  <c r="D181" i="5"/>
  <c r="Z84" i="10"/>
  <c r="Z235" i="10" s="1"/>
  <c r="Z301" i="10" s="1"/>
  <c r="AG141" i="5"/>
  <c r="L84" i="8"/>
  <c r="L235" i="8" s="1"/>
  <c r="T84" i="8"/>
  <c r="T235" i="8" s="1"/>
  <c r="T306" i="8"/>
  <c r="M227" i="9"/>
  <c r="M261" i="9" s="1"/>
  <c r="G274" i="9"/>
  <c r="AI141" i="5"/>
  <c r="G258" i="8"/>
  <c r="J240" i="9"/>
  <c r="J306" i="9" s="1"/>
  <c r="BB142" i="5"/>
  <c r="N270" i="8"/>
  <c r="P240" i="9"/>
  <c r="P306" i="9" s="1"/>
  <c r="M227" i="8"/>
  <c r="M293" i="8" s="1"/>
  <c r="M84" i="9"/>
  <c r="M235" i="9" s="1"/>
  <c r="U84" i="9"/>
  <c r="U235" i="9" s="1"/>
  <c r="G293" i="10"/>
  <c r="Y307" i="9"/>
  <c r="Y275" i="9"/>
  <c r="J307" i="9"/>
  <c r="J275" i="9"/>
  <c r="Z307" i="9"/>
  <c r="Z275" i="9"/>
  <c r="S307" i="9"/>
  <c r="S275" i="9"/>
  <c r="AA275" i="9"/>
  <c r="AA307" i="9"/>
  <c r="O301" i="8"/>
  <c r="O269" i="8"/>
  <c r="T307" i="9"/>
  <c r="T275" i="9"/>
  <c r="Q301" i="10"/>
  <c r="Q269" i="10"/>
  <c r="AD62" i="5"/>
  <c r="AD117" i="5" s="1"/>
  <c r="R227" i="8"/>
  <c r="G261" i="8"/>
  <c r="Y270" i="8"/>
  <c r="M275" i="8"/>
  <c r="S306" i="8"/>
  <c r="L227" i="9"/>
  <c r="L261" i="9" s="1"/>
  <c r="O240" i="9"/>
  <c r="K261" i="9"/>
  <c r="J274" i="9"/>
  <c r="G289" i="9"/>
  <c r="W302" i="9"/>
  <c r="Q240" i="10"/>
  <c r="N274" i="10"/>
  <c r="W240" i="10"/>
  <c r="W306" i="10" s="1"/>
  <c r="W261" i="10"/>
  <c r="AV139" i="5"/>
  <c r="BG143" i="5"/>
  <c r="F154" i="5"/>
  <c r="F165" i="5" s="1"/>
  <c r="T227" i="8"/>
  <c r="Z240" i="8"/>
  <c r="U261" i="8"/>
  <c r="J274" i="8"/>
  <c r="G290" i="8"/>
  <c r="G307" i="8"/>
  <c r="S227" i="9"/>
  <c r="S293" i="9" s="1"/>
  <c r="Q240" i="9"/>
  <c r="Q261" i="9"/>
  <c r="G302" i="9"/>
  <c r="X240" i="10"/>
  <c r="X306" i="10" s="1"/>
  <c r="G302" i="10"/>
  <c r="AA240" i="8"/>
  <c r="N269" i="8"/>
  <c r="K274" i="8"/>
  <c r="T227" i="9"/>
  <c r="T261" i="9" s="1"/>
  <c r="R240" i="9"/>
  <c r="R306" i="9" s="1"/>
  <c r="M302" i="10"/>
  <c r="J96" i="5"/>
  <c r="AB96" i="5" s="1"/>
  <c r="J227" i="8"/>
  <c r="J261" i="8" s="1"/>
  <c r="L274" i="8"/>
  <c r="J302" i="8"/>
  <c r="U227" i="9"/>
  <c r="Z240" i="9"/>
  <c r="P270" i="9"/>
  <c r="M302" i="9"/>
  <c r="L227" i="10"/>
  <c r="L261" i="10" s="1"/>
  <c r="AX144" i="5"/>
  <c r="K227" i="8"/>
  <c r="K293" i="8" s="1"/>
  <c r="I270" i="8"/>
  <c r="K302" i="8"/>
  <c r="I84" i="9"/>
  <c r="I235" i="9" s="1"/>
  <c r="Q84" i="9"/>
  <c r="Q235" i="9" s="1"/>
  <c r="Y84" i="9"/>
  <c r="Y235" i="9" s="1"/>
  <c r="V227" i="9"/>
  <c r="V261" i="9" s="1"/>
  <c r="K307" i="9"/>
  <c r="M227" i="10"/>
  <c r="AN5" i="4"/>
  <c r="BJ141" i="5"/>
  <c r="L227" i="8"/>
  <c r="L293" i="8" s="1"/>
  <c r="I275" i="8"/>
  <c r="AA227" i="9"/>
  <c r="U302" i="9"/>
  <c r="P307" i="9"/>
  <c r="N227" i="10"/>
  <c r="S270" i="10"/>
  <c r="AA95" i="14"/>
  <c r="AA95" i="15"/>
  <c r="AA137" i="15"/>
  <c r="AA137" i="14"/>
  <c r="AA116" i="13"/>
  <c r="AA116" i="12"/>
  <c r="AA158" i="12"/>
  <c r="AA158" i="13"/>
  <c r="AA118" i="13"/>
  <c r="AA118" i="11"/>
  <c r="AA160" i="11"/>
  <c r="AA160" i="13"/>
  <c r="AA116" i="15"/>
  <c r="AA116" i="14"/>
  <c r="AA158" i="14"/>
  <c r="AA158" i="15"/>
  <c r="AA95" i="12"/>
  <c r="AA95" i="13"/>
  <c r="AA137" i="13"/>
  <c r="AA137" i="12"/>
  <c r="AA96" i="13"/>
  <c r="AA96" i="12"/>
  <c r="AA138" i="13"/>
  <c r="AA138" i="12"/>
  <c r="AA97" i="11"/>
  <c r="AA97" i="13"/>
  <c r="AA139" i="13"/>
  <c r="AA139" i="11"/>
  <c r="O164" i="15"/>
  <c r="O164" i="14"/>
  <c r="W164" i="14"/>
  <c r="W164" i="15"/>
  <c r="H164" i="14"/>
  <c r="H164" i="15"/>
  <c r="P164" i="14"/>
  <c r="P164" i="15"/>
  <c r="X164" i="15"/>
  <c r="X164" i="14"/>
  <c r="I164" i="14"/>
  <c r="I164" i="15"/>
  <c r="Q164" i="14"/>
  <c r="Q164" i="15"/>
  <c r="Y164" i="14"/>
  <c r="Y164" i="15"/>
  <c r="J164" i="15"/>
  <c r="J164" i="14"/>
  <c r="R164" i="14"/>
  <c r="R164" i="15"/>
  <c r="Z164" i="14"/>
  <c r="Z164" i="15"/>
  <c r="K164" i="14"/>
  <c r="K164" i="15"/>
  <c r="S164" i="14"/>
  <c r="S164" i="15"/>
  <c r="L164" i="15"/>
  <c r="L164" i="14"/>
  <c r="T164" i="14"/>
  <c r="T164" i="15"/>
  <c r="M164" i="14"/>
  <c r="M164" i="15"/>
  <c r="U164" i="15"/>
  <c r="U164" i="14"/>
  <c r="N164" i="14"/>
  <c r="N164" i="15"/>
  <c r="V164" i="14"/>
  <c r="V164" i="15"/>
  <c r="H165" i="11"/>
  <c r="I165" i="11" s="1"/>
  <c r="J165" i="11" s="1"/>
  <c r="K165" i="11" s="1"/>
  <c r="L165" i="11" s="1"/>
  <c r="M165" i="11" s="1"/>
  <c r="N165" i="11" s="1"/>
  <c r="O165" i="11" s="1"/>
  <c r="P165" i="11" s="1"/>
  <c r="Q165" i="11" s="1"/>
  <c r="R165" i="11" s="1"/>
  <c r="S165" i="11" s="1"/>
  <c r="T165" i="11" s="1"/>
  <c r="U165" i="11" s="1"/>
  <c r="V165" i="11" s="1"/>
  <c r="W165" i="11" s="1"/>
  <c r="X165" i="11" s="1"/>
  <c r="Y165" i="11" s="1"/>
  <c r="Z165" i="11" s="1"/>
  <c r="AA165" i="11" s="1"/>
  <c r="H166" i="11"/>
  <c r="I166" i="11" s="1"/>
  <c r="J166" i="11" s="1"/>
  <c r="K166" i="11" s="1"/>
  <c r="L166" i="11" s="1"/>
  <c r="M166" i="11" s="1"/>
  <c r="N166" i="11" s="1"/>
  <c r="O166" i="11" s="1"/>
  <c r="P166" i="11" s="1"/>
  <c r="Q166" i="11" s="1"/>
  <c r="R166" i="11" s="1"/>
  <c r="S166" i="11" s="1"/>
  <c r="T166" i="11" s="1"/>
  <c r="U166" i="11" s="1"/>
  <c r="V166" i="11" s="1"/>
  <c r="W166" i="11" s="1"/>
  <c r="X166" i="11" s="1"/>
  <c r="Y166" i="11" s="1"/>
  <c r="Z166" i="11" s="1"/>
  <c r="AA166" i="11" s="1"/>
  <c r="H167" i="11"/>
  <c r="I167" i="11" s="1"/>
  <c r="J167" i="11" s="1"/>
  <c r="K167" i="11" s="1"/>
  <c r="L167" i="11" s="1"/>
  <c r="M167" i="11" s="1"/>
  <c r="N167" i="11" s="1"/>
  <c r="O167" i="11" s="1"/>
  <c r="P167" i="11" s="1"/>
  <c r="Q167" i="11" s="1"/>
  <c r="R167" i="11" s="1"/>
  <c r="S167" i="11" s="1"/>
  <c r="T167" i="11" s="1"/>
  <c r="U167" i="11" s="1"/>
  <c r="V167" i="11" s="1"/>
  <c r="W167" i="11" s="1"/>
  <c r="X167" i="11" s="1"/>
  <c r="Y167" i="11" s="1"/>
  <c r="Z167" i="11" s="1"/>
  <c r="AA167" i="11" s="1"/>
  <c r="H168" i="11"/>
  <c r="I168" i="11" s="1"/>
  <c r="J168" i="11" s="1"/>
  <c r="K168" i="11" s="1"/>
  <c r="L168" i="11" s="1"/>
  <c r="M168" i="11" s="1"/>
  <c r="N168" i="11" s="1"/>
  <c r="O168" i="11" s="1"/>
  <c r="P168" i="11" s="1"/>
  <c r="Q168" i="11" s="1"/>
  <c r="R168" i="11" s="1"/>
  <c r="S168" i="11" s="1"/>
  <c r="T168" i="11" s="1"/>
  <c r="U168" i="11" s="1"/>
  <c r="V168" i="11" s="1"/>
  <c r="W168" i="11" s="1"/>
  <c r="X168" i="11" s="1"/>
  <c r="Y168" i="11" s="1"/>
  <c r="Z168" i="11" s="1"/>
  <c r="AA168" i="11" s="1"/>
  <c r="H165" i="13"/>
  <c r="I165" i="13" s="1"/>
  <c r="J165" i="13" s="1"/>
  <c r="K165" i="13" s="1"/>
  <c r="L165" i="13" s="1"/>
  <c r="M165" i="13" s="1"/>
  <c r="N165" i="13" s="1"/>
  <c r="O165" i="13" s="1"/>
  <c r="P165" i="13" s="1"/>
  <c r="Q165" i="13" s="1"/>
  <c r="R165" i="13" s="1"/>
  <c r="S165" i="13" s="1"/>
  <c r="T165" i="13" s="1"/>
  <c r="U165" i="13" s="1"/>
  <c r="V165" i="13" s="1"/>
  <c r="W165" i="13" s="1"/>
  <c r="X165" i="13" s="1"/>
  <c r="Y165" i="13" s="1"/>
  <c r="Z165" i="13" s="1"/>
  <c r="AA165" i="13" s="1"/>
  <c r="H166" i="13"/>
  <c r="I166" i="13" s="1"/>
  <c r="J166" i="13" s="1"/>
  <c r="K166" i="13" s="1"/>
  <c r="L166" i="13" s="1"/>
  <c r="M166" i="13" s="1"/>
  <c r="N166" i="13" s="1"/>
  <c r="O166" i="13" s="1"/>
  <c r="P166" i="13" s="1"/>
  <c r="Q166" i="13" s="1"/>
  <c r="R166" i="13" s="1"/>
  <c r="S166" i="13" s="1"/>
  <c r="T166" i="13" s="1"/>
  <c r="U166" i="13" s="1"/>
  <c r="V166" i="13" s="1"/>
  <c r="W166" i="13" s="1"/>
  <c r="X166" i="13" s="1"/>
  <c r="Y166" i="13" s="1"/>
  <c r="Z166" i="13" s="1"/>
  <c r="AA166" i="13" s="1"/>
  <c r="H168" i="13"/>
  <c r="I168" i="13" s="1"/>
  <c r="J168" i="13" s="1"/>
  <c r="K168" i="13" s="1"/>
  <c r="L168" i="13" s="1"/>
  <c r="M168" i="13" s="1"/>
  <c r="N168" i="13" s="1"/>
  <c r="O168" i="13" s="1"/>
  <c r="P168" i="13" s="1"/>
  <c r="Q168" i="13" s="1"/>
  <c r="R168" i="13" s="1"/>
  <c r="S168" i="13" s="1"/>
  <c r="T168" i="13" s="1"/>
  <c r="U168" i="13" s="1"/>
  <c r="V168" i="13" s="1"/>
  <c r="W168" i="13" s="1"/>
  <c r="X168" i="13" s="1"/>
  <c r="Y168" i="13" s="1"/>
  <c r="Z168" i="13" s="1"/>
  <c r="AA168" i="13" s="1"/>
  <c r="H167" i="13"/>
  <c r="I167" i="13" s="1"/>
  <c r="J167" i="13" s="1"/>
  <c r="K167" i="13" s="1"/>
  <c r="L167" i="13" s="1"/>
  <c r="M167" i="13" s="1"/>
  <c r="N167" i="13" s="1"/>
  <c r="O167" i="13" s="1"/>
  <c r="P167" i="13" s="1"/>
  <c r="Q167" i="13" s="1"/>
  <c r="R167" i="13" s="1"/>
  <c r="S167" i="13" s="1"/>
  <c r="T167" i="13" s="1"/>
  <c r="U167" i="13" s="1"/>
  <c r="V167" i="13" s="1"/>
  <c r="W167" i="13" s="1"/>
  <c r="X167" i="13" s="1"/>
  <c r="Y167" i="13" s="1"/>
  <c r="Z167" i="13" s="1"/>
  <c r="AA167" i="13" s="1"/>
  <c r="H166" i="12"/>
  <c r="I166" i="12" s="1"/>
  <c r="J166" i="12" s="1"/>
  <c r="K166" i="12" s="1"/>
  <c r="L166" i="12" s="1"/>
  <c r="M166" i="12" s="1"/>
  <c r="N166" i="12" s="1"/>
  <c r="O166" i="12" s="1"/>
  <c r="P166" i="12" s="1"/>
  <c r="Q166" i="12" s="1"/>
  <c r="R166" i="12" s="1"/>
  <c r="S166" i="12" s="1"/>
  <c r="T166" i="12" s="1"/>
  <c r="U166" i="12" s="1"/>
  <c r="V166" i="12" s="1"/>
  <c r="W166" i="12" s="1"/>
  <c r="X166" i="12" s="1"/>
  <c r="Y166" i="12" s="1"/>
  <c r="Z166" i="12" s="1"/>
  <c r="AA166" i="12" s="1"/>
  <c r="H165" i="12"/>
  <c r="I165" i="12" s="1"/>
  <c r="J165" i="12" s="1"/>
  <c r="K165" i="12" s="1"/>
  <c r="L165" i="12" s="1"/>
  <c r="M165" i="12" s="1"/>
  <c r="N165" i="12" s="1"/>
  <c r="O165" i="12" s="1"/>
  <c r="P165" i="12" s="1"/>
  <c r="Q165" i="12" s="1"/>
  <c r="R165" i="12" s="1"/>
  <c r="S165" i="12" s="1"/>
  <c r="T165" i="12" s="1"/>
  <c r="U165" i="12" s="1"/>
  <c r="V165" i="12" s="1"/>
  <c r="W165" i="12" s="1"/>
  <c r="X165" i="12" s="1"/>
  <c r="Y165" i="12" s="1"/>
  <c r="Z165" i="12" s="1"/>
  <c r="AA165" i="12" s="1"/>
  <c r="H168" i="12"/>
  <c r="I168" i="12" s="1"/>
  <c r="J168" i="12" s="1"/>
  <c r="K168" i="12" s="1"/>
  <c r="L168" i="12" s="1"/>
  <c r="M168" i="12" s="1"/>
  <c r="N168" i="12" s="1"/>
  <c r="O168" i="12" s="1"/>
  <c r="P168" i="12" s="1"/>
  <c r="Q168" i="12" s="1"/>
  <c r="R168" i="12" s="1"/>
  <c r="S168" i="12" s="1"/>
  <c r="T168" i="12" s="1"/>
  <c r="U168" i="12" s="1"/>
  <c r="V168" i="12" s="1"/>
  <c r="W168" i="12" s="1"/>
  <c r="X168" i="12" s="1"/>
  <c r="Y168" i="12" s="1"/>
  <c r="Z168" i="12" s="1"/>
  <c r="AA168" i="12" s="1"/>
  <c r="H167" i="12"/>
  <c r="I167" i="12" s="1"/>
  <c r="J167" i="12" s="1"/>
  <c r="K167" i="12" s="1"/>
  <c r="L167" i="12" s="1"/>
  <c r="M167" i="12" s="1"/>
  <c r="N167" i="12" s="1"/>
  <c r="O167" i="12" s="1"/>
  <c r="P167" i="12" s="1"/>
  <c r="Q167" i="12" s="1"/>
  <c r="R167" i="12" s="1"/>
  <c r="S167" i="12" s="1"/>
  <c r="T167" i="12" s="1"/>
  <c r="U167" i="12" s="1"/>
  <c r="V167" i="12" s="1"/>
  <c r="W167" i="12" s="1"/>
  <c r="X167" i="12" s="1"/>
  <c r="Y167" i="12" s="1"/>
  <c r="Z167" i="12" s="1"/>
  <c r="AA167" i="12" s="1"/>
  <c r="K143" i="14"/>
  <c r="K143" i="15"/>
  <c r="S143" i="14"/>
  <c r="S143" i="15"/>
  <c r="L143" i="15"/>
  <c r="L143" i="14"/>
  <c r="T143" i="14"/>
  <c r="T143" i="15"/>
  <c r="M143" i="14"/>
  <c r="M143" i="15"/>
  <c r="U143" i="14"/>
  <c r="U143" i="15"/>
  <c r="N143" i="15"/>
  <c r="N143" i="14"/>
  <c r="V143" i="15"/>
  <c r="V143" i="14"/>
  <c r="O143" i="14"/>
  <c r="O143" i="15"/>
  <c r="W143" i="14"/>
  <c r="W143" i="15"/>
  <c r="H143" i="15"/>
  <c r="H143" i="14"/>
  <c r="P143" i="14"/>
  <c r="P143" i="15"/>
  <c r="X143" i="14"/>
  <c r="X143" i="15"/>
  <c r="I143" i="15"/>
  <c r="I143" i="14"/>
  <c r="Q143" i="15"/>
  <c r="Q143" i="14"/>
  <c r="Y143" i="15"/>
  <c r="Y143" i="14"/>
  <c r="J143" i="14"/>
  <c r="J143" i="15"/>
  <c r="R143" i="14"/>
  <c r="R143" i="15"/>
  <c r="Z143" i="14"/>
  <c r="Z143" i="15"/>
  <c r="H144" i="11"/>
  <c r="I144" i="11" s="1"/>
  <c r="J144" i="11" s="1"/>
  <c r="K144" i="11" s="1"/>
  <c r="L144" i="11" s="1"/>
  <c r="M144" i="11" s="1"/>
  <c r="N144" i="11" s="1"/>
  <c r="O144" i="11" s="1"/>
  <c r="P144" i="11" s="1"/>
  <c r="Q144" i="11" s="1"/>
  <c r="R144" i="11" s="1"/>
  <c r="S144" i="11" s="1"/>
  <c r="T144" i="11" s="1"/>
  <c r="U144" i="11" s="1"/>
  <c r="V144" i="11" s="1"/>
  <c r="W144" i="11" s="1"/>
  <c r="X144" i="11" s="1"/>
  <c r="Y144" i="11" s="1"/>
  <c r="Z144" i="11" s="1"/>
  <c r="AA144" i="11" s="1"/>
  <c r="H145" i="11"/>
  <c r="I145" i="11" s="1"/>
  <c r="J145" i="11" s="1"/>
  <c r="K145" i="11" s="1"/>
  <c r="L145" i="11" s="1"/>
  <c r="M145" i="11" s="1"/>
  <c r="N145" i="11" s="1"/>
  <c r="O145" i="11" s="1"/>
  <c r="P145" i="11" s="1"/>
  <c r="Q145" i="11" s="1"/>
  <c r="R145" i="11" s="1"/>
  <c r="S145" i="11" s="1"/>
  <c r="T145" i="11" s="1"/>
  <c r="U145" i="11" s="1"/>
  <c r="V145" i="11" s="1"/>
  <c r="W145" i="11" s="1"/>
  <c r="X145" i="11" s="1"/>
  <c r="Y145" i="11" s="1"/>
  <c r="Z145" i="11" s="1"/>
  <c r="AA145" i="11" s="1"/>
  <c r="H147" i="11"/>
  <c r="I147" i="11" s="1"/>
  <c r="J147" i="11" s="1"/>
  <c r="K147" i="11" s="1"/>
  <c r="L147" i="11" s="1"/>
  <c r="M147" i="11" s="1"/>
  <c r="N147" i="11" s="1"/>
  <c r="O147" i="11" s="1"/>
  <c r="P147" i="11" s="1"/>
  <c r="Q147" i="11" s="1"/>
  <c r="R147" i="11" s="1"/>
  <c r="S147" i="11" s="1"/>
  <c r="T147" i="11" s="1"/>
  <c r="U147" i="11" s="1"/>
  <c r="V147" i="11" s="1"/>
  <c r="W147" i="11" s="1"/>
  <c r="X147" i="11" s="1"/>
  <c r="Y147" i="11" s="1"/>
  <c r="Z147" i="11" s="1"/>
  <c r="AA147" i="11" s="1"/>
  <c r="H146" i="11"/>
  <c r="I146" i="11" s="1"/>
  <c r="J146" i="11" s="1"/>
  <c r="K146" i="11" s="1"/>
  <c r="L146" i="11" s="1"/>
  <c r="M146" i="11" s="1"/>
  <c r="N146" i="11" s="1"/>
  <c r="O146" i="11" s="1"/>
  <c r="P146" i="11" s="1"/>
  <c r="Q146" i="11" s="1"/>
  <c r="R146" i="11" s="1"/>
  <c r="S146" i="11" s="1"/>
  <c r="T146" i="11" s="1"/>
  <c r="U146" i="11" s="1"/>
  <c r="V146" i="11" s="1"/>
  <c r="W146" i="11" s="1"/>
  <c r="X146" i="11" s="1"/>
  <c r="Y146" i="11" s="1"/>
  <c r="Z146" i="11" s="1"/>
  <c r="AA146" i="11" s="1"/>
  <c r="H147" i="13"/>
  <c r="I147" i="13" s="1"/>
  <c r="J147" i="13" s="1"/>
  <c r="K147" i="13" s="1"/>
  <c r="L147" i="13" s="1"/>
  <c r="M147" i="13" s="1"/>
  <c r="N147" i="13" s="1"/>
  <c r="O147" i="13" s="1"/>
  <c r="P147" i="13" s="1"/>
  <c r="Q147" i="13" s="1"/>
  <c r="R147" i="13" s="1"/>
  <c r="S147" i="13" s="1"/>
  <c r="T147" i="13" s="1"/>
  <c r="U147" i="13" s="1"/>
  <c r="V147" i="13" s="1"/>
  <c r="W147" i="13" s="1"/>
  <c r="X147" i="13" s="1"/>
  <c r="Y147" i="13" s="1"/>
  <c r="Z147" i="13" s="1"/>
  <c r="AA147" i="13" s="1"/>
  <c r="H144" i="13"/>
  <c r="I144" i="13" s="1"/>
  <c r="J144" i="13" s="1"/>
  <c r="K144" i="13" s="1"/>
  <c r="L144" i="13" s="1"/>
  <c r="M144" i="13" s="1"/>
  <c r="N144" i="13" s="1"/>
  <c r="O144" i="13" s="1"/>
  <c r="P144" i="13" s="1"/>
  <c r="Q144" i="13" s="1"/>
  <c r="R144" i="13" s="1"/>
  <c r="S144" i="13" s="1"/>
  <c r="T144" i="13" s="1"/>
  <c r="U144" i="13" s="1"/>
  <c r="V144" i="13" s="1"/>
  <c r="W144" i="13" s="1"/>
  <c r="X144" i="13" s="1"/>
  <c r="Y144" i="13" s="1"/>
  <c r="Z144" i="13" s="1"/>
  <c r="AA144" i="13" s="1"/>
  <c r="H145" i="13"/>
  <c r="I145" i="13" s="1"/>
  <c r="J145" i="13" s="1"/>
  <c r="K145" i="13" s="1"/>
  <c r="L145" i="13" s="1"/>
  <c r="M145" i="13" s="1"/>
  <c r="N145" i="13" s="1"/>
  <c r="O145" i="13" s="1"/>
  <c r="P145" i="13" s="1"/>
  <c r="Q145" i="13" s="1"/>
  <c r="R145" i="13" s="1"/>
  <c r="S145" i="13" s="1"/>
  <c r="T145" i="13" s="1"/>
  <c r="U145" i="13" s="1"/>
  <c r="V145" i="13" s="1"/>
  <c r="W145" i="13" s="1"/>
  <c r="X145" i="13" s="1"/>
  <c r="Y145" i="13" s="1"/>
  <c r="Z145" i="13" s="1"/>
  <c r="AA145" i="13" s="1"/>
  <c r="H146" i="13"/>
  <c r="I146" i="13" s="1"/>
  <c r="J146" i="13" s="1"/>
  <c r="K146" i="13" s="1"/>
  <c r="L146" i="13" s="1"/>
  <c r="M146" i="13" s="1"/>
  <c r="N146" i="13" s="1"/>
  <c r="O146" i="13" s="1"/>
  <c r="P146" i="13" s="1"/>
  <c r="Q146" i="13" s="1"/>
  <c r="R146" i="13" s="1"/>
  <c r="S146" i="13" s="1"/>
  <c r="T146" i="13" s="1"/>
  <c r="U146" i="13" s="1"/>
  <c r="V146" i="13" s="1"/>
  <c r="W146" i="13" s="1"/>
  <c r="X146" i="13" s="1"/>
  <c r="Y146" i="13" s="1"/>
  <c r="Z146" i="13" s="1"/>
  <c r="AA146" i="13" s="1"/>
  <c r="H145" i="12"/>
  <c r="I145" i="12" s="1"/>
  <c r="J145" i="12" s="1"/>
  <c r="K145" i="12" s="1"/>
  <c r="L145" i="12" s="1"/>
  <c r="M145" i="12" s="1"/>
  <c r="N145" i="12" s="1"/>
  <c r="O145" i="12" s="1"/>
  <c r="P145" i="12" s="1"/>
  <c r="Q145" i="12" s="1"/>
  <c r="R145" i="12" s="1"/>
  <c r="S145" i="12" s="1"/>
  <c r="T145" i="12" s="1"/>
  <c r="U145" i="12" s="1"/>
  <c r="V145" i="12" s="1"/>
  <c r="W145" i="12" s="1"/>
  <c r="X145" i="12" s="1"/>
  <c r="Y145" i="12" s="1"/>
  <c r="Z145" i="12" s="1"/>
  <c r="AA145" i="12" s="1"/>
  <c r="H144" i="12"/>
  <c r="I144" i="12" s="1"/>
  <c r="J144" i="12" s="1"/>
  <c r="K144" i="12" s="1"/>
  <c r="L144" i="12" s="1"/>
  <c r="M144" i="12" s="1"/>
  <c r="N144" i="12" s="1"/>
  <c r="O144" i="12" s="1"/>
  <c r="P144" i="12" s="1"/>
  <c r="Q144" i="12" s="1"/>
  <c r="R144" i="12" s="1"/>
  <c r="S144" i="12" s="1"/>
  <c r="T144" i="12" s="1"/>
  <c r="U144" i="12" s="1"/>
  <c r="V144" i="12" s="1"/>
  <c r="W144" i="12" s="1"/>
  <c r="X144" i="12" s="1"/>
  <c r="Y144" i="12" s="1"/>
  <c r="Z144" i="12" s="1"/>
  <c r="AA144" i="12" s="1"/>
  <c r="H147" i="12"/>
  <c r="I147" i="12" s="1"/>
  <c r="J147" i="12" s="1"/>
  <c r="K147" i="12" s="1"/>
  <c r="L147" i="12" s="1"/>
  <c r="M147" i="12" s="1"/>
  <c r="N147" i="12" s="1"/>
  <c r="O147" i="12" s="1"/>
  <c r="P147" i="12" s="1"/>
  <c r="Q147" i="12" s="1"/>
  <c r="R147" i="12" s="1"/>
  <c r="S147" i="12" s="1"/>
  <c r="T147" i="12" s="1"/>
  <c r="U147" i="12" s="1"/>
  <c r="V147" i="12" s="1"/>
  <c r="W147" i="12" s="1"/>
  <c r="X147" i="12" s="1"/>
  <c r="Y147" i="12" s="1"/>
  <c r="Z147" i="12" s="1"/>
  <c r="AA147" i="12" s="1"/>
  <c r="H146" i="12"/>
  <c r="I146" i="12" s="1"/>
  <c r="J146" i="12" s="1"/>
  <c r="K146" i="12" s="1"/>
  <c r="L146" i="12" s="1"/>
  <c r="M146" i="12" s="1"/>
  <c r="N146" i="12" s="1"/>
  <c r="O146" i="12" s="1"/>
  <c r="P146" i="12" s="1"/>
  <c r="Q146" i="12" s="1"/>
  <c r="R146" i="12" s="1"/>
  <c r="S146" i="12" s="1"/>
  <c r="T146" i="12" s="1"/>
  <c r="U146" i="12" s="1"/>
  <c r="V146" i="12" s="1"/>
  <c r="W146" i="12" s="1"/>
  <c r="X146" i="12" s="1"/>
  <c r="Y146" i="12" s="1"/>
  <c r="Z146" i="12" s="1"/>
  <c r="AA146" i="12" s="1"/>
  <c r="O122" i="15"/>
  <c r="O122" i="14"/>
  <c r="W122" i="15"/>
  <c r="W122" i="14"/>
  <c r="H122" i="15"/>
  <c r="H122" i="14"/>
  <c r="P122" i="15"/>
  <c r="P122" i="14"/>
  <c r="X122" i="14"/>
  <c r="X122" i="15"/>
  <c r="I122" i="14"/>
  <c r="I122" i="15"/>
  <c r="Q122" i="14"/>
  <c r="Q122" i="15"/>
  <c r="Y122" i="15"/>
  <c r="Y122" i="14"/>
  <c r="J122" i="15"/>
  <c r="J122" i="14"/>
  <c r="R122" i="15"/>
  <c r="R122" i="14"/>
  <c r="Z122" i="15"/>
  <c r="Z122" i="14"/>
  <c r="K122" i="15"/>
  <c r="K122" i="14"/>
  <c r="S122" i="14"/>
  <c r="S122" i="15"/>
  <c r="L122" i="14"/>
  <c r="L122" i="15"/>
  <c r="T122" i="14"/>
  <c r="T122" i="15"/>
  <c r="M122" i="15"/>
  <c r="M122" i="14"/>
  <c r="U122" i="15"/>
  <c r="U122" i="14"/>
  <c r="N122" i="14"/>
  <c r="N122" i="15"/>
  <c r="V122" i="14"/>
  <c r="V122" i="15"/>
  <c r="H124" i="11"/>
  <c r="I124" i="11" s="1"/>
  <c r="J124" i="11" s="1"/>
  <c r="K124" i="11" s="1"/>
  <c r="L124" i="11" s="1"/>
  <c r="M124" i="11" s="1"/>
  <c r="N124" i="11" s="1"/>
  <c r="O124" i="11" s="1"/>
  <c r="P124" i="11" s="1"/>
  <c r="Q124" i="11" s="1"/>
  <c r="R124" i="11" s="1"/>
  <c r="S124" i="11" s="1"/>
  <c r="T124" i="11" s="1"/>
  <c r="U124" i="11" s="1"/>
  <c r="V124" i="11" s="1"/>
  <c r="W124" i="11" s="1"/>
  <c r="X124" i="11" s="1"/>
  <c r="Y124" i="11" s="1"/>
  <c r="Z124" i="11" s="1"/>
  <c r="AA124" i="11" s="1"/>
  <c r="H126" i="11"/>
  <c r="I126" i="11" s="1"/>
  <c r="J126" i="11" s="1"/>
  <c r="K126" i="11" s="1"/>
  <c r="L126" i="11" s="1"/>
  <c r="M126" i="11" s="1"/>
  <c r="N126" i="11" s="1"/>
  <c r="O126" i="11" s="1"/>
  <c r="P126" i="11" s="1"/>
  <c r="Q126" i="11" s="1"/>
  <c r="R126" i="11" s="1"/>
  <c r="S126" i="11" s="1"/>
  <c r="T126" i="11" s="1"/>
  <c r="U126" i="11" s="1"/>
  <c r="V126" i="11" s="1"/>
  <c r="W126" i="11" s="1"/>
  <c r="X126" i="11" s="1"/>
  <c r="Y126" i="11" s="1"/>
  <c r="Z126" i="11" s="1"/>
  <c r="AA126" i="11" s="1"/>
  <c r="H125" i="11"/>
  <c r="I125" i="11" s="1"/>
  <c r="J125" i="11" s="1"/>
  <c r="K125" i="11" s="1"/>
  <c r="L125" i="11" s="1"/>
  <c r="M125" i="11" s="1"/>
  <c r="N125" i="11" s="1"/>
  <c r="O125" i="11" s="1"/>
  <c r="P125" i="11" s="1"/>
  <c r="Q125" i="11" s="1"/>
  <c r="R125" i="11" s="1"/>
  <c r="S125" i="11" s="1"/>
  <c r="T125" i="11" s="1"/>
  <c r="U125" i="11" s="1"/>
  <c r="V125" i="11" s="1"/>
  <c r="W125" i="11" s="1"/>
  <c r="X125" i="11" s="1"/>
  <c r="Y125" i="11" s="1"/>
  <c r="Z125" i="11" s="1"/>
  <c r="AA125" i="11" s="1"/>
  <c r="H123" i="11"/>
  <c r="I123" i="11" s="1"/>
  <c r="J123" i="11" s="1"/>
  <c r="K123" i="11" s="1"/>
  <c r="L123" i="11" s="1"/>
  <c r="M123" i="11" s="1"/>
  <c r="N123" i="11" s="1"/>
  <c r="O123" i="11" s="1"/>
  <c r="P123" i="11" s="1"/>
  <c r="Q123" i="11" s="1"/>
  <c r="R123" i="11" s="1"/>
  <c r="S123" i="11" s="1"/>
  <c r="T123" i="11" s="1"/>
  <c r="U123" i="11" s="1"/>
  <c r="V123" i="11" s="1"/>
  <c r="W123" i="11" s="1"/>
  <c r="X123" i="11" s="1"/>
  <c r="Y123" i="11" s="1"/>
  <c r="Z123" i="11" s="1"/>
  <c r="AA123" i="11" s="1"/>
  <c r="H123" i="13"/>
  <c r="I123" i="13" s="1"/>
  <c r="J123" i="13" s="1"/>
  <c r="K123" i="13" s="1"/>
  <c r="L123" i="13" s="1"/>
  <c r="M123" i="13" s="1"/>
  <c r="N123" i="13" s="1"/>
  <c r="O123" i="13" s="1"/>
  <c r="P123" i="13" s="1"/>
  <c r="Q123" i="13" s="1"/>
  <c r="R123" i="13" s="1"/>
  <c r="S123" i="13" s="1"/>
  <c r="T123" i="13" s="1"/>
  <c r="U123" i="13" s="1"/>
  <c r="V123" i="13" s="1"/>
  <c r="W123" i="13" s="1"/>
  <c r="X123" i="13" s="1"/>
  <c r="Y123" i="13" s="1"/>
  <c r="Z123" i="13" s="1"/>
  <c r="AA123" i="13" s="1"/>
  <c r="H125" i="13"/>
  <c r="I125" i="13" s="1"/>
  <c r="J125" i="13" s="1"/>
  <c r="K125" i="13" s="1"/>
  <c r="L125" i="13" s="1"/>
  <c r="M125" i="13" s="1"/>
  <c r="N125" i="13" s="1"/>
  <c r="O125" i="13" s="1"/>
  <c r="P125" i="13" s="1"/>
  <c r="Q125" i="13" s="1"/>
  <c r="R125" i="13" s="1"/>
  <c r="S125" i="13" s="1"/>
  <c r="T125" i="13" s="1"/>
  <c r="U125" i="13" s="1"/>
  <c r="V125" i="13" s="1"/>
  <c r="W125" i="13" s="1"/>
  <c r="X125" i="13" s="1"/>
  <c r="Y125" i="13" s="1"/>
  <c r="Z125" i="13" s="1"/>
  <c r="AA125" i="13" s="1"/>
  <c r="H124" i="13"/>
  <c r="I124" i="13" s="1"/>
  <c r="J124" i="13" s="1"/>
  <c r="K124" i="13" s="1"/>
  <c r="L124" i="13" s="1"/>
  <c r="M124" i="13" s="1"/>
  <c r="N124" i="13" s="1"/>
  <c r="O124" i="13" s="1"/>
  <c r="P124" i="13" s="1"/>
  <c r="Q124" i="13" s="1"/>
  <c r="R124" i="13" s="1"/>
  <c r="S124" i="13" s="1"/>
  <c r="T124" i="13" s="1"/>
  <c r="U124" i="13" s="1"/>
  <c r="V124" i="13" s="1"/>
  <c r="W124" i="13" s="1"/>
  <c r="X124" i="13" s="1"/>
  <c r="Y124" i="13" s="1"/>
  <c r="Z124" i="13" s="1"/>
  <c r="AA124" i="13" s="1"/>
  <c r="H126" i="13"/>
  <c r="I126" i="13" s="1"/>
  <c r="J126" i="13" s="1"/>
  <c r="K126" i="13" s="1"/>
  <c r="L126" i="13" s="1"/>
  <c r="M126" i="13" s="1"/>
  <c r="N126" i="13" s="1"/>
  <c r="O126" i="13" s="1"/>
  <c r="P126" i="13" s="1"/>
  <c r="Q126" i="13" s="1"/>
  <c r="R126" i="13" s="1"/>
  <c r="S126" i="13" s="1"/>
  <c r="T126" i="13" s="1"/>
  <c r="U126" i="13" s="1"/>
  <c r="V126" i="13" s="1"/>
  <c r="W126" i="13" s="1"/>
  <c r="X126" i="13" s="1"/>
  <c r="Y126" i="13" s="1"/>
  <c r="Z126" i="13" s="1"/>
  <c r="AA126" i="13" s="1"/>
  <c r="H125" i="12"/>
  <c r="I125" i="12" s="1"/>
  <c r="J125" i="12" s="1"/>
  <c r="K125" i="12" s="1"/>
  <c r="L125" i="12" s="1"/>
  <c r="M125" i="12" s="1"/>
  <c r="N125" i="12" s="1"/>
  <c r="O125" i="12" s="1"/>
  <c r="P125" i="12" s="1"/>
  <c r="Q125" i="12" s="1"/>
  <c r="R125" i="12" s="1"/>
  <c r="S125" i="12" s="1"/>
  <c r="T125" i="12" s="1"/>
  <c r="U125" i="12" s="1"/>
  <c r="V125" i="12" s="1"/>
  <c r="W125" i="12" s="1"/>
  <c r="X125" i="12" s="1"/>
  <c r="Y125" i="12" s="1"/>
  <c r="Z125" i="12" s="1"/>
  <c r="AA125" i="12" s="1"/>
  <c r="H126" i="12"/>
  <c r="I126" i="12" s="1"/>
  <c r="J126" i="12" s="1"/>
  <c r="K126" i="12" s="1"/>
  <c r="L126" i="12" s="1"/>
  <c r="M126" i="12" s="1"/>
  <c r="N126" i="12" s="1"/>
  <c r="O126" i="12" s="1"/>
  <c r="P126" i="12" s="1"/>
  <c r="Q126" i="12" s="1"/>
  <c r="R126" i="12" s="1"/>
  <c r="S126" i="12" s="1"/>
  <c r="T126" i="12" s="1"/>
  <c r="U126" i="12" s="1"/>
  <c r="V126" i="12" s="1"/>
  <c r="W126" i="12" s="1"/>
  <c r="X126" i="12" s="1"/>
  <c r="Y126" i="12" s="1"/>
  <c r="Z126" i="12" s="1"/>
  <c r="AA126" i="12" s="1"/>
  <c r="H123" i="12"/>
  <c r="I123" i="12" s="1"/>
  <c r="J123" i="12" s="1"/>
  <c r="K123" i="12" s="1"/>
  <c r="L123" i="12" s="1"/>
  <c r="M123" i="12" s="1"/>
  <c r="N123" i="12" s="1"/>
  <c r="O123" i="12" s="1"/>
  <c r="P123" i="12" s="1"/>
  <c r="Q123" i="12" s="1"/>
  <c r="R123" i="12" s="1"/>
  <c r="S123" i="12" s="1"/>
  <c r="T123" i="12" s="1"/>
  <c r="U123" i="12" s="1"/>
  <c r="V123" i="12" s="1"/>
  <c r="W123" i="12" s="1"/>
  <c r="X123" i="12" s="1"/>
  <c r="Y123" i="12" s="1"/>
  <c r="Z123" i="12" s="1"/>
  <c r="AA123" i="12" s="1"/>
  <c r="H124" i="12"/>
  <c r="I124" i="12" s="1"/>
  <c r="J124" i="12" s="1"/>
  <c r="K124" i="12" s="1"/>
  <c r="L124" i="12" s="1"/>
  <c r="M124" i="12" s="1"/>
  <c r="N124" i="12" s="1"/>
  <c r="O124" i="12" s="1"/>
  <c r="P124" i="12" s="1"/>
  <c r="Q124" i="12" s="1"/>
  <c r="R124" i="12" s="1"/>
  <c r="S124" i="12" s="1"/>
  <c r="T124" i="12" s="1"/>
  <c r="U124" i="12" s="1"/>
  <c r="V124" i="12" s="1"/>
  <c r="W124" i="12" s="1"/>
  <c r="X124" i="12" s="1"/>
  <c r="Y124" i="12" s="1"/>
  <c r="Z124" i="12" s="1"/>
  <c r="AA124" i="12" s="1"/>
  <c r="K101" i="14"/>
  <c r="K101" i="15"/>
  <c r="S101" i="14"/>
  <c r="S101" i="15"/>
  <c r="L101" i="14"/>
  <c r="L101" i="15"/>
  <c r="T101" i="15"/>
  <c r="T101" i="14"/>
  <c r="M101" i="15"/>
  <c r="M101" i="14"/>
  <c r="N101" i="15"/>
  <c r="N101" i="14"/>
  <c r="V101" i="15"/>
  <c r="V101" i="14"/>
  <c r="O101" i="15"/>
  <c r="O101" i="14"/>
  <c r="W101" i="14"/>
  <c r="W101" i="15"/>
  <c r="U101" i="15"/>
  <c r="U101" i="14"/>
  <c r="H101" i="15"/>
  <c r="H101" i="14"/>
  <c r="P101" i="15"/>
  <c r="P101" i="14"/>
  <c r="X101" i="15"/>
  <c r="X101" i="14"/>
  <c r="I101" i="15"/>
  <c r="I101" i="14"/>
  <c r="Q101" i="14"/>
  <c r="Q101" i="15"/>
  <c r="Y101" i="15"/>
  <c r="Y101" i="14"/>
  <c r="J101" i="14"/>
  <c r="J101" i="15"/>
  <c r="R101" i="15"/>
  <c r="R101" i="14"/>
  <c r="Z101" i="14"/>
  <c r="Z101" i="15"/>
  <c r="H104" i="11"/>
  <c r="I104" i="11" s="1"/>
  <c r="J104" i="11" s="1"/>
  <c r="K104" i="11" s="1"/>
  <c r="L104" i="11" s="1"/>
  <c r="M104" i="11" s="1"/>
  <c r="N104" i="11" s="1"/>
  <c r="O104" i="11" s="1"/>
  <c r="P104" i="11" s="1"/>
  <c r="Q104" i="11" s="1"/>
  <c r="R104" i="11" s="1"/>
  <c r="S104" i="11" s="1"/>
  <c r="T104" i="11" s="1"/>
  <c r="U104" i="11" s="1"/>
  <c r="V104" i="11" s="1"/>
  <c r="W104" i="11" s="1"/>
  <c r="X104" i="11" s="1"/>
  <c r="Y104" i="11" s="1"/>
  <c r="Z104" i="11" s="1"/>
  <c r="AA104" i="11" s="1"/>
  <c r="H105" i="11"/>
  <c r="I105" i="11" s="1"/>
  <c r="J105" i="11" s="1"/>
  <c r="K105" i="11" s="1"/>
  <c r="L105" i="11" s="1"/>
  <c r="M105" i="11" s="1"/>
  <c r="N105" i="11" s="1"/>
  <c r="O105" i="11" s="1"/>
  <c r="P105" i="11" s="1"/>
  <c r="Q105" i="11" s="1"/>
  <c r="R105" i="11" s="1"/>
  <c r="S105" i="11" s="1"/>
  <c r="T105" i="11" s="1"/>
  <c r="U105" i="11" s="1"/>
  <c r="V105" i="11" s="1"/>
  <c r="W105" i="11" s="1"/>
  <c r="X105" i="11" s="1"/>
  <c r="Y105" i="11" s="1"/>
  <c r="Z105" i="11" s="1"/>
  <c r="AA105" i="11" s="1"/>
  <c r="H103" i="11"/>
  <c r="I103" i="11" s="1"/>
  <c r="J103" i="11" s="1"/>
  <c r="K103" i="11" s="1"/>
  <c r="L103" i="11" s="1"/>
  <c r="M103" i="11" s="1"/>
  <c r="N103" i="11" s="1"/>
  <c r="O103" i="11" s="1"/>
  <c r="P103" i="11" s="1"/>
  <c r="Q103" i="11" s="1"/>
  <c r="R103" i="11" s="1"/>
  <c r="S103" i="11" s="1"/>
  <c r="T103" i="11" s="1"/>
  <c r="U103" i="11" s="1"/>
  <c r="V103" i="11" s="1"/>
  <c r="W103" i="11" s="1"/>
  <c r="X103" i="11" s="1"/>
  <c r="Y103" i="11" s="1"/>
  <c r="Z103" i="11" s="1"/>
  <c r="AA103" i="11" s="1"/>
  <c r="H102" i="11"/>
  <c r="I102" i="11" s="1"/>
  <c r="J102" i="11" s="1"/>
  <c r="K102" i="11" s="1"/>
  <c r="L102" i="11" s="1"/>
  <c r="M102" i="11" s="1"/>
  <c r="N102" i="11" s="1"/>
  <c r="O102" i="11" s="1"/>
  <c r="P102" i="11" s="1"/>
  <c r="Q102" i="11" s="1"/>
  <c r="R102" i="11" s="1"/>
  <c r="S102" i="11" s="1"/>
  <c r="T102" i="11" s="1"/>
  <c r="U102" i="11" s="1"/>
  <c r="V102" i="11" s="1"/>
  <c r="W102" i="11" s="1"/>
  <c r="X102" i="11" s="1"/>
  <c r="Y102" i="11" s="1"/>
  <c r="Z102" i="11" s="1"/>
  <c r="AA102" i="11" s="1"/>
  <c r="J103" i="13"/>
  <c r="K103" i="13" s="1"/>
  <c r="L103" i="13" s="1"/>
  <c r="M103" i="13" s="1"/>
  <c r="N103" i="13" s="1"/>
  <c r="O103" i="13" s="1"/>
  <c r="P103" i="13" s="1"/>
  <c r="Q103" i="13" s="1"/>
  <c r="R103" i="13" s="1"/>
  <c r="S103" i="13" s="1"/>
  <c r="T103" i="13" s="1"/>
  <c r="U103" i="13" s="1"/>
  <c r="V103" i="13" s="1"/>
  <c r="W103" i="13" s="1"/>
  <c r="X103" i="13" s="1"/>
  <c r="Y103" i="13" s="1"/>
  <c r="Z103" i="13" s="1"/>
  <c r="AA103" i="13" s="1"/>
  <c r="H105" i="12"/>
  <c r="I105" i="12" s="1"/>
  <c r="J105" i="12" s="1"/>
  <c r="K105" i="12" s="1"/>
  <c r="L105" i="12" s="1"/>
  <c r="M105" i="12" s="1"/>
  <c r="N105" i="12" s="1"/>
  <c r="O105" i="12" s="1"/>
  <c r="P105" i="12" s="1"/>
  <c r="Q105" i="12" s="1"/>
  <c r="R105" i="12" s="1"/>
  <c r="S105" i="12" s="1"/>
  <c r="T105" i="12" s="1"/>
  <c r="U105" i="12" s="1"/>
  <c r="V105" i="12" s="1"/>
  <c r="W105" i="12" s="1"/>
  <c r="X105" i="12" s="1"/>
  <c r="Y105" i="12" s="1"/>
  <c r="Z105" i="12" s="1"/>
  <c r="AA105" i="12" s="1"/>
  <c r="H104" i="12"/>
  <c r="I104" i="12" s="1"/>
  <c r="J104" i="12" s="1"/>
  <c r="K104" i="12" s="1"/>
  <c r="L104" i="12" s="1"/>
  <c r="M104" i="12" s="1"/>
  <c r="N104" i="12" s="1"/>
  <c r="O104" i="12" s="1"/>
  <c r="P104" i="12" s="1"/>
  <c r="Q104" i="12" s="1"/>
  <c r="R104" i="12" s="1"/>
  <c r="S104" i="12" s="1"/>
  <c r="T104" i="12" s="1"/>
  <c r="U104" i="12" s="1"/>
  <c r="V104" i="12" s="1"/>
  <c r="W104" i="12" s="1"/>
  <c r="X104" i="12" s="1"/>
  <c r="Y104" i="12" s="1"/>
  <c r="Z104" i="12" s="1"/>
  <c r="AA104" i="12" s="1"/>
  <c r="H102" i="12"/>
  <c r="I102" i="12" s="1"/>
  <c r="J102" i="12" s="1"/>
  <c r="K102" i="12" s="1"/>
  <c r="L102" i="12" s="1"/>
  <c r="M102" i="12" s="1"/>
  <c r="N102" i="12" s="1"/>
  <c r="O102" i="12" s="1"/>
  <c r="P102" i="12" s="1"/>
  <c r="Q102" i="12" s="1"/>
  <c r="R102" i="12" s="1"/>
  <c r="S102" i="12" s="1"/>
  <c r="T102" i="12" s="1"/>
  <c r="U102" i="12" s="1"/>
  <c r="V102" i="12" s="1"/>
  <c r="W102" i="12" s="1"/>
  <c r="X102" i="12" s="1"/>
  <c r="Y102" i="12" s="1"/>
  <c r="Z102" i="12" s="1"/>
  <c r="AA102" i="12" s="1"/>
  <c r="H103" i="12"/>
  <c r="I103" i="12" s="1"/>
  <c r="J103" i="12" s="1"/>
  <c r="K103" i="12" s="1"/>
  <c r="L103" i="12" s="1"/>
  <c r="M103" i="12" s="1"/>
  <c r="N103" i="12" s="1"/>
  <c r="O103" i="12" s="1"/>
  <c r="P103" i="12" s="1"/>
  <c r="Q103" i="12" s="1"/>
  <c r="R103" i="12" s="1"/>
  <c r="S103" i="12" s="1"/>
  <c r="T103" i="12" s="1"/>
  <c r="U103" i="12" s="1"/>
  <c r="V103" i="12" s="1"/>
  <c r="W103" i="12" s="1"/>
  <c r="X103" i="12" s="1"/>
  <c r="Y103" i="12" s="1"/>
  <c r="Z103" i="12" s="1"/>
  <c r="AA103" i="12" s="1"/>
  <c r="I105" i="13"/>
  <c r="J105" i="13" s="1"/>
  <c r="K105" i="13" s="1"/>
  <c r="L105" i="13" s="1"/>
  <c r="M105" i="13" s="1"/>
  <c r="N105" i="13" s="1"/>
  <c r="O105" i="13" s="1"/>
  <c r="P105" i="13" s="1"/>
  <c r="Q105" i="13" s="1"/>
  <c r="R105" i="13" s="1"/>
  <c r="S105" i="13" s="1"/>
  <c r="T105" i="13" s="1"/>
  <c r="U105" i="13" s="1"/>
  <c r="V105" i="13" s="1"/>
  <c r="W105" i="13" s="1"/>
  <c r="X105" i="13" s="1"/>
  <c r="Y105" i="13" s="1"/>
  <c r="Z105" i="13" s="1"/>
  <c r="AA105" i="13" s="1"/>
  <c r="I104" i="13"/>
  <c r="J104" i="13" s="1"/>
  <c r="K104" i="13" s="1"/>
  <c r="L104" i="13" s="1"/>
  <c r="M104" i="13" s="1"/>
  <c r="N104" i="13" s="1"/>
  <c r="O104" i="13" s="1"/>
  <c r="P104" i="13" s="1"/>
  <c r="Q104" i="13" s="1"/>
  <c r="R104" i="13" s="1"/>
  <c r="S104" i="13" s="1"/>
  <c r="T104" i="13" s="1"/>
  <c r="U104" i="13" s="1"/>
  <c r="V104" i="13" s="1"/>
  <c r="W104" i="13" s="1"/>
  <c r="X104" i="13" s="1"/>
  <c r="Y104" i="13" s="1"/>
  <c r="Z104" i="13" s="1"/>
  <c r="AA104" i="13" s="1"/>
  <c r="I102" i="13"/>
  <c r="J102" i="13" s="1"/>
  <c r="K102" i="13" s="1"/>
  <c r="L102" i="13" s="1"/>
  <c r="M102" i="13" s="1"/>
  <c r="N102" i="13" s="1"/>
  <c r="O102" i="13" s="1"/>
  <c r="P102" i="13" s="1"/>
  <c r="Q102" i="13" s="1"/>
  <c r="R102" i="13" s="1"/>
  <c r="S102" i="13" s="1"/>
  <c r="T102" i="13" s="1"/>
  <c r="U102" i="13" s="1"/>
  <c r="V102" i="13" s="1"/>
  <c r="W102" i="13" s="1"/>
  <c r="X102" i="13" s="1"/>
  <c r="Y102" i="13" s="1"/>
  <c r="Z102" i="13" s="1"/>
  <c r="AA102" i="13" s="1"/>
  <c r="AH4" i="7"/>
  <c r="AG260" i="7"/>
  <c r="AF39" i="6"/>
  <c r="AH153" i="5"/>
  <c r="AC121" i="5"/>
  <c r="BG141" i="5"/>
  <c r="AT141" i="5"/>
  <c r="AQ144" i="5"/>
  <c r="F156" i="5"/>
  <c r="F167" i="5" s="1"/>
  <c r="AV141" i="5"/>
  <c r="AV144" i="5"/>
  <c r="AG144" i="5"/>
  <c r="AG49" i="7"/>
  <c r="K37" i="12" s="1"/>
  <c r="K42" i="12" s="1"/>
  <c r="K222" i="12" s="1"/>
  <c r="AW141" i="5"/>
  <c r="BA121" i="5"/>
  <c r="J98" i="5"/>
  <c r="AB98" i="5" s="1"/>
  <c r="AZ62" i="5"/>
  <c r="AZ117" i="5" s="1"/>
  <c r="AO139" i="5"/>
  <c r="AD141" i="5"/>
  <c r="BB141" i="5"/>
  <c r="BF145" i="5"/>
  <c r="AQ145" i="5"/>
  <c r="AQ138" i="5"/>
  <c r="AP121" i="5"/>
  <c r="AO138" i="5"/>
  <c r="AF141" i="5"/>
  <c r="AG153" i="5" s="1"/>
  <c r="BD141" i="5"/>
  <c r="BL144" i="5"/>
  <c r="C181" i="5"/>
  <c r="AT145" i="5"/>
  <c r="AC52" i="7"/>
  <c r="G37" i="14" s="1"/>
  <c r="G42" i="14" s="1"/>
  <c r="G222" i="14" s="1"/>
  <c r="AG121" i="5"/>
  <c r="BE138" i="5"/>
  <c r="BJ62" i="5"/>
  <c r="BJ117" i="5" s="1"/>
  <c r="AC51" i="7"/>
  <c r="G37" i="11" s="1"/>
  <c r="AQ121" i="5"/>
  <c r="AY121" i="5"/>
  <c r="BL138" i="5"/>
  <c r="AV143" i="5"/>
  <c r="AG145" i="5"/>
  <c r="AW145" i="5"/>
  <c r="AW157" i="5" s="1"/>
  <c r="D174" i="5"/>
  <c r="J5" i="6"/>
  <c r="AL100" i="6"/>
  <c r="AF145" i="5"/>
  <c r="AE52" i="7"/>
  <c r="I37" i="14" s="1"/>
  <c r="I42" i="14" s="1"/>
  <c r="I222" i="14" s="1"/>
  <c r="BK62" i="5"/>
  <c r="X62" i="5"/>
  <c r="AF62" i="5"/>
  <c r="AF117" i="5" s="1"/>
  <c r="BL62" i="5"/>
  <c r="BL117" i="5" s="1"/>
  <c r="AE62" i="5"/>
  <c r="AU121" i="5"/>
  <c r="BC121" i="5"/>
  <c r="AF138" i="5"/>
  <c r="BM138" i="5"/>
  <c r="AN142" i="5"/>
  <c r="BE144" i="5"/>
  <c r="AH145" i="5"/>
  <c r="BB145" i="5"/>
  <c r="F152" i="5"/>
  <c r="F163" i="5" s="1"/>
  <c r="AD145" i="5"/>
  <c r="AH121" i="5"/>
  <c r="AN62" i="5"/>
  <c r="AJ62" i="5"/>
  <c r="AJ117" i="5" s="1"/>
  <c r="AN121" i="5"/>
  <c r="BD62" i="5"/>
  <c r="AE50" i="7"/>
  <c r="AC50" i="7"/>
  <c r="G37" i="8" s="1"/>
  <c r="T62" i="5"/>
  <c r="AL138" i="5"/>
  <c r="BJ139" i="5"/>
  <c r="AO141" i="5"/>
  <c r="BE141" i="5"/>
  <c r="AO142" i="5"/>
  <c r="BF144" i="5"/>
  <c r="AI145" i="5"/>
  <c r="BD145" i="5"/>
  <c r="AO146" i="5"/>
  <c r="D153" i="5"/>
  <c r="D159" i="5"/>
  <c r="D176" i="5"/>
  <c r="AC53" i="7"/>
  <c r="G37" i="15" s="1"/>
  <c r="G45" i="15" s="1"/>
  <c r="BB138" i="5"/>
  <c r="C173" i="5"/>
  <c r="BB62" i="5"/>
  <c r="BB117" i="5" s="1"/>
  <c r="AV145" i="5"/>
  <c r="C150" i="5"/>
  <c r="Y62" i="5"/>
  <c r="AG99" i="6"/>
  <c r="K191" i="13" s="1"/>
  <c r="AO62" i="5"/>
  <c r="AO117" i="5" s="1"/>
  <c r="AW62" i="5"/>
  <c r="AW117" i="5" s="1"/>
  <c r="BE62" i="5"/>
  <c r="AC49" i="7"/>
  <c r="G37" i="12" s="1"/>
  <c r="G45" i="12" s="1"/>
  <c r="AG48" i="7"/>
  <c r="K37" i="9" s="1"/>
  <c r="J99" i="5"/>
  <c r="AB99" i="5" s="1"/>
  <c r="AN138" i="5"/>
  <c r="AP141" i="5"/>
  <c r="BF141" i="5"/>
  <c r="BG153" i="5" s="1"/>
  <c r="AQ142" i="5"/>
  <c r="AO145" i="5"/>
  <c r="BE145" i="5"/>
  <c r="BE157" i="5" s="1"/>
  <c r="F153" i="5"/>
  <c r="F164" i="5" s="1"/>
  <c r="F159" i="5"/>
  <c r="F170" i="5" s="1"/>
  <c r="C180" i="5"/>
  <c r="BG145" i="5"/>
  <c r="BG157" i="5" s="1"/>
  <c r="BJ145" i="5"/>
  <c r="AX121" i="5"/>
  <c r="J76" i="5"/>
  <c r="AB76" i="5" s="1"/>
  <c r="AO121" i="5"/>
  <c r="AC48" i="7"/>
  <c r="G37" i="9" s="1"/>
  <c r="AY62" i="5"/>
  <c r="U62" i="5"/>
  <c r="V62" i="5"/>
  <c r="AT62" i="5"/>
  <c r="AT117" i="5" s="1"/>
  <c r="J78" i="5"/>
  <c r="AB78" i="5" s="1"/>
  <c r="BA62" i="5"/>
  <c r="BA117" i="5" s="1"/>
  <c r="J87" i="5"/>
  <c r="AB87" i="5" s="1"/>
  <c r="AQ141" i="5"/>
  <c r="BM142" i="5"/>
  <c r="AF144" i="5"/>
  <c r="AG156" i="5" s="1"/>
  <c r="AP145" i="5"/>
  <c r="AO147" i="5"/>
  <c r="D180" i="5"/>
  <c r="AG97" i="6"/>
  <c r="K191" i="12" s="1"/>
  <c r="AJ100" i="6"/>
  <c r="N191" i="15" s="1"/>
  <c r="AE97" i="6"/>
  <c r="I191" i="12" s="1"/>
  <c r="AF100" i="6"/>
  <c r="J191" i="15" s="1"/>
  <c r="AF97" i="6"/>
  <c r="J191" i="12" s="1"/>
  <c r="AD97" i="6"/>
  <c r="H191" i="12" s="1"/>
  <c r="H193" i="12" s="1"/>
  <c r="P191" i="15"/>
  <c r="P191" i="14"/>
  <c r="G192" i="14"/>
  <c r="G192" i="15"/>
  <c r="AK98" i="6"/>
  <c r="O191" i="11" s="1"/>
  <c r="AG98" i="6"/>
  <c r="K191" i="11" s="1"/>
  <c r="AE100" i="6"/>
  <c r="AK38" i="6"/>
  <c r="AE37" i="6"/>
  <c r="K22" i="15"/>
  <c r="K30" i="15" s="1"/>
  <c r="M23" i="15"/>
  <c r="M31" i="15" s="1"/>
  <c r="X23" i="15"/>
  <c r="X31" i="15" s="1"/>
  <c r="N21" i="15"/>
  <c r="X22" i="15"/>
  <c r="X30" i="15" s="1"/>
  <c r="Z23" i="15"/>
  <c r="Z31" i="15" s="1"/>
  <c r="I23" i="15"/>
  <c r="I31" i="15" s="1"/>
  <c r="O23" i="15"/>
  <c r="O31" i="15" s="1"/>
  <c r="L22" i="14"/>
  <c r="L30" i="14" s="1"/>
  <c r="S21" i="14"/>
  <c r="H21" i="14"/>
  <c r="W21" i="14"/>
  <c r="L23" i="14"/>
  <c r="L31" i="14" s="1"/>
  <c r="AA21" i="14"/>
  <c r="M21" i="14"/>
  <c r="U22" i="14"/>
  <c r="U30" i="14" s="1"/>
  <c r="O22" i="11"/>
  <c r="Q22" i="11"/>
  <c r="K21" i="11"/>
  <c r="M22" i="11"/>
  <c r="I22" i="11"/>
  <c r="Q21" i="11"/>
  <c r="S22" i="11"/>
  <c r="M21" i="11"/>
  <c r="N22" i="12"/>
  <c r="N30" i="12" s="1"/>
  <c r="P23" i="12"/>
  <c r="P31" i="12" s="1"/>
  <c r="X22" i="12"/>
  <c r="X30" i="12" s="1"/>
  <c r="I21" i="12"/>
  <c r="K22" i="12"/>
  <c r="K30" i="12" s="1"/>
  <c r="M23" i="12"/>
  <c r="M31" i="12" s="1"/>
  <c r="AA23" i="12"/>
  <c r="AA31" i="12" s="1"/>
  <c r="N22" i="15"/>
  <c r="N30" i="15" s="1"/>
  <c r="T22" i="14"/>
  <c r="T30" i="14" s="1"/>
  <c r="H23" i="14"/>
  <c r="H31" i="14" s="1"/>
  <c r="Y21" i="11"/>
  <c r="U23" i="12"/>
  <c r="U31" i="12" s="1"/>
  <c r="X21" i="15"/>
  <c r="Z22" i="15"/>
  <c r="Z30" i="15" s="1"/>
  <c r="J21" i="15"/>
  <c r="Y23" i="15"/>
  <c r="Y31" i="15" s="1"/>
  <c r="P22" i="15"/>
  <c r="P30" i="15" s="1"/>
  <c r="R23" i="15"/>
  <c r="R31" i="15" s="1"/>
  <c r="P23" i="15"/>
  <c r="P31" i="15" s="1"/>
  <c r="T22" i="15"/>
  <c r="T30" i="15" s="1"/>
  <c r="Y21" i="14"/>
  <c r="V23" i="14"/>
  <c r="V31" i="14" s="1"/>
  <c r="J23" i="14"/>
  <c r="J31" i="14" s="1"/>
  <c r="O21" i="14"/>
  <c r="Y22" i="14"/>
  <c r="Y30" i="14" s="1"/>
  <c r="AA23" i="14"/>
  <c r="AA31" i="14" s="1"/>
  <c r="P23" i="14"/>
  <c r="P31" i="14" s="1"/>
  <c r="Y23" i="11"/>
  <c r="V21" i="11"/>
  <c r="Z21" i="11"/>
  <c r="X22" i="11"/>
  <c r="I21" i="11"/>
  <c r="K22" i="11"/>
  <c r="S23" i="11"/>
  <c r="AA21" i="12"/>
  <c r="H23" i="12"/>
  <c r="H31" i="12" s="1"/>
  <c r="W23" i="12"/>
  <c r="W31" i="12" s="1"/>
  <c r="Q22" i="12"/>
  <c r="Q30" i="12" s="1"/>
  <c r="X21" i="12"/>
  <c r="Z22" i="12"/>
  <c r="Z30" i="12" s="1"/>
  <c r="K23" i="12"/>
  <c r="K31" i="12" s="1"/>
  <c r="T21" i="12"/>
  <c r="S22" i="15"/>
  <c r="S30" i="15" s="1"/>
  <c r="L21" i="15"/>
  <c r="V22" i="14"/>
  <c r="V30" i="14" s="1"/>
  <c r="O21" i="11"/>
  <c r="L23" i="12"/>
  <c r="L31" i="12" s="1"/>
  <c r="P21" i="15"/>
  <c r="R22" i="15"/>
  <c r="R30" i="15" s="1"/>
  <c r="T23" i="15"/>
  <c r="T31" i="15" s="1"/>
  <c r="AA21" i="15"/>
  <c r="H22" i="15"/>
  <c r="H30" i="15" s="1"/>
  <c r="J23" i="15"/>
  <c r="J31" i="15" s="1"/>
  <c r="R21" i="15"/>
  <c r="Q21" i="15"/>
  <c r="Q21" i="14"/>
  <c r="N23" i="14"/>
  <c r="N31" i="14" s="1"/>
  <c r="Y23" i="14"/>
  <c r="Y31" i="14" s="1"/>
  <c r="Q22" i="14"/>
  <c r="Q30" i="14" s="1"/>
  <c r="S23" i="14"/>
  <c r="S31" i="14" s="1"/>
  <c r="N22" i="14"/>
  <c r="N30" i="14" s="1"/>
  <c r="Z21" i="14"/>
  <c r="T21" i="11"/>
  <c r="Q23" i="11"/>
  <c r="AA23" i="11"/>
  <c r="R21" i="11"/>
  <c r="W23" i="11"/>
  <c r="L23" i="11"/>
  <c r="X21" i="11"/>
  <c r="U21" i="11"/>
  <c r="S21" i="12"/>
  <c r="U22" i="12"/>
  <c r="U30" i="12" s="1"/>
  <c r="O23" i="12"/>
  <c r="O31" i="12" s="1"/>
  <c r="N21" i="12"/>
  <c r="P21" i="12"/>
  <c r="R22" i="12"/>
  <c r="R30" i="12" s="1"/>
  <c r="M21" i="12"/>
  <c r="R23" i="12"/>
  <c r="R31" i="12" s="1"/>
  <c r="Z21" i="15"/>
  <c r="T23" i="14"/>
  <c r="T31" i="14" s="1"/>
  <c r="U22" i="11"/>
  <c r="X23" i="12"/>
  <c r="X31" i="12" s="1"/>
  <c r="H21" i="15"/>
  <c r="J22" i="15"/>
  <c r="J30" i="15" s="1"/>
  <c r="L23" i="15"/>
  <c r="L31" i="15" s="1"/>
  <c r="K21" i="15"/>
  <c r="U21" i="15"/>
  <c r="W22" i="15"/>
  <c r="W30" i="15" s="1"/>
  <c r="I21" i="15"/>
  <c r="I21" i="14"/>
  <c r="AA22" i="14"/>
  <c r="AA30" i="14" s="1"/>
  <c r="U23" i="14"/>
  <c r="U31" i="14" s="1"/>
  <c r="R23" i="14"/>
  <c r="R31" i="14" s="1"/>
  <c r="I22" i="14"/>
  <c r="I30" i="14" s="1"/>
  <c r="K23" i="14"/>
  <c r="K31" i="14" s="1"/>
  <c r="J21" i="14"/>
  <c r="L21" i="11"/>
  <c r="I23" i="11"/>
  <c r="H22" i="11"/>
  <c r="J21" i="11"/>
  <c r="O23" i="11"/>
  <c r="N21" i="11"/>
  <c r="P21" i="11"/>
  <c r="K21" i="12"/>
  <c r="M22" i="12"/>
  <c r="M30" i="12" s="1"/>
  <c r="U21" i="12"/>
  <c r="H21" i="12"/>
  <c r="J22" i="12"/>
  <c r="J30" i="12" s="1"/>
  <c r="L21" i="12"/>
  <c r="V21" i="15"/>
  <c r="P21" i="14"/>
  <c r="W22" i="11"/>
  <c r="P22" i="11"/>
  <c r="Y22" i="12"/>
  <c r="Y30" i="12" s="1"/>
  <c r="V23" i="15"/>
  <c r="V31" i="15" s="1"/>
  <c r="Q23" i="15"/>
  <c r="Q31" i="15" s="1"/>
  <c r="W21" i="15"/>
  <c r="Y22" i="15"/>
  <c r="Y30" i="15" s="1"/>
  <c r="U22" i="15"/>
  <c r="U30" i="15" s="1"/>
  <c r="M21" i="15"/>
  <c r="O22" i="15"/>
  <c r="O30" i="15" s="1"/>
  <c r="W23" i="15"/>
  <c r="W31" i="15" s="1"/>
  <c r="W23" i="14"/>
  <c r="W31" i="14" s="1"/>
  <c r="Z23" i="14"/>
  <c r="Z31" i="14" s="1"/>
  <c r="S22" i="14"/>
  <c r="S30" i="14" s="1"/>
  <c r="M23" i="14"/>
  <c r="M31" i="14" s="1"/>
  <c r="T21" i="14"/>
  <c r="V21" i="14"/>
  <c r="X22" i="14"/>
  <c r="X30" i="14" s="1"/>
  <c r="M22" i="14"/>
  <c r="M30" i="14" s="1"/>
  <c r="Z23" i="11"/>
  <c r="U23" i="11"/>
  <c r="V22" i="11"/>
  <c r="X23" i="11"/>
  <c r="M23" i="11"/>
  <c r="K23" i="11"/>
  <c r="H21" i="11"/>
  <c r="Y23" i="12"/>
  <c r="Y31" i="12" s="1"/>
  <c r="T23" i="12"/>
  <c r="T31" i="12" s="1"/>
  <c r="Z21" i="12"/>
  <c r="T22" i="12"/>
  <c r="T30" i="12" s="1"/>
  <c r="V23" i="12"/>
  <c r="V31" i="12" s="1"/>
  <c r="I22" i="12"/>
  <c r="I30" i="12" s="1"/>
  <c r="W21" i="12"/>
  <c r="J23" i="12"/>
  <c r="J31" i="12" s="1"/>
  <c r="Q23" i="14"/>
  <c r="Q31" i="14" s="1"/>
  <c r="S21" i="11"/>
  <c r="Q21" i="12"/>
  <c r="N23" i="15"/>
  <c r="N31" i="15" s="1"/>
  <c r="S21" i="15"/>
  <c r="O21" i="15"/>
  <c r="Q22" i="15"/>
  <c r="Q30" i="15" s="1"/>
  <c r="AA23" i="15"/>
  <c r="AA31" i="15" s="1"/>
  <c r="V22" i="15"/>
  <c r="V30" i="15" s="1"/>
  <c r="O23" i="14"/>
  <c r="O31" i="14" s="1"/>
  <c r="O22" i="14"/>
  <c r="O30" i="14" s="1"/>
  <c r="K22" i="14"/>
  <c r="K30" i="14" s="1"/>
  <c r="Z22" i="14"/>
  <c r="Z30" i="14" s="1"/>
  <c r="I23" i="14"/>
  <c r="I31" i="14" s="1"/>
  <c r="N21" i="14"/>
  <c r="P22" i="14"/>
  <c r="P30" i="14" s="1"/>
  <c r="R21" i="14"/>
  <c r="R23" i="11"/>
  <c r="Z22" i="11"/>
  <c r="N22" i="11"/>
  <c r="P23" i="11"/>
  <c r="R22" i="11"/>
  <c r="T22" i="11"/>
  <c r="V23" i="11"/>
  <c r="T23" i="11"/>
  <c r="Q23" i="12"/>
  <c r="Q31" i="12" s="1"/>
  <c r="V21" i="12"/>
  <c r="R21" i="12"/>
  <c r="L22" i="12"/>
  <c r="L30" i="12" s="1"/>
  <c r="N23" i="12"/>
  <c r="N31" i="12" s="1"/>
  <c r="S23" i="12"/>
  <c r="S31" i="12" s="1"/>
  <c r="O21" i="12"/>
  <c r="W22" i="12"/>
  <c r="W30" i="12" s="1"/>
  <c r="U23" i="15"/>
  <c r="U31" i="15" s="1"/>
  <c r="Y21" i="15"/>
  <c r="U21" i="14"/>
  <c r="AA22" i="11"/>
  <c r="S22" i="12"/>
  <c r="S30" i="12" s="1"/>
  <c r="AA22" i="15"/>
  <c r="AA30" i="15" s="1"/>
  <c r="M22" i="15"/>
  <c r="M30" i="15" s="1"/>
  <c r="I22" i="15"/>
  <c r="I30" i="15" s="1"/>
  <c r="S23" i="15"/>
  <c r="S31" i="15" s="1"/>
  <c r="H23" i="15"/>
  <c r="H31" i="15" s="1"/>
  <c r="T21" i="15"/>
  <c r="L22" i="15"/>
  <c r="L30" i="15" s="1"/>
  <c r="L21" i="14"/>
  <c r="X21" i="14"/>
  <c r="R22" i="14"/>
  <c r="R30" i="14" s="1"/>
  <c r="K21" i="14"/>
  <c r="W22" i="14"/>
  <c r="W30" i="14" s="1"/>
  <c r="H22" i="14"/>
  <c r="H30" i="14" s="1"/>
  <c r="X23" i="14"/>
  <c r="X31" i="14" s="1"/>
  <c r="J23" i="11"/>
  <c r="W21" i="11"/>
  <c r="AA21" i="11"/>
  <c r="H23" i="11"/>
  <c r="J22" i="11"/>
  <c r="L22" i="11"/>
  <c r="N23" i="11"/>
  <c r="Y22" i="11"/>
  <c r="I23" i="12"/>
  <c r="I31" i="12" s="1"/>
  <c r="P22" i="12"/>
  <c r="P30" i="12" s="1"/>
  <c r="J21" i="12"/>
  <c r="Y21" i="12"/>
  <c r="AA22" i="12"/>
  <c r="AA30" i="12" s="1"/>
  <c r="H22" i="12"/>
  <c r="H30" i="12" s="1"/>
  <c r="Z23" i="12"/>
  <c r="Z31" i="12" s="1"/>
  <c r="K23" i="15"/>
  <c r="K31" i="15" s="1"/>
  <c r="J22" i="14"/>
  <c r="J30" i="14" s="1"/>
  <c r="V22" i="12"/>
  <c r="V30" i="12" s="1"/>
  <c r="O22" i="12"/>
  <c r="O30" i="12" s="1"/>
  <c r="U23" i="9"/>
  <c r="U31" i="9" s="1"/>
  <c r="M23" i="9"/>
  <c r="M31" i="9" s="1"/>
  <c r="Z22" i="9"/>
  <c r="Z30" i="9" s="1"/>
  <c r="R22" i="9"/>
  <c r="R30" i="9" s="1"/>
  <c r="J22" i="9"/>
  <c r="J30" i="9" s="1"/>
  <c r="W21" i="9"/>
  <c r="O21" i="9"/>
  <c r="X23" i="9"/>
  <c r="X31" i="9" s="1"/>
  <c r="Z21" i="9"/>
  <c r="J21" i="9"/>
  <c r="O23" i="9"/>
  <c r="O31" i="9" s="1"/>
  <c r="I21" i="9"/>
  <c r="T23" i="9"/>
  <c r="T31" i="9" s="1"/>
  <c r="L23" i="9"/>
  <c r="L31" i="9" s="1"/>
  <c r="Y22" i="9"/>
  <c r="Y30" i="9" s="1"/>
  <c r="Q22" i="9"/>
  <c r="Q30" i="9" s="1"/>
  <c r="I22" i="9"/>
  <c r="I30" i="9" s="1"/>
  <c r="V21" i="9"/>
  <c r="N21" i="9"/>
  <c r="M22" i="9"/>
  <c r="M30" i="9" s="1"/>
  <c r="L22" i="9"/>
  <c r="L30" i="9" s="1"/>
  <c r="AA23" i="9"/>
  <c r="AA31" i="9" s="1"/>
  <c r="S23" i="9"/>
  <c r="S31" i="9" s="1"/>
  <c r="K23" i="9"/>
  <c r="K31" i="9" s="1"/>
  <c r="X22" i="9"/>
  <c r="X30" i="9" s="1"/>
  <c r="P22" i="9"/>
  <c r="P30" i="9" s="1"/>
  <c r="H22" i="9"/>
  <c r="H30" i="9" s="1"/>
  <c r="U21" i="9"/>
  <c r="M21" i="9"/>
  <c r="U22" i="9"/>
  <c r="U30" i="9" s="1"/>
  <c r="R21" i="9"/>
  <c r="T22" i="9"/>
  <c r="T30" i="9" s="1"/>
  <c r="Z23" i="9"/>
  <c r="Z31" i="9" s="1"/>
  <c r="R23" i="9"/>
  <c r="R31" i="9" s="1"/>
  <c r="J23" i="9"/>
  <c r="J31" i="9" s="1"/>
  <c r="W22" i="9"/>
  <c r="W30" i="9" s="1"/>
  <c r="O22" i="9"/>
  <c r="O30" i="9" s="1"/>
  <c r="T21" i="9"/>
  <c r="L21" i="9"/>
  <c r="P23" i="9"/>
  <c r="P31" i="9" s="1"/>
  <c r="Q21" i="9"/>
  <c r="Y23" i="9"/>
  <c r="Y31" i="9" s="1"/>
  <c r="Q23" i="9"/>
  <c r="Q31" i="9" s="1"/>
  <c r="I23" i="9"/>
  <c r="I31" i="9" s="1"/>
  <c r="V22" i="9"/>
  <c r="V30" i="9" s="1"/>
  <c r="N22" i="9"/>
  <c r="N30" i="9" s="1"/>
  <c r="AA21" i="9"/>
  <c r="S21" i="9"/>
  <c r="K21" i="9"/>
  <c r="H23" i="9"/>
  <c r="H31" i="9" s="1"/>
  <c r="W23" i="9"/>
  <c r="W31" i="9" s="1"/>
  <c r="Y21" i="9"/>
  <c r="H21" i="9"/>
  <c r="V23" i="9"/>
  <c r="V31" i="9" s="1"/>
  <c r="S22" i="9"/>
  <c r="S30" i="9" s="1"/>
  <c r="P21" i="9"/>
  <c r="N23" i="9"/>
  <c r="N31" i="9" s="1"/>
  <c r="AA22" i="9"/>
  <c r="AA30" i="9" s="1"/>
  <c r="K22" i="9"/>
  <c r="K30" i="9" s="1"/>
  <c r="X21" i="9"/>
  <c r="I37" i="8"/>
  <c r="AA23" i="8"/>
  <c r="S23" i="8"/>
  <c r="K23" i="8"/>
  <c r="W22" i="8"/>
  <c r="O22" i="8"/>
  <c r="AA21" i="8"/>
  <c r="S21" i="8"/>
  <c r="K21" i="8"/>
  <c r="Z23" i="8"/>
  <c r="R23" i="8"/>
  <c r="J23" i="8"/>
  <c r="V22" i="8"/>
  <c r="N22" i="8"/>
  <c r="Z21" i="8"/>
  <c r="R21" i="8"/>
  <c r="J21" i="8"/>
  <c r="Q22" i="8"/>
  <c r="L23" i="8"/>
  <c r="H22" i="8"/>
  <c r="L21" i="8"/>
  <c r="Y23" i="8"/>
  <c r="Q23" i="8"/>
  <c r="I23" i="8"/>
  <c r="U22" i="8"/>
  <c r="M22" i="8"/>
  <c r="Y21" i="8"/>
  <c r="Q21" i="8"/>
  <c r="I21" i="8"/>
  <c r="X23" i="8"/>
  <c r="P23" i="8"/>
  <c r="H23" i="8"/>
  <c r="T22" i="8"/>
  <c r="L22" i="8"/>
  <c r="X21" i="8"/>
  <c r="P21" i="8"/>
  <c r="H21" i="8"/>
  <c r="I22" i="8"/>
  <c r="X22" i="8"/>
  <c r="T21" i="8"/>
  <c r="W23" i="8"/>
  <c r="O23" i="8"/>
  <c r="AA22" i="8"/>
  <c r="S22" i="8"/>
  <c r="K22" i="8"/>
  <c r="W21" i="8"/>
  <c r="O21" i="8"/>
  <c r="V23" i="8"/>
  <c r="N23" i="8"/>
  <c r="Z22" i="8"/>
  <c r="R22" i="8"/>
  <c r="J22" i="8"/>
  <c r="V21" i="8"/>
  <c r="N21" i="8"/>
  <c r="U23" i="8"/>
  <c r="M23" i="8"/>
  <c r="Y22" i="8"/>
  <c r="U21" i="8"/>
  <c r="M21" i="8"/>
  <c r="T23" i="8"/>
  <c r="P22" i="8"/>
  <c r="AI53" i="7"/>
  <c r="K78" i="7"/>
  <c r="W132" i="13"/>
  <c r="W135" i="13" s="1"/>
  <c r="X111" i="13"/>
  <c r="X114" i="13" s="1"/>
  <c r="S132" i="13"/>
  <c r="S135" i="13" s="1"/>
  <c r="I153" i="13"/>
  <c r="I156" i="13" s="1"/>
  <c r="H90" i="13"/>
  <c r="T90" i="13"/>
  <c r="T93" i="13" s="1"/>
  <c r="R132" i="13"/>
  <c r="R135" i="13" s="1"/>
  <c r="K132" i="13"/>
  <c r="K135" i="13" s="1"/>
  <c r="H111" i="13"/>
  <c r="W153" i="13"/>
  <c r="W156" i="13" s="1"/>
  <c r="K90" i="13"/>
  <c r="K93" i="13" s="1"/>
  <c r="J132" i="13"/>
  <c r="J135" i="13" s="1"/>
  <c r="U90" i="13"/>
  <c r="U93" i="13" s="1"/>
  <c r="R111" i="13"/>
  <c r="R114" i="13" s="1"/>
  <c r="V132" i="13"/>
  <c r="V135" i="13" s="1"/>
  <c r="L90" i="13"/>
  <c r="L93" i="13" s="1"/>
  <c r="H153" i="13"/>
  <c r="U132" i="13"/>
  <c r="U135" i="13" s="1"/>
  <c r="P111" i="13"/>
  <c r="P114" i="13" s="1"/>
  <c r="I90" i="13"/>
  <c r="I93" i="13" s="1"/>
  <c r="V111" i="13"/>
  <c r="V114" i="13" s="1"/>
  <c r="Q111" i="13"/>
  <c r="Q114" i="13" s="1"/>
  <c r="Z111" i="13"/>
  <c r="Z114" i="13" s="1"/>
  <c r="J111" i="13"/>
  <c r="J114" i="13" s="1"/>
  <c r="T111" i="13"/>
  <c r="T114" i="13" s="1"/>
  <c r="J90" i="13"/>
  <c r="J93" i="13" s="1"/>
  <c r="Q90" i="13"/>
  <c r="Q93" i="13" s="1"/>
  <c r="H132" i="13"/>
  <c r="M90" i="13"/>
  <c r="M93" i="13" s="1"/>
  <c r="X132" i="13"/>
  <c r="X135" i="13" s="1"/>
  <c r="AA153" i="13"/>
  <c r="AA156" i="13" s="1"/>
  <c r="Y132" i="13"/>
  <c r="Y135" i="13" s="1"/>
  <c r="N132" i="13"/>
  <c r="N135" i="13" s="1"/>
  <c r="P153" i="13"/>
  <c r="P156" i="13" s="1"/>
  <c r="X153" i="13"/>
  <c r="X156" i="13" s="1"/>
  <c r="M132" i="13"/>
  <c r="M135" i="13" s="1"/>
  <c r="V153" i="13"/>
  <c r="V156" i="13" s="1"/>
  <c r="N90" i="13"/>
  <c r="N93" i="13" s="1"/>
  <c r="T132" i="13"/>
  <c r="T135" i="13" s="1"/>
  <c r="W90" i="13"/>
  <c r="W93" i="13" s="1"/>
  <c r="O132" i="13"/>
  <c r="O135" i="13" s="1"/>
  <c r="K153" i="13"/>
  <c r="K156" i="13" s="1"/>
  <c r="P132" i="13"/>
  <c r="P135" i="13" s="1"/>
  <c r="S111" i="13"/>
  <c r="S114" i="13" s="1"/>
  <c r="W111" i="13"/>
  <c r="W114" i="13" s="1"/>
  <c r="I111" i="13"/>
  <c r="I114" i="13" s="1"/>
  <c r="Y111" i="13"/>
  <c r="Y114" i="13" s="1"/>
  <c r="I132" i="13"/>
  <c r="I135" i="13" s="1"/>
  <c r="R153" i="13"/>
  <c r="R156" i="13" s="1"/>
  <c r="J153" i="13"/>
  <c r="J156" i="13" s="1"/>
  <c r="O90" i="13"/>
  <c r="O93" i="13" s="1"/>
  <c r="U153" i="13"/>
  <c r="U156" i="13" s="1"/>
  <c r="AA90" i="13"/>
  <c r="AA93" i="13" s="1"/>
  <c r="K111" i="13"/>
  <c r="K114" i="13" s="1"/>
  <c r="Y153" i="13"/>
  <c r="Y156" i="13" s="1"/>
  <c r="S153" i="13"/>
  <c r="S156" i="13" s="1"/>
  <c r="P90" i="13"/>
  <c r="P93" i="13" s="1"/>
  <c r="Z153" i="13"/>
  <c r="Z156" i="13" s="1"/>
  <c r="V90" i="13"/>
  <c r="V93" i="13" s="1"/>
  <c r="Y90" i="13"/>
  <c r="Y93" i="13" s="1"/>
  <c r="L132" i="13"/>
  <c r="L135" i="13" s="1"/>
  <c r="M153" i="13"/>
  <c r="M156" i="13" s="1"/>
  <c r="Z132" i="13"/>
  <c r="Z135" i="13" s="1"/>
  <c r="T153" i="13"/>
  <c r="T156" i="13" s="1"/>
  <c r="AA132" i="13"/>
  <c r="AA135" i="13" s="1"/>
  <c r="R90" i="13"/>
  <c r="R93" i="13" s="1"/>
  <c r="Z90" i="13"/>
  <c r="Z93" i="13" s="1"/>
  <c r="L111" i="13"/>
  <c r="L114" i="13" s="1"/>
  <c r="O153" i="13"/>
  <c r="O156" i="13" s="1"/>
  <c r="Q153" i="13"/>
  <c r="Q156" i="13" s="1"/>
  <c r="U111" i="13"/>
  <c r="U114" i="13" s="1"/>
  <c r="L153" i="13"/>
  <c r="L156" i="13" s="1"/>
  <c r="O111" i="13"/>
  <c r="O114" i="13" s="1"/>
  <c r="AA111" i="13"/>
  <c r="AA114" i="13" s="1"/>
  <c r="M111" i="13"/>
  <c r="M114" i="13" s="1"/>
  <c r="X90" i="13"/>
  <c r="X93" i="13" s="1"/>
  <c r="N153" i="13"/>
  <c r="N156" i="13" s="1"/>
  <c r="S90" i="13"/>
  <c r="S93" i="13" s="1"/>
  <c r="N111" i="13"/>
  <c r="N114" i="13" s="1"/>
  <c r="Q132" i="13"/>
  <c r="Q135" i="13" s="1"/>
  <c r="T132" i="15"/>
  <c r="T135" i="15" s="1"/>
  <c r="K132" i="15"/>
  <c r="K135" i="15" s="1"/>
  <c r="T90" i="15"/>
  <c r="T93" i="15" s="1"/>
  <c r="M111" i="15"/>
  <c r="M114" i="15" s="1"/>
  <c r="O132" i="15"/>
  <c r="O135" i="15" s="1"/>
  <c r="W132" i="15"/>
  <c r="W135" i="15" s="1"/>
  <c r="X111" i="15"/>
  <c r="X114" i="15" s="1"/>
  <c r="W111" i="15"/>
  <c r="W114" i="15" s="1"/>
  <c r="H90" i="15"/>
  <c r="AA111" i="15"/>
  <c r="AA114" i="15" s="1"/>
  <c r="Z111" i="15"/>
  <c r="Z114" i="15" s="1"/>
  <c r="U90" i="14"/>
  <c r="AA153" i="14"/>
  <c r="T90" i="14"/>
  <c r="S111" i="14"/>
  <c r="J153" i="14"/>
  <c r="K90" i="14"/>
  <c r="X90" i="14"/>
  <c r="N90" i="14"/>
  <c r="Y111" i="14"/>
  <c r="U132" i="14"/>
  <c r="M132" i="14"/>
  <c r="X132" i="14"/>
  <c r="I90" i="14"/>
  <c r="S132" i="15"/>
  <c r="S135" i="15" s="1"/>
  <c r="L132" i="15"/>
  <c r="L135" i="15" s="1"/>
  <c r="L90" i="15"/>
  <c r="L93" i="15" s="1"/>
  <c r="AA90" i="15"/>
  <c r="AA93" i="15" s="1"/>
  <c r="T111" i="15"/>
  <c r="T114" i="15" s="1"/>
  <c r="H132" i="15"/>
  <c r="J111" i="15"/>
  <c r="J114" i="15" s="1"/>
  <c r="I111" i="15"/>
  <c r="I114" i="15" s="1"/>
  <c r="Z153" i="15"/>
  <c r="Z156" i="15" s="1"/>
  <c r="N90" i="15"/>
  <c r="N93" i="15" s="1"/>
  <c r="X132" i="15"/>
  <c r="X135" i="15" s="1"/>
  <c r="M90" i="14"/>
  <c r="S153" i="14"/>
  <c r="L90" i="14"/>
  <c r="K111" i="14"/>
  <c r="Z132" i="14"/>
  <c r="R90" i="14"/>
  <c r="H90" i="14"/>
  <c r="P153" i="14"/>
  <c r="H153" i="14"/>
  <c r="X111" i="14"/>
  <c r="S132" i="14"/>
  <c r="T111" i="14"/>
  <c r="W132" i="14"/>
  <c r="Q111" i="14"/>
  <c r="Y132" i="15"/>
  <c r="Y135" i="15" s="1"/>
  <c r="Y90" i="15"/>
  <c r="Y93" i="15" s="1"/>
  <c r="AA111" i="14"/>
  <c r="O90" i="14"/>
  <c r="X153" i="14"/>
  <c r="V153" i="15"/>
  <c r="V156" i="15" s="1"/>
  <c r="W153" i="15"/>
  <c r="W156" i="15" s="1"/>
  <c r="S90" i="15"/>
  <c r="S93" i="15" s="1"/>
  <c r="L111" i="15"/>
  <c r="L114" i="15" s="1"/>
  <c r="Y111" i="15"/>
  <c r="Y114" i="15" s="1"/>
  <c r="P90" i="15"/>
  <c r="P93" i="15" s="1"/>
  <c r="O90" i="15"/>
  <c r="O93" i="15" s="1"/>
  <c r="V90" i="15"/>
  <c r="V93" i="15" s="1"/>
  <c r="I132" i="15"/>
  <c r="I135" i="15" s="1"/>
  <c r="X153" i="15"/>
  <c r="X156" i="15" s="1"/>
  <c r="Q111" i="15"/>
  <c r="Q114" i="15" s="1"/>
  <c r="T153" i="14"/>
  <c r="K153" i="14"/>
  <c r="Z90" i="14"/>
  <c r="R132" i="14"/>
  <c r="P111" i="14"/>
  <c r="M153" i="14"/>
  <c r="W153" i="14"/>
  <c r="H111" i="14"/>
  <c r="Q132" i="15"/>
  <c r="Q135" i="15" s="1"/>
  <c r="R90" i="15"/>
  <c r="R93" i="15" s="1"/>
  <c r="Q90" i="15"/>
  <c r="Q93" i="15" s="1"/>
  <c r="P153" i="15"/>
  <c r="P156" i="15" s="1"/>
  <c r="N132" i="15"/>
  <c r="N135" i="15" s="1"/>
  <c r="H111" i="15"/>
  <c r="S111" i="15"/>
  <c r="S114" i="15" s="1"/>
  <c r="T132" i="14"/>
  <c r="Q153" i="14"/>
  <c r="I153" i="14"/>
  <c r="P90" i="14"/>
  <c r="O111" i="14"/>
  <c r="U153" i="14"/>
  <c r="N111" i="15"/>
  <c r="N114" i="15" s="1"/>
  <c r="O153" i="15"/>
  <c r="O156" i="15" s="1"/>
  <c r="U132" i="15"/>
  <c r="U135" i="15" s="1"/>
  <c r="I90" i="15"/>
  <c r="I93" i="15" s="1"/>
  <c r="Z111" i="14"/>
  <c r="N153" i="15"/>
  <c r="N156" i="15" s="1"/>
  <c r="I153" i="15"/>
  <c r="I156" i="15" s="1"/>
  <c r="S153" i="15"/>
  <c r="S156" i="15" s="1"/>
  <c r="K90" i="15"/>
  <c r="K93" i="15" s="1"/>
  <c r="Z90" i="15"/>
  <c r="Z93" i="15" s="1"/>
  <c r="K111" i="15"/>
  <c r="K114" i="15" s="1"/>
  <c r="M132" i="15"/>
  <c r="M135" i="15" s="1"/>
  <c r="U90" i="15"/>
  <c r="U93" i="15" s="1"/>
  <c r="Y153" i="15"/>
  <c r="Y156" i="15" s="1"/>
  <c r="L153" i="14"/>
  <c r="AA132" i="14"/>
  <c r="Y153" i="14"/>
  <c r="J90" i="14"/>
  <c r="J132" i="14"/>
  <c r="O153" i="14"/>
  <c r="Q90" i="14"/>
  <c r="N153" i="14"/>
  <c r="P132" i="14"/>
  <c r="V132" i="14"/>
  <c r="Y90" i="14"/>
  <c r="T153" i="15"/>
  <c r="T156" i="15" s="1"/>
  <c r="H153" i="15"/>
  <c r="S90" i="14"/>
  <c r="L153" i="15"/>
  <c r="L156" i="15" s="1"/>
  <c r="Z132" i="15"/>
  <c r="Z135" i="15" s="1"/>
  <c r="R153" i="15"/>
  <c r="R156" i="15" s="1"/>
  <c r="J90" i="15"/>
  <c r="J93" i="15" s="1"/>
  <c r="AA153" i="15"/>
  <c r="AA156" i="15" s="1"/>
  <c r="R132" i="15"/>
  <c r="R135" i="15" s="1"/>
  <c r="O111" i="15"/>
  <c r="O114" i="15" s="1"/>
  <c r="W90" i="15"/>
  <c r="W93" i="15" s="1"/>
  <c r="M90" i="15"/>
  <c r="M93" i="15" s="1"/>
  <c r="L132" i="14"/>
  <c r="I132" i="14"/>
  <c r="K132" i="14"/>
  <c r="Y132" i="14"/>
  <c r="L111" i="14"/>
  <c r="H132" i="14"/>
  <c r="V153" i="14"/>
  <c r="V90" i="14"/>
  <c r="N132" i="14"/>
  <c r="U153" i="15"/>
  <c r="U156" i="15" s="1"/>
  <c r="AA132" i="15"/>
  <c r="AA135" i="15" s="1"/>
  <c r="V111" i="15"/>
  <c r="V114" i="15" s="1"/>
  <c r="P132" i="15"/>
  <c r="P135" i="15" s="1"/>
  <c r="K153" i="15"/>
  <c r="K156" i="15" s="1"/>
  <c r="J153" i="15"/>
  <c r="J156" i="15" s="1"/>
  <c r="P111" i="15"/>
  <c r="P114" i="15" s="1"/>
  <c r="X90" i="15"/>
  <c r="X93" i="15" s="1"/>
  <c r="J132" i="15"/>
  <c r="J135" i="15" s="1"/>
  <c r="R111" i="15"/>
  <c r="R114" i="15" s="1"/>
  <c r="V111" i="14"/>
  <c r="U111" i="14"/>
  <c r="Q132" i="14"/>
  <c r="Z153" i="14"/>
  <c r="AA90" i="14"/>
  <c r="W111" i="14"/>
  <c r="J111" i="14"/>
  <c r="R111" i="14"/>
  <c r="O132" i="14"/>
  <c r="I111" i="14"/>
  <c r="M153" i="15"/>
  <c r="M156" i="15" s="1"/>
  <c r="U111" i="15"/>
  <c r="U114" i="15" s="1"/>
  <c r="V132" i="15"/>
  <c r="V135" i="15" s="1"/>
  <c r="Q153" i="15"/>
  <c r="Q156" i="15" s="1"/>
  <c r="N111" i="14"/>
  <c r="M111" i="14"/>
  <c r="R153" i="14"/>
  <c r="W90" i="14"/>
  <c r="G80" i="9"/>
  <c r="X64" i="10"/>
  <c r="Y80" i="9"/>
  <c r="Q78" i="10"/>
  <c r="I47" i="9"/>
  <c r="W66" i="9"/>
  <c r="O65" i="8"/>
  <c r="X79" i="8"/>
  <c r="Q66" i="9"/>
  <c r="H80" i="9"/>
  <c r="Y64" i="10"/>
  <c r="J79" i="10"/>
  <c r="P65" i="8"/>
  <c r="H47" i="9"/>
  <c r="R66" i="9"/>
  <c r="I80" i="9"/>
  <c r="R65" i="10"/>
  <c r="K79" i="10"/>
  <c r="H46" i="10"/>
  <c r="S65" i="10"/>
  <c r="Z79" i="10"/>
  <c r="O46" i="8"/>
  <c r="P47" i="9"/>
  <c r="M64" i="9"/>
  <c r="Z80" i="9"/>
  <c r="I46" i="10"/>
  <c r="Z66" i="10"/>
  <c r="AA79" i="10"/>
  <c r="K78" i="8"/>
  <c r="S78" i="9"/>
  <c r="X46" i="10"/>
  <c r="AA66" i="10"/>
  <c r="N47" i="8"/>
  <c r="M64" i="8"/>
  <c r="V78" i="8"/>
  <c r="N65" i="9"/>
  <c r="Y46" i="10"/>
  <c r="H64" i="10"/>
  <c r="N64" i="8"/>
  <c r="AA78" i="8"/>
  <c r="O65" i="9"/>
  <c r="I64" i="10"/>
  <c r="P78" i="10"/>
  <c r="T46" i="8"/>
  <c r="S64" i="8"/>
  <c r="U65" i="8"/>
  <c r="L78" i="8"/>
  <c r="O80" i="8"/>
  <c r="Q47" i="9"/>
  <c r="S64" i="9"/>
  <c r="X66" i="9"/>
  <c r="U78" i="9"/>
  <c r="J80" i="9"/>
  <c r="J46" i="10"/>
  <c r="Z46" i="10"/>
  <c r="N64" i="10"/>
  <c r="H65" i="10"/>
  <c r="X65" i="10"/>
  <c r="V78" i="10"/>
  <c r="P79" i="10"/>
  <c r="L80" i="10"/>
  <c r="U46" i="8"/>
  <c r="T64" i="8"/>
  <c r="V65" i="8"/>
  <c r="M78" i="8"/>
  <c r="G79" i="8"/>
  <c r="P80" i="8"/>
  <c r="V47" i="9"/>
  <c r="T64" i="9"/>
  <c r="G66" i="9"/>
  <c r="V78" i="9"/>
  <c r="O80" i="9"/>
  <c r="O46" i="10"/>
  <c r="I47" i="10"/>
  <c r="O64" i="10"/>
  <c r="I65" i="10"/>
  <c r="Y65" i="10"/>
  <c r="G78" i="10"/>
  <c r="W78" i="10"/>
  <c r="Q79" i="10"/>
  <c r="M80" i="10"/>
  <c r="N64" i="9"/>
  <c r="V46" i="8"/>
  <c r="U64" i="8"/>
  <c r="N78" i="8"/>
  <c r="H79" i="8"/>
  <c r="Q80" i="8"/>
  <c r="W47" i="9"/>
  <c r="U64" i="9"/>
  <c r="H66" i="9"/>
  <c r="K78" i="9"/>
  <c r="AA78" i="9"/>
  <c r="R80" i="9"/>
  <c r="P46" i="10"/>
  <c r="R47" i="10"/>
  <c r="P64" i="10"/>
  <c r="J65" i="10"/>
  <c r="Z65" i="10"/>
  <c r="H78" i="10"/>
  <c r="X78" i="10"/>
  <c r="R79" i="10"/>
  <c r="R80" i="10"/>
  <c r="T78" i="9"/>
  <c r="V64" i="8"/>
  <c r="H66" i="8"/>
  <c r="S78" i="8"/>
  <c r="M79" i="8"/>
  <c r="R80" i="8"/>
  <c r="X47" i="9"/>
  <c r="V64" i="9"/>
  <c r="O66" i="9"/>
  <c r="L78" i="9"/>
  <c r="W80" i="9"/>
  <c r="Q46" i="10"/>
  <c r="S47" i="10"/>
  <c r="Q64" i="10"/>
  <c r="K65" i="10"/>
  <c r="AA65" i="10"/>
  <c r="I78" i="10"/>
  <c r="Y78" i="10"/>
  <c r="S79" i="10"/>
  <c r="K64" i="8"/>
  <c r="AA64" i="8"/>
  <c r="I66" i="8"/>
  <c r="T78" i="8"/>
  <c r="V79" i="8"/>
  <c r="G47" i="9"/>
  <c r="Y47" i="9"/>
  <c r="K64" i="9"/>
  <c r="AA64" i="9"/>
  <c r="P66" i="9"/>
  <c r="M78" i="9"/>
  <c r="R46" i="10"/>
  <c r="T47" i="10"/>
  <c r="V64" i="10"/>
  <c r="P65" i="10"/>
  <c r="L66" i="10"/>
  <c r="N78" i="10"/>
  <c r="H79" i="10"/>
  <c r="X79" i="10"/>
  <c r="L64" i="8"/>
  <c r="U78" i="8"/>
  <c r="W79" i="8"/>
  <c r="L64" i="9"/>
  <c r="N78" i="9"/>
  <c r="G46" i="10"/>
  <c r="W46" i="10"/>
  <c r="Y47" i="10"/>
  <c r="G64" i="10"/>
  <c r="W64" i="10"/>
  <c r="Q65" i="10"/>
  <c r="O78" i="10"/>
  <c r="I79" i="10"/>
  <c r="Y79" i="10"/>
  <c r="G185" i="15"/>
  <c r="Z132" i="11"/>
  <c r="Z135" i="11" s="1"/>
  <c r="R153" i="11"/>
  <c r="R156" i="11" s="1"/>
  <c r="Z90" i="11"/>
  <c r="Z93" i="11" s="1"/>
  <c r="Q90" i="11"/>
  <c r="Q93" i="11" s="1"/>
  <c r="H111" i="11"/>
  <c r="L90" i="11"/>
  <c r="L93" i="11" s="1"/>
  <c r="Y153" i="11"/>
  <c r="Y156" i="11" s="1"/>
  <c r="W153" i="11"/>
  <c r="W156" i="11" s="1"/>
  <c r="L132" i="11"/>
  <c r="L135" i="11" s="1"/>
  <c r="U153" i="11"/>
  <c r="U156" i="11" s="1"/>
  <c r="O132" i="11"/>
  <c r="O135" i="11" s="1"/>
  <c r="J90" i="11"/>
  <c r="J93" i="11" s="1"/>
  <c r="M132" i="11"/>
  <c r="M135" i="11" s="1"/>
  <c r="M111" i="11"/>
  <c r="M114" i="11" s="1"/>
  <c r="M153" i="11"/>
  <c r="M156" i="11" s="1"/>
  <c r="Q132" i="11"/>
  <c r="Q135" i="11" s="1"/>
  <c r="N90" i="11"/>
  <c r="N93" i="11" s="1"/>
  <c r="K153" i="11"/>
  <c r="K156" i="11" s="1"/>
  <c r="X90" i="11"/>
  <c r="X93" i="11" s="1"/>
  <c r="U90" i="11"/>
  <c r="U93" i="11" s="1"/>
  <c r="AA111" i="11"/>
  <c r="AA114" i="11" s="1"/>
  <c r="S153" i="11"/>
  <c r="S156" i="11" s="1"/>
  <c r="I111" i="11"/>
  <c r="I114" i="11" s="1"/>
  <c r="K90" i="11"/>
  <c r="K93" i="11" s="1"/>
  <c r="K132" i="11"/>
  <c r="K135" i="11" s="1"/>
  <c r="R132" i="11"/>
  <c r="R135" i="11" s="1"/>
  <c r="Q153" i="11"/>
  <c r="Q156" i="11" s="1"/>
  <c r="P153" i="11"/>
  <c r="P156" i="11" s="1"/>
  <c r="H153" i="11"/>
  <c r="R90" i="11"/>
  <c r="R93" i="11" s="1"/>
  <c r="J153" i="11"/>
  <c r="J156" i="11" s="1"/>
  <c r="O90" i="11"/>
  <c r="O93" i="11" s="1"/>
  <c r="L153" i="11"/>
  <c r="L156" i="11" s="1"/>
  <c r="V132" i="11"/>
  <c r="V135" i="11" s="1"/>
  <c r="S132" i="11"/>
  <c r="S135" i="11" s="1"/>
  <c r="J132" i="11"/>
  <c r="J135" i="11" s="1"/>
  <c r="Y132" i="11"/>
  <c r="Y135" i="11" s="1"/>
  <c r="Z153" i="11"/>
  <c r="Z156" i="11" s="1"/>
  <c r="P111" i="11"/>
  <c r="P114" i="11" s="1"/>
  <c r="Q111" i="11"/>
  <c r="Q114" i="11" s="1"/>
  <c r="N111" i="11"/>
  <c r="N114" i="11" s="1"/>
  <c r="L111" i="11"/>
  <c r="L114" i="11" s="1"/>
  <c r="V111" i="11"/>
  <c r="V114" i="11" s="1"/>
  <c r="AA90" i="11"/>
  <c r="AA93" i="11" s="1"/>
  <c r="Y111" i="11"/>
  <c r="Y114" i="11" s="1"/>
  <c r="S90" i="11"/>
  <c r="S93" i="11" s="1"/>
  <c r="X153" i="11"/>
  <c r="X156" i="11" s="1"/>
  <c r="O153" i="11"/>
  <c r="O156" i="11" s="1"/>
  <c r="I153" i="11"/>
  <c r="I156" i="11" s="1"/>
  <c r="P90" i="11"/>
  <c r="P93" i="11" s="1"/>
  <c r="U111" i="11"/>
  <c r="U114" i="11" s="1"/>
  <c r="X132" i="11"/>
  <c r="X135" i="11" s="1"/>
  <c r="W111" i="11"/>
  <c r="W114" i="11" s="1"/>
  <c r="H132" i="11"/>
  <c r="W90" i="11"/>
  <c r="W93" i="11" s="1"/>
  <c r="I132" i="11"/>
  <c r="I135" i="11" s="1"/>
  <c r="T153" i="11"/>
  <c r="T156" i="11" s="1"/>
  <c r="AA132" i="11"/>
  <c r="AA135" i="11" s="1"/>
  <c r="S111" i="11"/>
  <c r="S114" i="11" s="1"/>
  <c r="X111" i="11"/>
  <c r="X114" i="11" s="1"/>
  <c r="I90" i="11"/>
  <c r="I93" i="11" s="1"/>
  <c r="V90" i="11"/>
  <c r="V93" i="11" s="1"/>
  <c r="T111" i="11"/>
  <c r="T114" i="11" s="1"/>
  <c r="W132" i="11"/>
  <c r="W135" i="11" s="1"/>
  <c r="T90" i="11"/>
  <c r="T93" i="11" s="1"/>
  <c r="V153" i="11"/>
  <c r="V156" i="11" s="1"/>
  <c r="AA153" i="11"/>
  <c r="AA156" i="11" s="1"/>
  <c r="J111" i="11"/>
  <c r="J114" i="11" s="1"/>
  <c r="N132" i="11"/>
  <c r="N135" i="11" s="1"/>
  <c r="K111" i="11"/>
  <c r="K114" i="11" s="1"/>
  <c r="Z111" i="11"/>
  <c r="Z114" i="11" s="1"/>
  <c r="N153" i="11"/>
  <c r="N156" i="11" s="1"/>
  <c r="H90" i="11"/>
  <c r="M90" i="11"/>
  <c r="M93" i="11" s="1"/>
  <c r="U132" i="11"/>
  <c r="U135" i="11" s="1"/>
  <c r="Y90" i="11"/>
  <c r="Y93" i="11" s="1"/>
  <c r="P132" i="11"/>
  <c r="P135" i="11" s="1"/>
  <c r="O111" i="11"/>
  <c r="O114" i="11" s="1"/>
  <c r="R111" i="11"/>
  <c r="R114" i="11" s="1"/>
  <c r="T132" i="11"/>
  <c r="T135" i="11" s="1"/>
  <c r="E1" i="10"/>
  <c r="G4" i="10"/>
  <c r="S90" i="10" s="1"/>
  <c r="E1" i="9"/>
  <c r="G4" i="9"/>
  <c r="S153" i="12"/>
  <c r="S156" i="12" s="1"/>
  <c r="V90" i="12"/>
  <c r="V93" i="12" s="1"/>
  <c r="U132" i="12"/>
  <c r="U135" i="12" s="1"/>
  <c r="T111" i="12"/>
  <c r="T114" i="12" s="1"/>
  <c r="J90" i="12"/>
  <c r="J93" i="12" s="1"/>
  <c r="S132" i="12"/>
  <c r="S135" i="12" s="1"/>
  <c r="P153" i="12"/>
  <c r="P156" i="12" s="1"/>
  <c r="O132" i="12"/>
  <c r="O135" i="12" s="1"/>
  <c r="U90" i="12"/>
  <c r="U93" i="12" s="1"/>
  <c r="M153" i="12"/>
  <c r="M156" i="12" s="1"/>
  <c r="K153" i="12"/>
  <c r="K156" i="12" s="1"/>
  <c r="I90" i="12"/>
  <c r="I93" i="12" s="1"/>
  <c r="W153" i="12"/>
  <c r="W156" i="12" s="1"/>
  <c r="R132" i="12"/>
  <c r="R135" i="12" s="1"/>
  <c r="T90" i="12"/>
  <c r="T93" i="12" s="1"/>
  <c r="L153" i="12"/>
  <c r="L156" i="12" s="1"/>
  <c r="S111" i="12"/>
  <c r="S114" i="12" s="1"/>
  <c r="S90" i="12"/>
  <c r="S93" i="12" s="1"/>
  <c r="P111" i="12"/>
  <c r="P114" i="12" s="1"/>
  <c r="R90" i="12"/>
  <c r="R93" i="12" s="1"/>
  <c r="O111" i="12"/>
  <c r="O114" i="12" s="1"/>
  <c r="T132" i="12"/>
  <c r="T135" i="12" s="1"/>
  <c r="N111" i="12"/>
  <c r="N114" i="12" s="1"/>
  <c r="Y90" i="12"/>
  <c r="Y93" i="12" s="1"/>
  <c r="U153" i="12"/>
  <c r="U156" i="12" s="1"/>
  <c r="Q132" i="12"/>
  <c r="Q135" i="12" s="1"/>
  <c r="I153" i="12"/>
  <c r="I156" i="12" s="1"/>
  <c r="O90" i="12"/>
  <c r="O93" i="12" s="1"/>
  <c r="M132" i="12"/>
  <c r="M135" i="12" s="1"/>
  <c r="X153" i="12"/>
  <c r="X156" i="12" s="1"/>
  <c r="U111" i="12"/>
  <c r="U114" i="12" s="1"/>
  <c r="X132" i="12"/>
  <c r="X135" i="12" s="1"/>
  <c r="Z132" i="12"/>
  <c r="Z135" i="12" s="1"/>
  <c r="M111" i="12"/>
  <c r="M114" i="12" s="1"/>
  <c r="H153" i="12"/>
  <c r="AA90" i="12"/>
  <c r="AA93" i="12" s="1"/>
  <c r="M90" i="12"/>
  <c r="M93" i="12" s="1"/>
  <c r="H111" i="12"/>
  <c r="J111" i="12"/>
  <c r="J114" i="12" s="1"/>
  <c r="Q90" i="12"/>
  <c r="Q93" i="12" s="1"/>
  <c r="R153" i="12"/>
  <c r="R156" i="12" s="1"/>
  <c r="Q111" i="12"/>
  <c r="Q114" i="12" s="1"/>
  <c r="K90" i="12"/>
  <c r="K93" i="12" s="1"/>
  <c r="P90" i="12"/>
  <c r="P93" i="12" s="1"/>
  <c r="O153" i="12"/>
  <c r="O156" i="12" s="1"/>
  <c r="Z90" i="12"/>
  <c r="Z93" i="12" s="1"/>
  <c r="K111" i="12"/>
  <c r="K114" i="12" s="1"/>
  <c r="L90" i="12"/>
  <c r="L93" i="12" s="1"/>
  <c r="Y132" i="12"/>
  <c r="Y135" i="12" s="1"/>
  <c r="W90" i="12"/>
  <c r="W93" i="12" s="1"/>
  <c r="N90" i="12"/>
  <c r="N93" i="12" s="1"/>
  <c r="AA111" i="12"/>
  <c r="AA114" i="12" s="1"/>
  <c r="I132" i="12"/>
  <c r="I135" i="12" s="1"/>
  <c r="W111" i="12"/>
  <c r="W114" i="12" s="1"/>
  <c r="N153" i="12"/>
  <c r="N156" i="12" s="1"/>
  <c r="N132" i="12"/>
  <c r="N135" i="12" s="1"/>
  <c r="Z111" i="12"/>
  <c r="Z114" i="12" s="1"/>
  <c r="V153" i="12"/>
  <c r="V156" i="12" s="1"/>
  <c r="X111" i="12"/>
  <c r="X114" i="12" s="1"/>
  <c r="X90" i="12"/>
  <c r="X93" i="12" s="1"/>
  <c r="L111" i="12"/>
  <c r="L114" i="12" s="1"/>
  <c r="K132" i="12"/>
  <c r="K135" i="12" s="1"/>
  <c r="I111" i="12"/>
  <c r="I114" i="12" s="1"/>
  <c r="P132" i="12"/>
  <c r="P135" i="12" s="1"/>
  <c r="V132" i="12"/>
  <c r="V135" i="12" s="1"/>
  <c r="R111" i="12"/>
  <c r="R114" i="12" s="1"/>
  <c r="H132" i="12"/>
  <c r="L132" i="12"/>
  <c r="L135" i="12" s="1"/>
  <c r="J132" i="12"/>
  <c r="J135" i="12" s="1"/>
  <c r="Z153" i="12"/>
  <c r="Z156" i="12" s="1"/>
  <c r="Y111" i="12"/>
  <c r="Y114" i="12" s="1"/>
  <c r="V111" i="12"/>
  <c r="V114" i="12" s="1"/>
  <c r="AA153" i="12"/>
  <c r="AA156" i="12" s="1"/>
  <c r="J153" i="12"/>
  <c r="J156" i="12" s="1"/>
  <c r="Y153" i="12"/>
  <c r="Y156" i="12" s="1"/>
  <c r="T153" i="12"/>
  <c r="T156" i="12" s="1"/>
  <c r="AA132" i="12"/>
  <c r="AA135" i="12" s="1"/>
  <c r="H90" i="12"/>
  <c r="Q153" i="12"/>
  <c r="Q156" i="12" s="1"/>
  <c r="W132" i="12"/>
  <c r="W135" i="12" s="1"/>
  <c r="L184" i="13"/>
  <c r="R184" i="13"/>
  <c r="W184" i="13"/>
  <c r="P184" i="13"/>
  <c r="N184" i="13"/>
  <c r="S184" i="13"/>
  <c r="U184" i="13"/>
  <c r="K184" i="13"/>
  <c r="Z184" i="13"/>
  <c r="G185" i="13"/>
  <c r="Q184" i="13"/>
  <c r="V184" i="13"/>
  <c r="O184" i="13"/>
  <c r="M184" i="13"/>
  <c r="Y184" i="13"/>
  <c r="I184" i="13"/>
  <c r="T184" i="13"/>
  <c r="H184" i="13"/>
  <c r="AA184" i="13"/>
  <c r="J184" i="13"/>
  <c r="X184" i="13"/>
  <c r="AI72" i="6"/>
  <c r="AI39" i="6"/>
  <c r="AI70" i="6"/>
  <c r="AD37" i="6"/>
  <c r="AC65" i="6"/>
  <c r="AE69" i="6"/>
  <c r="AE71" i="6"/>
  <c r="AF98" i="6"/>
  <c r="J191" i="11" s="1"/>
  <c r="AD100" i="6"/>
  <c r="AD98" i="6"/>
  <c r="H191" i="11" s="1"/>
  <c r="H193" i="11" s="1"/>
  <c r="AK97" i="6"/>
  <c r="O191" i="12" s="1"/>
  <c r="AK100" i="6"/>
  <c r="AE98" i="6"/>
  <c r="I191" i="11" s="1"/>
  <c r="AI38" i="6"/>
  <c r="G4" i="8"/>
  <c r="E1" i="8"/>
  <c r="AL64" i="6"/>
  <c r="AL65" i="6"/>
  <c r="AL63" i="6"/>
  <c r="AL37" i="6"/>
  <c r="AG65" i="6"/>
  <c r="AG63" i="6"/>
  <c r="AG64" i="6"/>
  <c r="AG37" i="6"/>
  <c r="X6" i="4"/>
  <c r="Y6" i="4" s="1"/>
  <c r="Z6" i="4" s="1"/>
  <c r="AA6" i="4" s="1"/>
  <c r="AB6" i="4" s="1"/>
  <c r="AC6" i="4" s="1"/>
  <c r="AD6" i="4" s="1"/>
  <c r="AE6" i="4" s="1"/>
  <c r="AF6" i="4" s="1"/>
  <c r="AG6" i="4" s="1"/>
  <c r="AH6" i="4" s="1"/>
  <c r="AI6" i="4" s="1"/>
  <c r="AJ6" i="4" s="1"/>
  <c r="AK6" i="4" s="1"/>
  <c r="AL6" i="4" s="1"/>
  <c r="AM6" i="4" s="1"/>
  <c r="AN6" i="4" s="1"/>
  <c r="AO6" i="4" s="1"/>
  <c r="AP6" i="4" s="1"/>
  <c r="AQ6" i="4" s="1"/>
  <c r="AR6" i="4" s="1"/>
  <c r="AS6" i="4" s="1"/>
  <c r="AT6" i="4" s="1"/>
  <c r="AU6" i="4" s="1"/>
  <c r="AV6" i="4" s="1"/>
  <c r="AW6" i="4" s="1"/>
  <c r="AX6" i="4" s="1"/>
  <c r="AY6" i="4" s="1"/>
  <c r="AZ6" i="4" s="1"/>
  <c r="BA6" i="4" s="1"/>
  <c r="BB6" i="4" s="1"/>
  <c r="BC6" i="4" s="1"/>
  <c r="BD6" i="4" s="1"/>
  <c r="BE6" i="4" s="1"/>
  <c r="BF6" i="4" s="1"/>
  <c r="BG6" i="4" s="1"/>
  <c r="BH6" i="4" s="1"/>
  <c r="BI6" i="4" s="1"/>
  <c r="BJ6" i="4" s="1"/>
  <c r="BK6" i="4" s="1"/>
  <c r="BL6" i="4" s="1"/>
  <c r="AX147" i="5"/>
  <c r="AA4" i="5"/>
  <c r="AB4" i="6"/>
  <c r="AB4" i="7"/>
  <c r="BH121" i="5"/>
  <c r="BH62" i="5"/>
  <c r="BH117" i="5" s="1"/>
  <c r="AE121" i="5"/>
  <c r="BK146" i="5"/>
  <c r="BC146" i="5"/>
  <c r="AU146" i="5"/>
  <c r="AM146" i="5"/>
  <c r="AE146" i="5"/>
  <c r="BI146" i="5"/>
  <c r="BA146" i="5"/>
  <c r="AS146" i="5"/>
  <c r="AK146" i="5"/>
  <c r="AC146" i="5"/>
  <c r="BH146" i="5"/>
  <c r="AZ146" i="5"/>
  <c r="AR146" i="5"/>
  <c r="AJ146" i="5"/>
  <c r="BJ146" i="5"/>
  <c r="AW146" i="5"/>
  <c r="AI146" i="5"/>
  <c r="BG146" i="5"/>
  <c r="AV146" i="5"/>
  <c r="AH146" i="5"/>
  <c r="BF146" i="5"/>
  <c r="AT146" i="5"/>
  <c r="AG146" i="5"/>
  <c r="BD146" i="5"/>
  <c r="AP146" i="5"/>
  <c r="AD146" i="5"/>
  <c r="AD53" i="7"/>
  <c r="AS121" i="5"/>
  <c r="AX139" i="5"/>
  <c r="BE140" i="5"/>
  <c r="AY146" i="5"/>
  <c r="AG71" i="6"/>
  <c r="AG69" i="6"/>
  <c r="AG72" i="6"/>
  <c r="AH39" i="6"/>
  <c r="AL72" i="6"/>
  <c r="AL70" i="6"/>
  <c r="AL69" i="6"/>
  <c r="AL71" i="6"/>
  <c r="AL39" i="6"/>
  <c r="BE117" i="5"/>
  <c r="AC99" i="6"/>
  <c r="G192" i="13" s="1"/>
  <c r="AC62" i="5"/>
  <c r="AC117" i="5" s="1"/>
  <c r="AK62" i="5"/>
  <c r="AK117" i="5" s="1"/>
  <c r="AS62" i="5"/>
  <c r="AS117" i="5" s="1"/>
  <c r="BI62" i="5"/>
  <c r="BI117" i="5" s="1"/>
  <c r="J82" i="5"/>
  <c r="AB82" i="5" s="1"/>
  <c r="BK138" i="5"/>
  <c r="BL150" i="5" s="1"/>
  <c r="BC138" i="5"/>
  <c r="AU138" i="5"/>
  <c r="AM138" i="5"/>
  <c r="AN150" i="5" s="1"/>
  <c r="AE138" i="5"/>
  <c r="AF150" i="5" s="1"/>
  <c r="BI138" i="5"/>
  <c r="BA138" i="5"/>
  <c r="AS138" i="5"/>
  <c r="AK138" i="5"/>
  <c r="AL150" i="5" s="1"/>
  <c r="AC138" i="5"/>
  <c r="BH138" i="5"/>
  <c r="AZ138" i="5"/>
  <c r="AR138" i="5"/>
  <c r="AJ138" i="5"/>
  <c r="BJ138" i="5"/>
  <c r="AW138" i="5"/>
  <c r="AI138" i="5"/>
  <c r="BG138" i="5"/>
  <c r="AV138" i="5"/>
  <c r="AH138" i="5"/>
  <c r="BF138" i="5"/>
  <c r="AT138" i="5"/>
  <c r="AG138" i="5"/>
  <c r="BD138" i="5"/>
  <c r="AP138" i="5"/>
  <c r="AQ150" i="5" s="1"/>
  <c r="AD138" i="5"/>
  <c r="AX138" i="5"/>
  <c r="BB139" i="5"/>
  <c r="AG140" i="5"/>
  <c r="BF140" i="5"/>
  <c r="D154" i="5"/>
  <c r="D177" i="5"/>
  <c r="AY142" i="5"/>
  <c r="AH143" i="5"/>
  <c r="AH144" i="5"/>
  <c r="BG144" i="5"/>
  <c r="BB146" i="5"/>
  <c r="AI147" i="5"/>
  <c r="BJ147" i="5"/>
  <c r="AH65" i="6"/>
  <c r="AH63" i="6"/>
  <c r="AH37" i="6"/>
  <c r="AD39" i="6"/>
  <c r="AL67" i="6"/>
  <c r="AD69" i="6"/>
  <c r="AK99" i="6"/>
  <c r="O191" i="13" s="1"/>
  <c r="V301" i="8"/>
  <c r="V269" i="8"/>
  <c r="J68" i="5"/>
  <c r="AB68" i="5" s="1"/>
  <c r="I92" i="5"/>
  <c r="BK140" i="5"/>
  <c r="BC140" i="5"/>
  <c r="AU140" i="5"/>
  <c r="AM140" i="5"/>
  <c r="AE140" i="5"/>
  <c r="BI140" i="5"/>
  <c r="BA140" i="5"/>
  <c r="AS140" i="5"/>
  <c r="AK140" i="5"/>
  <c r="AC140" i="5"/>
  <c r="BH140" i="5"/>
  <c r="AZ140" i="5"/>
  <c r="AR140" i="5"/>
  <c r="AJ140" i="5"/>
  <c r="BD140" i="5"/>
  <c r="AP140" i="5"/>
  <c r="AD140" i="5"/>
  <c r="BB140" i="5"/>
  <c r="AO140" i="5"/>
  <c r="BM140" i="5"/>
  <c r="AY140" i="5"/>
  <c r="AN140" i="5"/>
  <c r="BJ140" i="5"/>
  <c r="AW140" i="5"/>
  <c r="AI140" i="5"/>
  <c r="AH38" i="6"/>
  <c r="AH67" i="6"/>
  <c r="AH66" i="6"/>
  <c r="AH68" i="6"/>
  <c r="BG121" i="5"/>
  <c r="BG62" i="5"/>
  <c r="BG117" i="5" s="1"/>
  <c r="BM150" i="5"/>
  <c r="BK143" i="5"/>
  <c r="BC143" i="5"/>
  <c r="AU143" i="5"/>
  <c r="AV155" i="5" s="1"/>
  <c r="AM143" i="5"/>
  <c r="AE143" i="5"/>
  <c r="C155" i="5"/>
  <c r="BI143" i="5"/>
  <c r="BA143" i="5"/>
  <c r="AS143" i="5"/>
  <c r="AK143" i="5"/>
  <c r="AC143" i="5"/>
  <c r="BH143" i="5"/>
  <c r="AZ143" i="5"/>
  <c r="AR143" i="5"/>
  <c r="AJ143" i="5"/>
  <c r="BF143" i="5"/>
  <c r="AT143" i="5"/>
  <c r="AG143" i="5"/>
  <c r="BE143" i="5"/>
  <c r="AQ143" i="5"/>
  <c r="AQ120" i="5" s="1"/>
  <c r="AF143" i="5"/>
  <c r="C178" i="5"/>
  <c r="BG178" i="5" s="1"/>
  <c r="BD143" i="5"/>
  <c r="AP143" i="5"/>
  <c r="AD143" i="5"/>
  <c r="BM143" i="5"/>
  <c r="AY143" i="5"/>
  <c r="AN143" i="5"/>
  <c r="AW143" i="5"/>
  <c r="G1" i="10"/>
  <c r="G1" i="9"/>
  <c r="G1" i="8"/>
  <c r="AI67" i="6"/>
  <c r="AI66" i="6"/>
  <c r="AH53" i="7"/>
  <c r="AR121" i="5"/>
  <c r="BD121" i="5"/>
  <c r="AX143" i="5"/>
  <c r="AX146" i="5"/>
  <c r="C151" i="5"/>
  <c r="AC68" i="6"/>
  <c r="AC66" i="6"/>
  <c r="AC67" i="6"/>
  <c r="AK72" i="6"/>
  <c r="AK70" i="6"/>
  <c r="AK39" i="6"/>
  <c r="AK71" i="6"/>
  <c r="AJ99" i="6"/>
  <c r="N191" i="13" s="1"/>
  <c r="BG147" i="5"/>
  <c r="AG4" i="5"/>
  <c r="AQ62" i="5"/>
  <c r="AQ117" i="5" s="1"/>
  <c r="AD99" i="6"/>
  <c r="H191" i="13" s="1"/>
  <c r="H193" i="13" s="1"/>
  <c r="AL62" i="5"/>
  <c r="AL117" i="5" s="1"/>
  <c r="AL99" i="6"/>
  <c r="P191" i="13" s="1"/>
  <c r="J92" i="5"/>
  <c r="AB92" i="5" s="1"/>
  <c r="D150" i="5"/>
  <c r="AY138" i="5"/>
  <c r="AH139" i="5"/>
  <c r="BG139" i="5"/>
  <c r="AH140" i="5"/>
  <c r="BG140" i="5"/>
  <c r="AI143" i="5"/>
  <c r="BJ143" i="5"/>
  <c r="AL144" i="5"/>
  <c r="AF146" i="5"/>
  <c r="BE146" i="5"/>
  <c r="AL147" i="5"/>
  <c r="BL147" i="5"/>
  <c r="C158" i="5"/>
  <c r="C182" i="5"/>
  <c r="K1" i="9"/>
  <c r="K1" i="10"/>
  <c r="K1" i="8"/>
  <c r="AC64" i="6"/>
  <c r="AH64" i="6"/>
  <c r="AI98" i="6"/>
  <c r="M191" i="11" s="1"/>
  <c r="AI97" i="6"/>
  <c r="M191" i="12" s="1"/>
  <c r="AG100" i="6"/>
  <c r="AH100" i="6"/>
  <c r="AI51" i="7"/>
  <c r="AT140" i="5"/>
  <c r="AW147" i="5"/>
  <c r="AJ72" i="6"/>
  <c r="AJ70" i="6"/>
  <c r="AJ39" i="6"/>
  <c r="AJ71" i="6"/>
  <c r="AJ69" i="6"/>
  <c r="AQ181" i="5"/>
  <c r="C159" i="5"/>
  <c r="AJ121" i="5"/>
  <c r="BI121" i="5"/>
  <c r="BK142" i="5"/>
  <c r="BC142" i="5"/>
  <c r="AU142" i="5"/>
  <c r="AM142" i="5"/>
  <c r="AE142" i="5"/>
  <c r="BI142" i="5"/>
  <c r="BA142" i="5"/>
  <c r="AS142" i="5"/>
  <c r="AK142" i="5"/>
  <c r="AC142" i="5"/>
  <c r="BH142" i="5"/>
  <c r="AZ142" i="5"/>
  <c r="AR142" i="5"/>
  <c r="AJ142" i="5"/>
  <c r="BJ142" i="5"/>
  <c r="AW142" i="5"/>
  <c r="AI142" i="5"/>
  <c r="BG142" i="5"/>
  <c r="BG120" i="5" s="1"/>
  <c r="AV142" i="5"/>
  <c r="AH142" i="5"/>
  <c r="C154" i="5"/>
  <c r="BF142" i="5"/>
  <c r="AT142" i="5"/>
  <c r="AG142" i="5"/>
  <c r="BD142" i="5"/>
  <c r="AP142" i="5"/>
  <c r="AQ154" i="5" s="1"/>
  <c r="AD142" i="5"/>
  <c r="AX142" i="5"/>
  <c r="BB143" i="5"/>
  <c r="AH147" i="5"/>
  <c r="AH10" i="4"/>
  <c r="AG12" i="4"/>
  <c r="AY117" i="5"/>
  <c r="AR62" i="5"/>
  <c r="AR117" i="5" s="1"/>
  <c r="W62" i="5"/>
  <c r="AE99" i="6"/>
  <c r="I191" i="13" s="1"/>
  <c r="AM62" i="5"/>
  <c r="AM117" i="5" s="1"/>
  <c r="AU62" i="5"/>
  <c r="AU117" i="5" s="1"/>
  <c r="BC62" i="5"/>
  <c r="BC117" i="5" s="1"/>
  <c r="AV62" i="5"/>
  <c r="AF121" i="5"/>
  <c r="AV121" i="5"/>
  <c r="BL121" i="5"/>
  <c r="AI139" i="5"/>
  <c r="AL140" i="5"/>
  <c r="BL140" i="5"/>
  <c r="AF142" i="5"/>
  <c r="BE142" i="5"/>
  <c r="AL143" i="5"/>
  <c r="BL143" i="5"/>
  <c r="AL146" i="5"/>
  <c r="BL146" i="5"/>
  <c r="C177" i="5"/>
  <c r="AQ177" i="5" s="1"/>
  <c r="AD64" i="6"/>
  <c r="AD63" i="6"/>
  <c r="AD65" i="6"/>
  <c r="I184" i="12" s="1"/>
  <c r="AL68" i="6"/>
  <c r="AL66" i="6"/>
  <c r="AL38" i="6"/>
  <c r="AG39" i="6"/>
  <c r="AK69" i="6"/>
  <c r="BK147" i="5"/>
  <c r="BC147" i="5"/>
  <c r="AU147" i="5"/>
  <c r="AM147" i="5"/>
  <c r="AE147" i="5"/>
  <c r="BI147" i="5"/>
  <c r="BA147" i="5"/>
  <c r="AS147" i="5"/>
  <c r="AK147" i="5"/>
  <c r="AC147" i="5"/>
  <c r="BH147" i="5"/>
  <c r="AZ147" i="5"/>
  <c r="AR147" i="5"/>
  <c r="AJ147" i="5"/>
  <c r="BF147" i="5"/>
  <c r="AT147" i="5"/>
  <c r="AG147" i="5"/>
  <c r="BE147" i="5"/>
  <c r="AQ147" i="5"/>
  <c r="AF147" i="5"/>
  <c r="BD147" i="5"/>
  <c r="AP147" i="5"/>
  <c r="AD147" i="5"/>
  <c r="BM147" i="5"/>
  <c r="AY147" i="5"/>
  <c r="AN147" i="5"/>
  <c r="AF65" i="6"/>
  <c r="J184" i="12" s="1"/>
  <c r="AF63" i="6"/>
  <c r="AF37" i="6"/>
  <c r="AF64" i="6"/>
  <c r="AK37" i="6"/>
  <c r="AK64" i="6"/>
  <c r="AK63" i="6"/>
  <c r="AK65" i="6"/>
  <c r="AA62" i="5"/>
  <c r="AI121" i="5"/>
  <c r="AI62" i="5"/>
  <c r="AI117" i="5" s="1"/>
  <c r="AG51" i="7"/>
  <c r="K37" i="11" s="1"/>
  <c r="AV140" i="5"/>
  <c r="O1" i="10"/>
  <c r="O1" i="9"/>
  <c r="O1" i="8"/>
  <c r="AI68" i="6"/>
  <c r="AZ121" i="5"/>
  <c r="BK139" i="5"/>
  <c r="BC139" i="5"/>
  <c r="AU139" i="5"/>
  <c r="AM139" i="5"/>
  <c r="AE139" i="5"/>
  <c r="BI139" i="5"/>
  <c r="BJ151" i="5" s="1"/>
  <c r="BA139" i="5"/>
  <c r="AS139" i="5"/>
  <c r="AK139" i="5"/>
  <c r="AC139" i="5"/>
  <c r="BH139" i="5"/>
  <c r="AZ139" i="5"/>
  <c r="AR139" i="5"/>
  <c r="AJ139" i="5"/>
  <c r="BF139" i="5"/>
  <c r="AT139" i="5"/>
  <c r="AG139" i="5"/>
  <c r="AG119" i="5" s="1"/>
  <c r="BE139" i="5"/>
  <c r="AQ139" i="5"/>
  <c r="AF139" i="5"/>
  <c r="AF173" i="5" s="1"/>
  <c r="BD139" i="5"/>
  <c r="AP139" i="5"/>
  <c r="AD139" i="5"/>
  <c r="BM139" i="5"/>
  <c r="BM173" i="5" s="1"/>
  <c r="AY139" i="5"/>
  <c r="AN139" i="5"/>
  <c r="AN173" i="5" s="1"/>
  <c r="AW139" i="5"/>
  <c r="AX140" i="5"/>
  <c r="BB147" i="5"/>
  <c r="AI48" i="7"/>
  <c r="M37" i="9" s="1"/>
  <c r="AJ44" i="7"/>
  <c r="AI49" i="7"/>
  <c r="AK121" i="5"/>
  <c r="AF140" i="5"/>
  <c r="AD68" i="6"/>
  <c r="AD66" i="6"/>
  <c r="AD67" i="6"/>
  <c r="AD38" i="6"/>
  <c r="AF52" i="7"/>
  <c r="AW121" i="5"/>
  <c r="BE121" i="5"/>
  <c r="AM121" i="5"/>
  <c r="BK121" i="5"/>
  <c r="J81" i="5"/>
  <c r="AL139" i="5"/>
  <c r="AL173" i="5" s="1"/>
  <c r="BL139" i="5"/>
  <c r="BL173" i="5" s="1"/>
  <c r="AQ140" i="5"/>
  <c r="AL142" i="5"/>
  <c r="BL142" i="5"/>
  <c r="BM154" i="5" s="1"/>
  <c r="AO143" i="5"/>
  <c r="BK144" i="5"/>
  <c r="BL156" i="5" s="1"/>
  <c r="BC144" i="5"/>
  <c r="AU144" i="5"/>
  <c r="AM144" i="5"/>
  <c r="AE144" i="5"/>
  <c r="BI144" i="5"/>
  <c r="BA144" i="5"/>
  <c r="AS144" i="5"/>
  <c r="AK144" i="5"/>
  <c r="AC144" i="5"/>
  <c r="C156" i="5"/>
  <c r="BH144" i="5"/>
  <c r="AZ144" i="5"/>
  <c r="AR144" i="5"/>
  <c r="AJ144" i="5"/>
  <c r="BD144" i="5"/>
  <c r="AP144" i="5"/>
  <c r="AQ156" i="5" s="1"/>
  <c r="AD144" i="5"/>
  <c r="C179" i="5"/>
  <c r="BB144" i="5"/>
  <c r="AO144" i="5"/>
  <c r="BM144" i="5"/>
  <c r="AY144" i="5"/>
  <c r="AN144" i="5"/>
  <c r="BJ144" i="5"/>
  <c r="AW144" i="5"/>
  <c r="AI144" i="5"/>
  <c r="AT144" i="5"/>
  <c r="AN146" i="5"/>
  <c r="BM146" i="5"/>
  <c r="AV147" i="5"/>
  <c r="C152" i="5"/>
  <c r="C174" i="5"/>
  <c r="M1" i="10"/>
  <c r="M1" i="9"/>
  <c r="M1" i="8"/>
  <c r="AI29" i="6"/>
  <c r="AG67" i="6"/>
  <c r="AG68" i="6"/>
  <c r="AG38" i="6"/>
  <c r="AG66" i="6"/>
  <c r="AE39" i="6"/>
  <c r="AD72" i="6"/>
  <c r="AD70" i="6"/>
  <c r="AD71" i="6"/>
  <c r="AC63" i="6"/>
  <c r="AF99" i="6"/>
  <c r="J191" i="13" s="1"/>
  <c r="AD121" i="5"/>
  <c r="AL121" i="5"/>
  <c r="AT121" i="5"/>
  <c r="BB121" i="5"/>
  <c r="BJ121" i="5"/>
  <c r="AG157" i="5"/>
  <c r="D175" i="5"/>
  <c r="N1" i="10"/>
  <c r="N1" i="9"/>
  <c r="N1" i="8"/>
  <c r="AF71" i="6"/>
  <c r="AF69" i="6"/>
  <c r="AF72" i="6"/>
  <c r="AF70" i="6"/>
  <c r="AJ50" i="7"/>
  <c r="N37" i="8" s="1"/>
  <c r="AK45" i="7"/>
  <c r="AJ51" i="7"/>
  <c r="N37" i="11" s="1"/>
  <c r="AJ52" i="7"/>
  <c r="AK46" i="7"/>
  <c r="AJ53" i="7"/>
  <c r="AD48" i="7"/>
  <c r="H37" i="9" s="1"/>
  <c r="AE48" i="7"/>
  <c r="I37" i="9" s="1"/>
  <c r="AF48" i="7"/>
  <c r="J37" i="9" s="1"/>
  <c r="Z62" i="5"/>
  <c r="AH99" i="6"/>
  <c r="L191" i="13" s="1"/>
  <c r="AH62" i="5"/>
  <c r="AH117" i="5" s="1"/>
  <c r="AP62" i="5"/>
  <c r="AP117" i="5" s="1"/>
  <c r="AX62" i="5"/>
  <c r="AX117" i="5" s="1"/>
  <c r="BF62" i="5"/>
  <c r="BF117" i="5" s="1"/>
  <c r="AD50" i="7"/>
  <c r="H37" i="8" s="1"/>
  <c r="AG50" i="7"/>
  <c r="K37" i="8" s="1"/>
  <c r="AF50" i="7"/>
  <c r="J37" i="8" s="1"/>
  <c r="AI153" i="5"/>
  <c r="H1" i="10"/>
  <c r="H1" i="8"/>
  <c r="H1" i="9"/>
  <c r="P1" i="10"/>
  <c r="P1" i="9"/>
  <c r="P1" i="8"/>
  <c r="AN13" i="6"/>
  <c r="AM35" i="6" a="1"/>
  <c r="AM35" i="6" s="1"/>
  <c r="AM34" i="6" a="1"/>
  <c r="AM34" i="6" s="1"/>
  <c r="AM33" i="6" a="1"/>
  <c r="AM33" i="6" s="1"/>
  <c r="AM27" i="6" a="1"/>
  <c r="AM27" i="6" s="1"/>
  <c r="AM26" i="6" a="1"/>
  <c r="AM26" i="6" s="1"/>
  <c r="AM25" i="6" a="1"/>
  <c r="AM25" i="6" s="1"/>
  <c r="AI65" i="6"/>
  <c r="AI63" i="6"/>
  <c r="AI37" i="6"/>
  <c r="AJ68" i="6"/>
  <c r="AJ66" i="6"/>
  <c r="AJ67" i="6"/>
  <c r="AJ38" i="6"/>
  <c r="AJ37" i="6"/>
  <c r="AJ98" i="6"/>
  <c r="N191" i="11" s="1"/>
  <c r="N240" i="8"/>
  <c r="N227" i="8"/>
  <c r="V240" i="8"/>
  <c r="V227" i="8"/>
  <c r="N275" i="8"/>
  <c r="N307" i="8"/>
  <c r="V307" i="8"/>
  <c r="AB307" i="8" s="1"/>
  <c r="V275" i="8"/>
  <c r="AB275" i="8" s="1"/>
  <c r="AB241" i="8"/>
  <c r="K5" i="5"/>
  <c r="AE117" i="5"/>
  <c r="BK117" i="5"/>
  <c r="AI99" i="6"/>
  <c r="M191" i="13" s="1"/>
  <c r="AF53" i="7"/>
  <c r="AG53" i="7"/>
  <c r="AE53" i="7"/>
  <c r="J84" i="5"/>
  <c r="AB84" i="5" s="1"/>
  <c r="C153" i="5"/>
  <c r="BK141" i="5"/>
  <c r="BC141" i="5"/>
  <c r="AU141" i="5"/>
  <c r="AM141" i="5"/>
  <c r="AE141" i="5"/>
  <c r="BI141" i="5"/>
  <c r="BA141" i="5"/>
  <c r="BB153" i="5" s="1"/>
  <c r="AS141" i="5"/>
  <c r="AK141" i="5"/>
  <c r="AC141" i="5"/>
  <c r="BH141" i="5"/>
  <c r="AZ141" i="5"/>
  <c r="AR141" i="5"/>
  <c r="AJ141" i="5"/>
  <c r="AL141" i="5"/>
  <c r="AX141" i="5"/>
  <c r="BL141" i="5"/>
  <c r="BM153" i="5" s="1"/>
  <c r="BK145" i="5"/>
  <c r="BC145" i="5"/>
  <c r="AU145" i="5"/>
  <c r="AM145" i="5"/>
  <c r="AE145" i="5"/>
  <c r="BI145" i="5"/>
  <c r="BA145" i="5"/>
  <c r="AS145" i="5"/>
  <c r="AT157" i="5" s="1"/>
  <c r="AK145" i="5"/>
  <c r="AC145" i="5"/>
  <c r="BH145" i="5"/>
  <c r="AZ145" i="5"/>
  <c r="AR145" i="5"/>
  <c r="AJ145" i="5"/>
  <c r="AL145" i="5"/>
  <c r="AX145" i="5"/>
  <c r="BL145" i="5"/>
  <c r="D155" i="5"/>
  <c r="J6" i="6"/>
  <c r="AJ64" i="6"/>
  <c r="AJ65" i="6"/>
  <c r="AE68" i="6"/>
  <c r="AE66" i="6"/>
  <c r="AE38" i="6"/>
  <c r="AE67" i="6"/>
  <c r="K6" i="5"/>
  <c r="AN117" i="5"/>
  <c r="AV117" i="5"/>
  <c r="BD117" i="5"/>
  <c r="J94" i="5"/>
  <c r="AB94" i="5" s="1"/>
  <c r="AN141" i="5"/>
  <c r="AY141" i="5"/>
  <c r="AN145" i="5"/>
  <c r="AO157" i="5" s="1"/>
  <c r="AY145" i="5"/>
  <c r="BM145" i="5"/>
  <c r="D179" i="5"/>
  <c r="AE64" i="6"/>
  <c r="AE63" i="6"/>
  <c r="AF38" i="6"/>
  <c r="AF67" i="6"/>
  <c r="AF68" i="6"/>
  <c r="AF66" i="6"/>
  <c r="AK68" i="6"/>
  <c r="AK66" i="6"/>
  <c r="AC72" i="6"/>
  <c r="AC70" i="6"/>
  <c r="AH71" i="6"/>
  <c r="AH69" i="6"/>
  <c r="AH70" i="6"/>
  <c r="AK67" i="6"/>
  <c r="AC69" i="6"/>
  <c r="AH98" i="6"/>
  <c r="L191" i="11" s="1"/>
  <c r="AH97" i="6"/>
  <c r="L191" i="12" s="1"/>
  <c r="AH49" i="7"/>
  <c r="AH48" i="7"/>
  <c r="L37" i="9" s="1"/>
  <c r="AI52" i="7"/>
  <c r="AJ97" i="6"/>
  <c r="N191" i="12" s="1"/>
  <c r="AL98" i="6"/>
  <c r="P191" i="11" s="1"/>
  <c r="AI100" i="6"/>
  <c r="E29" i="8"/>
  <c r="AL97" i="6"/>
  <c r="P191" i="12" s="1"/>
  <c r="AH51" i="7"/>
  <c r="L37" i="11" s="1"/>
  <c r="AH50" i="7"/>
  <c r="L37" i="8" s="1"/>
  <c r="AI50" i="7"/>
  <c r="M37" i="8" s="1"/>
  <c r="U301" i="8"/>
  <c r="U269" i="8"/>
  <c r="K306" i="9"/>
  <c r="K274" i="9"/>
  <c r="S306" i="9"/>
  <c r="S274" i="9"/>
  <c r="AA306" i="9"/>
  <c r="AA274" i="9"/>
  <c r="AG62" i="5"/>
  <c r="AG117" i="5" s="1"/>
  <c r="F150" i="5"/>
  <c r="F161" i="5" s="1"/>
  <c r="F158" i="5"/>
  <c r="F169" i="5" s="1"/>
  <c r="F180" i="5"/>
  <c r="I1" i="10"/>
  <c r="I1" i="9"/>
  <c r="I1" i="8"/>
  <c r="G301" i="8"/>
  <c r="G269" i="8"/>
  <c r="W301" i="8"/>
  <c r="W269" i="8"/>
  <c r="X275" i="8"/>
  <c r="X307" i="8"/>
  <c r="T79" i="9"/>
  <c r="L79" i="9"/>
  <c r="T65" i="9"/>
  <c r="L65" i="9"/>
  <c r="AA46" i="9"/>
  <c r="S46" i="9"/>
  <c r="K46" i="9"/>
  <c r="AA79" i="9"/>
  <c r="S79" i="9"/>
  <c r="K79" i="9"/>
  <c r="AA65" i="9"/>
  <c r="S65" i="9"/>
  <c r="K65" i="9"/>
  <c r="Z46" i="9"/>
  <c r="R46" i="9"/>
  <c r="J46" i="9"/>
  <c r="Z79" i="9"/>
  <c r="R79" i="9"/>
  <c r="J79" i="9"/>
  <c r="Z65" i="9"/>
  <c r="R65" i="9"/>
  <c r="J65" i="9"/>
  <c r="Y46" i="9"/>
  <c r="Q46" i="9"/>
  <c r="I46" i="9"/>
  <c r="Y79" i="9"/>
  <c r="Q79" i="9"/>
  <c r="I79" i="9"/>
  <c r="Y65" i="9"/>
  <c r="Q65" i="9"/>
  <c r="I65" i="9"/>
  <c r="X46" i="9"/>
  <c r="P46" i="9"/>
  <c r="H46" i="9"/>
  <c r="N79" i="9"/>
  <c r="W65" i="9"/>
  <c r="G65" i="9"/>
  <c r="W46" i="9"/>
  <c r="G46" i="9"/>
  <c r="M79" i="9"/>
  <c r="V65" i="9"/>
  <c r="V46" i="9"/>
  <c r="X79" i="9"/>
  <c r="H79" i="9"/>
  <c r="U65" i="9"/>
  <c r="U46" i="9"/>
  <c r="W79" i="9"/>
  <c r="G79" i="9"/>
  <c r="P65" i="9"/>
  <c r="T46" i="9"/>
  <c r="U79" i="9"/>
  <c r="H65" i="9"/>
  <c r="P79" i="9"/>
  <c r="O46" i="9"/>
  <c r="O79" i="9"/>
  <c r="N46" i="9"/>
  <c r="M46" i="9"/>
  <c r="M65" i="9"/>
  <c r="X65" i="9"/>
  <c r="V79" i="9"/>
  <c r="Q274" i="9"/>
  <c r="Q306" i="9"/>
  <c r="AF49" i="7"/>
  <c r="AF51" i="7"/>
  <c r="J37" i="11" s="1"/>
  <c r="AD51" i="7"/>
  <c r="AD52" i="7"/>
  <c r="J1" i="10"/>
  <c r="J1" i="9"/>
  <c r="J1" i="8"/>
  <c r="AG52" i="7"/>
  <c r="V80" i="8"/>
  <c r="N80" i="8"/>
  <c r="V66" i="8"/>
  <c r="N66" i="8"/>
  <c r="U47" i="8"/>
  <c r="M47" i="8"/>
  <c r="U80" i="8"/>
  <c r="M80" i="8"/>
  <c r="U66" i="8"/>
  <c r="M66" i="8"/>
  <c r="T47" i="8"/>
  <c r="L47" i="8"/>
  <c r="T80" i="8"/>
  <c r="L80" i="8"/>
  <c r="T66" i="8"/>
  <c r="L66" i="8"/>
  <c r="AA47" i="8"/>
  <c r="S47" i="8"/>
  <c r="K47" i="8"/>
  <c r="AA80" i="8"/>
  <c r="S80" i="8"/>
  <c r="K80" i="8"/>
  <c r="AA66" i="8"/>
  <c r="S66" i="8"/>
  <c r="K66" i="8"/>
  <c r="Z47" i="8"/>
  <c r="R47" i="8"/>
  <c r="J47" i="8"/>
  <c r="Z80" i="8"/>
  <c r="J80" i="8"/>
  <c r="W66" i="8"/>
  <c r="G66" i="8"/>
  <c r="X47" i="8"/>
  <c r="H47" i="8"/>
  <c r="Y80" i="8"/>
  <c r="I80" i="8"/>
  <c r="R66" i="8"/>
  <c r="W47" i="8"/>
  <c r="G47" i="8"/>
  <c r="X80" i="8"/>
  <c r="H80" i="8"/>
  <c r="Q66" i="8"/>
  <c r="V47" i="8"/>
  <c r="W80" i="8"/>
  <c r="G80" i="8"/>
  <c r="P66" i="8"/>
  <c r="Q47" i="8"/>
  <c r="Y66" i="8"/>
  <c r="X66" i="8"/>
  <c r="Y47" i="8"/>
  <c r="O66" i="8"/>
  <c r="P47" i="8"/>
  <c r="J66" i="8"/>
  <c r="O47" i="8"/>
  <c r="I47" i="8"/>
  <c r="K301" i="8"/>
  <c r="K269" i="8"/>
  <c r="S301" i="8"/>
  <c r="S269" i="8"/>
  <c r="AA301" i="8"/>
  <c r="AA269" i="8"/>
  <c r="H301" i="8"/>
  <c r="H269" i="8"/>
  <c r="X301" i="8"/>
  <c r="X269" i="8"/>
  <c r="AD49" i="7"/>
  <c r="AH52" i="7"/>
  <c r="L301" i="8"/>
  <c r="L269" i="8"/>
  <c r="T301" i="8"/>
  <c r="T269" i="8"/>
  <c r="L1" i="10"/>
  <c r="L1" i="9"/>
  <c r="L1" i="8"/>
  <c r="AI69" i="6"/>
  <c r="AE70" i="6"/>
  <c r="AI71" i="6"/>
  <c r="AE72" i="6"/>
  <c r="AE49" i="7"/>
  <c r="AE51" i="7"/>
  <c r="I37" i="11" s="1"/>
  <c r="L302" i="8"/>
  <c r="L270" i="8"/>
  <c r="T270" i="8"/>
  <c r="T302" i="8"/>
  <c r="G271" i="8"/>
  <c r="G303" i="8"/>
  <c r="U302" i="8"/>
  <c r="U270" i="8"/>
  <c r="M270" i="8"/>
  <c r="Z269" i="8"/>
  <c r="Z301" i="8"/>
  <c r="M269" i="9"/>
  <c r="M301" i="9"/>
  <c r="AA293" i="8"/>
  <c r="AA261" i="8"/>
  <c r="M306" i="8"/>
  <c r="M274" i="8"/>
  <c r="U306" i="8"/>
  <c r="U274" i="8"/>
  <c r="U307" i="8"/>
  <c r="U275" i="8"/>
  <c r="Y307" i="8"/>
  <c r="Y275" i="8"/>
  <c r="O227" i="8"/>
  <c r="O240" i="8"/>
  <c r="W240" i="8"/>
  <c r="W227" i="8"/>
  <c r="O275" i="8"/>
  <c r="O307" i="8"/>
  <c r="W307" i="8"/>
  <c r="W275" i="8"/>
  <c r="V302" i="8"/>
  <c r="V270" i="8"/>
  <c r="Z306" i="8"/>
  <c r="Z274" i="8"/>
  <c r="I301" i="9"/>
  <c r="I269" i="9"/>
  <c r="Q301" i="9"/>
  <c r="Q269" i="9"/>
  <c r="Y301" i="9"/>
  <c r="Y269" i="9"/>
  <c r="R301" i="10"/>
  <c r="R269" i="10"/>
  <c r="AA307" i="10"/>
  <c r="AA275" i="10"/>
  <c r="H240" i="8"/>
  <c r="H227" i="8"/>
  <c r="P240" i="8"/>
  <c r="P227" i="8"/>
  <c r="X240" i="8"/>
  <c r="X227" i="8"/>
  <c r="H275" i="8"/>
  <c r="H307" i="8"/>
  <c r="P275" i="8"/>
  <c r="P307" i="8"/>
  <c r="AA306" i="8"/>
  <c r="AA274" i="8"/>
  <c r="J269" i="9"/>
  <c r="J301" i="9"/>
  <c r="R269" i="9"/>
  <c r="R301" i="9"/>
  <c r="Z269" i="9"/>
  <c r="Z301" i="9"/>
  <c r="K307" i="10"/>
  <c r="K275" i="10"/>
  <c r="G46" i="8"/>
  <c r="W46" i="8"/>
  <c r="G65" i="8"/>
  <c r="W65" i="8"/>
  <c r="N79" i="8"/>
  <c r="M301" i="8"/>
  <c r="M269" i="8"/>
  <c r="S261" i="8"/>
  <c r="S293" i="8"/>
  <c r="G304" i="8"/>
  <c r="G272" i="8"/>
  <c r="L46" i="8"/>
  <c r="H65" i="8"/>
  <c r="X65" i="8"/>
  <c r="O79" i="8"/>
  <c r="M46" i="8"/>
  <c r="I84" i="8"/>
  <c r="I235" i="8" s="1"/>
  <c r="Q84" i="8"/>
  <c r="Q235" i="8" s="1"/>
  <c r="Y84" i="8"/>
  <c r="Y235" i="8" s="1"/>
  <c r="M65" i="8"/>
  <c r="I307" i="9"/>
  <c r="I275" i="9"/>
  <c r="T79" i="8"/>
  <c r="L79" i="8"/>
  <c r="T65" i="8"/>
  <c r="L65" i="8"/>
  <c r="AA46" i="8"/>
  <c r="S46" i="8"/>
  <c r="K46" i="8"/>
  <c r="AA79" i="8"/>
  <c r="S79" i="8"/>
  <c r="K79" i="8"/>
  <c r="AA65" i="8"/>
  <c r="S65" i="8"/>
  <c r="K65" i="8"/>
  <c r="Z46" i="8"/>
  <c r="R46" i="8"/>
  <c r="J46" i="8"/>
  <c r="Z79" i="8"/>
  <c r="R79" i="8"/>
  <c r="J79" i="8"/>
  <c r="Z65" i="8"/>
  <c r="R65" i="8"/>
  <c r="J65" i="8"/>
  <c r="Y46" i="8"/>
  <c r="Q46" i="8"/>
  <c r="I46" i="8"/>
  <c r="Y79" i="8"/>
  <c r="Q79" i="8"/>
  <c r="I79" i="8"/>
  <c r="Y65" i="8"/>
  <c r="Q65" i="8"/>
  <c r="I65" i="8"/>
  <c r="X46" i="8"/>
  <c r="P46" i="8"/>
  <c r="H46" i="8"/>
  <c r="N46" i="8"/>
  <c r="J269" i="8"/>
  <c r="J301" i="8"/>
  <c r="N65" i="8"/>
  <c r="U79" i="8"/>
  <c r="P269" i="8"/>
  <c r="P301" i="8"/>
  <c r="G306" i="8"/>
  <c r="G274" i="8"/>
  <c r="J293" i="9"/>
  <c r="J261" i="9"/>
  <c r="R293" i="9"/>
  <c r="R261" i="9"/>
  <c r="Z293" i="9"/>
  <c r="Z261" i="9"/>
  <c r="G64" i="8"/>
  <c r="O64" i="8"/>
  <c r="W64" i="8"/>
  <c r="G78" i="8"/>
  <c r="O78" i="8"/>
  <c r="W78" i="8"/>
  <c r="I240" i="8"/>
  <c r="I227" i="8"/>
  <c r="Q240" i="8"/>
  <c r="Q227" i="8"/>
  <c r="Y240" i="8"/>
  <c r="Y227" i="8"/>
  <c r="T293" i="8"/>
  <c r="T261" i="8"/>
  <c r="G289" i="8"/>
  <c r="K84" i="9"/>
  <c r="K235" i="9" s="1"/>
  <c r="S84" i="9"/>
  <c r="S235" i="9" s="1"/>
  <c r="AA84" i="9"/>
  <c r="AA235" i="9" s="1"/>
  <c r="N301" i="9"/>
  <c r="N269" i="9"/>
  <c r="H64" i="8"/>
  <c r="P64" i="8"/>
  <c r="X64" i="8"/>
  <c r="H78" i="8"/>
  <c r="P78" i="8"/>
  <c r="X78" i="8"/>
  <c r="O301" i="9"/>
  <c r="O269" i="9"/>
  <c r="I64" i="8"/>
  <c r="Q64" i="8"/>
  <c r="Y64" i="8"/>
  <c r="I78" i="8"/>
  <c r="Q78" i="8"/>
  <c r="Y78" i="8"/>
  <c r="G291" i="8"/>
  <c r="G259" i="8"/>
  <c r="R306" i="8"/>
  <c r="R274" i="8"/>
  <c r="K261" i="8"/>
  <c r="P301" i="9"/>
  <c r="P269" i="9"/>
  <c r="U261" i="9"/>
  <c r="U293" i="9"/>
  <c r="J64" i="8"/>
  <c r="R64" i="8"/>
  <c r="Z64" i="8"/>
  <c r="J78" i="8"/>
  <c r="R78" i="8"/>
  <c r="Q307" i="8"/>
  <c r="Q275" i="8"/>
  <c r="L261" i="8"/>
  <c r="U301" i="9"/>
  <c r="U269" i="9"/>
  <c r="I302" i="9"/>
  <c r="I270" i="9"/>
  <c r="Q302" i="9"/>
  <c r="Q270" i="9"/>
  <c r="Y302" i="9"/>
  <c r="Y270" i="9"/>
  <c r="J307" i="8"/>
  <c r="J275" i="8"/>
  <c r="R307" i="8"/>
  <c r="R275" i="8"/>
  <c r="Z307" i="8"/>
  <c r="Z275" i="8"/>
  <c r="Q270" i="8"/>
  <c r="J293" i="8"/>
  <c r="Z293" i="8"/>
  <c r="V80" i="9"/>
  <c r="N80" i="9"/>
  <c r="V66" i="9"/>
  <c r="N66" i="9"/>
  <c r="U47" i="9"/>
  <c r="M47" i="9"/>
  <c r="U80" i="9"/>
  <c r="M80" i="9"/>
  <c r="U66" i="9"/>
  <c r="M66" i="9"/>
  <c r="T47" i="9"/>
  <c r="L47" i="9"/>
  <c r="T80" i="9"/>
  <c r="L80" i="9"/>
  <c r="T66" i="9"/>
  <c r="L66" i="9"/>
  <c r="AA47" i="9"/>
  <c r="S47" i="9"/>
  <c r="K47" i="9"/>
  <c r="AA80" i="9"/>
  <c r="S80" i="9"/>
  <c r="K80" i="9"/>
  <c r="AA66" i="9"/>
  <c r="S66" i="9"/>
  <c r="K66" i="9"/>
  <c r="Z47" i="9"/>
  <c r="R47" i="9"/>
  <c r="J47" i="9"/>
  <c r="N47" i="9"/>
  <c r="L84" i="9"/>
  <c r="L235" i="9" s="1"/>
  <c r="T84" i="9"/>
  <c r="T235" i="9" s="1"/>
  <c r="I66" i="9"/>
  <c r="Y66" i="9"/>
  <c r="P80" i="9"/>
  <c r="S301" i="10"/>
  <c r="S269" i="10"/>
  <c r="K307" i="8"/>
  <c r="K275" i="8"/>
  <c r="S307" i="8"/>
  <c r="S275" i="8"/>
  <c r="AA307" i="8"/>
  <c r="AA275" i="8"/>
  <c r="R270" i="8"/>
  <c r="O47" i="9"/>
  <c r="J66" i="9"/>
  <c r="Z66" i="9"/>
  <c r="Q80" i="9"/>
  <c r="G301" i="9"/>
  <c r="G269" i="9"/>
  <c r="W301" i="9"/>
  <c r="W269" i="9"/>
  <c r="G259" i="9"/>
  <c r="G291" i="9"/>
  <c r="Z306" i="9"/>
  <c r="Z274" i="9"/>
  <c r="V269" i="9"/>
  <c r="N269" i="10"/>
  <c r="N301" i="10"/>
  <c r="V269" i="10"/>
  <c r="V301" i="10"/>
  <c r="H301" i="10"/>
  <c r="H269" i="10"/>
  <c r="X301" i="10"/>
  <c r="X269" i="10"/>
  <c r="S270" i="8"/>
  <c r="H301" i="9"/>
  <c r="H269" i="9"/>
  <c r="X301" i="9"/>
  <c r="X269" i="9"/>
  <c r="G270" i="8"/>
  <c r="O270" i="8"/>
  <c r="W270" i="8"/>
  <c r="G64" i="9"/>
  <c r="O64" i="9"/>
  <c r="W64" i="9"/>
  <c r="G78" i="9"/>
  <c r="O78" i="9"/>
  <c r="W78" i="9"/>
  <c r="Y80" i="10"/>
  <c r="Q80" i="10"/>
  <c r="I80" i="10"/>
  <c r="Y66" i="10"/>
  <c r="Q66" i="10"/>
  <c r="I66" i="10"/>
  <c r="X47" i="10"/>
  <c r="P47" i="10"/>
  <c r="H47" i="10"/>
  <c r="X80" i="10"/>
  <c r="P80" i="10"/>
  <c r="H80" i="10"/>
  <c r="X66" i="10"/>
  <c r="P66" i="10"/>
  <c r="H66" i="10"/>
  <c r="W47" i="10"/>
  <c r="O47" i="10"/>
  <c r="G47" i="10"/>
  <c r="W80" i="10"/>
  <c r="O80" i="10"/>
  <c r="G80" i="10"/>
  <c r="W66" i="10"/>
  <c r="O66" i="10"/>
  <c r="G66" i="10"/>
  <c r="V47" i="10"/>
  <c r="N47" i="10"/>
  <c r="V80" i="10"/>
  <c r="N80" i="10"/>
  <c r="V66" i="10"/>
  <c r="N66" i="10"/>
  <c r="U47" i="10"/>
  <c r="M47" i="10"/>
  <c r="AA80" i="10"/>
  <c r="K80" i="10"/>
  <c r="T66" i="10"/>
  <c r="Q47" i="10"/>
  <c r="Z80" i="10"/>
  <c r="J80" i="10"/>
  <c r="S66" i="10"/>
  <c r="L47" i="10"/>
  <c r="U80" i="10"/>
  <c r="R66" i="10"/>
  <c r="AA47" i="10"/>
  <c r="K47" i="10"/>
  <c r="T80" i="10"/>
  <c r="M66" i="10"/>
  <c r="Z47" i="10"/>
  <c r="J47" i="10"/>
  <c r="S80" i="10"/>
  <c r="I301" i="10"/>
  <c r="I269" i="10"/>
  <c r="Y301" i="10"/>
  <c r="Y269" i="10"/>
  <c r="G305" i="10"/>
  <c r="G273" i="10"/>
  <c r="H270" i="8"/>
  <c r="P270" i="8"/>
  <c r="X270" i="8"/>
  <c r="G273" i="8"/>
  <c r="H64" i="9"/>
  <c r="P64" i="9"/>
  <c r="X64" i="9"/>
  <c r="H78" i="9"/>
  <c r="P78" i="9"/>
  <c r="X78" i="9"/>
  <c r="L293" i="9"/>
  <c r="G305" i="9"/>
  <c r="I64" i="9"/>
  <c r="Q64" i="9"/>
  <c r="Y64" i="9"/>
  <c r="I78" i="9"/>
  <c r="Q78" i="9"/>
  <c r="Y78" i="9"/>
  <c r="H227" i="9"/>
  <c r="H240" i="9"/>
  <c r="X227" i="9"/>
  <c r="X240" i="9"/>
  <c r="H275" i="9"/>
  <c r="H307" i="9"/>
  <c r="X275" i="9"/>
  <c r="X307" i="9"/>
  <c r="AA184" i="10"/>
  <c r="S184" i="10"/>
  <c r="K184" i="10"/>
  <c r="Z184" i="10"/>
  <c r="R184" i="10"/>
  <c r="J184" i="10"/>
  <c r="Y184" i="10"/>
  <c r="Q184" i="10"/>
  <c r="I184" i="10"/>
  <c r="X184" i="10"/>
  <c r="P184" i="10"/>
  <c r="H184" i="10"/>
  <c r="W184" i="10"/>
  <c r="V184" i="10"/>
  <c r="U184" i="10"/>
  <c r="T184" i="10"/>
  <c r="O184" i="10"/>
  <c r="N184" i="10"/>
  <c r="M184" i="10"/>
  <c r="L184" i="10"/>
  <c r="L269" i="10"/>
  <c r="L301" i="10"/>
  <c r="T301" i="10"/>
  <c r="T269" i="10"/>
  <c r="J66" i="10"/>
  <c r="G185" i="10"/>
  <c r="J64" i="9"/>
  <c r="R64" i="9"/>
  <c r="Z64" i="9"/>
  <c r="J78" i="9"/>
  <c r="R78" i="9"/>
  <c r="I227" i="9"/>
  <c r="I240" i="9"/>
  <c r="Y227" i="9"/>
  <c r="Y240" i="9"/>
  <c r="M301" i="10"/>
  <c r="M269" i="10"/>
  <c r="U301" i="10"/>
  <c r="U269" i="10"/>
  <c r="K66" i="10"/>
  <c r="Z275" i="10"/>
  <c r="Z307" i="10"/>
  <c r="L306" i="9"/>
  <c r="L274" i="9"/>
  <c r="T306" i="9"/>
  <c r="T274" i="9"/>
  <c r="M293" i="9"/>
  <c r="O302" i="9"/>
  <c r="R307" i="9"/>
  <c r="G84" i="10"/>
  <c r="G235" i="10" s="1"/>
  <c r="O84" i="10"/>
  <c r="O235" i="10" s="1"/>
  <c r="W84" i="10"/>
  <c r="W235" i="10" s="1"/>
  <c r="J301" i="10"/>
  <c r="J269" i="10"/>
  <c r="M306" i="9"/>
  <c r="M274" i="9"/>
  <c r="U306" i="9"/>
  <c r="U274" i="9"/>
  <c r="M307" i="9"/>
  <c r="M275" i="9"/>
  <c r="U307" i="9"/>
  <c r="U275" i="9"/>
  <c r="N227" i="9"/>
  <c r="W240" i="9"/>
  <c r="S261" i="9"/>
  <c r="R274" i="9"/>
  <c r="L275" i="9"/>
  <c r="K269" i="10"/>
  <c r="K301" i="10"/>
  <c r="AA269" i="10"/>
  <c r="AA301" i="10"/>
  <c r="V274" i="9"/>
  <c r="AB274" i="9" s="1"/>
  <c r="AB240" i="9"/>
  <c r="N307" i="9"/>
  <c r="N275" i="9"/>
  <c r="V307" i="9"/>
  <c r="AB307" i="9" s="1"/>
  <c r="V275" i="9"/>
  <c r="AB275" i="9" s="1"/>
  <c r="N306" i="9"/>
  <c r="P301" i="10"/>
  <c r="P269" i="10"/>
  <c r="O261" i="9"/>
  <c r="O293" i="9"/>
  <c r="W261" i="9"/>
  <c r="W293" i="9"/>
  <c r="O307" i="9"/>
  <c r="O275" i="9"/>
  <c r="W307" i="9"/>
  <c r="W275" i="9"/>
  <c r="T293" i="9"/>
  <c r="G238" i="9"/>
  <c r="J270" i="9"/>
  <c r="R270" i="9"/>
  <c r="Z270" i="9"/>
  <c r="G293" i="9"/>
  <c r="K46" i="10"/>
  <c r="S46" i="10"/>
  <c r="AA46" i="10"/>
  <c r="J64" i="10"/>
  <c r="R64" i="10"/>
  <c r="Z64" i="10"/>
  <c r="L65" i="10"/>
  <c r="T65" i="10"/>
  <c r="J78" i="10"/>
  <c r="R78" i="10"/>
  <c r="Z78" i="10"/>
  <c r="L79" i="10"/>
  <c r="T79" i="10"/>
  <c r="G306" i="10"/>
  <c r="G274" i="10"/>
  <c r="L275" i="10"/>
  <c r="L307" i="10"/>
  <c r="I307" i="10"/>
  <c r="K270" i="9"/>
  <c r="S270" i="9"/>
  <c r="AA270" i="9"/>
  <c r="G16" i="10"/>
  <c r="L46" i="10"/>
  <c r="T46" i="10"/>
  <c r="K64" i="10"/>
  <c r="S64" i="10"/>
  <c r="AA64" i="10"/>
  <c r="M65" i="10"/>
  <c r="U65" i="10"/>
  <c r="K78" i="10"/>
  <c r="S78" i="10"/>
  <c r="AA78" i="10"/>
  <c r="M79" i="10"/>
  <c r="U79" i="10"/>
  <c r="L293" i="10"/>
  <c r="N302" i="10"/>
  <c r="N270" i="10"/>
  <c r="V270" i="10"/>
  <c r="V302" i="10"/>
  <c r="H306" i="10"/>
  <c r="H274" i="10"/>
  <c r="Q307" i="10"/>
  <c r="Q275" i="10"/>
  <c r="L270" i="9"/>
  <c r="T270" i="9"/>
  <c r="G271" i="9"/>
  <c r="G275" i="9"/>
  <c r="M46" i="10"/>
  <c r="U46" i="10"/>
  <c r="L64" i="10"/>
  <c r="T64" i="10"/>
  <c r="N65" i="10"/>
  <c r="V65" i="10"/>
  <c r="L78" i="10"/>
  <c r="T78" i="10"/>
  <c r="N79" i="10"/>
  <c r="V79" i="10"/>
  <c r="Y307" i="10"/>
  <c r="Y275" i="10"/>
  <c r="M293" i="10"/>
  <c r="M261" i="10"/>
  <c r="Q306" i="10"/>
  <c r="Q274" i="10"/>
  <c r="N46" i="10"/>
  <c r="V46" i="10"/>
  <c r="M64" i="10"/>
  <c r="U64" i="10"/>
  <c r="G65" i="10"/>
  <c r="O65" i="10"/>
  <c r="W65" i="10"/>
  <c r="M78" i="10"/>
  <c r="G79" i="10"/>
  <c r="O79" i="10"/>
  <c r="J227" i="10"/>
  <c r="J240" i="10"/>
  <c r="R293" i="10"/>
  <c r="R261" i="10"/>
  <c r="Z227" i="10"/>
  <c r="Z240" i="10"/>
  <c r="J275" i="10"/>
  <c r="J307" i="10"/>
  <c r="R307" i="10"/>
  <c r="R275" i="10"/>
  <c r="R240" i="10"/>
  <c r="K240" i="10"/>
  <c r="K227" i="10"/>
  <c r="S306" i="10"/>
  <c r="S274" i="10"/>
  <c r="AA240" i="10"/>
  <c r="AA227" i="10"/>
  <c r="S307" i="10"/>
  <c r="S275" i="10"/>
  <c r="N293" i="10"/>
  <c r="N261" i="10"/>
  <c r="T240" i="10"/>
  <c r="T227" i="10"/>
  <c r="T275" i="10"/>
  <c r="T307" i="10"/>
  <c r="G291" i="10"/>
  <c r="G259" i="10"/>
  <c r="S227" i="10"/>
  <c r="M306" i="10"/>
  <c r="M274" i="10"/>
  <c r="U240" i="10"/>
  <c r="U227" i="10"/>
  <c r="M307" i="10"/>
  <c r="M275" i="10"/>
  <c r="U307" i="10"/>
  <c r="U275" i="10"/>
  <c r="L274" i="10"/>
  <c r="V274" i="10"/>
  <c r="AB274" i="10" s="1"/>
  <c r="AB240" i="10"/>
  <c r="N307" i="10"/>
  <c r="N275" i="10"/>
  <c r="V307" i="10"/>
  <c r="AB307" i="10" s="1"/>
  <c r="V275" i="10"/>
  <c r="AB275" i="10" s="1"/>
  <c r="G289" i="10"/>
  <c r="G257" i="10"/>
  <c r="O302" i="10"/>
  <c r="O270" i="10"/>
  <c r="W270" i="10"/>
  <c r="W302" i="10"/>
  <c r="I240" i="10"/>
  <c r="Y240" i="10"/>
  <c r="I302" i="10"/>
  <c r="O293" i="10"/>
  <c r="O261" i="10"/>
  <c r="O307" i="10"/>
  <c r="O275" i="10"/>
  <c r="W307" i="10"/>
  <c r="W275" i="10"/>
  <c r="H302" i="10"/>
  <c r="H270" i="10"/>
  <c r="P302" i="10"/>
  <c r="P270" i="10"/>
  <c r="X302" i="10"/>
  <c r="X270" i="10"/>
  <c r="H293" i="10"/>
  <c r="H261" i="10"/>
  <c r="P293" i="10"/>
  <c r="P261" i="10"/>
  <c r="X293" i="10"/>
  <c r="X261" i="10"/>
  <c r="H307" i="10"/>
  <c r="H275" i="10"/>
  <c r="P275" i="10"/>
  <c r="P307" i="10"/>
  <c r="X275" i="10"/>
  <c r="X307" i="10"/>
  <c r="V227" i="10"/>
  <c r="Q270" i="10"/>
  <c r="Q302" i="10"/>
  <c r="Y270" i="10"/>
  <c r="Y302" i="10"/>
  <c r="O240" i="10"/>
  <c r="I293" i="10"/>
  <c r="I261" i="10"/>
  <c r="Q293" i="10"/>
  <c r="Q261" i="10"/>
  <c r="Y293" i="10"/>
  <c r="Y261" i="10"/>
  <c r="P240" i="10"/>
  <c r="T270" i="10"/>
  <c r="G290" i="10"/>
  <c r="G258" i="10"/>
  <c r="U270" i="10"/>
  <c r="G303" i="10"/>
  <c r="G271" i="10"/>
  <c r="G307" i="10"/>
  <c r="G275" i="10"/>
  <c r="J270" i="10"/>
  <c r="Z270" i="10"/>
  <c r="K270" i="10"/>
  <c r="AA270" i="10"/>
  <c r="X274" i="10" l="1"/>
  <c r="BJ119" i="5"/>
  <c r="Z12" i="4"/>
  <c r="Z136" i="7" s="1"/>
  <c r="V293" i="9"/>
  <c r="M261" i="8"/>
  <c r="W274" i="10"/>
  <c r="AW120" i="5"/>
  <c r="AC178" i="5"/>
  <c r="P274" i="9"/>
  <c r="AF120" i="5"/>
  <c r="Z269" i="10"/>
  <c r="R301" i="8"/>
  <c r="AE12" i="4"/>
  <c r="Z146" i="7"/>
  <c r="Z142" i="7"/>
  <c r="Z141" i="7"/>
  <c r="Z123" i="7"/>
  <c r="Z145" i="7"/>
  <c r="Z144" i="7"/>
  <c r="Z132" i="7"/>
  <c r="Z128" i="7"/>
  <c r="Z143" i="7"/>
  <c r="AA261" i="9"/>
  <c r="AA293" i="9"/>
  <c r="O306" i="9"/>
  <c r="O274" i="9"/>
  <c r="AG29" i="6"/>
  <c r="AA12" i="4"/>
  <c r="AA118" i="7" s="1"/>
  <c r="I82" i="5"/>
  <c r="I107" i="5" s="1"/>
  <c r="J107" i="5" s="1"/>
  <c r="AB107" i="5" s="1"/>
  <c r="AR119" i="5"/>
  <c r="AN7" i="4"/>
  <c r="AO5" i="4"/>
  <c r="AH30" i="6"/>
  <c r="AG30" i="6"/>
  <c r="AO159" i="5"/>
  <c r="AM7" i="4"/>
  <c r="AG78" i="6"/>
  <c r="AQ153" i="5"/>
  <c r="AG176" i="5"/>
  <c r="AH157" i="5"/>
  <c r="AW153" i="5"/>
  <c r="R261" i="8"/>
  <c r="R293" i="8"/>
  <c r="BE156" i="5"/>
  <c r="BE150" i="5"/>
  <c r="AO150" i="5"/>
  <c r="H167" i="15"/>
  <c r="I167" i="15" s="1"/>
  <c r="J167" i="15" s="1"/>
  <c r="K167" i="15" s="1"/>
  <c r="L167" i="15" s="1"/>
  <c r="M167" i="15" s="1"/>
  <c r="N167" i="15" s="1"/>
  <c r="O167" i="15" s="1"/>
  <c r="P167" i="15" s="1"/>
  <c r="Q167" i="15" s="1"/>
  <c r="R167" i="15" s="1"/>
  <c r="S167" i="15" s="1"/>
  <c r="T167" i="15" s="1"/>
  <c r="U167" i="15" s="1"/>
  <c r="V167" i="15" s="1"/>
  <c r="W167" i="15" s="1"/>
  <c r="X167" i="15" s="1"/>
  <c r="Y167" i="15" s="1"/>
  <c r="Z167" i="15" s="1"/>
  <c r="AA167" i="15" s="1"/>
  <c r="H166" i="15"/>
  <c r="I166" i="15" s="1"/>
  <c r="J166" i="15" s="1"/>
  <c r="K166" i="15" s="1"/>
  <c r="L166" i="15" s="1"/>
  <c r="M166" i="15" s="1"/>
  <c r="N166" i="15" s="1"/>
  <c r="O166" i="15" s="1"/>
  <c r="P166" i="15" s="1"/>
  <c r="Q166" i="15" s="1"/>
  <c r="R166" i="15" s="1"/>
  <c r="S166" i="15" s="1"/>
  <c r="T166" i="15" s="1"/>
  <c r="U166" i="15" s="1"/>
  <c r="V166" i="15" s="1"/>
  <c r="W166" i="15" s="1"/>
  <c r="X166" i="15" s="1"/>
  <c r="Y166" i="15" s="1"/>
  <c r="Z166" i="15" s="1"/>
  <c r="AA166" i="15" s="1"/>
  <c r="H168" i="15"/>
  <c r="I168" i="15" s="1"/>
  <c r="J168" i="15" s="1"/>
  <c r="K168" i="15" s="1"/>
  <c r="L168" i="15" s="1"/>
  <c r="M168" i="15" s="1"/>
  <c r="N168" i="15" s="1"/>
  <c r="O168" i="15" s="1"/>
  <c r="P168" i="15" s="1"/>
  <c r="Q168" i="15" s="1"/>
  <c r="R168" i="15" s="1"/>
  <c r="S168" i="15" s="1"/>
  <c r="T168" i="15" s="1"/>
  <c r="U168" i="15" s="1"/>
  <c r="V168" i="15" s="1"/>
  <c r="W168" i="15" s="1"/>
  <c r="X168" i="15" s="1"/>
  <c r="Y168" i="15" s="1"/>
  <c r="Z168" i="15" s="1"/>
  <c r="AA168" i="15" s="1"/>
  <c r="H165" i="15"/>
  <c r="I165" i="15" s="1"/>
  <c r="J165" i="15" s="1"/>
  <c r="K165" i="15" s="1"/>
  <c r="L165" i="15" s="1"/>
  <c r="M165" i="15" s="1"/>
  <c r="N165" i="15" s="1"/>
  <c r="O165" i="15" s="1"/>
  <c r="P165" i="15" s="1"/>
  <c r="Q165" i="15" s="1"/>
  <c r="R165" i="15" s="1"/>
  <c r="S165" i="15" s="1"/>
  <c r="T165" i="15" s="1"/>
  <c r="U165" i="15" s="1"/>
  <c r="V165" i="15" s="1"/>
  <c r="W165" i="15" s="1"/>
  <c r="X165" i="15" s="1"/>
  <c r="Y165" i="15" s="1"/>
  <c r="Z165" i="15" s="1"/>
  <c r="AA165" i="15" s="1"/>
  <c r="H167" i="14"/>
  <c r="I167" i="14" s="1"/>
  <c r="J167" i="14" s="1"/>
  <c r="K167" i="14" s="1"/>
  <c r="L167" i="14" s="1"/>
  <c r="M167" i="14" s="1"/>
  <c r="N167" i="14" s="1"/>
  <c r="O167" i="14" s="1"/>
  <c r="P167" i="14" s="1"/>
  <c r="Q167" i="14" s="1"/>
  <c r="R167" i="14" s="1"/>
  <c r="S167" i="14" s="1"/>
  <c r="T167" i="14" s="1"/>
  <c r="U167" i="14" s="1"/>
  <c r="V167" i="14" s="1"/>
  <c r="W167" i="14" s="1"/>
  <c r="X167" i="14" s="1"/>
  <c r="Y167" i="14" s="1"/>
  <c r="Z167" i="14" s="1"/>
  <c r="AA167" i="14" s="1"/>
  <c r="H168" i="14"/>
  <c r="I168" i="14" s="1"/>
  <c r="J168" i="14" s="1"/>
  <c r="K168" i="14" s="1"/>
  <c r="L168" i="14" s="1"/>
  <c r="M168" i="14" s="1"/>
  <c r="N168" i="14" s="1"/>
  <c r="O168" i="14" s="1"/>
  <c r="P168" i="14" s="1"/>
  <c r="Q168" i="14" s="1"/>
  <c r="R168" i="14" s="1"/>
  <c r="S168" i="14" s="1"/>
  <c r="T168" i="14" s="1"/>
  <c r="U168" i="14" s="1"/>
  <c r="V168" i="14" s="1"/>
  <c r="W168" i="14" s="1"/>
  <c r="X168" i="14" s="1"/>
  <c r="Y168" i="14" s="1"/>
  <c r="Z168" i="14" s="1"/>
  <c r="AA168" i="14" s="1"/>
  <c r="H166" i="14"/>
  <c r="I166" i="14" s="1"/>
  <c r="J166" i="14" s="1"/>
  <c r="K166" i="14" s="1"/>
  <c r="L166" i="14" s="1"/>
  <c r="M166" i="14" s="1"/>
  <c r="N166" i="14" s="1"/>
  <c r="O166" i="14" s="1"/>
  <c r="P166" i="14" s="1"/>
  <c r="Q166" i="14" s="1"/>
  <c r="R166" i="14" s="1"/>
  <c r="S166" i="14" s="1"/>
  <c r="T166" i="14" s="1"/>
  <c r="U166" i="14" s="1"/>
  <c r="V166" i="14" s="1"/>
  <c r="W166" i="14" s="1"/>
  <c r="X166" i="14" s="1"/>
  <c r="Y166" i="14" s="1"/>
  <c r="Z166" i="14" s="1"/>
  <c r="AA166" i="14" s="1"/>
  <c r="H165" i="14"/>
  <c r="I165" i="14" s="1"/>
  <c r="J165" i="14" s="1"/>
  <c r="K165" i="14" s="1"/>
  <c r="L165" i="14" s="1"/>
  <c r="M165" i="14" s="1"/>
  <c r="N165" i="14" s="1"/>
  <c r="O165" i="14" s="1"/>
  <c r="P165" i="14" s="1"/>
  <c r="Q165" i="14" s="1"/>
  <c r="R165" i="14" s="1"/>
  <c r="S165" i="14" s="1"/>
  <c r="T165" i="14" s="1"/>
  <c r="U165" i="14" s="1"/>
  <c r="V165" i="14" s="1"/>
  <c r="W165" i="14" s="1"/>
  <c r="X165" i="14" s="1"/>
  <c r="Y165" i="14" s="1"/>
  <c r="Z165" i="14" s="1"/>
  <c r="AA165" i="14" s="1"/>
  <c r="H146" i="14"/>
  <c r="I146" i="14" s="1"/>
  <c r="J146" i="14" s="1"/>
  <c r="K146" i="14" s="1"/>
  <c r="L146" i="14" s="1"/>
  <c r="M146" i="14" s="1"/>
  <c r="N146" i="14" s="1"/>
  <c r="O146" i="14" s="1"/>
  <c r="P146" i="14" s="1"/>
  <c r="Q146" i="14" s="1"/>
  <c r="R146" i="14" s="1"/>
  <c r="S146" i="14" s="1"/>
  <c r="T146" i="14" s="1"/>
  <c r="U146" i="14" s="1"/>
  <c r="V146" i="14" s="1"/>
  <c r="W146" i="14" s="1"/>
  <c r="X146" i="14" s="1"/>
  <c r="Y146" i="14" s="1"/>
  <c r="Z146" i="14" s="1"/>
  <c r="AA146" i="14" s="1"/>
  <c r="H145" i="14"/>
  <c r="I145" i="14" s="1"/>
  <c r="J145" i="14" s="1"/>
  <c r="K145" i="14" s="1"/>
  <c r="L145" i="14" s="1"/>
  <c r="M145" i="14" s="1"/>
  <c r="N145" i="14" s="1"/>
  <c r="O145" i="14" s="1"/>
  <c r="P145" i="14" s="1"/>
  <c r="Q145" i="14" s="1"/>
  <c r="R145" i="14" s="1"/>
  <c r="S145" i="14" s="1"/>
  <c r="T145" i="14" s="1"/>
  <c r="U145" i="14" s="1"/>
  <c r="V145" i="14" s="1"/>
  <c r="W145" i="14" s="1"/>
  <c r="X145" i="14" s="1"/>
  <c r="Y145" i="14" s="1"/>
  <c r="Z145" i="14" s="1"/>
  <c r="AA145" i="14" s="1"/>
  <c r="H144" i="14"/>
  <c r="I144" i="14" s="1"/>
  <c r="J144" i="14" s="1"/>
  <c r="K144" i="14" s="1"/>
  <c r="L144" i="14" s="1"/>
  <c r="M144" i="14" s="1"/>
  <c r="N144" i="14" s="1"/>
  <c r="O144" i="14" s="1"/>
  <c r="P144" i="14" s="1"/>
  <c r="Q144" i="14" s="1"/>
  <c r="R144" i="14" s="1"/>
  <c r="S144" i="14" s="1"/>
  <c r="T144" i="14" s="1"/>
  <c r="U144" i="14" s="1"/>
  <c r="V144" i="14" s="1"/>
  <c r="W144" i="14" s="1"/>
  <c r="X144" i="14" s="1"/>
  <c r="Y144" i="14" s="1"/>
  <c r="Z144" i="14" s="1"/>
  <c r="AA144" i="14" s="1"/>
  <c r="H147" i="14"/>
  <c r="I147" i="14" s="1"/>
  <c r="J147" i="14" s="1"/>
  <c r="K147" i="14" s="1"/>
  <c r="L147" i="14" s="1"/>
  <c r="M147" i="14" s="1"/>
  <c r="N147" i="14" s="1"/>
  <c r="O147" i="14" s="1"/>
  <c r="P147" i="14" s="1"/>
  <c r="Q147" i="14" s="1"/>
  <c r="R147" i="14" s="1"/>
  <c r="S147" i="14" s="1"/>
  <c r="T147" i="14" s="1"/>
  <c r="U147" i="14" s="1"/>
  <c r="V147" i="14" s="1"/>
  <c r="W147" i="14" s="1"/>
  <c r="X147" i="14" s="1"/>
  <c r="Y147" i="14" s="1"/>
  <c r="Z147" i="14" s="1"/>
  <c r="AA147" i="14" s="1"/>
  <c r="H146" i="15"/>
  <c r="I146" i="15" s="1"/>
  <c r="J146" i="15" s="1"/>
  <c r="K146" i="15" s="1"/>
  <c r="L146" i="15" s="1"/>
  <c r="M146" i="15" s="1"/>
  <c r="N146" i="15" s="1"/>
  <c r="O146" i="15" s="1"/>
  <c r="P146" i="15" s="1"/>
  <c r="Q146" i="15" s="1"/>
  <c r="R146" i="15" s="1"/>
  <c r="S146" i="15" s="1"/>
  <c r="T146" i="15" s="1"/>
  <c r="U146" i="15" s="1"/>
  <c r="V146" i="15" s="1"/>
  <c r="W146" i="15" s="1"/>
  <c r="X146" i="15" s="1"/>
  <c r="Y146" i="15" s="1"/>
  <c r="Z146" i="15" s="1"/>
  <c r="AA146" i="15" s="1"/>
  <c r="H145" i="15"/>
  <c r="I145" i="15" s="1"/>
  <c r="J145" i="15" s="1"/>
  <c r="K145" i="15" s="1"/>
  <c r="L145" i="15" s="1"/>
  <c r="M145" i="15" s="1"/>
  <c r="N145" i="15" s="1"/>
  <c r="O145" i="15" s="1"/>
  <c r="P145" i="15" s="1"/>
  <c r="Q145" i="15" s="1"/>
  <c r="R145" i="15" s="1"/>
  <c r="S145" i="15" s="1"/>
  <c r="T145" i="15" s="1"/>
  <c r="U145" i="15" s="1"/>
  <c r="V145" i="15" s="1"/>
  <c r="W145" i="15" s="1"/>
  <c r="X145" i="15" s="1"/>
  <c r="Y145" i="15" s="1"/>
  <c r="Z145" i="15" s="1"/>
  <c r="AA145" i="15" s="1"/>
  <c r="H147" i="15"/>
  <c r="I147" i="15" s="1"/>
  <c r="J147" i="15" s="1"/>
  <c r="K147" i="15" s="1"/>
  <c r="L147" i="15" s="1"/>
  <c r="M147" i="15" s="1"/>
  <c r="N147" i="15" s="1"/>
  <c r="O147" i="15" s="1"/>
  <c r="P147" i="15" s="1"/>
  <c r="Q147" i="15" s="1"/>
  <c r="R147" i="15" s="1"/>
  <c r="S147" i="15" s="1"/>
  <c r="T147" i="15" s="1"/>
  <c r="U147" i="15" s="1"/>
  <c r="V147" i="15" s="1"/>
  <c r="W147" i="15" s="1"/>
  <c r="X147" i="15" s="1"/>
  <c r="Y147" i="15" s="1"/>
  <c r="Z147" i="15" s="1"/>
  <c r="AA147" i="15" s="1"/>
  <c r="H144" i="15"/>
  <c r="I144" i="15" s="1"/>
  <c r="J144" i="15" s="1"/>
  <c r="K144" i="15" s="1"/>
  <c r="L144" i="15" s="1"/>
  <c r="M144" i="15" s="1"/>
  <c r="N144" i="15" s="1"/>
  <c r="O144" i="15" s="1"/>
  <c r="P144" i="15" s="1"/>
  <c r="Q144" i="15" s="1"/>
  <c r="R144" i="15" s="1"/>
  <c r="S144" i="15" s="1"/>
  <c r="T144" i="15" s="1"/>
  <c r="U144" i="15" s="1"/>
  <c r="V144" i="15" s="1"/>
  <c r="W144" i="15" s="1"/>
  <c r="X144" i="15" s="1"/>
  <c r="Y144" i="15" s="1"/>
  <c r="Z144" i="15" s="1"/>
  <c r="AA144" i="15" s="1"/>
  <c r="H125" i="14"/>
  <c r="I125" i="14" s="1"/>
  <c r="J125" i="14" s="1"/>
  <c r="K125" i="14" s="1"/>
  <c r="L125" i="14" s="1"/>
  <c r="M125" i="14" s="1"/>
  <c r="N125" i="14" s="1"/>
  <c r="O125" i="14" s="1"/>
  <c r="P125" i="14" s="1"/>
  <c r="Q125" i="14" s="1"/>
  <c r="R125" i="14" s="1"/>
  <c r="S125" i="14" s="1"/>
  <c r="T125" i="14" s="1"/>
  <c r="U125" i="14" s="1"/>
  <c r="V125" i="14" s="1"/>
  <c r="W125" i="14" s="1"/>
  <c r="X125" i="14" s="1"/>
  <c r="Y125" i="14" s="1"/>
  <c r="Z125" i="14" s="1"/>
  <c r="AA125" i="14" s="1"/>
  <c r="H123" i="14"/>
  <c r="I123" i="14" s="1"/>
  <c r="J123" i="14" s="1"/>
  <c r="K123" i="14" s="1"/>
  <c r="L123" i="14" s="1"/>
  <c r="M123" i="14" s="1"/>
  <c r="N123" i="14" s="1"/>
  <c r="O123" i="14" s="1"/>
  <c r="P123" i="14" s="1"/>
  <c r="Q123" i="14" s="1"/>
  <c r="R123" i="14" s="1"/>
  <c r="S123" i="14" s="1"/>
  <c r="T123" i="14" s="1"/>
  <c r="U123" i="14" s="1"/>
  <c r="V123" i="14" s="1"/>
  <c r="W123" i="14" s="1"/>
  <c r="X123" i="14" s="1"/>
  <c r="Y123" i="14" s="1"/>
  <c r="Z123" i="14" s="1"/>
  <c r="AA123" i="14" s="1"/>
  <c r="H124" i="14"/>
  <c r="I124" i="14" s="1"/>
  <c r="J124" i="14" s="1"/>
  <c r="K124" i="14" s="1"/>
  <c r="L124" i="14" s="1"/>
  <c r="M124" i="14" s="1"/>
  <c r="N124" i="14" s="1"/>
  <c r="O124" i="14" s="1"/>
  <c r="P124" i="14" s="1"/>
  <c r="Q124" i="14" s="1"/>
  <c r="R124" i="14" s="1"/>
  <c r="S124" i="14" s="1"/>
  <c r="T124" i="14" s="1"/>
  <c r="U124" i="14" s="1"/>
  <c r="V124" i="14" s="1"/>
  <c r="W124" i="14" s="1"/>
  <c r="X124" i="14" s="1"/>
  <c r="Y124" i="14" s="1"/>
  <c r="Z124" i="14" s="1"/>
  <c r="AA124" i="14" s="1"/>
  <c r="H126" i="14"/>
  <c r="I126" i="14" s="1"/>
  <c r="J126" i="14" s="1"/>
  <c r="K126" i="14" s="1"/>
  <c r="L126" i="14" s="1"/>
  <c r="M126" i="14" s="1"/>
  <c r="N126" i="14" s="1"/>
  <c r="O126" i="14" s="1"/>
  <c r="P126" i="14" s="1"/>
  <c r="Q126" i="14" s="1"/>
  <c r="R126" i="14" s="1"/>
  <c r="S126" i="14" s="1"/>
  <c r="T126" i="14" s="1"/>
  <c r="U126" i="14" s="1"/>
  <c r="V126" i="14" s="1"/>
  <c r="W126" i="14" s="1"/>
  <c r="X126" i="14" s="1"/>
  <c r="Y126" i="14" s="1"/>
  <c r="Z126" i="14" s="1"/>
  <c r="AA126" i="14" s="1"/>
  <c r="H125" i="15"/>
  <c r="I125" i="15" s="1"/>
  <c r="J125" i="15" s="1"/>
  <c r="K125" i="15" s="1"/>
  <c r="L125" i="15" s="1"/>
  <c r="M125" i="15" s="1"/>
  <c r="N125" i="15" s="1"/>
  <c r="O125" i="15" s="1"/>
  <c r="P125" i="15" s="1"/>
  <c r="Q125" i="15" s="1"/>
  <c r="R125" i="15" s="1"/>
  <c r="S125" i="15" s="1"/>
  <c r="T125" i="15" s="1"/>
  <c r="U125" i="15" s="1"/>
  <c r="V125" i="15" s="1"/>
  <c r="W125" i="15" s="1"/>
  <c r="X125" i="15" s="1"/>
  <c r="Y125" i="15" s="1"/>
  <c r="Z125" i="15" s="1"/>
  <c r="AA125" i="15" s="1"/>
  <c r="H123" i="15"/>
  <c r="I123" i="15" s="1"/>
  <c r="J123" i="15" s="1"/>
  <c r="K123" i="15" s="1"/>
  <c r="L123" i="15" s="1"/>
  <c r="M123" i="15" s="1"/>
  <c r="N123" i="15" s="1"/>
  <c r="O123" i="15" s="1"/>
  <c r="P123" i="15" s="1"/>
  <c r="Q123" i="15" s="1"/>
  <c r="R123" i="15" s="1"/>
  <c r="S123" i="15" s="1"/>
  <c r="T123" i="15" s="1"/>
  <c r="U123" i="15" s="1"/>
  <c r="V123" i="15" s="1"/>
  <c r="W123" i="15" s="1"/>
  <c r="X123" i="15" s="1"/>
  <c r="Y123" i="15" s="1"/>
  <c r="Z123" i="15" s="1"/>
  <c r="AA123" i="15" s="1"/>
  <c r="H126" i="15"/>
  <c r="I126" i="15" s="1"/>
  <c r="J126" i="15" s="1"/>
  <c r="K126" i="15" s="1"/>
  <c r="L126" i="15" s="1"/>
  <c r="M126" i="15" s="1"/>
  <c r="N126" i="15" s="1"/>
  <c r="O126" i="15" s="1"/>
  <c r="P126" i="15" s="1"/>
  <c r="Q126" i="15" s="1"/>
  <c r="R126" i="15" s="1"/>
  <c r="S126" i="15" s="1"/>
  <c r="T126" i="15" s="1"/>
  <c r="U126" i="15" s="1"/>
  <c r="V126" i="15" s="1"/>
  <c r="W126" i="15" s="1"/>
  <c r="X126" i="15" s="1"/>
  <c r="Y126" i="15" s="1"/>
  <c r="Z126" i="15" s="1"/>
  <c r="AA126" i="15" s="1"/>
  <c r="H124" i="15"/>
  <c r="I124" i="15" s="1"/>
  <c r="J124" i="15" s="1"/>
  <c r="K124" i="15" s="1"/>
  <c r="L124" i="15" s="1"/>
  <c r="M124" i="15" s="1"/>
  <c r="N124" i="15" s="1"/>
  <c r="O124" i="15" s="1"/>
  <c r="P124" i="15" s="1"/>
  <c r="Q124" i="15" s="1"/>
  <c r="R124" i="15" s="1"/>
  <c r="S124" i="15" s="1"/>
  <c r="T124" i="15" s="1"/>
  <c r="U124" i="15" s="1"/>
  <c r="V124" i="15" s="1"/>
  <c r="W124" i="15" s="1"/>
  <c r="X124" i="15" s="1"/>
  <c r="Y124" i="15" s="1"/>
  <c r="Z124" i="15" s="1"/>
  <c r="AA124" i="15" s="1"/>
  <c r="H103" i="14"/>
  <c r="I103" i="14" s="1"/>
  <c r="J103" i="14" s="1"/>
  <c r="K103" i="14" s="1"/>
  <c r="L103" i="14" s="1"/>
  <c r="M103" i="14" s="1"/>
  <c r="N103" i="14" s="1"/>
  <c r="O103" i="14" s="1"/>
  <c r="P103" i="14" s="1"/>
  <c r="Q103" i="14" s="1"/>
  <c r="R103" i="14" s="1"/>
  <c r="S103" i="14" s="1"/>
  <c r="T103" i="14" s="1"/>
  <c r="U103" i="14" s="1"/>
  <c r="V103" i="14" s="1"/>
  <c r="W103" i="14" s="1"/>
  <c r="X103" i="14" s="1"/>
  <c r="Y103" i="14" s="1"/>
  <c r="Z103" i="14" s="1"/>
  <c r="AA103" i="14" s="1"/>
  <c r="H105" i="14"/>
  <c r="I105" i="14" s="1"/>
  <c r="J105" i="14" s="1"/>
  <c r="K105" i="14" s="1"/>
  <c r="L105" i="14" s="1"/>
  <c r="M105" i="14" s="1"/>
  <c r="N105" i="14" s="1"/>
  <c r="O105" i="14" s="1"/>
  <c r="P105" i="14" s="1"/>
  <c r="Q105" i="14" s="1"/>
  <c r="R105" i="14" s="1"/>
  <c r="S105" i="14" s="1"/>
  <c r="T105" i="14" s="1"/>
  <c r="U105" i="14" s="1"/>
  <c r="V105" i="14" s="1"/>
  <c r="W105" i="14" s="1"/>
  <c r="X105" i="14" s="1"/>
  <c r="Y105" i="14" s="1"/>
  <c r="Z105" i="14" s="1"/>
  <c r="AA105" i="14" s="1"/>
  <c r="H104" i="14"/>
  <c r="I104" i="14" s="1"/>
  <c r="J104" i="14" s="1"/>
  <c r="K104" i="14" s="1"/>
  <c r="L104" i="14" s="1"/>
  <c r="M104" i="14" s="1"/>
  <c r="N104" i="14" s="1"/>
  <c r="O104" i="14" s="1"/>
  <c r="P104" i="14" s="1"/>
  <c r="Q104" i="14" s="1"/>
  <c r="R104" i="14" s="1"/>
  <c r="S104" i="14" s="1"/>
  <c r="T104" i="14" s="1"/>
  <c r="U104" i="14" s="1"/>
  <c r="V104" i="14" s="1"/>
  <c r="W104" i="14" s="1"/>
  <c r="X104" i="14" s="1"/>
  <c r="Y104" i="14" s="1"/>
  <c r="Z104" i="14" s="1"/>
  <c r="AA104" i="14" s="1"/>
  <c r="H102" i="14"/>
  <c r="I102" i="14" s="1"/>
  <c r="J102" i="14" s="1"/>
  <c r="K102" i="14" s="1"/>
  <c r="L102" i="14" s="1"/>
  <c r="M102" i="14" s="1"/>
  <c r="N102" i="14" s="1"/>
  <c r="O102" i="14" s="1"/>
  <c r="P102" i="14" s="1"/>
  <c r="Q102" i="14" s="1"/>
  <c r="R102" i="14" s="1"/>
  <c r="S102" i="14" s="1"/>
  <c r="T102" i="14" s="1"/>
  <c r="U102" i="14" s="1"/>
  <c r="V102" i="14" s="1"/>
  <c r="W102" i="14" s="1"/>
  <c r="X102" i="14" s="1"/>
  <c r="Y102" i="14" s="1"/>
  <c r="Z102" i="14" s="1"/>
  <c r="AA102" i="14" s="1"/>
  <c r="H104" i="15"/>
  <c r="I104" i="15" s="1"/>
  <c r="J104" i="15" s="1"/>
  <c r="K104" i="15" s="1"/>
  <c r="L104" i="15" s="1"/>
  <c r="M104" i="15" s="1"/>
  <c r="N104" i="15" s="1"/>
  <c r="O104" i="15" s="1"/>
  <c r="P104" i="15" s="1"/>
  <c r="Q104" i="15" s="1"/>
  <c r="R104" i="15" s="1"/>
  <c r="S104" i="15" s="1"/>
  <c r="T104" i="15" s="1"/>
  <c r="U104" i="15" s="1"/>
  <c r="V104" i="15" s="1"/>
  <c r="W104" i="15" s="1"/>
  <c r="X104" i="15" s="1"/>
  <c r="Y104" i="15" s="1"/>
  <c r="Z104" i="15" s="1"/>
  <c r="AA104" i="15" s="1"/>
  <c r="H105" i="15"/>
  <c r="I105" i="15" s="1"/>
  <c r="J105" i="15" s="1"/>
  <c r="K105" i="15" s="1"/>
  <c r="L105" i="15" s="1"/>
  <c r="M105" i="15" s="1"/>
  <c r="N105" i="15" s="1"/>
  <c r="O105" i="15" s="1"/>
  <c r="P105" i="15" s="1"/>
  <c r="Q105" i="15" s="1"/>
  <c r="R105" i="15" s="1"/>
  <c r="S105" i="15" s="1"/>
  <c r="T105" i="15" s="1"/>
  <c r="U105" i="15" s="1"/>
  <c r="V105" i="15" s="1"/>
  <c r="W105" i="15" s="1"/>
  <c r="X105" i="15" s="1"/>
  <c r="Y105" i="15" s="1"/>
  <c r="Z105" i="15" s="1"/>
  <c r="AA105" i="15" s="1"/>
  <c r="H102" i="15"/>
  <c r="I102" i="15" s="1"/>
  <c r="J102" i="15" s="1"/>
  <c r="K102" i="15" s="1"/>
  <c r="L102" i="15" s="1"/>
  <c r="M102" i="15" s="1"/>
  <c r="N102" i="15" s="1"/>
  <c r="O102" i="15" s="1"/>
  <c r="P102" i="15" s="1"/>
  <c r="Q102" i="15" s="1"/>
  <c r="R102" i="15" s="1"/>
  <c r="S102" i="15" s="1"/>
  <c r="T102" i="15" s="1"/>
  <c r="U102" i="15" s="1"/>
  <c r="V102" i="15" s="1"/>
  <c r="W102" i="15" s="1"/>
  <c r="X102" i="15" s="1"/>
  <c r="Y102" i="15" s="1"/>
  <c r="Z102" i="15" s="1"/>
  <c r="AA102" i="15" s="1"/>
  <c r="H103" i="15"/>
  <c r="I103" i="15" s="1"/>
  <c r="J103" i="15" s="1"/>
  <c r="K103" i="15" s="1"/>
  <c r="L103" i="15" s="1"/>
  <c r="M103" i="15" s="1"/>
  <c r="N103" i="15" s="1"/>
  <c r="O103" i="15" s="1"/>
  <c r="P103" i="15" s="1"/>
  <c r="Q103" i="15" s="1"/>
  <c r="R103" i="15" s="1"/>
  <c r="S103" i="15" s="1"/>
  <c r="T103" i="15" s="1"/>
  <c r="U103" i="15" s="1"/>
  <c r="V103" i="15" s="1"/>
  <c r="W103" i="15" s="1"/>
  <c r="X103" i="15" s="1"/>
  <c r="Y103" i="15" s="1"/>
  <c r="Z103" i="15" s="1"/>
  <c r="AA103" i="15" s="1"/>
  <c r="K37" i="13"/>
  <c r="K42" i="13" s="1"/>
  <c r="K222" i="13" s="1"/>
  <c r="K45" i="12"/>
  <c r="G42" i="12"/>
  <c r="G222" i="12" s="1"/>
  <c r="G256" i="12" s="1"/>
  <c r="AI4" i="7"/>
  <c r="AH260" i="7"/>
  <c r="L184" i="15"/>
  <c r="L184" i="11"/>
  <c r="I45" i="14"/>
  <c r="L184" i="12"/>
  <c r="G45" i="14"/>
  <c r="G50" i="14" s="1"/>
  <c r="N184" i="9"/>
  <c r="G37" i="13"/>
  <c r="G42" i="13" s="1"/>
  <c r="G222" i="13" s="1"/>
  <c r="J191" i="14"/>
  <c r="BF120" i="5"/>
  <c r="AO154" i="5"/>
  <c r="AK78" i="6"/>
  <c r="BF119" i="5"/>
  <c r="AD176" i="5"/>
  <c r="AV176" i="5"/>
  <c r="AQ176" i="5"/>
  <c r="AD119" i="5"/>
  <c r="AC29" i="6"/>
  <c r="AV180" i="5"/>
  <c r="BD153" i="5"/>
  <c r="BM177" i="5"/>
  <c r="AK29" i="6"/>
  <c r="BE153" i="5"/>
  <c r="BG176" i="5"/>
  <c r="AK30" i="6"/>
  <c r="AY119" i="5"/>
  <c r="AO173" i="5"/>
  <c r="H184" i="14"/>
  <c r="AO182" i="5"/>
  <c r="BL179" i="5"/>
  <c r="H191" i="9"/>
  <c r="H193" i="9" s="1"/>
  <c r="AO180" i="5"/>
  <c r="G42" i="15"/>
  <c r="G222" i="15" s="1"/>
  <c r="G288" i="15" s="1"/>
  <c r="AI157" i="5"/>
  <c r="H184" i="15"/>
  <c r="H185" i="15" s="1"/>
  <c r="BH119" i="5"/>
  <c r="AP180" i="5"/>
  <c r="AG120" i="5"/>
  <c r="I87" i="5"/>
  <c r="I111" i="5" s="1"/>
  <c r="J111" i="5" s="1"/>
  <c r="AB111" i="5" s="1"/>
  <c r="M184" i="8"/>
  <c r="AU119" i="5"/>
  <c r="AC181" i="5"/>
  <c r="BB176" i="5"/>
  <c r="G45" i="11"/>
  <c r="G50" i="11" s="1"/>
  <c r="N191" i="14"/>
  <c r="BF153" i="5"/>
  <c r="AO176" i="5"/>
  <c r="AF29" i="6"/>
  <c r="AC180" i="5"/>
  <c r="AT180" i="5"/>
  <c r="BD176" i="5"/>
  <c r="I76" i="5"/>
  <c r="I101" i="5" s="1"/>
  <c r="J101" i="5" s="1"/>
  <c r="AB101" i="5" s="1"/>
  <c r="BJ180" i="5"/>
  <c r="AN154" i="5"/>
  <c r="BD180" i="5"/>
  <c r="G42" i="11"/>
  <c r="G222" i="11" s="1"/>
  <c r="G256" i="11" s="1"/>
  <c r="AP157" i="5"/>
  <c r="AI120" i="5"/>
  <c r="AO153" i="5"/>
  <c r="AC174" i="5"/>
  <c r="AG180" i="5"/>
  <c r="AT176" i="5"/>
  <c r="AO177" i="5"/>
  <c r="AC176" i="5"/>
  <c r="AV179" i="5"/>
  <c r="BF156" i="5"/>
  <c r="BM176" i="5"/>
  <c r="AQ179" i="5"/>
  <c r="I78" i="5"/>
  <c r="I103" i="5" s="1"/>
  <c r="J103" i="5" s="1"/>
  <c r="AB103" i="5" s="1"/>
  <c r="AF78" i="6"/>
  <c r="BF180" i="5"/>
  <c r="BE176" i="5"/>
  <c r="AT119" i="5"/>
  <c r="AV174" i="5"/>
  <c r="AD180" i="5"/>
  <c r="BF176" i="5"/>
  <c r="AL119" i="5"/>
  <c r="AI180" i="5"/>
  <c r="AN120" i="5"/>
  <c r="BF157" i="5"/>
  <c r="AD29" i="6"/>
  <c r="M184" i="11"/>
  <c r="AP153" i="5"/>
  <c r="AC120" i="5"/>
  <c r="BB119" i="5"/>
  <c r="AH119" i="5"/>
  <c r="AZ119" i="5"/>
  <c r="AQ157" i="5"/>
  <c r="N184" i="15"/>
  <c r="O184" i="8"/>
  <c r="N184" i="8"/>
  <c r="J184" i="15"/>
  <c r="H184" i="11"/>
  <c r="J184" i="9"/>
  <c r="O184" i="15"/>
  <c r="P184" i="15"/>
  <c r="I184" i="14"/>
  <c r="P184" i="11"/>
  <c r="I184" i="15"/>
  <c r="O184" i="11"/>
  <c r="H184" i="9"/>
  <c r="M184" i="9"/>
  <c r="L184" i="14"/>
  <c r="O184" i="12"/>
  <c r="O184" i="14"/>
  <c r="I193" i="12"/>
  <c r="J193" i="12" s="1"/>
  <c r="K193" i="12" s="1"/>
  <c r="L193" i="12" s="1"/>
  <c r="M193" i="12" s="1"/>
  <c r="N193" i="12" s="1"/>
  <c r="O193" i="12" s="1"/>
  <c r="P193" i="12" s="1"/>
  <c r="Q193" i="12" s="1"/>
  <c r="R193" i="12" s="1"/>
  <c r="S193" i="12" s="1"/>
  <c r="T193" i="12" s="1"/>
  <c r="U193" i="12" s="1"/>
  <c r="V193" i="12" s="1"/>
  <c r="W193" i="12" s="1"/>
  <c r="X193" i="12" s="1"/>
  <c r="Y193" i="12" s="1"/>
  <c r="Z193" i="12" s="1"/>
  <c r="AA193" i="12" s="1"/>
  <c r="H192" i="12"/>
  <c r="I192" i="12" s="1"/>
  <c r="J192" i="12" s="1"/>
  <c r="K192" i="12" s="1"/>
  <c r="L192" i="12" s="1"/>
  <c r="M192" i="12" s="1"/>
  <c r="N192" i="12" s="1"/>
  <c r="O192" i="12" s="1"/>
  <c r="P192" i="12" s="1"/>
  <c r="Q192" i="12" s="1"/>
  <c r="R192" i="12" s="1"/>
  <c r="S192" i="12" s="1"/>
  <c r="T192" i="12" s="1"/>
  <c r="U192" i="12" s="1"/>
  <c r="V192" i="12" s="1"/>
  <c r="W192" i="12" s="1"/>
  <c r="X192" i="12" s="1"/>
  <c r="Y192" i="12" s="1"/>
  <c r="Z192" i="12" s="1"/>
  <c r="AA192" i="12" s="1"/>
  <c r="N184" i="14"/>
  <c r="K184" i="14"/>
  <c r="K184" i="12"/>
  <c r="M184" i="15"/>
  <c r="M184" i="14"/>
  <c r="M184" i="12"/>
  <c r="I184" i="11"/>
  <c r="N184" i="12"/>
  <c r="K184" i="15"/>
  <c r="P184" i="14"/>
  <c r="J184" i="11"/>
  <c r="P184" i="12"/>
  <c r="M191" i="15"/>
  <c r="M191" i="14"/>
  <c r="L191" i="15"/>
  <c r="L191" i="14"/>
  <c r="I191" i="15"/>
  <c r="I191" i="14"/>
  <c r="K191" i="15"/>
  <c r="K191" i="14"/>
  <c r="O191" i="14"/>
  <c r="O191" i="15"/>
  <c r="H192" i="11"/>
  <c r="I192" i="11" s="1"/>
  <c r="J192" i="11" s="1"/>
  <c r="K192" i="11" s="1"/>
  <c r="L192" i="11" s="1"/>
  <c r="M192" i="11" s="1"/>
  <c r="N192" i="11" s="1"/>
  <c r="O192" i="11" s="1"/>
  <c r="P192" i="11" s="1"/>
  <c r="Q192" i="11" s="1"/>
  <c r="R192" i="11" s="1"/>
  <c r="S192" i="11" s="1"/>
  <c r="T192" i="11" s="1"/>
  <c r="U192" i="11" s="1"/>
  <c r="V192" i="11" s="1"/>
  <c r="W192" i="11" s="1"/>
  <c r="X192" i="11" s="1"/>
  <c r="Y192" i="11" s="1"/>
  <c r="Z192" i="11" s="1"/>
  <c r="AA192" i="11" s="1"/>
  <c r="I193" i="11"/>
  <c r="J193" i="11" s="1"/>
  <c r="K193" i="11" s="1"/>
  <c r="L193" i="11" s="1"/>
  <c r="M193" i="11" s="1"/>
  <c r="N193" i="11" s="1"/>
  <c r="O193" i="11" s="1"/>
  <c r="P193" i="11" s="1"/>
  <c r="Q193" i="11" s="1"/>
  <c r="R193" i="11" s="1"/>
  <c r="S193" i="11" s="1"/>
  <c r="T193" i="11" s="1"/>
  <c r="U193" i="11" s="1"/>
  <c r="V193" i="11" s="1"/>
  <c r="W193" i="11" s="1"/>
  <c r="X193" i="11" s="1"/>
  <c r="Y193" i="11" s="1"/>
  <c r="Z193" i="11" s="1"/>
  <c r="AA193" i="11" s="1"/>
  <c r="I193" i="13"/>
  <c r="J193" i="13" s="1"/>
  <c r="K193" i="13" s="1"/>
  <c r="L193" i="13" s="1"/>
  <c r="M193" i="13" s="1"/>
  <c r="N193" i="13" s="1"/>
  <c r="O193" i="13" s="1"/>
  <c r="P193" i="13" s="1"/>
  <c r="Q193" i="13" s="1"/>
  <c r="R193" i="13" s="1"/>
  <c r="S193" i="13" s="1"/>
  <c r="T193" i="13" s="1"/>
  <c r="U193" i="13" s="1"/>
  <c r="V193" i="13" s="1"/>
  <c r="W193" i="13" s="1"/>
  <c r="X193" i="13" s="1"/>
  <c r="Y193" i="13" s="1"/>
  <c r="Z193" i="13" s="1"/>
  <c r="AA193" i="13" s="1"/>
  <c r="H192" i="13"/>
  <c r="I192" i="13" s="1"/>
  <c r="J192" i="13" s="1"/>
  <c r="K192" i="13" s="1"/>
  <c r="L192" i="13" s="1"/>
  <c r="M192" i="13" s="1"/>
  <c r="N192" i="13" s="1"/>
  <c r="O192" i="13" s="1"/>
  <c r="P192" i="13" s="1"/>
  <c r="Q192" i="13" s="1"/>
  <c r="R192" i="13" s="1"/>
  <c r="S192" i="13" s="1"/>
  <c r="T192" i="13" s="1"/>
  <c r="U192" i="13" s="1"/>
  <c r="V192" i="13" s="1"/>
  <c r="W192" i="13" s="1"/>
  <c r="X192" i="13" s="1"/>
  <c r="Y192" i="13" s="1"/>
  <c r="Z192" i="13" s="1"/>
  <c r="AA192" i="13" s="1"/>
  <c r="H191" i="14"/>
  <c r="H193" i="14" s="1"/>
  <c r="H191" i="15"/>
  <c r="H193" i="15" s="1"/>
  <c r="J184" i="8"/>
  <c r="K184" i="9"/>
  <c r="J184" i="14"/>
  <c r="L184" i="8"/>
  <c r="I184" i="9"/>
  <c r="O184" i="9"/>
  <c r="K184" i="11"/>
  <c r="P184" i="8"/>
  <c r="I184" i="8"/>
  <c r="P184" i="9"/>
  <c r="H184" i="12"/>
  <c r="N184" i="11"/>
  <c r="K184" i="8"/>
  <c r="H184" i="8"/>
  <c r="R27" i="18"/>
  <c r="U19" i="18"/>
  <c r="G25" i="18"/>
  <c r="G26" i="18"/>
  <c r="L135" i="14"/>
  <c r="K25" i="18"/>
  <c r="Z156" i="14"/>
  <c r="Y26" i="18"/>
  <c r="V156" i="14"/>
  <c r="U26" i="18"/>
  <c r="O156" i="14"/>
  <c r="N26" i="18"/>
  <c r="Q156" i="14"/>
  <c r="P26" i="18"/>
  <c r="T156" i="14"/>
  <c r="S26" i="18"/>
  <c r="N135" i="14"/>
  <c r="M25" i="18"/>
  <c r="Q135" i="14"/>
  <c r="P25" i="18"/>
  <c r="J135" i="14"/>
  <c r="I25" i="18"/>
  <c r="T135" i="14"/>
  <c r="S25" i="18"/>
  <c r="W156" i="14"/>
  <c r="V26" i="18"/>
  <c r="W135" i="14"/>
  <c r="V25" i="18"/>
  <c r="Z135" i="14"/>
  <c r="Y25" i="18"/>
  <c r="J156" i="14"/>
  <c r="I26" i="18"/>
  <c r="R156" i="14"/>
  <c r="Q26" i="18"/>
  <c r="O135" i="14"/>
  <c r="N25" i="18"/>
  <c r="Y135" i="14"/>
  <c r="X25" i="18"/>
  <c r="Y156" i="14"/>
  <c r="X26" i="18"/>
  <c r="M156" i="14"/>
  <c r="L26" i="18"/>
  <c r="X135" i="14"/>
  <c r="W25" i="18"/>
  <c r="N156" i="14"/>
  <c r="M26" i="18"/>
  <c r="K156" i="14"/>
  <c r="J26" i="18"/>
  <c r="K135" i="14"/>
  <c r="J25" i="18"/>
  <c r="V135" i="14"/>
  <c r="U25" i="18"/>
  <c r="AA135" i="14"/>
  <c r="Z25" i="18"/>
  <c r="U156" i="14"/>
  <c r="T26" i="18"/>
  <c r="X156" i="14"/>
  <c r="W26" i="18"/>
  <c r="S135" i="14"/>
  <c r="R25" i="18"/>
  <c r="M135" i="14"/>
  <c r="L25" i="18"/>
  <c r="I156" i="14"/>
  <c r="H26" i="18"/>
  <c r="P156" i="14"/>
  <c r="O26" i="18"/>
  <c r="I135" i="14"/>
  <c r="H25" i="18"/>
  <c r="P135" i="14"/>
  <c r="O25" i="18"/>
  <c r="L156" i="14"/>
  <c r="K26" i="18"/>
  <c r="R135" i="14"/>
  <c r="Q25" i="18"/>
  <c r="S156" i="14"/>
  <c r="R26" i="18"/>
  <c r="U135" i="14"/>
  <c r="T25" i="18"/>
  <c r="AA156" i="14"/>
  <c r="Z26" i="18"/>
  <c r="G20" i="18"/>
  <c r="Y19" i="18"/>
  <c r="Z114" i="14"/>
  <c r="Y20" i="18"/>
  <c r="W114" i="14"/>
  <c r="V20" i="18"/>
  <c r="AA114" i="14"/>
  <c r="Z20" i="18"/>
  <c r="Q114" i="14"/>
  <c r="P20" i="18"/>
  <c r="I114" i="14"/>
  <c r="H20" i="18"/>
  <c r="U114" i="14"/>
  <c r="T20" i="18"/>
  <c r="L114" i="14"/>
  <c r="K20" i="18"/>
  <c r="V114" i="14"/>
  <c r="U20" i="18"/>
  <c r="T114" i="14"/>
  <c r="S20" i="18"/>
  <c r="K114" i="14"/>
  <c r="J20" i="18"/>
  <c r="S114" i="14"/>
  <c r="R20" i="18"/>
  <c r="Y114" i="14"/>
  <c r="X20" i="18"/>
  <c r="M114" i="14"/>
  <c r="L20" i="18"/>
  <c r="R114" i="14"/>
  <c r="Q20" i="18"/>
  <c r="P114" i="14"/>
  <c r="O20" i="18"/>
  <c r="N114" i="14"/>
  <c r="M20" i="18"/>
  <c r="J114" i="14"/>
  <c r="I20" i="18"/>
  <c r="O114" i="14"/>
  <c r="N20" i="18"/>
  <c r="X114" i="14"/>
  <c r="W20" i="18"/>
  <c r="L19" i="18"/>
  <c r="T19" i="18"/>
  <c r="R19" i="18"/>
  <c r="V19" i="18"/>
  <c r="X19" i="18"/>
  <c r="K19" i="18"/>
  <c r="S19" i="18"/>
  <c r="Z19" i="18"/>
  <c r="P19" i="18"/>
  <c r="M19" i="18"/>
  <c r="W19" i="18"/>
  <c r="Q19" i="18"/>
  <c r="J19" i="18"/>
  <c r="I19" i="18"/>
  <c r="H19" i="18"/>
  <c r="O19" i="18"/>
  <c r="N19" i="18"/>
  <c r="G19" i="18"/>
  <c r="R93" i="14"/>
  <c r="K93" i="14"/>
  <c r="V93" i="14"/>
  <c r="N93" i="14"/>
  <c r="S93" i="14"/>
  <c r="W93" i="14"/>
  <c r="J93" i="14"/>
  <c r="I93" i="14"/>
  <c r="P93" i="14"/>
  <c r="U93" i="14"/>
  <c r="Y93" i="14"/>
  <c r="Z93" i="14"/>
  <c r="X93" i="14"/>
  <c r="L93" i="14"/>
  <c r="T93" i="14"/>
  <c r="M93" i="14"/>
  <c r="AA93" i="14"/>
  <c r="Q93" i="14"/>
  <c r="O93" i="14"/>
  <c r="I22" i="10"/>
  <c r="I30" i="10" s="1"/>
  <c r="M37" i="15"/>
  <c r="M45" i="15" s="1"/>
  <c r="M37" i="11"/>
  <c r="J37" i="12"/>
  <c r="J42" i="12" s="1"/>
  <c r="J222" i="12" s="1"/>
  <c r="K37" i="14"/>
  <c r="K42" i="14" s="1"/>
  <c r="K222" i="14" s="1"/>
  <c r="AG54" i="7"/>
  <c r="I37" i="12"/>
  <c r="I37" i="13" s="1"/>
  <c r="I45" i="13" s="1"/>
  <c r="H37" i="12"/>
  <c r="H42" i="12" s="1"/>
  <c r="H222" i="12" s="1"/>
  <c r="H256" i="12" s="1"/>
  <c r="M37" i="12"/>
  <c r="M42" i="12" s="1"/>
  <c r="M222" i="12" s="1"/>
  <c r="M37" i="14"/>
  <c r="M45" i="14" s="1"/>
  <c r="I37" i="15"/>
  <c r="I45" i="15" s="1"/>
  <c r="N37" i="15"/>
  <c r="N42" i="15" s="1"/>
  <c r="N222" i="15" s="1"/>
  <c r="N256" i="15" s="1"/>
  <c r="L37" i="15"/>
  <c r="L42" i="15" s="1"/>
  <c r="L222" i="15" s="1"/>
  <c r="H37" i="15"/>
  <c r="H42" i="15" s="1"/>
  <c r="H222" i="15" s="1"/>
  <c r="H256" i="15" s="1"/>
  <c r="H37" i="14"/>
  <c r="H42" i="14" s="1"/>
  <c r="H222" i="14" s="1"/>
  <c r="K37" i="15"/>
  <c r="K42" i="15" s="1"/>
  <c r="K222" i="15" s="1"/>
  <c r="K288" i="15" s="1"/>
  <c r="L37" i="14"/>
  <c r="L42" i="14" s="1"/>
  <c r="L222" i="14" s="1"/>
  <c r="H37" i="11"/>
  <c r="L37" i="12"/>
  <c r="L37" i="13" s="1"/>
  <c r="J37" i="15"/>
  <c r="J45" i="15" s="1"/>
  <c r="N37" i="14"/>
  <c r="N45" i="14" s="1"/>
  <c r="J37" i="14"/>
  <c r="J42" i="14" s="1"/>
  <c r="J222" i="14" s="1"/>
  <c r="J288" i="14" s="1"/>
  <c r="L22" i="10"/>
  <c r="L30" i="10" s="1"/>
  <c r="X21" i="10"/>
  <c r="Y21" i="10"/>
  <c r="L23" i="10"/>
  <c r="L31" i="10" s="1"/>
  <c r="L21" i="10"/>
  <c r="P23" i="13"/>
  <c r="P31" i="13" s="1"/>
  <c r="X21" i="13"/>
  <c r="L23" i="13"/>
  <c r="L31" i="13" s="1"/>
  <c r="R23" i="13"/>
  <c r="R31" i="13" s="1"/>
  <c r="Y22" i="13"/>
  <c r="Y30" i="13" s="1"/>
  <c r="K22" i="13"/>
  <c r="K30" i="13" s="1"/>
  <c r="T21" i="13"/>
  <c r="U23" i="13"/>
  <c r="U31" i="13" s="1"/>
  <c r="O23" i="13"/>
  <c r="O31" i="13" s="1"/>
  <c r="K37" i="10"/>
  <c r="Z22" i="13"/>
  <c r="Z30" i="13" s="1"/>
  <c r="X22" i="13"/>
  <c r="X30" i="13" s="1"/>
  <c r="S21" i="13"/>
  <c r="M22" i="10"/>
  <c r="M30" i="10" s="1"/>
  <c r="J23" i="13"/>
  <c r="J31" i="13" s="1"/>
  <c r="T22" i="13"/>
  <c r="T30" i="13" s="1"/>
  <c r="O23" i="10"/>
  <c r="O31" i="10" s="1"/>
  <c r="K23" i="13"/>
  <c r="K31" i="13" s="1"/>
  <c r="P23" i="10"/>
  <c r="P31" i="10" s="1"/>
  <c r="Z21" i="10"/>
  <c r="I21" i="13"/>
  <c r="V23" i="13"/>
  <c r="V31" i="13" s="1"/>
  <c r="W21" i="13"/>
  <c r="U22" i="13"/>
  <c r="U30" i="13" s="1"/>
  <c r="N23" i="13"/>
  <c r="N31" i="13" s="1"/>
  <c r="H37" i="10"/>
  <c r="AA23" i="13"/>
  <c r="AA31" i="13" s="1"/>
  <c r="H23" i="13"/>
  <c r="H31" i="13" s="1"/>
  <c r="P21" i="13"/>
  <c r="Q22" i="10"/>
  <c r="Q30" i="10" s="1"/>
  <c r="U23" i="10"/>
  <c r="U31" i="10" s="1"/>
  <c r="X23" i="10"/>
  <c r="X31" i="10" s="1"/>
  <c r="N22" i="10"/>
  <c r="N30" i="10" s="1"/>
  <c r="N23" i="10"/>
  <c r="N31" i="10" s="1"/>
  <c r="U22" i="10"/>
  <c r="U30" i="10" s="1"/>
  <c r="K21" i="10"/>
  <c r="G37" i="10"/>
  <c r="AA23" i="10"/>
  <c r="AA31" i="10" s="1"/>
  <c r="O21" i="10"/>
  <c r="AA21" i="10"/>
  <c r="L22" i="13"/>
  <c r="L30" i="13" s="1"/>
  <c r="N22" i="13"/>
  <c r="N30" i="13" s="1"/>
  <c r="J22" i="13"/>
  <c r="J30" i="13" s="1"/>
  <c r="M23" i="13"/>
  <c r="M31" i="13" s="1"/>
  <c r="X23" i="13"/>
  <c r="X31" i="13" s="1"/>
  <c r="AA21" i="13"/>
  <c r="T23" i="13"/>
  <c r="T31" i="13" s="1"/>
  <c r="N21" i="13"/>
  <c r="Z23" i="13"/>
  <c r="Z31" i="13" s="1"/>
  <c r="J21" i="13"/>
  <c r="V21" i="13"/>
  <c r="M21" i="13"/>
  <c r="R22" i="13"/>
  <c r="R30" i="13" s="1"/>
  <c r="H21" i="13"/>
  <c r="H22" i="13"/>
  <c r="H30" i="13" s="1"/>
  <c r="W23" i="13"/>
  <c r="W31" i="13" s="1"/>
  <c r="Y23" i="13"/>
  <c r="Y31" i="13" s="1"/>
  <c r="S22" i="13"/>
  <c r="S30" i="13" s="1"/>
  <c r="AA22" i="13"/>
  <c r="AA30" i="13" s="1"/>
  <c r="P22" i="13"/>
  <c r="P30" i="13" s="1"/>
  <c r="I23" i="13"/>
  <c r="I31" i="13" s="1"/>
  <c r="R21" i="13"/>
  <c r="Q21" i="13"/>
  <c r="W22" i="13"/>
  <c r="W30" i="13" s="1"/>
  <c r="L21" i="13"/>
  <c r="S23" i="13"/>
  <c r="S31" i="13" s="1"/>
  <c r="I22" i="13"/>
  <c r="I30" i="13" s="1"/>
  <c r="Q23" i="13"/>
  <c r="Q31" i="13" s="1"/>
  <c r="Y21" i="13"/>
  <c r="M22" i="13"/>
  <c r="M30" i="13" s="1"/>
  <c r="K21" i="13"/>
  <c r="V22" i="13"/>
  <c r="V30" i="13" s="1"/>
  <c r="U21" i="13"/>
  <c r="Q22" i="13"/>
  <c r="Q30" i="13" s="1"/>
  <c r="O21" i="13"/>
  <c r="Z21" i="13"/>
  <c r="O22" i="13"/>
  <c r="O30" i="13" s="1"/>
  <c r="K23" i="10"/>
  <c r="K31" i="10" s="1"/>
  <c r="T22" i="10"/>
  <c r="T30" i="10" s="1"/>
  <c r="V23" i="10"/>
  <c r="V31" i="10" s="1"/>
  <c r="I23" i="10"/>
  <c r="I31" i="10" s="1"/>
  <c r="L37" i="10"/>
  <c r="I37" i="10"/>
  <c r="M37" i="10"/>
  <c r="H21" i="10"/>
  <c r="V22" i="10"/>
  <c r="V30" i="10" s="1"/>
  <c r="S22" i="10"/>
  <c r="S30" i="10" s="1"/>
  <c r="I30" i="8"/>
  <c r="Z23" i="10"/>
  <c r="Z31" i="10" s="1"/>
  <c r="J37" i="10"/>
  <c r="M23" i="10"/>
  <c r="M31" i="10" s="1"/>
  <c r="T21" i="10"/>
  <c r="R21" i="10"/>
  <c r="P22" i="10"/>
  <c r="P30" i="10" s="1"/>
  <c r="V21" i="10"/>
  <c r="P21" i="10"/>
  <c r="J21" i="10"/>
  <c r="S21" i="10"/>
  <c r="X30" i="8"/>
  <c r="X22" i="10"/>
  <c r="X30" i="10" s="1"/>
  <c r="Q31" i="8"/>
  <c r="Q23" i="10"/>
  <c r="Q31" i="10" s="1"/>
  <c r="N21" i="10"/>
  <c r="W21" i="10"/>
  <c r="Y23" i="10"/>
  <c r="Y31" i="10" s="1"/>
  <c r="O30" i="8"/>
  <c r="O22" i="10"/>
  <c r="O30" i="10" s="1"/>
  <c r="W23" i="10"/>
  <c r="W31" i="10" s="1"/>
  <c r="K22" i="10"/>
  <c r="K30" i="10" s="1"/>
  <c r="I21" i="10"/>
  <c r="W22" i="10"/>
  <c r="W30" i="10" s="1"/>
  <c r="Z30" i="8"/>
  <c r="Z22" i="10"/>
  <c r="Z30" i="10" s="1"/>
  <c r="H23" i="10"/>
  <c r="H31" i="10" s="1"/>
  <c r="T31" i="8"/>
  <c r="T23" i="10"/>
  <c r="T31" i="10" s="1"/>
  <c r="J30" i="8"/>
  <c r="J22" i="10"/>
  <c r="J30" i="10" s="1"/>
  <c r="Q21" i="10"/>
  <c r="H30" i="8"/>
  <c r="H22" i="10"/>
  <c r="H30" i="10" s="1"/>
  <c r="J23" i="10"/>
  <c r="J31" i="10" s="1"/>
  <c r="U29" i="8"/>
  <c r="U21" i="10"/>
  <c r="U29" i="10" s="1"/>
  <c r="Y30" i="8"/>
  <c r="Y22" i="10"/>
  <c r="Y30" i="10" s="1"/>
  <c r="M21" i="10"/>
  <c r="R22" i="10"/>
  <c r="R30" i="10" s="1"/>
  <c r="AA22" i="10"/>
  <c r="AA30" i="10" s="1"/>
  <c r="R31" i="8"/>
  <c r="R23" i="10"/>
  <c r="R31" i="10" s="1"/>
  <c r="S31" i="8"/>
  <c r="S23" i="10"/>
  <c r="S31" i="10" s="1"/>
  <c r="P174" i="13"/>
  <c r="P217" i="13" s="1"/>
  <c r="O30" i="3" s="1"/>
  <c r="O68" i="3" s="1"/>
  <c r="J45" i="11"/>
  <c r="I45" i="11"/>
  <c r="J42" i="11"/>
  <c r="J222" i="11" s="1"/>
  <c r="J256" i="11" s="1"/>
  <c r="N42" i="11"/>
  <c r="N222" i="11" s="1"/>
  <c r="N256" i="11" s="1"/>
  <c r="K42" i="11"/>
  <c r="K222" i="11" s="1"/>
  <c r="K288" i="11" s="1"/>
  <c r="I42" i="11"/>
  <c r="I222" i="11" s="1"/>
  <c r="I288" i="11" s="1"/>
  <c r="N45" i="11"/>
  <c r="K45" i="11"/>
  <c r="K42" i="8"/>
  <c r="K222" i="8" s="1"/>
  <c r="K256" i="8" s="1"/>
  <c r="L42" i="11"/>
  <c r="L222" i="11" s="1"/>
  <c r="L288" i="11" s="1"/>
  <c r="L45" i="11"/>
  <c r="X174" i="13"/>
  <c r="X217" i="13" s="1"/>
  <c r="W30" i="3" s="1"/>
  <c r="W68" i="3" s="1"/>
  <c r="Z174" i="13"/>
  <c r="Z217" i="13" s="1"/>
  <c r="Y30" i="3" s="1"/>
  <c r="Y68" i="3" s="1"/>
  <c r="V174" i="13"/>
  <c r="V217" i="13" s="1"/>
  <c r="U30" i="3" s="1"/>
  <c r="U68" i="3" s="1"/>
  <c r="R174" i="13"/>
  <c r="R217" i="13" s="1"/>
  <c r="Q30" i="3" s="1"/>
  <c r="Q68" i="3" s="1"/>
  <c r="Z174" i="15"/>
  <c r="Z217" i="15" s="1"/>
  <c r="Y32" i="3" s="1"/>
  <c r="Y70" i="3" s="1"/>
  <c r="W174" i="13"/>
  <c r="W217" i="13" s="1"/>
  <c r="V30" i="3" s="1"/>
  <c r="V68" i="3" s="1"/>
  <c r="K174" i="15"/>
  <c r="K217" i="15" s="1"/>
  <c r="J32" i="3" s="1"/>
  <c r="J70" i="3" s="1"/>
  <c r="H114" i="15"/>
  <c r="H112" i="15"/>
  <c r="L174" i="13"/>
  <c r="L217" i="13" s="1"/>
  <c r="K30" i="3" s="1"/>
  <c r="K68" i="3" s="1"/>
  <c r="J174" i="15"/>
  <c r="J217" i="15" s="1"/>
  <c r="I32" i="3" s="1"/>
  <c r="I70" i="3" s="1"/>
  <c r="V174" i="15"/>
  <c r="V217" i="15" s="1"/>
  <c r="U32" i="3" s="1"/>
  <c r="U70" i="3" s="1"/>
  <c r="H133" i="15"/>
  <c r="H135" i="15"/>
  <c r="S174" i="13"/>
  <c r="S217" i="13" s="1"/>
  <c r="R30" i="3" s="1"/>
  <c r="R68" i="3" s="1"/>
  <c r="N174" i="13"/>
  <c r="N217" i="13" s="1"/>
  <c r="M30" i="3" s="1"/>
  <c r="M68" i="3" s="1"/>
  <c r="T174" i="13"/>
  <c r="T217" i="13" s="1"/>
  <c r="S30" i="3" s="1"/>
  <c r="S68" i="3" s="1"/>
  <c r="O174" i="15"/>
  <c r="O217" i="15" s="1"/>
  <c r="N32" i="3" s="1"/>
  <c r="N70" i="3" s="1"/>
  <c r="AA174" i="13"/>
  <c r="AA217" i="13" s="1"/>
  <c r="Z30" i="3" s="1"/>
  <c r="Z68" i="3" s="1"/>
  <c r="M174" i="13"/>
  <c r="M217" i="13" s="1"/>
  <c r="L30" i="3" s="1"/>
  <c r="L68" i="3" s="1"/>
  <c r="U174" i="13"/>
  <c r="U217" i="13" s="1"/>
  <c r="T30" i="3" s="1"/>
  <c r="T68" i="3" s="1"/>
  <c r="H93" i="13"/>
  <c r="H91" i="13"/>
  <c r="X174" i="15"/>
  <c r="X217" i="15" s="1"/>
  <c r="W32" i="3" s="1"/>
  <c r="W70" i="3" s="1"/>
  <c r="Q174" i="15"/>
  <c r="Q217" i="15" s="1"/>
  <c r="P32" i="3" s="1"/>
  <c r="P70" i="3" s="1"/>
  <c r="P174" i="15"/>
  <c r="P217" i="15" s="1"/>
  <c r="O32" i="3" s="1"/>
  <c r="O70" i="3" s="1"/>
  <c r="H156" i="14"/>
  <c r="H154" i="14"/>
  <c r="AA174" i="15"/>
  <c r="AA217" i="15" s="1"/>
  <c r="Z32" i="3" s="1"/>
  <c r="Z70" i="3" s="1"/>
  <c r="Y174" i="13"/>
  <c r="Y217" i="13" s="1"/>
  <c r="X30" i="3" s="1"/>
  <c r="X68" i="3" s="1"/>
  <c r="H135" i="13"/>
  <c r="H133" i="13"/>
  <c r="I174" i="13"/>
  <c r="I217" i="13" s="1"/>
  <c r="H30" i="3" s="1"/>
  <c r="H68" i="3" s="1"/>
  <c r="M174" i="15"/>
  <c r="M217" i="15" s="1"/>
  <c r="L32" i="3" s="1"/>
  <c r="L70" i="3" s="1"/>
  <c r="U174" i="15"/>
  <c r="U217" i="15" s="1"/>
  <c r="T32" i="3" s="1"/>
  <c r="T70" i="3" s="1"/>
  <c r="R174" i="15"/>
  <c r="R217" i="15" s="1"/>
  <c r="Q32" i="3" s="1"/>
  <c r="Q70" i="3" s="1"/>
  <c r="Y174" i="15"/>
  <c r="Y217" i="15" s="1"/>
  <c r="X32" i="3" s="1"/>
  <c r="X70" i="3" s="1"/>
  <c r="L174" i="15"/>
  <c r="L217" i="15" s="1"/>
  <c r="K32" i="3" s="1"/>
  <c r="K70" i="3" s="1"/>
  <c r="T174" i="15"/>
  <c r="T217" i="15" s="1"/>
  <c r="S32" i="3" s="1"/>
  <c r="S70" i="3" s="1"/>
  <c r="O174" i="13"/>
  <c r="O217" i="13" s="1"/>
  <c r="N30" i="3" s="1"/>
  <c r="N68" i="3" s="1"/>
  <c r="Q174" i="13"/>
  <c r="Q217" i="13" s="1"/>
  <c r="P30" i="3" s="1"/>
  <c r="P68" i="3" s="1"/>
  <c r="K174" i="13"/>
  <c r="K217" i="13" s="1"/>
  <c r="J30" i="3" s="1"/>
  <c r="J68" i="3" s="1"/>
  <c r="W174" i="15"/>
  <c r="W217" i="15" s="1"/>
  <c r="V32" i="3" s="1"/>
  <c r="V70" i="3" s="1"/>
  <c r="I174" i="15"/>
  <c r="I217" i="15" s="1"/>
  <c r="H32" i="3" s="1"/>
  <c r="H70" i="3" s="1"/>
  <c r="H91" i="14"/>
  <c r="H93" i="14"/>
  <c r="N174" i="15"/>
  <c r="N217" i="15" s="1"/>
  <c r="M32" i="3" s="1"/>
  <c r="M70" i="3" s="1"/>
  <c r="J174" i="13"/>
  <c r="J217" i="13" s="1"/>
  <c r="I30" i="3" s="1"/>
  <c r="I68" i="3" s="1"/>
  <c r="H133" i="14"/>
  <c r="H135" i="14"/>
  <c r="H154" i="15"/>
  <c r="H156" i="15"/>
  <c r="H112" i="14"/>
  <c r="H114" i="14"/>
  <c r="S174" i="15"/>
  <c r="S217" i="15" s="1"/>
  <c r="R32" i="3" s="1"/>
  <c r="R70" i="3" s="1"/>
  <c r="H91" i="15"/>
  <c r="H93" i="15"/>
  <c r="H156" i="13"/>
  <c r="H154" i="13"/>
  <c r="H114" i="13"/>
  <c r="H112" i="13"/>
  <c r="G82" i="10"/>
  <c r="J82" i="10"/>
  <c r="J85" i="10" s="1"/>
  <c r="J68" i="10"/>
  <c r="G68" i="10"/>
  <c r="P68" i="10"/>
  <c r="W82" i="10"/>
  <c r="H68" i="10"/>
  <c r="M82" i="10"/>
  <c r="I68" i="10"/>
  <c r="U68" i="10"/>
  <c r="I174" i="11"/>
  <c r="I217" i="11" s="1"/>
  <c r="H29" i="3" s="1"/>
  <c r="H67" i="3" s="1"/>
  <c r="V174" i="11"/>
  <c r="V217" i="11" s="1"/>
  <c r="U29" i="3" s="1"/>
  <c r="U67" i="3" s="1"/>
  <c r="AA90" i="10"/>
  <c r="Z27" i="18" s="1"/>
  <c r="S174" i="11"/>
  <c r="S217" i="11" s="1"/>
  <c r="R29" i="3" s="1"/>
  <c r="R67" i="3" s="1"/>
  <c r="R174" i="11"/>
  <c r="R217" i="11" s="1"/>
  <c r="Q29" i="3" s="1"/>
  <c r="Q67" i="3" s="1"/>
  <c r="L174" i="11"/>
  <c r="L217" i="11" s="1"/>
  <c r="K29" i="3" s="1"/>
  <c r="K67" i="3" s="1"/>
  <c r="Z153" i="10"/>
  <c r="Y30" i="18" s="1"/>
  <c r="K153" i="10"/>
  <c r="Z132" i="10"/>
  <c r="Y29" i="18" s="1"/>
  <c r="T111" i="10"/>
  <c r="S28" i="18" s="1"/>
  <c r="H111" i="10"/>
  <c r="G28" i="18" s="1"/>
  <c r="K111" i="10"/>
  <c r="J28" i="18" s="1"/>
  <c r="AA132" i="10"/>
  <c r="Z29" i="18" s="1"/>
  <c r="R153" i="10"/>
  <c r="Q30" i="18" s="1"/>
  <c r="O90" i="10"/>
  <c r="N27" i="18" s="1"/>
  <c r="X132" i="9"/>
  <c r="U174" i="11"/>
  <c r="U217" i="11" s="1"/>
  <c r="T29" i="3" s="1"/>
  <c r="T67" i="3" s="1"/>
  <c r="Q174" i="11"/>
  <c r="Q217" i="11" s="1"/>
  <c r="P29" i="3" s="1"/>
  <c r="P67" i="3" s="1"/>
  <c r="O153" i="10"/>
  <c r="N30" i="18" s="1"/>
  <c r="O132" i="10"/>
  <c r="N29" i="18" s="1"/>
  <c r="N111" i="10"/>
  <c r="M28" i="18" s="1"/>
  <c r="P90" i="10"/>
  <c r="O27" i="18" s="1"/>
  <c r="Q90" i="9"/>
  <c r="P15" i="18" s="1"/>
  <c r="W153" i="10"/>
  <c r="V30" i="18" s="1"/>
  <c r="P132" i="10"/>
  <c r="O29" i="18" s="1"/>
  <c r="M111" i="10"/>
  <c r="I90" i="10"/>
  <c r="H27" i="18" s="1"/>
  <c r="X153" i="10"/>
  <c r="N153" i="9"/>
  <c r="AA153" i="9"/>
  <c r="M191" i="10"/>
  <c r="X132" i="10"/>
  <c r="W29" i="18" s="1"/>
  <c r="L191" i="10"/>
  <c r="O191" i="10"/>
  <c r="L111" i="9"/>
  <c r="L153" i="10"/>
  <c r="N132" i="10"/>
  <c r="M29" i="18" s="1"/>
  <c r="P111" i="10"/>
  <c r="O28" i="18" s="1"/>
  <c r="U90" i="10"/>
  <c r="T27" i="18" s="1"/>
  <c r="W90" i="9"/>
  <c r="V15" i="18" s="1"/>
  <c r="W111" i="10"/>
  <c r="M90" i="10"/>
  <c r="L27" i="18" s="1"/>
  <c r="N191" i="10"/>
  <c r="L132" i="9"/>
  <c r="U153" i="10"/>
  <c r="T30" i="18" s="1"/>
  <c r="R132" i="10"/>
  <c r="O111" i="10"/>
  <c r="N28" i="18" s="1"/>
  <c r="W90" i="10"/>
  <c r="V27" i="18" s="1"/>
  <c r="T29" i="15"/>
  <c r="T26" i="15"/>
  <c r="T234" i="15" s="1"/>
  <c r="H135" i="11"/>
  <c r="H133" i="11"/>
  <c r="Z29" i="15"/>
  <c r="Z26" i="15"/>
  <c r="Z234" i="15" s="1"/>
  <c r="Y90" i="9"/>
  <c r="X15" i="18" s="1"/>
  <c r="AA90" i="9"/>
  <c r="Z15" i="18" s="1"/>
  <c r="T111" i="9"/>
  <c r="T132" i="9"/>
  <c r="R132" i="9"/>
  <c r="W153" i="9"/>
  <c r="W26" i="15"/>
  <c r="W234" i="15" s="1"/>
  <c r="W29" i="15"/>
  <c r="Y29" i="15"/>
  <c r="Y26" i="15"/>
  <c r="Y234" i="15" s="1"/>
  <c r="H156" i="11"/>
  <c r="H154" i="11"/>
  <c r="G256" i="14"/>
  <c r="G288" i="14"/>
  <c r="O191" i="9"/>
  <c r="L90" i="9"/>
  <c r="K15" i="18" s="1"/>
  <c r="H29" i="15"/>
  <c r="H26" i="15"/>
  <c r="H234" i="15" s="1"/>
  <c r="L26" i="14"/>
  <c r="L234" i="14" s="1"/>
  <c r="L29" i="14"/>
  <c r="Y174" i="11"/>
  <c r="Y217" i="11" s="1"/>
  <c r="X29" i="3" s="1"/>
  <c r="X67" i="3" s="1"/>
  <c r="N191" i="9"/>
  <c r="P191" i="10"/>
  <c r="M90" i="9"/>
  <c r="L15" i="18" s="1"/>
  <c r="U132" i="9"/>
  <c r="T153" i="10"/>
  <c r="S30" i="18" s="1"/>
  <c r="S153" i="10"/>
  <c r="W132" i="10"/>
  <c r="V29" i="18" s="1"/>
  <c r="X111" i="10"/>
  <c r="W28" i="18" s="1"/>
  <c r="S111" i="10"/>
  <c r="R28" i="18" s="1"/>
  <c r="Y90" i="10"/>
  <c r="X27" i="18" s="1"/>
  <c r="H90" i="10"/>
  <c r="G27" i="18" s="1"/>
  <c r="Y29" i="14"/>
  <c r="Y26" i="14"/>
  <c r="Y234" i="14" s="1"/>
  <c r="Z174" i="11"/>
  <c r="Z217" i="11" s="1"/>
  <c r="Y29" i="3" s="1"/>
  <c r="Y67" i="3" s="1"/>
  <c r="I256" i="14"/>
  <c r="I288" i="14"/>
  <c r="R90" i="9"/>
  <c r="Q15" i="18" s="1"/>
  <c r="V132" i="9"/>
  <c r="M153" i="10"/>
  <c r="Q132" i="10"/>
  <c r="P29" i="18" s="1"/>
  <c r="I111" i="10"/>
  <c r="H28" i="18" s="1"/>
  <c r="J90" i="10"/>
  <c r="I27" i="18" s="1"/>
  <c r="X90" i="10"/>
  <c r="W27" i="18" s="1"/>
  <c r="O26" i="14"/>
  <c r="O234" i="14" s="1"/>
  <c r="O29" i="14"/>
  <c r="I29" i="15"/>
  <c r="I26" i="15"/>
  <c r="I234" i="15" s="1"/>
  <c r="W26" i="14"/>
  <c r="W234" i="14" s="1"/>
  <c r="W29" i="14"/>
  <c r="Q29" i="15"/>
  <c r="Q26" i="15"/>
  <c r="Q234" i="15" s="1"/>
  <c r="M174" i="11"/>
  <c r="M217" i="11" s="1"/>
  <c r="L29" i="3" s="1"/>
  <c r="L67" i="3" s="1"/>
  <c r="P174" i="11"/>
  <c r="P217" i="11" s="1"/>
  <c r="O29" i="3" s="1"/>
  <c r="O67" i="3" s="1"/>
  <c r="J191" i="10"/>
  <c r="I191" i="10"/>
  <c r="H191" i="10"/>
  <c r="H193" i="10" s="1"/>
  <c r="Z90" i="9"/>
  <c r="Y15" i="18" s="1"/>
  <c r="H111" i="9"/>
  <c r="K111" i="9"/>
  <c r="N132" i="9"/>
  <c r="X153" i="9"/>
  <c r="P153" i="9"/>
  <c r="N153" i="10"/>
  <c r="M30" i="18" s="1"/>
  <c r="Q153" i="10"/>
  <c r="P30" i="18" s="1"/>
  <c r="T132" i="10"/>
  <c r="S29" i="18" s="1"/>
  <c r="Y132" i="10"/>
  <c r="X29" i="18" s="1"/>
  <c r="J132" i="10"/>
  <c r="I29" i="18" s="1"/>
  <c r="Q111" i="10"/>
  <c r="P28" i="18" s="1"/>
  <c r="Z111" i="10"/>
  <c r="Y28" i="18" s="1"/>
  <c r="L90" i="10"/>
  <c r="K27" i="18" s="1"/>
  <c r="R90" i="10"/>
  <c r="Q27" i="18" s="1"/>
  <c r="Q90" i="10"/>
  <c r="P27" i="18" s="1"/>
  <c r="O26" i="15"/>
  <c r="O234" i="15" s="1"/>
  <c r="O29" i="15"/>
  <c r="N26" i="15"/>
  <c r="N234" i="15" s="1"/>
  <c r="N29" i="15"/>
  <c r="J29" i="14"/>
  <c r="J26" i="14"/>
  <c r="J234" i="14" s="1"/>
  <c r="H26" i="14"/>
  <c r="H234" i="14" s="1"/>
  <c r="H29" i="14"/>
  <c r="X29" i="15"/>
  <c r="X26" i="15"/>
  <c r="X234" i="15" s="1"/>
  <c r="H93" i="11"/>
  <c r="H91" i="11"/>
  <c r="T174" i="11"/>
  <c r="T217" i="11" s="1"/>
  <c r="S29" i="3" s="1"/>
  <c r="S67" i="3" s="1"/>
  <c r="N174" i="11"/>
  <c r="N217" i="11" s="1"/>
  <c r="M29" i="3" s="1"/>
  <c r="M67" i="3" s="1"/>
  <c r="Q29" i="14"/>
  <c r="Q26" i="14"/>
  <c r="Q234" i="14" s="1"/>
  <c r="U26" i="15"/>
  <c r="U234" i="15" s="1"/>
  <c r="U29" i="15"/>
  <c r="T26" i="14"/>
  <c r="T234" i="14" s="1"/>
  <c r="T29" i="14"/>
  <c r="M26" i="14"/>
  <c r="M234" i="14" s="1"/>
  <c r="M29" i="14"/>
  <c r="J174" i="11"/>
  <c r="J217" i="11" s="1"/>
  <c r="I29" i="3" s="1"/>
  <c r="I67" i="3" s="1"/>
  <c r="V111" i="9"/>
  <c r="T153" i="9"/>
  <c r="V153" i="10"/>
  <c r="J111" i="10"/>
  <c r="I28" i="18" s="1"/>
  <c r="L26" i="15"/>
  <c r="L234" i="15" s="1"/>
  <c r="L29" i="15"/>
  <c r="Z111" i="9"/>
  <c r="V153" i="9"/>
  <c r="I153" i="10"/>
  <c r="H132" i="10"/>
  <c r="G29" i="18" s="1"/>
  <c r="AA111" i="10"/>
  <c r="Z28" i="18" s="1"/>
  <c r="G192" i="10"/>
  <c r="T90" i="9"/>
  <c r="S15" i="18" s="1"/>
  <c r="Q111" i="9"/>
  <c r="S111" i="9"/>
  <c r="H132" i="9"/>
  <c r="I153" i="9"/>
  <c r="K153" i="9"/>
  <c r="H153" i="10"/>
  <c r="G30" i="18" s="1"/>
  <c r="Y153" i="10"/>
  <c r="X30" i="18" s="1"/>
  <c r="U132" i="10"/>
  <c r="T29" i="18" s="1"/>
  <c r="L132" i="10"/>
  <c r="K132" i="10"/>
  <c r="J29" i="18" s="1"/>
  <c r="Y111" i="10"/>
  <c r="X28" i="18" s="1"/>
  <c r="U111" i="10"/>
  <c r="T28" i="18" s="1"/>
  <c r="N90" i="10"/>
  <c r="M27" i="18" s="1"/>
  <c r="Z90" i="10"/>
  <c r="Y27" i="18" s="1"/>
  <c r="K90" i="10"/>
  <c r="J27" i="18" s="1"/>
  <c r="N26" i="14"/>
  <c r="N234" i="14" s="1"/>
  <c r="N29" i="14"/>
  <c r="R29" i="14"/>
  <c r="R26" i="14"/>
  <c r="R234" i="14" s="1"/>
  <c r="S29" i="14"/>
  <c r="S26" i="14"/>
  <c r="S234" i="14" s="1"/>
  <c r="P29" i="15"/>
  <c r="P26" i="15"/>
  <c r="P234" i="15" s="1"/>
  <c r="S26" i="15"/>
  <c r="S234" i="15" s="1"/>
  <c r="S29" i="15"/>
  <c r="R26" i="15"/>
  <c r="R234" i="15" s="1"/>
  <c r="R29" i="15"/>
  <c r="M26" i="15"/>
  <c r="M234" i="15" s="1"/>
  <c r="M29" i="15"/>
  <c r="J29" i="15"/>
  <c r="J26" i="15"/>
  <c r="J234" i="15" s="1"/>
  <c r="O174" i="11"/>
  <c r="O217" i="11" s="1"/>
  <c r="N29" i="3" s="1"/>
  <c r="N67" i="3" s="1"/>
  <c r="K174" i="11"/>
  <c r="K217" i="11" s="1"/>
  <c r="J29" i="3" s="1"/>
  <c r="J67" i="3" s="1"/>
  <c r="I29" i="14"/>
  <c r="I26" i="14"/>
  <c r="I234" i="14" s="1"/>
  <c r="V26" i="14"/>
  <c r="V234" i="14" s="1"/>
  <c r="V29" i="14"/>
  <c r="K29" i="15"/>
  <c r="K26" i="15"/>
  <c r="K234" i="15" s="1"/>
  <c r="H114" i="11"/>
  <c r="H112" i="11"/>
  <c r="U111" i="9"/>
  <c r="M111" i="9"/>
  <c r="M132" i="9"/>
  <c r="Y132" i="9"/>
  <c r="H153" i="9"/>
  <c r="U26" i="14"/>
  <c r="U234" i="14" s="1"/>
  <c r="U29" i="14"/>
  <c r="X26" i="14"/>
  <c r="X234" i="14" s="1"/>
  <c r="X29" i="14"/>
  <c r="AA174" i="11"/>
  <c r="AA217" i="11" s="1"/>
  <c r="Z29" i="3" s="1"/>
  <c r="Z67" i="3" s="1"/>
  <c r="R111" i="9"/>
  <c r="J153" i="9"/>
  <c r="I132" i="10"/>
  <c r="H29" i="18" s="1"/>
  <c r="K26" i="14"/>
  <c r="K234" i="14" s="1"/>
  <c r="K29" i="14"/>
  <c r="X174" i="11"/>
  <c r="X217" i="11" s="1"/>
  <c r="W29" i="3" s="1"/>
  <c r="W67" i="3" s="1"/>
  <c r="O111" i="9"/>
  <c r="O153" i="9"/>
  <c r="AA153" i="10"/>
  <c r="R111" i="10"/>
  <c r="Q28" i="18" s="1"/>
  <c r="AA26" i="14"/>
  <c r="AA234" i="14" s="1"/>
  <c r="AA29" i="14"/>
  <c r="I90" i="9"/>
  <c r="H15" i="18" s="1"/>
  <c r="V90" i="9"/>
  <c r="U15" i="18" s="1"/>
  <c r="Y111" i="9"/>
  <c r="AA111" i="9"/>
  <c r="P132" i="9"/>
  <c r="M153" i="9"/>
  <c r="S153" i="9"/>
  <c r="P153" i="10"/>
  <c r="J153" i="10"/>
  <c r="I30" i="18" s="1"/>
  <c r="V132" i="10"/>
  <c r="U29" i="18" s="1"/>
  <c r="M132" i="10"/>
  <c r="L29" i="18" s="1"/>
  <c r="S132" i="10"/>
  <c r="R29" i="18" s="1"/>
  <c r="L111" i="10"/>
  <c r="K28" i="18" s="1"/>
  <c r="V111" i="10"/>
  <c r="U28" i="18" s="1"/>
  <c r="V90" i="10"/>
  <c r="U27" i="18" s="1"/>
  <c r="T90" i="10"/>
  <c r="S27" i="18" s="1"/>
  <c r="P26" i="14"/>
  <c r="P234" i="14" s="1"/>
  <c r="P29" i="14"/>
  <c r="V26" i="15"/>
  <c r="V234" i="15" s="1"/>
  <c r="V29" i="15"/>
  <c r="Z29" i="14"/>
  <c r="Z26" i="14"/>
  <c r="Z234" i="14" s="1"/>
  <c r="AA29" i="15"/>
  <c r="AA26" i="15"/>
  <c r="AA234" i="15" s="1"/>
  <c r="W174" i="11"/>
  <c r="W217" i="11" s="1"/>
  <c r="V29" i="3" s="1"/>
  <c r="V67" i="3" s="1"/>
  <c r="G50" i="15"/>
  <c r="P191" i="9"/>
  <c r="L191" i="9"/>
  <c r="M191" i="9"/>
  <c r="U90" i="9"/>
  <c r="T15" i="18" s="1"/>
  <c r="O90" i="9"/>
  <c r="N15" i="18" s="1"/>
  <c r="P90" i="9"/>
  <c r="O15" i="18" s="1"/>
  <c r="P111" i="9"/>
  <c r="N111" i="9"/>
  <c r="J132" i="9"/>
  <c r="O132" i="9"/>
  <c r="AA132" i="9"/>
  <c r="Q153" i="9"/>
  <c r="R153" i="9"/>
  <c r="N90" i="9"/>
  <c r="M15" i="18" s="1"/>
  <c r="H90" i="9"/>
  <c r="K90" i="9"/>
  <c r="J15" i="18" s="1"/>
  <c r="X111" i="9"/>
  <c r="W111" i="9"/>
  <c r="Z132" i="9"/>
  <c r="W132" i="9"/>
  <c r="I132" i="9"/>
  <c r="Y153" i="9"/>
  <c r="Z153" i="9"/>
  <c r="X90" i="9"/>
  <c r="W15" i="18" s="1"/>
  <c r="J90" i="9"/>
  <c r="I15" i="18" s="1"/>
  <c r="S90" i="9"/>
  <c r="R15" i="18" s="1"/>
  <c r="I111" i="9"/>
  <c r="J111" i="9"/>
  <c r="K132" i="9"/>
  <c r="S132" i="9"/>
  <c r="Q132" i="9"/>
  <c r="L153" i="9"/>
  <c r="U153" i="9"/>
  <c r="M174" i="12"/>
  <c r="M217" i="12" s="1"/>
  <c r="L28" i="3" s="1"/>
  <c r="L66" i="3" s="1"/>
  <c r="V191" i="10"/>
  <c r="W191" i="10"/>
  <c r="U191" i="10"/>
  <c r="T191" i="10"/>
  <c r="C183" i="10"/>
  <c r="D132" i="10"/>
  <c r="AA191" i="10"/>
  <c r="S191" i="10"/>
  <c r="D153" i="10"/>
  <c r="D90" i="10"/>
  <c r="Z191" i="10"/>
  <c r="R191" i="10"/>
  <c r="D111" i="10"/>
  <c r="Y191" i="10"/>
  <c r="Q191" i="10"/>
  <c r="C87" i="10"/>
  <c r="X191" i="10"/>
  <c r="K191" i="10"/>
  <c r="X191" i="9"/>
  <c r="D111" i="9"/>
  <c r="W191" i="9"/>
  <c r="D132" i="9"/>
  <c r="V191" i="9"/>
  <c r="U191" i="9"/>
  <c r="D153" i="9"/>
  <c r="T191" i="9"/>
  <c r="C183" i="9"/>
  <c r="D90" i="9"/>
  <c r="AA191" i="9"/>
  <c r="S191" i="9"/>
  <c r="Z191" i="9"/>
  <c r="R191" i="9"/>
  <c r="C87" i="9"/>
  <c r="Y191" i="9"/>
  <c r="Q191" i="9"/>
  <c r="G192" i="9"/>
  <c r="K191" i="9"/>
  <c r="J191" i="9"/>
  <c r="I191" i="9"/>
  <c r="X174" i="12"/>
  <c r="X217" i="12" s="1"/>
  <c r="W28" i="3" s="1"/>
  <c r="W66" i="3" s="1"/>
  <c r="H185" i="13"/>
  <c r="I185" i="13" s="1"/>
  <c r="J185" i="13" s="1"/>
  <c r="K185" i="13" s="1"/>
  <c r="L185" i="13" s="1"/>
  <c r="M185" i="13" s="1"/>
  <c r="N185" i="13" s="1"/>
  <c r="O185" i="13" s="1"/>
  <c r="P185" i="13" s="1"/>
  <c r="Q185" i="13" s="1"/>
  <c r="R185" i="13" s="1"/>
  <c r="S185" i="13" s="1"/>
  <c r="T185" i="13" s="1"/>
  <c r="U185" i="13" s="1"/>
  <c r="V185" i="13" s="1"/>
  <c r="W185" i="13" s="1"/>
  <c r="X185" i="13" s="1"/>
  <c r="Y185" i="13" s="1"/>
  <c r="Z185" i="13" s="1"/>
  <c r="AA185" i="13" s="1"/>
  <c r="P174" i="12"/>
  <c r="P217" i="12" s="1"/>
  <c r="O28" i="3" s="1"/>
  <c r="O66" i="3" s="1"/>
  <c r="S174" i="12"/>
  <c r="S217" i="12" s="1"/>
  <c r="R28" i="3" s="1"/>
  <c r="R66" i="3" s="1"/>
  <c r="R174" i="12"/>
  <c r="R217" i="12" s="1"/>
  <c r="Q28" i="3" s="1"/>
  <c r="Q66" i="3" s="1"/>
  <c r="Z30" i="11"/>
  <c r="AA26" i="11"/>
  <c r="AA234" i="11" s="1"/>
  <c r="AA29" i="11"/>
  <c r="M29" i="12"/>
  <c r="M26" i="12"/>
  <c r="M234" i="12" s="1"/>
  <c r="R29" i="12"/>
  <c r="R26" i="12"/>
  <c r="R234" i="12" s="1"/>
  <c r="O29" i="11"/>
  <c r="O26" i="11"/>
  <c r="O234" i="11" s="1"/>
  <c r="M30" i="11"/>
  <c r="N29" i="12"/>
  <c r="N26" i="12"/>
  <c r="N234" i="12" s="1"/>
  <c r="AA174" i="12"/>
  <c r="AA217" i="12" s="1"/>
  <c r="Z28" i="3" s="1"/>
  <c r="Z66" i="3" s="1"/>
  <c r="O174" i="12"/>
  <c r="O217" i="12" s="1"/>
  <c r="N28" i="3" s="1"/>
  <c r="N66" i="3" s="1"/>
  <c r="I174" i="12"/>
  <c r="I217" i="12" s="1"/>
  <c r="H28" i="3" s="1"/>
  <c r="H66" i="3" s="1"/>
  <c r="O30" i="11"/>
  <c r="Q31" i="11"/>
  <c r="X30" i="11"/>
  <c r="Z31" i="11"/>
  <c r="W30" i="11"/>
  <c r="K26" i="12"/>
  <c r="K234" i="12" s="1"/>
  <c r="K29" i="12"/>
  <c r="K30" i="11"/>
  <c r="Y26" i="11"/>
  <c r="Y234" i="11" s="1"/>
  <c r="Y29" i="11"/>
  <c r="R29" i="11"/>
  <c r="R26" i="11"/>
  <c r="R234" i="11" s="1"/>
  <c r="X26" i="12"/>
  <c r="X234" i="12" s="1"/>
  <c r="X29" i="12"/>
  <c r="H135" i="12"/>
  <c r="H133" i="12"/>
  <c r="N174" i="12"/>
  <c r="N217" i="12" s="1"/>
  <c r="M28" i="3" s="1"/>
  <c r="M66" i="3" s="1"/>
  <c r="K174" i="12"/>
  <c r="K217" i="12" s="1"/>
  <c r="J28" i="3" s="1"/>
  <c r="J66" i="3" s="1"/>
  <c r="H156" i="12"/>
  <c r="H154" i="12"/>
  <c r="R31" i="11"/>
  <c r="J30" i="11"/>
  <c r="AA30" i="11"/>
  <c r="V30" i="11"/>
  <c r="W29" i="11"/>
  <c r="W26" i="11"/>
  <c r="W234" i="11" s="1"/>
  <c r="Q30" i="11"/>
  <c r="M31" i="11"/>
  <c r="U26" i="11"/>
  <c r="U234" i="11" s="1"/>
  <c r="U29" i="11"/>
  <c r="I31" i="11"/>
  <c r="U29" i="12"/>
  <c r="U26" i="12"/>
  <c r="U234" i="12" s="1"/>
  <c r="S31" i="11"/>
  <c r="H26" i="12"/>
  <c r="H234" i="12" s="1"/>
  <c r="H29" i="12"/>
  <c r="O26" i="12"/>
  <c r="O234" i="12" s="1"/>
  <c r="O29" i="12"/>
  <c r="I29" i="11"/>
  <c r="I26" i="11"/>
  <c r="I234" i="11" s="1"/>
  <c r="U174" i="12"/>
  <c r="U217" i="12" s="1"/>
  <c r="T28" i="3" s="1"/>
  <c r="T66" i="3" s="1"/>
  <c r="P29" i="11"/>
  <c r="P26" i="11"/>
  <c r="P234" i="11" s="1"/>
  <c r="X29" i="11"/>
  <c r="X26" i="11"/>
  <c r="X234" i="11" s="1"/>
  <c r="Q26" i="12"/>
  <c r="Q234" i="12" s="1"/>
  <c r="Q29" i="12"/>
  <c r="X31" i="11"/>
  <c r="N30" i="11"/>
  <c r="P30" i="11"/>
  <c r="L26" i="11"/>
  <c r="L234" i="11" s="1"/>
  <c r="L29" i="11"/>
  <c r="T29" i="12"/>
  <c r="T26" i="12"/>
  <c r="T234" i="12" s="1"/>
  <c r="Y26" i="12"/>
  <c r="Y234" i="12" s="1"/>
  <c r="Y29" i="12"/>
  <c r="W174" i="12"/>
  <c r="W217" i="12" s="1"/>
  <c r="V28" i="3" s="1"/>
  <c r="V66" i="3" s="1"/>
  <c r="V174" i="12"/>
  <c r="V217" i="12" s="1"/>
  <c r="U28" i="3" s="1"/>
  <c r="U66" i="3" s="1"/>
  <c r="Y31" i="11"/>
  <c r="V31" i="11"/>
  <c r="S26" i="12"/>
  <c r="S234" i="12" s="1"/>
  <c r="S29" i="12"/>
  <c r="W31" i="11"/>
  <c r="I30" i="11"/>
  <c r="T31" i="11"/>
  <c r="L29" i="12"/>
  <c r="L26" i="12"/>
  <c r="L234" i="12" s="1"/>
  <c r="M29" i="11"/>
  <c r="M26" i="11"/>
  <c r="M234" i="11" s="1"/>
  <c r="J29" i="11"/>
  <c r="J26" i="11"/>
  <c r="J234" i="11" s="1"/>
  <c r="S26" i="11"/>
  <c r="S234" i="11" s="1"/>
  <c r="S29" i="11"/>
  <c r="R30" i="11"/>
  <c r="L174" i="12"/>
  <c r="L217" i="12" s="1"/>
  <c r="K28" i="3" s="1"/>
  <c r="K66" i="3" s="1"/>
  <c r="Q174" i="12"/>
  <c r="Q217" i="12" s="1"/>
  <c r="P28" i="3" s="1"/>
  <c r="P66" i="3" s="1"/>
  <c r="Y174" i="12"/>
  <c r="Y217" i="12" s="1"/>
  <c r="X28" i="3" s="1"/>
  <c r="X66" i="3" s="1"/>
  <c r="U30" i="11"/>
  <c r="L31" i="11"/>
  <c r="T30" i="11"/>
  <c r="V26" i="11"/>
  <c r="V234" i="11" s="1"/>
  <c r="V29" i="11"/>
  <c r="U31" i="11"/>
  <c r="K26" i="11"/>
  <c r="K234" i="11" s="1"/>
  <c r="K29" i="11"/>
  <c r="N31" i="11"/>
  <c r="J29" i="12"/>
  <c r="J26" i="12"/>
  <c r="J234" i="12" s="1"/>
  <c r="AA31" i="11"/>
  <c r="W29" i="12"/>
  <c r="W26" i="12"/>
  <c r="W234" i="12" s="1"/>
  <c r="P31" i="11"/>
  <c r="V29" i="12"/>
  <c r="V26" i="12"/>
  <c r="V234" i="12" s="1"/>
  <c r="N26" i="11"/>
  <c r="N234" i="11" s="1"/>
  <c r="N29" i="11"/>
  <c r="L30" i="11"/>
  <c r="Z26" i="11"/>
  <c r="Z234" i="11" s="1"/>
  <c r="Z29" i="11"/>
  <c r="P26" i="12"/>
  <c r="P234" i="12" s="1"/>
  <c r="P29" i="12"/>
  <c r="T174" i="12"/>
  <c r="T217" i="12" s="1"/>
  <c r="S28" i="3" s="1"/>
  <c r="S66" i="3" s="1"/>
  <c r="AA26" i="12"/>
  <c r="AA234" i="12" s="1"/>
  <c r="AA29" i="12"/>
  <c r="J31" i="11"/>
  <c r="H29" i="11"/>
  <c r="H26" i="11"/>
  <c r="H234" i="11" s="1"/>
  <c r="J174" i="12"/>
  <c r="J217" i="12" s="1"/>
  <c r="I28" i="3" s="1"/>
  <c r="I66" i="3" s="1"/>
  <c r="K288" i="12"/>
  <c r="K256" i="12"/>
  <c r="O31" i="11"/>
  <c r="H30" i="11"/>
  <c r="K31" i="11"/>
  <c r="Y30" i="11"/>
  <c r="G50" i="12"/>
  <c r="H31" i="11"/>
  <c r="I26" i="12"/>
  <c r="I234" i="12" s="1"/>
  <c r="I29" i="12"/>
  <c r="Q29" i="11"/>
  <c r="Q26" i="11"/>
  <c r="Q234" i="11" s="1"/>
  <c r="T26" i="11"/>
  <c r="T234" i="11" s="1"/>
  <c r="T29" i="11"/>
  <c r="Z26" i="12"/>
  <c r="Z234" i="12" s="1"/>
  <c r="Z29" i="12"/>
  <c r="S30" i="11"/>
  <c r="H91" i="12"/>
  <c r="H93" i="12"/>
  <c r="Z174" i="12"/>
  <c r="Z217" i="12" s="1"/>
  <c r="Y28" i="3" s="1"/>
  <c r="Y66" i="3" s="1"/>
  <c r="H114" i="12"/>
  <c r="H112" i="12"/>
  <c r="AA153" i="8"/>
  <c r="S153" i="8"/>
  <c r="K153" i="8"/>
  <c r="Z153" i="8"/>
  <c r="R153" i="8"/>
  <c r="Q24" i="18" s="1"/>
  <c r="J153" i="8"/>
  <c r="I24" i="18" s="1"/>
  <c r="Y153" i="8"/>
  <c r="X24" i="18" s="1"/>
  <c r="Q153" i="8"/>
  <c r="P24" i="18" s="1"/>
  <c r="I153" i="8"/>
  <c r="X153" i="8"/>
  <c r="P153" i="8"/>
  <c r="H153" i="8"/>
  <c r="G24" i="18" s="1"/>
  <c r="W153" i="8"/>
  <c r="V24" i="18" s="1"/>
  <c r="O153" i="8"/>
  <c r="N24" i="18" s="1"/>
  <c r="N153" i="8"/>
  <c r="M24" i="18" s="1"/>
  <c r="U153" i="8"/>
  <c r="T24" i="18" s="1"/>
  <c r="L153" i="8"/>
  <c r="V153" i="8"/>
  <c r="M153" i="8"/>
  <c r="T153" i="8"/>
  <c r="S24" i="18" s="1"/>
  <c r="H111" i="8"/>
  <c r="AA132" i="8"/>
  <c r="Z23" i="18" s="1"/>
  <c r="S132" i="8"/>
  <c r="R23" i="18" s="1"/>
  <c r="K132" i="8"/>
  <c r="J23" i="18" s="1"/>
  <c r="Z132" i="8"/>
  <c r="Y23" i="18" s="1"/>
  <c r="R132" i="8"/>
  <c r="J132" i="8"/>
  <c r="I23" i="18" s="1"/>
  <c r="W132" i="8"/>
  <c r="V23" i="18" s="1"/>
  <c r="U132" i="8"/>
  <c r="T23" i="18" s="1"/>
  <c r="Y132" i="8"/>
  <c r="X23" i="18" s="1"/>
  <c r="Q132" i="8"/>
  <c r="P23" i="18" s="1"/>
  <c r="I132" i="8"/>
  <c r="X132" i="8"/>
  <c r="W23" i="18" s="1"/>
  <c r="P132" i="8"/>
  <c r="O23" i="18" s="1"/>
  <c r="H132" i="8"/>
  <c r="O132" i="8"/>
  <c r="N23" i="18" s="1"/>
  <c r="V132" i="8"/>
  <c r="U23" i="18" s="1"/>
  <c r="N132" i="8"/>
  <c r="M132" i="8"/>
  <c r="L23" i="18" s="1"/>
  <c r="T132" i="8"/>
  <c r="L132" i="8"/>
  <c r="G192" i="8"/>
  <c r="AA111" i="8"/>
  <c r="Z18" i="18" s="1"/>
  <c r="S111" i="8"/>
  <c r="K111" i="8"/>
  <c r="Q111" i="8"/>
  <c r="P111" i="8"/>
  <c r="O18" i="18" s="1"/>
  <c r="V111" i="8"/>
  <c r="U111" i="8"/>
  <c r="T18" i="18" s="1"/>
  <c r="M111" i="8"/>
  <c r="L111" i="8"/>
  <c r="K18" i="18" s="1"/>
  <c r="Z111" i="8"/>
  <c r="R111" i="8"/>
  <c r="Q18" i="18" s="1"/>
  <c r="J111" i="8"/>
  <c r="I18" i="18" s="1"/>
  <c r="Y111" i="8"/>
  <c r="X18" i="18" s="1"/>
  <c r="I111" i="8"/>
  <c r="H18" i="18" s="1"/>
  <c r="X111" i="8"/>
  <c r="W111" i="8"/>
  <c r="O111" i="8"/>
  <c r="N18" i="18" s="1"/>
  <c r="N111" i="8"/>
  <c r="T111" i="8"/>
  <c r="L184" i="9"/>
  <c r="N191" i="8"/>
  <c r="H90" i="8"/>
  <c r="AA90" i="8"/>
  <c r="Z17" i="18" s="1"/>
  <c r="S90" i="8"/>
  <c r="R17" i="18" s="1"/>
  <c r="K90" i="8"/>
  <c r="J17" i="18" s="1"/>
  <c r="Z90" i="8"/>
  <c r="Y17" i="18" s="1"/>
  <c r="R90" i="8"/>
  <c r="Q17" i="18" s="1"/>
  <c r="J90" i="8"/>
  <c r="I17" i="18" s="1"/>
  <c r="Y90" i="8"/>
  <c r="X17" i="18" s="1"/>
  <c r="Q90" i="8"/>
  <c r="P17" i="18" s="1"/>
  <c r="I90" i="8"/>
  <c r="H17" i="18" s="1"/>
  <c r="X90" i="8"/>
  <c r="W17" i="18" s="1"/>
  <c r="P90" i="8"/>
  <c r="O17" i="18" s="1"/>
  <c r="W90" i="8"/>
  <c r="V17" i="18" s="1"/>
  <c r="V90" i="8"/>
  <c r="U17" i="18" s="1"/>
  <c r="N90" i="8"/>
  <c r="M17" i="18" s="1"/>
  <c r="U90" i="8"/>
  <c r="T17" i="18" s="1"/>
  <c r="M90" i="8"/>
  <c r="L17" i="18" s="1"/>
  <c r="T90" i="8"/>
  <c r="S17" i="18" s="1"/>
  <c r="L90" i="8"/>
  <c r="K17" i="18" s="1"/>
  <c r="O90" i="8"/>
  <c r="N17" i="18" s="1"/>
  <c r="C87" i="8"/>
  <c r="J42" i="8"/>
  <c r="J222" i="8" s="1"/>
  <c r="J256" i="8" s="1"/>
  <c r="M42" i="8"/>
  <c r="M222" i="8" s="1"/>
  <c r="L45" i="8"/>
  <c r="D90" i="8"/>
  <c r="D102" i="8" s="1"/>
  <c r="G102" i="8" s="1"/>
  <c r="K191" i="8"/>
  <c r="G42" i="8"/>
  <c r="G222" i="8" s="1"/>
  <c r="T191" i="8"/>
  <c r="V191" i="8"/>
  <c r="C183" i="8"/>
  <c r="H191" i="8"/>
  <c r="H193" i="8" s="1"/>
  <c r="D153" i="8"/>
  <c r="D168" i="8" s="1"/>
  <c r="G168" i="8" s="1"/>
  <c r="O191" i="8"/>
  <c r="L191" i="8"/>
  <c r="U191" i="8"/>
  <c r="I191" i="8"/>
  <c r="M191" i="8"/>
  <c r="W191" i="8"/>
  <c r="S191" i="8"/>
  <c r="R191" i="8"/>
  <c r="Q191" i="8"/>
  <c r="D132" i="8"/>
  <c r="AA191" i="8"/>
  <c r="Y191" i="8"/>
  <c r="X191" i="8"/>
  <c r="Z191" i="8"/>
  <c r="P191" i="8"/>
  <c r="D111" i="8"/>
  <c r="D125" i="8" s="1"/>
  <c r="J191" i="8"/>
  <c r="U26" i="8"/>
  <c r="U234" i="8" s="1"/>
  <c r="U268" i="8" s="1"/>
  <c r="Y306" i="8"/>
  <c r="Y274" i="8"/>
  <c r="Q26" i="8"/>
  <c r="Q234" i="8" s="1"/>
  <c r="Q29" i="8"/>
  <c r="W31" i="8"/>
  <c r="O29" i="8"/>
  <c r="O26" i="8"/>
  <c r="O234" i="8" s="1"/>
  <c r="BI180" i="5"/>
  <c r="BI157" i="5"/>
  <c r="BM156" i="5"/>
  <c r="BM179" i="5"/>
  <c r="AV152" i="5"/>
  <c r="AV175" i="5"/>
  <c r="BL159" i="5"/>
  <c r="BL182" i="5"/>
  <c r="BH175" i="5"/>
  <c r="BH152" i="5"/>
  <c r="AS173" i="5"/>
  <c r="AS150" i="5"/>
  <c r="AX151" i="5"/>
  <c r="AX174" i="5"/>
  <c r="Z26" i="7"/>
  <c r="Z28" i="7"/>
  <c r="Z115" i="7"/>
  <c r="Z114" i="7"/>
  <c r="Z152" i="7" s="1"/>
  <c r="Z113" i="7"/>
  <c r="Z149" i="7" s="1"/>
  <c r="Z118" i="7"/>
  <c r="Z117" i="7"/>
  <c r="Z30" i="7"/>
  <c r="Z24" i="7"/>
  <c r="Z116" i="7"/>
  <c r="Z23" i="7"/>
  <c r="Z27" i="7"/>
  <c r="Z31" i="7"/>
  <c r="Z29" i="7"/>
  <c r="Z25" i="7"/>
  <c r="AA115" i="7"/>
  <c r="AA25" i="7"/>
  <c r="AA24" i="7"/>
  <c r="AA26" i="7"/>
  <c r="N261" i="9"/>
  <c r="N293" i="9"/>
  <c r="X68" i="10"/>
  <c r="V30" i="8"/>
  <c r="P306" i="8"/>
  <c r="P274" i="8"/>
  <c r="O293" i="8"/>
  <c r="O261" i="8"/>
  <c r="G42" i="9"/>
  <c r="G45" i="9"/>
  <c r="BM180" i="5"/>
  <c r="BM157" i="5"/>
  <c r="AR180" i="5"/>
  <c r="AR157" i="5"/>
  <c r="BI176" i="5"/>
  <c r="BI153" i="5"/>
  <c r="AM64" i="6"/>
  <c r="AM65" i="6"/>
  <c r="Q184" i="12" s="1"/>
  <c r="AM37" i="6"/>
  <c r="AM63" i="6"/>
  <c r="AZ156" i="5"/>
  <c r="AZ179" i="5"/>
  <c r="BB159" i="5"/>
  <c r="BB182" i="5"/>
  <c r="AR174" i="5"/>
  <c r="AR151" i="5"/>
  <c r="AZ182" i="5"/>
  <c r="AZ159" i="5"/>
  <c r="BI177" i="5"/>
  <c r="BI154" i="5"/>
  <c r="AG59" i="6"/>
  <c r="BG175" i="5"/>
  <c r="BG152" i="5"/>
  <c r="BD178" i="5"/>
  <c r="BD155" i="5"/>
  <c r="AC175" i="5"/>
  <c r="AI76" i="6" s="1"/>
  <c r="BC175" i="5"/>
  <c r="BC152" i="5"/>
  <c r="BJ150" i="5"/>
  <c r="BJ173" i="5"/>
  <c r="AP181" i="5"/>
  <c r="AP158" i="5"/>
  <c r="BK181" i="5"/>
  <c r="BK158" i="5"/>
  <c r="Z4" i="5"/>
  <c r="AA4" i="7"/>
  <c r="AA4" i="6"/>
  <c r="AD12" i="4"/>
  <c r="V293" i="10"/>
  <c r="V261" i="10"/>
  <c r="Z274" i="10"/>
  <c r="Z306" i="10"/>
  <c r="M68" i="10"/>
  <c r="S269" i="9"/>
  <c r="S301" i="9"/>
  <c r="Q306" i="8"/>
  <c r="Q274" i="8"/>
  <c r="Y68" i="8"/>
  <c r="Q68" i="8"/>
  <c r="I68" i="8"/>
  <c r="X68" i="8"/>
  <c r="P68" i="8"/>
  <c r="H68" i="8"/>
  <c r="W68" i="8"/>
  <c r="O68" i="8"/>
  <c r="G68" i="8"/>
  <c r="V68" i="8"/>
  <c r="N68" i="8"/>
  <c r="R68" i="8"/>
  <c r="M68" i="8"/>
  <c r="L68" i="8"/>
  <c r="AA68" i="8"/>
  <c r="K68" i="8"/>
  <c r="Z68" i="8"/>
  <c r="U68" i="8"/>
  <c r="S68" i="8"/>
  <c r="J68" i="8"/>
  <c r="T68" i="8"/>
  <c r="N29" i="8"/>
  <c r="N26" i="8"/>
  <c r="N234" i="8" s="1"/>
  <c r="K30" i="8"/>
  <c r="N31" i="8"/>
  <c r="S26" i="8"/>
  <c r="S234" i="8" s="1"/>
  <c r="S29" i="8"/>
  <c r="H31" i="8"/>
  <c r="H261" i="8"/>
  <c r="H293" i="8"/>
  <c r="J45" i="9"/>
  <c r="J42" i="9"/>
  <c r="M42" i="9"/>
  <c r="M45" i="9"/>
  <c r="L29" i="9"/>
  <c r="L26" i="9"/>
  <c r="AY180" i="5"/>
  <c r="AY157" i="5"/>
  <c r="AZ180" i="5"/>
  <c r="AZ157" i="5"/>
  <c r="AM180" i="5"/>
  <c r="AM157" i="5"/>
  <c r="AR176" i="5"/>
  <c r="AR153" i="5"/>
  <c r="AR120" i="5"/>
  <c r="AE176" i="5"/>
  <c r="AE153" i="5"/>
  <c r="V306" i="8"/>
  <c r="AB306" i="8" s="1"/>
  <c r="V274" i="8"/>
  <c r="AB274" i="8" s="1"/>
  <c r="AB240" i="8"/>
  <c r="AM78" i="6"/>
  <c r="AM68" i="6"/>
  <c r="Q184" i="11" s="1"/>
  <c r="AM66" i="6"/>
  <c r="AM38" i="6"/>
  <c r="AM67" i="6"/>
  <c r="AT156" i="5"/>
  <c r="AT179" i="5"/>
  <c r="BB156" i="5"/>
  <c r="BB179" i="5"/>
  <c r="BH156" i="5"/>
  <c r="BH179" i="5"/>
  <c r="AM179" i="5"/>
  <c r="AM156" i="5"/>
  <c r="AX152" i="5"/>
  <c r="AX175" i="5"/>
  <c r="AF151" i="5"/>
  <c r="AF174" i="5"/>
  <c r="AZ174" i="5"/>
  <c r="AZ151" i="5"/>
  <c r="AM174" i="5"/>
  <c r="AM151" i="5"/>
  <c r="AQ159" i="5"/>
  <c r="AQ182" i="5"/>
  <c r="BH182" i="5"/>
  <c r="BH159" i="5"/>
  <c r="AU182" i="5"/>
  <c r="AU159" i="5"/>
  <c r="AP176" i="5"/>
  <c r="BL158" i="5"/>
  <c r="BL181" i="5"/>
  <c r="BB155" i="5"/>
  <c r="BB178" i="5"/>
  <c r="AR154" i="5"/>
  <c r="AR177" i="5"/>
  <c r="AE177" i="5"/>
  <c r="AE154" i="5"/>
  <c r="AQ180" i="5"/>
  <c r="BE181" i="5"/>
  <c r="BE158" i="5"/>
  <c r="AH152" i="5"/>
  <c r="AH175" i="5"/>
  <c r="BB120" i="5"/>
  <c r="AF119" i="5"/>
  <c r="AE120" i="5"/>
  <c r="BG182" i="5"/>
  <c r="BG159" i="5"/>
  <c r="AI78" i="6"/>
  <c r="AR178" i="5"/>
  <c r="AR155" i="5"/>
  <c r="AI175" i="5"/>
  <c r="AI152" i="5"/>
  <c r="AD152" i="5"/>
  <c r="AD163" i="5" s="1"/>
  <c r="AD175" i="5"/>
  <c r="AK175" i="5"/>
  <c r="AK152" i="5"/>
  <c r="BK175" i="5"/>
  <c r="BK152" i="5"/>
  <c r="AI182" i="5"/>
  <c r="AI159" i="5"/>
  <c r="BF152" i="5"/>
  <c r="BF175" i="5"/>
  <c r="AT150" i="5"/>
  <c r="AT173" i="5"/>
  <c r="AJ173" i="5"/>
  <c r="AJ150" i="5"/>
  <c r="BI173" i="5"/>
  <c r="BI150" i="5"/>
  <c r="AF12" i="4"/>
  <c r="BD158" i="5"/>
  <c r="BD181" i="5"/>
  <c r="AW181" i="5"/>
  <c r="AW158" i="5"/>
  <c r="AS181" i="5"/>
  <c r="AS158" i="5"/>
  <c r="W12" i="4"/>
  <c r="AC12" i="4"/>
  <c r="AC30" i="6"/>
  <c r="BB177" i="5"/>
  <c r="BG180" i="5"/>
  <c r="W274" i="9"/>
  <c r="W306" i="9"/>
  <c r="O301" i="10"/>
  <c r="O269" i="10"/>
  <c r="N30" i="8"/>
  <c r="Q26" i="9"/>
  <c r="Q29" i="9"/>
  <c r="AL153" i="5"/>
  <c r="AL176" i="5"/>
  <c r="AL120" i="5"/>
  <c r="AN158" i="5"/>
  <c r="AN181" i="5"/>
  <c r="AR156" i="5"/>
  <c r="AR179" i="5"/>
  <c r="AE182" i="5"/>
  <c r="AE159" i="5"/>
  <c r="AH182" i="5"/>
  <c r="AH159" i="5"/>
  <c r="BJ154" i="5"/>
  <c r="BJ177" i="5"/>
  <c r="BJ120" i="5"/>
  <c r="BA177" i="5"/>
  <c r="BA154" i="5"/>
  <c r="AP155" i="5"/>
  <c r="AP178" i="5"/>
  <c r="BF155" i="5"/>
  <c r="BF178" i="5"/>
  <c r="BA155" i="5"/>
  <c r="BA178" i="5"/>
  <c r="AO152" i="5"/>
  <c r="AO175" i="5"/>
  <c r="AU175" i="5"/>
  <c r="AU152" i="5"/>
  <c r="BD150" i="5"/>
  <c r="BD173" i="5"/>
  <c r="AW173" i="5"/>
  <c r="AW150" i="5"/>
  <c r="AW119" i="5"/>
  <c r="BI119" i="5"/>
  <c r="AD158" i="5"/>
  <c r="AD169" i="5" s="1"/>
  <c r="AD52" i="6" s="1"/>
  <c r="AD181" i="5"/>
  <c r="BG181" i="5"/>
  <c r="BG158" i="5"/>
  <c r="BC181" i="5"/>
  <c r="BC158" i="5"/>
  <c r="U306" i="10"/>
  <c r="U274" i="10"/>
  <c r="K306" i="10"/>
  <c r="K274" i="10"/>
  <c r="R82" i="10"/>
  <c r="G301" i="10"/>
  <c r="G269" i="10"/>
  <c r="R68" i="10"/>
  <c r="H185" i="10"/>
  <c r="I185" i="10" s="1"/>
  <c r="J185" i="10" s="1"/>
  <c r="K185" i="10" s="1"/>
  <c r="L185" i="10" s="1"/>
  <c r="M185" i="10" s="1"/>
  <c r="N185" i="10" s="1"/>
  <c r="O185" i="10" s="1"/>
  <c r="P185" i="10" s="1"/>
  <c r="Q185" i="10" s="1"/>
  <c r="R185" i="10" s="1"/>
  <c r="S185" i="10" s="1"/>
  <c r="T185" i="10" s="1"/>
  <c r="U185" i="10" s="1"/>
  <c r="V185" i="10" s="1"/>
  <c r="W185" i="10" s="1"/>
  <c r="X185" i="10" s="1"/>
  <c r="Y185" i="10" s="1"/>
  <c r="Z185" i="10" s="1"/>
  <c r="AA185" i="10" s="1"/>
  <c r="X293" i="9"/>
  <c r="X261" i="9"/>
  <c r="AA301" i="9"/>
  <c r="AA269" i="9"/>
  <c r="Q261" i="8"/>
  <c r="Q293" i="8"/>
  <c r="Y26" i="8"/>
  <c r="Y234" i="8" s="1"/>
  <c r="Y29" i="8"/>
  <c r="T30" i="8"/>
  <c r="K26" i="8"/>
  <c r="K234" i="8" s="1"/>
  <c r="K29" i="8"/>
  <c r="H26" i="8"/>
  <c r="H234" i="8" s="1"/>
  <c r="H29" i="8"/>
  <c r="N29" i="9"/>
  <c r="N26" i="9"/>
  <c r="K45" i="9"/>
  <c r="K42" i="9"/>
  <c r="V26" i="9"/>
  <c r="V29" i="9"/>
  <c r="Y26" i="9"/>
  <c r="Y29" i="9"/>
  <c r="U82" i="10"/>
  <c r="AE180" i="5"/>
  <c r="AE157" i="5"/>
  <c r="AJ176" i="5"/>
  <c r="AJ153" i="5"/>
  <c r="AJ30" i="6"/>
  <c r="V293" i="8"/>
  <c r="V261" i="8"/>
  <c r="AH180" i="5"/>
  <c r="AO179" i="5"/>
  <c r="AO156" i="5"/>
  <c r="AE179" i="5"/>
  <c r="AE156" i="5"/>
  <c r="AD78" i="6"/>
  <c r="BD151" i="5"/>
  <c r="BD174" i="5"/>
  <c r="AE174" i="5"/>
  <c r="AE151" i="5"/>
  <c r="AF159" i="5"/>
  <c r="AF182" i="5"/>
  <c r="AM182" i="5"/>
  <c r="AM159" i="5"/>
  <c r="BF154" i="5"/>
  <c r="BF177" i="5"/>
  <c r="AJ154" i="5"/>
  <c r="AJ177" i="5"/>
  <c r="AW159" i="5"/>
  <c r="AW182" i="5"/>
  <c r="AL159" i="5"/>
  <c r="AL182" i="5"/>
  <c r="BG119" i="5"/>
  <c r="AC78" i="6"/>
  <c r="G185" i="11" s="1"/>
  <c r="AO158" i="5"/>
  <c r="AJ178" i="5"/>
  <c r="AJ155" i="5"/>
  <c r="BI155" i="5"/>
  <c r="BI178" i="5"/>
  <c r="BB152" i="5"/>
  <c r="BB175" i="5"/>
  <c r="BJ159" i="5"/>
  <c r="BJ182" i="5"/>
  <c r="AG150" i="5"/>
  <c r="AG173" i="5"/>
  <c r="BA173" i="5"/>
  <c r="BA150" i="5"/>
  <c r="AI181" i="5"/>
  <c r="AI158" i="5"/>
  <c r="AK181" i="5"/>
  <c r="AK158" i="5"/>
  <c r="U12" i="4"/>
  <c r="AD157" i="5"/>
  <c r="AD168" i="5" s="1"/>
  <c r="AD51" i="6" s="1"/>
  <c r="Z82" i="10"/>
  <c r="Z68" i="10"/>
  <c r="H274" i="9"/>
  <c r="H306" i="9"/>
  <c r="Y82" i="9"/>
  <c r="Q82" i="9"/>
  <c r="I82" i="9"/>
  <c r="X82" i="9"/>
  <c r="P82" i="9"/>
  <c r="H82" i="9"/>
  <c r="W82" i="9"/>
  <c r="O82" i="9"/>
  <c r="G82" i="9"/>
  <c r="V82" i="9"/>
  <c r="N82" i="9"/>
  <c r="R82" i="9"/>
  <c r="M82" i="9"/>
  <c r="L82" i="9"/>
  <c r="AA82" i="9"/>
  <c r="K82" i="9"/>
  <c r="U82" i="9"/>
  <c r="T82" i="9"/>
  <c r="S82" i="9"/>
  <c r="J82" i="9"/>
  <c r="Z82" i="9"/>
  <c r="T261" i="10"/>
  <c r="T293" i="10"/>
  <c r="Z293" i="10"/>
  <c r="Z261" i="10"/>
  <c r="W68" i="10"/>
  <c r="K82" i="10"/>
  <c r="N68" i="10"/>
  <c r="K68" i="10"/>
  <c r="H293" i="9"/>
  <c r="H261" i="9"/>
  <c r="T269" i="9"/>
  <c r="T301" i="9"/>
  <c r="K301" i="9"/>
  <c r="K269" i="9"/>
  <c r="I261" i="8"/>
  <c r="I293" i="8"/>
  <c r="AA31" i="8"/>
  <c r="S30" i="8"/>
  <c r="V31" i="8"/>
  <c r="AA26" i="8"/>
  <c r="AA234" i="8" s="1"/>
  <c r="AA29" i="8"/>
  <c r="P31" i="8"/>
  <c r="Y31" i="8"/>
  <c r="H306" i="8"/>
  <c r="H274" i="8"/>
  <c r="J26" i="9"/>
  <c r="J29" i="9"/>
  <c r="T29" i="9"/>
  <c r="T26" i="9"/>
  <c r="N82" i="10"/>
  <c r="AH54" i="7"/>
  <c r="AN180" i="5"/>
  <c r="AN157" i="5"/>
  <c r="BH180" i="5"/>
  <c r="BH157" i="5"/>
  <c r="AU180" i="5"/>
  <c r="AU157" i="5"/>
  <c r="AV157" i="5"/>
  <c r="AZ176" i="5"/>
  <c r="AZ153" i="5"/>
  <c r="AZ120" i="5"/>
  <c r="AM176" i="5"/>
  <c r="AM153" i="5"/>
  <c r="L5" i="5"/>
  <c r="K5" i="7"/>
  <c r="K5" i="6"/>
  <c r="N293" i="8"/>
  <c r="N261" i="8"/>
  <c r="AM72" i="6"/>
  <c r="AM70" i="6"/>
  <c r="AM39" i="6"/>
  <c r="AM69" i="6"/>
  <c r="AM71" i="6"/>
  <c r="BJ157" i="5"/>
  <c r="AK52" i="7"/>
  <c r="O37" i="14" s="1"/>
  <c r="AL46" i="7"/>
  <c r="AK53" i="7"/>
  <c r="O37" i="15" s="1"/>
  <c r="AI156" i="5"/>
  <c r="AI179" i="5"/>
  <c r="BE179" i="5"/>
  <c r="BF179" i="5"/>
  <c r="AG179" i="5"/>
  <c r="AF179" i="5"/>
  <c r="AU179" i="5"/>
  <c r="AU156" i="5"/>
  <c r="AD120" i="5"/>
  <c r="BB173" i="5"/>
  <c r="AW151" i="5"/>
  <c r="AW174" i="5"/>
  <c r="AQ151" i="5"/>
  <c r="AQ174" i="5"/>
  <c r="BH174" i="5"/>
  <c r="BH151" i="5"/>
  <c r="AU174" i="5"/>
  <c r="AU151" i="5"/>
  <c r="AN182" i="5"/>
  <c r="AN159" i="5"/>
  <c r="BE159" i="5"/>
  <c r="BE182" i="5"/>
  <c r="AC182" i="5"/>
  <c r="BC182" i="5"/>
  <c r="BC159" i="5"/>
  <c r="AL158" i="5"/>
  <c r="AL181" i="5"/>
  <c r="BL152" i="5"/>
  <c r="BL175" i="5"/>
  <c r="AX154" i="5"/>
  <c r="AX177" i="5"/>
  <c r="AH154" i="5"/>
  <c r="AH177" i="5"/>
  <c r="AZ154" i="5"/>
  <c r="AZ177" i="5"/>
  <c r="AM177" i="5"/>
  <c r="AM154" i="5"/>
  <c r="AN177" i="5"/>
  <c r="AT175" i="5"/>
  <c r="AT152" i="5"/>
  <c r="AF158" i="5"/>
  <c r="AF181" i="5"/>
  <c r="BG174" i="5"/>
  <c r="BG151" i="5"/>
  <c r="AE119" i="5"/>
  <c r="AS119" i="5"/>
  <c r="AJ120" i="5"/>
  <c r="AM120" i="5"/>
  <c r="AW180" i="5"/>
  <c r="AX181" i="5"/>
  <c r="AX158" i="5"/>
  <c r="AW155" i="5"/>
  <c r="AW178" i="5"/>
  <c r="AF178" i="5"/>
  <c r="AF155" i="5"/>
  <c r="AZ178" i="5"/>
  <c r="AZ155" i="5"/>
  <c r="AE178" i="5"/>
  <c r="AE155" i="5"/>
  <c r="AW152" i="5"/>
  <c r="AW175" i="5"/>
  <c r="AP152" i="5"/>
  <c r="AP175" i="5"/>
  <c r="AS175" i="5"/>
  <c r="AS152" i="5"/>
  <c r="BB158" i="5"/>
  <c r="BB181" i="5"/>
  <c r="AG175" i="5"/>
  <c r="AG152" i="5"/>
  <c r="BF150" i="5"/>
  <c r="BF173" i="5"/>
  <c r="AR173" i="5"/>
  <c r="AR150" i="5"/>
  <c r="AE173" i="5"/>
  <c r="AE150" i="5"/>
  <c r="AD30" i="6"/>
  <c r="AG158" i="5"/>
  <c r="AG181" i="5"/>
  <c r="BJ158" i="5"/>
  <c r="BJ181" i="5"/>
  <c r="BA181" i="5"/>
  <c r="BA158" i="5"/>
  <c r="AX159" i="5"/>
  <c r="AX182" i="5"/>
  <c r="AV178" i="5"/>
  <c r="Y12" i="4"/>
  <c r="AI30" i="6"/>
  <c r="BB154" i="5"/>
  <c r="AF156" i="5"/>
  <c r="AO181" i="5"/>
  <c r="U261" i="10"/>
  <c r="U293" i="10"/>
  <c r="K261" i="10"/>
  <c r="K293" i="10"/>
  <c r="X26" i="8"/>
  <c r="X234" i="8" s="1"/>
  <c r="X29" i="8"/>
  <c r="P293" i="8"/>
  <c r="P261" i="8"/>
  <c r="O306" i="8"/>
  <c r="O274" i="8"/>
  <c r="H45" i="9"/>
  <c r="H42" i="9"/>
  <c r="AJ180" i="5"/>
  <c r="AJ157" i="5"/>
  <c r="AL177" i="5"/>
  <c r="AL154" i="5"/>
  <c r="AJ174" i="5"/>
  <c r="AJ151" i="5"/>
  <c r="AR182" i="5"/>
  <c r="AR159" i="5"/>
  <c r="AF177" i="5"/>
  <c r="AF154" i="5"/>
  <c r="T306" i="10"/>
  <c r="T274" i="10"/>
  <c r="AA261" i="10"/>
  <c r="AA293" i="10"/>
  <c r="S82" i="10"/>
  <c r="O68" i="10"/>
  <c r="S68" i="10"/>
  <c r="Y306" i="9"/>
  <c r="Y274" i="9"/>
  <c r="I31" i="8"/>
  <c r="P26" i="8"/>
  <c r="P234" i="8" s="1"/>
  <c r="P29" i="8"/>
  <c r="BH176" i="5"/>
  <c r="BH153" i="5"/>
  <c r="AC54" i="7"/>
  <c r="AW156" i="5"/>
  <c r="AW179" i="5"/>
  <c r="BC179" i="5"/>
  <c r="BC156" i="5"/>
  <c r="AN151" i="5"/>
  <c r="AN174" i="5"/>
  <c r="BC174" i="5"/>
  <c r="BC151" i="5"/>
  <c r="AG159" i="5"/>
  <c r="AG182" i="5"/>
  <c r="AL175" i="5"/>
  <c r="AL152" i="5"/>
  <c r="AV154" i="5"/>
  <c r="AV177" i="5"/>
  <c r="AF176" i="5"/>
  <c r="BH178" i="5"/>
  <c r="BH155" i="5"/>
  <c r="BJ152" i="5"/>
  <c r="BJ175" i="5"/>
  <c r="AH173" i="5"/>
  <c r="AH150" i="5"/>
  <c r="O306" i="10"/>
  <c r="O274" i="10"/>
  <c r="AA306" i="10"/>
  <c r="AA274" i="10"/>
  <c r="R274" i="10"/>
  <c r="R306" i="10"/>
  <c r="I82" i="10"/>
  <c r="AA82" i="10"/>
  <c r="AA68" i="10"/>
  <c r="Y293" i="9"/>
  <c r="Y261" i="9"/>
  <c r="Y68" i="9"/>
  <c r="Q68" i="9"/>
  <c r="I68" i="9"/>
  <c r="X68" i="9"/>
  <c r="P68" i="9"/>
  <c r="H68" i="9"/>
  <c r="W68" i="9"/>
  <c r="O68" i="9"/>
  <c r="G68" i="9"/>
  <c r="V68" i="9"/>
  <c r="N68" i="9"/>
  <c r="AA68" i="9"/>
  <c r="K68" i="9"/>
  <c r="Z68" i="9"/>
  <c r="J68" i="9"/>
  <c r="U68" i="9"/>
  <c r="T68" i="9"/>
  <c r="R68" i="9"/>
  <c r="M68" i="9"/>
  <c r="L68" i="9"/>
  <c r="S68" i="9"/>
  <c r="Y301" i="8"/>
  <c r="Y269" i="8"/>
  <c r="R30" i="8"/>
  <c r="M31" i="8"/>
  <c r="J26" i="8"/>
  <c r="J234" i="8" s="1"/>
  <c r="J29" i="8"/>
  <c r="U30" i="8"/>
  <c r="Z31" i="8"/>
  <c r="P30" i="8"/>
  <c r="P26" i="9"/>
  <c r="P29" i="9"/>
  <c r="Z26" i="9"/>
  <c r="Z29" i="9"/>
  <c r="X82" i="10"/>
  <c r="V26" i="8"/>
  <c r="V234" i="8" s="1"/>
  <c r="V29" i="8"/>
  <c r="AE76" i="6"/>
  <c r="AN153" i="5"/>
  <c r="AN176" i="5"/>
  <c r="K6" i="7"/>
  <c r="K6" i="6"/>
  <c r="L6" i="5"/>
  <c r="BL180" i="5"/>
  <c r="BL157" i="5"/>
  <c r="AK180" i="5"/>
  <c r="AK157" i="5"/>
  <c r="BK180" i="5"/>
  <c r="BK157" i="5"/>
  <c r="BC176" i="5"/>
  <c r="BC153" i="5"/>
  <c r="AF30" i="6"/>
  <c r="AF54" i="7"/>
  <c r="BJ156" i="5"/>
  <c r="BJ179" i="5"/>
  <c r="AP179" i="5"/>
  <c r="AP156" i="5"/>
  <c r="AK179" i="5"/>
  <c r="AK156" i="5"/>
  <c r="BK179" i="5"/>
  <c r="BK156" i="5"/>
  <c r="BL151" i="5"/>
  <c r="BL174" i="5"/>
  <c r="I81" i="5"/>
  <c r="I105" i="5" s="1"/>
  <c r="J105" i="5" s="1"/>
  <c r="AB105" i="5" s="1"/>
  <c r="AB81" i="5"/>
  <c r="AF152" i="5"/>
  <c r="AF175" i="5"/>
  <c r="AI54" i="7"/>
  <c r="AY151" i="5"/>
  <c r="AY174" i="5"/>
  <c r="AG151" i="5"/>
  <c r="AG174" i="5"/>
  <c r="AK174" i="5"/>
  <c r="AK151" i="5"/>
  <c r="BK174" i="5"/>
  <c r="BK151" i="5"/>
  <c r="BM159" i="5"/>
  <c r="BM182" i="5"/>
  <c r="AT159" i="5"/>
  <c r="AT182" i="5"/>
  <c r="AS182" i="5"/>
  <c r="AS159" i="5"/>
  <c r="AJ29" i="6"/>
  <c r="BL155" i="5"/>
  <c r="BL178" i="5"/>
  <c r="AI174" i="5"/>
  <c r="AI151" i="5"/>
  <c r="AI10" i="4"/>
  <c r="AH12" i="4"/>
  <c r="AP154" i="5"/>
  <c r="AP177" i="5"/>
  <c r="BG154" i="5"/>
  <c r="BG177" i="5"/>
  <c r="AC177" i="5"/>
  <c r="AF77" i="6" s="1"/>
  <c r="BC177" i="5"/>
  <c r="BC154" i="5"/>
  <c r="AL156" i="5"/>
  <c r="AL179" i="5"/>
  <c r="AY150" i="5"/>
  <c r="AY173" i="5"/>
  <c r="BD119" i="5"/>
  <c r="BI120" i="5"/>
  <c r="BC120" i="5"/>
  <c r="AV120" i="5"/>
  <c r="AH120" i="5"/>
  <c r="AH4" i="5"/>
  <c r="AF153" i="5"/>
  <c r="AY155" i="5"/>
  <c r="AY178" i="5"/>
  <c r="BE178" i="5"/>
  <c r="BE155" i="5"/>
  <c r="AU178" i="5"/>
  <c r="AU155" i="5"/>
  <c r="AN152" i="5"/>
  <c r="AN175" i="5"/>
  <c r="AJ175" i="5"/>
  <c r="AJ152" i="5"/>
  <c r="BI175" i="5"/>
  <c r="BI152" i="5"/>
  <c r="AE30" i="6"/>
  <c r="AH179" i="5"/>
  <c r="AH156" i="5"/>
  <c r="AX173" i="5"/>
  <c r="AX119" i="5"/>
  <c r="AX150" i="5"/>
  <c r="AV150" i="5"/>
  <c r="AV173" i="5"/>
  <c r="AV119" i="5"/>
  <c r="BH173" i="5"/>
  <c r="BH150" i="5"/>
  <c r="AU173" i="5"/>
  <c r="AU150" i="5"/>
  <c r="AY158" i="5"/>
  <c r="AY181" i="5"/>
  <c r="AE79" i="6"/>
  <c r="BF158" i="5"/>
  <c r="BF181" i="5"/>
  <c r="AR181" i="5"/>
  <c r="AR158" i="5"/>
  <c r="AE181" i="5"/>
  <c r="AE158" i="5"/>
  <c r="AE169" i="5" s="1"/>
  <c r="AE52" i="6" s="1"/>
  <c r="R12" i="4"/>
  <c r="S12" i="4"/>
  <c r="AV151" i="5"/>
  <c r="AF180" i="5"/>
  <c r="BJ174" i="5"/>
  <c r="X274" i="9"/>
  <c r="X306" i="9"/>
  <c r="L30" i="8"/>
  <c r="BI179" i="5"/>
  <c r="BI156" i="5"/>
  <c r="AP151" i="5"/>
  <c r="AP174" i="5"/>
  <c r="BD182" i="5"/>
  <c r="BD159" i="5"/>
  <c r="AT177" i="5"/>
  <c r="AT154" i="5"/>
  <c r="Y306" i="10"/>
  <c r="Y274" i="10"/>
  <c r="L301" i="9"/>
  <c r="L269" i="9"/>
  <c r="I306" i="8"/>
  <c r="I274" i="8"/>
  <c r="K31" i="8"/>
  <c r="M30" i="8"/>
  <c r="X31" i="8"/>
  <c r="R26" i="9"/>
  <c r="R29" i="9"/>
  <c r="AY153" i="5"/>
  <c r="AY176" i="5"/>
  <c r="BC180" i="5"/>
  <c r="BC157" i="5"/>
  <c r="BD157" i="5"/>
  <c r="N274" i="8"/>
  <c r="N306" i="8"/>
  <c r="AC179" i="5"/>
  <c r="AO119" i="5"/>
  <c r="AJ48" i="7"/>
  <c r="N37" i="9" s="1"/>
  <c r="N37" i="10" s="1"/>
  <c r="AK44" i="7"/>
  <c r="AJ49" i="7"/>
  <c r="N37" i="12" s="1"/>
  <c r="N37" i="13" s="1"/>
  <c r="BE151" i="5"/>
  <c r="BE174" i="5"/>
  <c r="AK182" i="5"/>
  <c r="AK159" i="5"/>
  <c r="BH154" i="5"/>
  <c r="BH177" i="5"/>
  <c r="AP119" i="5"/>
  <c r="AX155" i="5"/>
  <c r="AX178" i="5"/>
  <c r="AQ155" i="5"/>
  <c r="AQ178" i="5"/>
  <c r="AM178" i="5"/>
  <c r="AM155" i="5"/>
  <c r="BD152" i="5"/>
  <c r="BD175" i="5"/>
  <c r="BB151" i="5"/>
  <c r="BB174" i="5"/>
  <c r="AM173" i="5"/>
  <c r="AM150" i="5"/>
  <c r="AM119" i="5"/>
  <c r="AT158" i="5"/>
  <c r="AT181" i="5"/>
  <c r="BI181" i="5"/>
  <c r="BI158" i="5"/>
  <c r="AH78" i="6"/>
  <c r="S293" i="10"/>
  <c r="S261" i="10"/>
  <c r="Q82" i="10"/>
  <c r="L82" i="10"/>
  <c r="O82" i="10"/>
  <c r="Q68" i="10"/>
  <c r="L68" i="10"/>
  <c r="I306" i="9"/>
  <c r="I274" i="9"/>
  <c r="Q269" i="8"/>
  <c r="Q301" i="8"/>
  <c r="M29" i="8"/>
  <c r="M26" i="8"/>
  <c r="M234" i="8" s="1"/>
  <c r="U31" i="8"/>
  <c r="R26" i="8"/>
  <c r="R234" i="8" s="1"/>
  <c r="R29" i="8"/>
  <c r="L29" i="8"/>
  <c r="L26" i="8"/>
  <c r="L234" i="8" s="1"/>
  <c r="J31" i="8"/>
  <c r="W26" i="8"/>
  <c r="W234" i="8" s="1"/>
  <c r="W29" i="8"/>
  <c r="X293" i="8"/>
  <c r="X261" i="8"/>
  <c r="W293" i="8"/>
  <c r="W261" i="8"/>
  <c r="K26" i="9"/>
  <c r="K29" i="9"/>
  <c r="H82" i="10"/>
  <c r="AL30" i="6"/>
  <c r="AE78" i="6"/>
  <c r="AX180" i="5"/>
  <c r="AX157" i="5"/>
  <c r="AS180" i="5"/>
  <c r="AS157" i="5"/>
  <c r="BL153" i="5"/>
  <c r="BL176" i="5"/>
  <c r="AK176" i="5"/>
  <c r="AK153" i="5"/>
  <c r="AK120" i="5"/>
  <c r="BK176" i="5"/>
  <c r="BK153" i="5"/>
  <c r="AM29" i="6"/>
  <c r="AE54" i="7"/>
  <c r="AK50" i="7"/>
  <c r="AL45" i="7"/>
  <c r="AK51" i="7"/>
  <c r="O37" i="11" s="1"/>
  <c r="I84" i="5"/>
  <c r="I109" i="5" s="1"/>
  <c r="J109" i="5" s="1"/>
  <c r="AB109" i="5" s="1"/>
  <c r="AV182" i="5"/>
  <c r="AV159" i="5"/>
  <c r="AN156" i="5"/>
  <c r="AN179" i="5"/>
  <c r="BD179" i="5"/>
  <c r="BD156" i="5"/>
  <c r="AS179" i="5"/>
  <c r="AS156" i="5"/>
  <c r="AO178" i="5"/>
  <c r="AO155" i="5"/>
  <c r="AL151" i="5"/>
  <c r="AL174" i="5"/>
  <c r="AQ173" i="5"/>
  <c r="BM151" i="5"/>
  <c r="BM174" i="5"/>
  <c r="AT151" i="5"/>
  <c r="AT174" i="5"/>
  <c r="AS174" i="5"/>
  <c r="AS151" i="5"/>
  <c r="AX179" i="5"/>
  <c r="AF76" i="6"/>
  <c r="AD159" i="5"/>
  <c r="AD170" i="5" s="1"/>
  <c r="AD53" i="6" s="1"/>
  <c r="AD182" i="5"/>
  <c r="BF182" i="5"/>
  <c r="BF159" i="5"/>
  <c r="BA182" i="5"/>
  <c r="BA159" i="5"/>
  <c r="AL78" i="6"/>
  <c r="AL155" i="5"/>
  <c r="AL178" i="5"/>
  <c r="BB150" i="5"/>
  <c r="AH176" i="5"/>
  <c r="BD177" i="5"/>
  <c r="BD154" i="5"/>
  <c r="AI154" i="5"/>
  <c r="AI177" i="5"/>
  <c r="AK177" i="5"/>
  <c r="AK154" i="5"/>
  <c r="BK177" i="5"/>
  <c r="BK154" i="5"/>
  <c r="AD153" i="5"/>
  <c r="AD164" i="5" s="1"/>
  <c r="AK79" i="6"/>
  <c r="AE29" i="6"/>
  <c r="BJ178" i="5"/>
  <c r="BJ155" i="5"/>
  <c r="AN119" i="5"/>
  <c r="AT120" i="5"/>
  <c r="AI119" i="5"/>
  <c r="BK120" i="5"/>
  <c r="BD120" i="5"/>
  <c r="AP120" i="5"/>
  <c r="BM155" i="5"/>
  <c r="BM178" i="5"/>
  <c r="AG155" i="5"/>
  <c r="AG178" i="5"/>
  <c r="AK155" i="5"/>
  <c r="AK178" i="5"/>
  <c r="BC178" i="5"/>
  <c r="BC155" i="5"/>
  <c r="AY152" i="5"/>
  <c r="AY175" i="5"/>
  <c r="AR175" i="5"/>
  <c r="AR152" i="5"/>
  <c r="AE175" i="5"/>
  <c r="AE152" i="5"/>
  <c r="BJ176" i="5"/>
  <c r="AH155" i="5"/>
  <c r="AH178" i="5"/>
  <c r="AD150" i="5"/>
  <c r="AD161" i="5" s="1"/>
  <c r="AD173" i="5"/>
  <c r="BG173" i="5"/>
  <c r="BG150" i="5"/>
  <c r="AC173" i="5"/>
  <c r="AM75" i="6" s="1"/>
  <c r="AC119" i="5"/>
  <c r="BC173" i="5"/>
  <c r="BC150" i="5"/>
  <c r="BC119" i="5"/>
  <c r="AH181" i="5"/>
  <c r="AH158" i="5"/>
  <c r="AZ181" i="5"/>
  <c r="AZ158" i="5"/>
  <c r="AM181" i="5"/>
  <c r="AM158" i="5"/>
  <c r="X12" i="4"/>
  <c r="T12" i="4"/>
  <c r="AV156" i="5"/>
  <c r="AH29" i="6"/>
  <c r="BG155" i="5"/>
  <c r="AQ158" i="5"/>
  <c r="W30" i="8"/>
  <c r="AA26" i="9"/>
  <c r="AA29" i="9"/>
  <c r="BA176" i="5"/>
  <c r="BA153" i="5"/>
  <c r="BA120" i="5"/>
  <c r="BI174" i="5"/>
  <c r="BI151" i="5"/>
  <c r="V82" i="10"/>
  <c r="P82" i="10"/>
  <c r="AA30" i="8"/>
  <c r="O26" i="9"/>
  <c r="O29" i="9"/>
  <c r="I45" i="9"/>
  <c r="I42" i="9"/>
  <c r="M29" i="9"/>
  <c r="M26" i="9"/>
  <c r="W29" i="9"/>
  <c r="W26" i="9"/>
  <c r="AU176" i="5"/>
  <c r="AU153" i="5"/>
  <c r="AN35" i="6" a="1"/>
  <c r="AN35" i="6" s="1"/>
  <c r="AN27" i="6" a="1"/>
  <c r="AN27" i="6" s="1"/>
  <c r="AO13" i="6"/>
  <c r="AN33" i="6" a="1"/>
  <c r="AN33" i="6" s="1"/>
  <c r="AN34" i="6" a="1"/>
  <c r="AN34" i="6" s="1"/>
  <c r="AN26" i="6" a="1"/>
  <c r="AN26" i="6" s="1"/>
  <c r="AN30" i="6" s="1"/>
  <c r="AN25" i="6" a="1"/>
  <c r="AN25" i="6" s="1"/>
  <c r="AN29" i="6" s="1"/>
  <c r="AD156" i="5"/>
  <c r="AD167" i="5" s="1"/>
  <c r="AD179" i="5"/>
  <c r="AQ152" i="5"/>
  <c r="AQ175" i="5"/>
  <c r="AY159" i="5"/>
  <c r="AY182" i="5"/>
  <c r="BK182" i="5"/>
  <c r="BK159" i="5"/>
  <c r="AD154" i="5"/>
  <c r="AD165" i="5" s="1"/>
  <c r="AD177" i="5"/>
  <c r="AU177" i="5"/>
  <c r="AU154" i="5"/>
  <c r="BJ153" i="5"/>
  <c r="AO151" i="5"/>
  <c r="AH174" i="5"/>
  <c r="AH151" i="5"/>
  <c r="BE119" i="5"/>
  <c r="AU120" i="5"/>
  <c r="AN155" i="5"/>
  <c r="AN178" i="5"/>
  <c r="BA175" i="5"/>
  <c r="BA152" i="5"/>
  <c r="BG156" i="5"/>
  <c r="BG179" i="5"/>
  <c r="AZ173" i="5"/>
  <c r="AZ150" i="5"/>
  <c r="AF157" i="5"/>
  <c r="AJ181" i="5"/>
  <c r="AJ158" i="5"/>
  <c r="I306" i="10"/>
  <c r="I274" i="10"/>
  <c r="P274" i="10"/>
  <c r="P306" i="10"/>
  <c r="J274" i="10"/>
  <c r="J306" i="10"/>
  <c r="V68" i="10"/>
  <c r="J293" i="10"/>
  <c r="J261" i="10"/>
  <c r="G304" i="9"/>
  <c r="G272" i="9"/>
  <c r="Y82" i="10"/>
  <c r="T82" i="10"/>
  <c r="W301" i="10"/>
  <c r="W269" i="10"/>
  <c r="Y68" i="10"/>
  <c r="T68" i="10"/>
  <c r="I293" i="9"/>
  <c r="I261" i="9"/>
  <c r="Y261" i="8"/>
  <c r="Y293" i="8"/>
  <c r="Y82" i="8"/>
  <c r="Q82" i="8"/>
  <c r="I82" i="8"/>
  <c r="X82" i="8"/>
  <c r="P82" i="8"/>
  <c r="H82" i="8"/>
  <c r="W82" i="8"/>
  <c r="O82" i="8"/>
  <c r="G82" i="8"/>
  <c r="V82" i="8"/>
  <c r="N82" i="8"/>
  <c r="U82" i="8"/>
  <c r="T82" i="8"/>
  <c r="S82" i="8"/>
  <c r="R82" i="8"/>
  <c r="M82" i="8"/>
  <c r="L82" i="8"/>
  <c r="K82" i="8"/>
  <c r="J82" i="8"/>
  <c r="Z82" i="8"/>
  <c r="AA82" i="8"/>
  <c r="L31" i="8"/>
  <c r="I269" i="8"/>
  <c r="I301" i="8"/>
  <c r="I26" i="8"/>
  <c r="I234" i="8" s="1"/>
  <c r="I29" i="8"/>
  <c r="Z26" i="8"/>
  <c r="Z234" i="8" s="1"/>
  <c r="Z29" i="8"/>
  <c r="O31" i="8"/>
  <c r="T29" i="8"/>
  <c r="T26" i="8"/>
  <c r="T234" i="8" s="1"/>
  <c r="Q30" i="8"/>
  <c r="X306" i="8"/>
  <c r="X274" i="8"/>
  <c r="W306" i="8"/>
  <c r="W274" i="8"/>
  <c r="X26" i="9"/>
  <c r="X29" i="9"/>
  <c r="H26" i="9"/>
  <c r="H29" i="9"/>
  <c r="U29" i="9"/>
  <c r="U26" i="9"/>
  <c r="I26" i="9"/>
  <c r="I29" i="9"/>
  <c r="L42" i="9"/>
  <c r="L45" i="9"/>
  <c r="S26" i="9"/>
  <c r="S29" i="9"/>
  <c r="AL180" i="5"/>
  <c r="AL157" i="5"/>
  <c r="BA180" i="5"/>
  <c r="BA157" i="5"/>
  <c r="BB157" i="5"/>
  <c r="AX153" i="5"/>
  <c r="AX176" i="5"/>
  <c r="AS176" i="5"/>
  <c r="AS153" i="5"/>
  <c r="AT153" i="5"/>
  <c r="AJ78" i="6"/>
  <c r="AM30" i="6"/>
  <c r="AD54" i="7"/>
  <c r="BM158" i="5"/>
  <c r="BM181" i="5"/>
  <c r="AY156" i="5"/>
  <c r="AY179" i="5"/>
  <c r="AJ156" i="5"/>
  <c r="AJ179" i="5"/>
  <c r="BA179" i="5"/>
  <c r="BA156" i="5"/>
  <c r="BL154" i="5"/>
  <c r="BL177" i="5"/>
  <c r="BE173" i="5"/>
  <c r="AD151" i="5"/>
  <c r="AD162" i="5" s="1"/>
  <c r="AD174" i="5"/>
  <c r="BF151" i="5"/>
  <c r="BF174" i="5"/>
  <c r="BA174" i="5"/>
  <c r="BA151" i="5"/>
  <c r="AX156" i="5"/>
  <c r="AP182" i="5"/>
  <c r="AP159" i="5"/>
  <c r="AJ182" i="5"/>
  <c r="AJ159" i="5"/>
  <c r="BI182" i="5"/>
  <c r="BI159" i="5"/>
  <c r="BE154" i="5"/>
  <c r="BE177" i="5"/>
  <c r="BE120" i="5"/>
  <c r="BL119" i="5"/>
  <c r="AG154" i="5"/>
  <c r="AG177" i="5"/>
  <c r="AW154" i="5"/>
  <c r="AW177" i="5"/>
  <c r="AS177" i="5"/>
  <c r="AS154" i="5"/>
  <c r="AV153" i="5"/>
  <c r="AO120" i="5"/>
  <c r="AI155" i="5"/>
  <c r="AI178" i="5"/>
  <c r="BA119" i="5"/>
  <c r="AS120" i="5"/>
  <c r="BH120" i="5"/>
  <c r="AQ119" i="5"/>
  <c r="AJ119" i="5"/>
  <c r="BL120" i="5"/>
  <c r="AX120" i="5"/>
  <c r="AD178" i="5"/>
  <c r="AD155" i="5"/>
  <c r="AD166" i="5" s="1"/>
  <c r="AT155" i="5"/>
  <c r="AT178" i="5"/>
  <c r="AS155" i="5"/>
  <c r="AS178" i="5"/>
  <c r="BK178" i="5"/>
  <c r="BK155" i="5"/>
  <c r="BM175" i="5"/>
  <c r="BM152" i="5"/>
  <c r="AZ175" i="5"/>
  <c r="AZ152" i="5"/>
  <c r="AM175" i="5"/>
  <c r="AM152" i="5"/>
  <c r="AI176" i="5"/>
  <c r="AY177" i="5"/>
  <c r="AY154" i="5"/>
  <c r="AP150" i="5"/>
  <c r="AP173" i="5"/>
  <c r="AI173" i="5"/>
  <c r="AI150" i="5"/>
  <c r="AK173" i="5"/>
  <c r="AK150" i="5"/>
  <c r="AK119" i="5"/>
  <c r="BK173" i="5"/>
  <c r="BK150" i="5"/>
  <c r="BK119" i="5"/>
  <c r="BE152" i="5"/>
  <c r="BE175" i="5"/>
  <c r="AV158" i="5"/>
  <c r="AV181" i="5"/>
  <c r="BH181" i="5"/>
  <c r="BH158" i="5"/>
  <c r="AU181" i="5"/>
  <c r="AU158" i="5"/>
  <c r="AW176" i="5"/>
  <c r="V12" i="4"/>
  <c r="AB12" i="4"/>
  <c r="AY120" i="5"/>
  <c r="BB180" i="5"/>
  <c r="AO174" i="5"/>
  <c r="AL76" i="6"/>
  <c r="BE180" i="5"/>
  <c r="AL29" i="6"/>
  <c r="K45" i="13" l="1"/>
  <c r="AA113" i="7"/>
  <c r="AM79" i="6"/>
  <c r="AA114" i="7"/>
  <c r="AA152" i="7" s="1"/>
  <c r="AA117" i="7"/>
  <c r="AA23" i="7"/>
  <c r="AA27" i="7"/>
  <c r="AA116" i="7"/>
  <c r="AA28" i="7"/>
  <c r="W143" i="7"/>
  <c r="W123" i="7"/>
  <c r="W144" i="7"/>
  <c r="W136" i="7"/>
  <c r="W132" i="7"/>
  <c r="W146" i="7"/>
  <c r="W142" i="7"/>
  <c r="W145" i="7"/>
  <c r="W141" i="7"/>
  <c r="W128" i="7"/>
  <c r="AA145" i="7"/>
  <c r="AA141" i="7"/>
  <c r="AA146" i="7"/>
  <c r="AA142" i="7"/>
  <c r="AA144" i="7"/>
  <c r="AA136" i="7"/>
  <c r="AA132" i="7"/>
  <c r="AA128" i="7"/>
  <c r="AA143" i="7"/>
  <c r="AA123" i="7"/>
  <c r="AK59" i="6"/>
  <c r="AB145" i="7"/>
  <c r="AB141" i="7"/>
  <c r="AB144" i="7"/>
  <c r="AB136" i="7"/>
  <c r="AB128" i="7"/>
  <c r="AB146" i="7"/>
  <c r="AB142" i="7"/>
  <c r="AB132" i="7"/>
  <c r="AB143" i="7"/>
  <c r="AB123" i="7"/>
  <c r="V144" i="7"/>
  <c r="V136" i="7"/>
  <c r="V132" i="7"/>
  <c r="V128" i="7"/>
  <c r="V143" i="7"/>
  <c r="V123" i="7"/>
  <c r="V145" i="7"/>
  <c r="V146" i="7"/>
  <c r="V142" i="7"/>
  <c r="V141" i="7"/>
  <c r="AD77" i="6"/>
  <c r="T145" i="7"/>
  <c r="T141" i="7"/>
  <c r="T132" i="7"/>
  <c r="T144" i="7"/>
  <c r="T136" i="7"/>
  <c r="T128" i="7"/>
  <c r="T142" i="7"/>
  <c r="T143" i="7"/>
  <c r="T123" i="7"/>
  <c r="T146" i="7"/>
  <c r="X143" i="7"/>
  <c r="X123" i="7"/>
  <c r="X146" i="7"/>
  <c r="X132" i="7"/>
  <c r="X128" i="7"/>
  <c r="X142" i="7"/>
  <c r="X144" i="7"/>
  <c r="X145" i="7"/>
  <c r="X141" i="7"/>
  <c r="X136" i="7"/>
  <c r="AO7" i="4"/>
  <c r="AP5" i="4"/>
  <c r="S23" i="7"/>
  <c r="S113" i="7"/>
  <c r="S149" i="7" s="1"/>
  <c r="S146" i="7"/>
  <c r="S145" i="7"/>
  <c r="S141" i="7"/>
  <c r="S144" i="7"/>
  <c r="S136" i="7"/>
  <c r="S132" i="7"/>
  <c r="S128" i="7"/>
  <c r="S143" i="7"/>
  <c r="S123" i="7"/>
  <c r="S142" i="7"/>
  <c r="Y146" i="7"/>
  <c r="Y142" i="7"/>
  <c r="Y145" i="7"/>
  <c r="Y141" i="7"/>
  <c r="Y136" i="7"/>
  <c r="Y132" i="7"/>
  <c r="Y123" i="7"/>
  <c r="Y144" i="7"/>
  <c r="Y128" i="7"/>
  <c r="Y143" i="7"/>
  <c r="U141" i="7"/>
  <c r="U144" i="7"/>
  <c r="U136" i="7"/>
  <c r="U132" i="7"/>
  <c r="U128" i="7"/>
  <c r="U143" i="7"/>
  <c r="U123" i="7"/>
  <c r="U142" i="7"/>
  <c r="U146" i="7"/>
  <c r="U145" i="7"/>
  <c r="G288" i="12"/>
  <c r="G45" i="13"/>
  <c r="S85" i="9"/>
  <c r="AJ4" i="7"/>
  <c r="AI260" i="7"/>
  <c r="AD45" i="6"/>
  <c r="AD46" i="6"/>
  <c r="AD44" i="6"/>
  <c r="H186" i="9" s="1"/>
  <c r="G256" i="15"/>
  <c r="I193" i="9"/>
  <c r="J193" i="9" s="1"/>
  <c r="K193" i="9" s="1"/>
  <c r="L193" i="9" s="1"/>
  <c r="M193" i="9" s="1"/>
  <c r="N193" i="9" s="1"/>
  <c r="O193" i="9" s="1"/>
  <c r="P193" i="9" s="1"/>
  <c r="Q193" i="9" s="1"/>
  <c r="R193" i="9" s="1"/>
  <c r="S193" i="9" s="1"/>
  <c r="T193" i="9" s="1"/>
  <c r="U193" i="9" s="1"/>
  <c r="V193" i="9" s="1"/>
  <c r="W193" i="9" s="1"/>
  <c r="X193" i="9" s="1"/>
  <c r="Y193" i="9" s="1"/>
  <c r="Z193" i="9" s="1"/>
  <c r="AA193" i="9" s="1"/>
  <c r="H192" i="9"/>
  <c r="I192" i="9" s="1"/>
  <c r="J192" i="9" s="1"/>
  <c r="AB114" i="7"/>
  <c r="AB113" i="7"/>
  <c r="AB62" i="5"/>
  <c r="AC79" i="6"/>
  <c r="G185" i="14" s="1"/>
  <c r="H185" i="14" s="1"/>
  <c r="I185" i="14" s="1"/>
  <c r="AE162" i="5"/>
  <c r="AG79" i="6"/>
  <c r="G288" i="11"/>
  <c r="AE168" i="5"/>
  <c r="AE51" i="6" s="1"/>
  <c r="AE161" i="5"/>
  <c r="AF161" i="5" s="1"/>
  <c r="AF44" i="6" s="1"/>
  <c r="AL79" i="6"/>
  <c r="AK76" i="6"/>
  <c r="AB117" i="7"/>
  <c r="AH76" i="6"/>
  <c r="AC76" i="6"/>
  <c r="G185" i="12" s="1"/>
  <c r="H185" i="12" s="1"/>
  <c r="I185" i="12" s="1"/>
  <c r="AB116" i="7"/>
  <c r="AD76" i="6"/>
  <c r="AJ76" i="6"/>
  <c r="AG76" i="6"/>
  <c r="AM76" i="6"/>
  <c r="AD50" i="6"/>
  <c r="H186" i="14" s="1"/>
  <c r="AD79" i="6"/>
  <c r="AB118" i="7"/>
  <c r="AB115" i="7"/>
  <c r="H185" i="11"/>
  <c r="I185" i="11" s="1"/>
  <c r="J185" i="11" s="1"/>
  <c r="H192" i="15"/>
  <c r="I192" i="15" s="1"/>
  <c r="J192" i="15" s="1"/>
  <c r="K192" i="15" s="1"/>
  <c r="L192" i="15" s="1"/>
  <c r="M192" i="15" s="1"/>
  <c r="N192" i="15" s="1"/>
  <c r="O192" i="15" s="1"/>
  <c r="P192" i="15" s="1"/>
  <c r="Q192" i="15" s="1"/>
  <c r="R192" i="15" s="1"/>
  <c r="S192" i="15" s="1"/>
  <c r="T192" i="15" s="1"/>
  <c r="U192" i="15" s="1"/>
  <c r="V192" i="15" s="1"/>
  <c r="W192" i="15" s="1"/>
  <c r="X192" i="15" s="1"/>
  <c r="Y192" i="15" s="1"/>
  <c r="Z192" i="15" s="1"/>
  <c r="AA192" i="15" s="1"/>
  <c r="I193" i="15"/>
  <c r="J193" i="15" s="1"/>
  <c r="K193" i="15" s="1"/>
  <c r="L193" i="15" s="1"/>
  <c r="M193" i="15" s="1"/>
  <c r="N193" i="15" s="1"/>
  <c r="O193" i="15" s="1"/>
  <c r="P193" i="15" s="1"/>
  <c r="Q193" i="15" s="1"/>
  <c r="R193" i="15" s="1"/>
  <c r="S193" i="15" s="1"/>
  <c r="T193" i="15" s="1"/>
  <c r="U193" i="15" s="1"/>
  <c r="V193" i="15" s="1"/>
  <c r="W193" i="15" s="1"/>
  <c r="X193" i="15" s="1"/>
  <c r="Y193" i="15" s="1"/>
  <c r="Z193" i="15" s="1"/>
  <c r="AA193" i="15" s="1"/>
  <c r="I193" i="14"/>
  <c r="J193" i="14" s="1"/>
  <c r="K193" i="14" s="1"/>
  <c r="L193" i="14" s="1"/>
  <c r="M193" i="14" s="1"/>
  <c r="N193" i="14" s="1"/>
  <c r="O193" i="14" s="1"/>
  <c r="P193" i="14" s="1"/>
  <c r="Q193" i="14" s="1"/>
  <c r="R193" i="14" s="1"/>
  <c r="S193" i="14" s="1"/>
  <c r="T193" i="14" s="1"/>
  <c r="U193" i="14" s="1"/>
  <c r="V193" i="14" s="1"/>
  <c r="W193" i="14" s="1"/>
  <c r="X193" i="14" s="1"/>
  <c r="Y193" i="14" s="1"/>
  <c r="Z193" i="14" s="1"/>
  <c r="AA193" i="14" s="1"/>
  <c r="H192" i="14"/>
  <c r="I192" i="14" s="1"/>
  <c r="J192" i="14" s="1"/>
  <c r="K192" i="14" s="1"/>
  <c r="L192" i="14" s="1"/>
  <c r="M192" i="14" s="1"/>
  <c r="N192" i="14" s="1"/>
  <c r="O192" i="14" s="1"/>
  <c r="P192" i="14" s="1"/>
  <c r="Q192" i="14" s="1"/>
  <c r="R192" i="14" s="1"/>
  <c r="S192" i="14" s="1"/>
  <c r="T192" i="14" s="1"/>
  <c r="U192" i="14" s="1"/>
  <c r="V192" i="14" s="1"/>
  <c r="W192" i="14" s="1"/>
  <c r="X192" i="14" s="1"/>
  <c r="Y192" i="14" s="1"/>
  <c r="Z192" i="14" s="1"/>
  <c r="AA192" i="14" s="1"/>
  <c r="AD48" i="6"/>
  <c r="AD49" i="6"/>
  <c r="H186" i="11" s="1"/>
  <c r="AD47" i="6"/>
  <c r="AE45" i="6"/>
  <c r="AE44" i="6"/>
  <c r="AF59" i="6"/>
  <c r="Q184" i="14"/>
  <c r="Q184" i="15"/>
  <c r="I85" i="10"/>
  <c r="G85" i="10"/>
  <c r="H186" i="12"/>
  <c r="H186" i="15"/>
  <c r="V85" i="10"/>
  <c r="P85" i="10"/>
  <c r="R85" i="9"/>
  <c r="J85" i="9"/>
  <c r="X85" i="9"/>
  <c r="K156" i="10"/>
  <c r="J30" i="18"/>
  <c r="L135" i="10"/>
  <c r="K29" i="18"/>
  <c r="R135" i="10"/>
  <c r="Q29" i="18"/>
  <c r="AA156" i="10"/>
  <c r="Z30" i="18"/>
  <c r="L156" i="10"/>
  <c r="K30" i="18"/>
  <c r="X156" i="10"/>
  <c r="W30" i="18"/>
  <c r="V156" i="10"/>
  <c r="U30" i="18"/>
  <c r="S156" i="10"/>
  <c r="R30" i="18"/>
  <c r="M156" i="10"/>
  <c r="L30" i="18"/>
  <c r="P156" i="10"/>
  <c r="O30" i="18"/>
  <c r="I156" i="10"/>
  <c r="H30" i="18"/>
  <c r="W114" i="10"/>
  <c r="V28" i="18"/>
  <c r="AA25" i="18"/>
  <c r="D25" i="18" s="1"/>
  <c r="M114" i="10"/>
  <c r="L28" i="18"/>
  <c r="T174" i="14"/>
  <c r="T217" i="14" s="1"/>
  <c r="S31" i="3" s="1"/>
  <c r="S69" i="3" s="1"/>
  <c r="J174" i="14"/>
  <c r="J217" i="14" s="1"/>
  <c r="I31" i="3" s="1"/>
  <c r="I69" i="3" s="1"/>
  <c r="W174" i="14"/>
  <c r="W217" i="14" s="1"/>
  <c r="V31" i="3" s="1"/>
  <c r="V69" i="3" s="1"/>
  <c r="AA26" i="18"/>
  <c r="D26" i="18" s="1"/>
  <c r="I156" i="8"/>
  <c r="H24" i="18"/>
  <c r="Y135" i="9"/>
  <c r="X21" i="18"/>
  <c r="N135" i="9"/>
  <c r="M21" i="18"/>
  <c r="T135" i="8"/>
  <c r="S23" i="18"/>
  <c r="I135" i="8"/>
  <c r="H23" i="18"/>
  <c r="O135" i="9"/>
  <c r="N21" i="18"/>
  <c r="O156" i="9"/>
  <c r="N22" i="18"/>
  <c r="M135" i="9"/>
  <c r="L21" i="18"/>
  <c r="T135" i="9"/>
  <c r="S21" i="18"/>
  <c r="L135" i="9"/>
  <c r="K21" i="18"/>
  <c r="X156" i="8"/>
  <c r="W24" i="18"/>
  <c r="P135" i="9"/>
  <c r="O21" i="18"/>
  <c r="AA156" i="9"/>
  <c r="Z22" i="18"/>
  <c r="L156" i="8"/>
  <c r="K24" i="18"/>
  <c r="J156" i="9"/>
  <c r="I22" i="18"/>
  <c r="R135" i="9"/>
  <c r="Q21" i="18"/>
  <c r="N156" i="9"/>
  <c r="M22" i="18"/>
  <c r="U156" i="9"/>
  <c r="T22" i="18"/>
  <c r="J135" i="9"/>
  <c r="I21" i="18"/>
  <c r="Z174" i="14"/>
  <c r="Z217" i="14" s="1"/>
  <c r="Y31" i="3" s="1"/>
  <c r="Y69" i="3" s="1"/>
  <c r="R135" i="8"/>
  <c r="Q23" i="18"/>
  <c r="Q156" i="9"/>
  <c r="P22" i="18"/>
  <c r="W156" i="9"/>
  <c r="V22" i="18"/>
  <c r="AA156" i="8"/>
  <c r="Z24" i="18"/>
  <c r="Z135" i="9"/>
  <c r="Y21" i="18"/>
  <c r="N135" i="8"/>
  <c r="M23" i="18"/>
  <c r="L156" i="9"/>
  <c r="K22" i="18"/>
  <c r="K156" i="9"/>
  <c r="J22" i="18"/>
  <c r="T156" i="9"/>
  <c r="S22" i="18"/>
  <c r="O174" i="14"/>
  <c r="O217" i="14" s="1"/>
  <c r="N31" i="3" s="1"/>
  <c r="N69" i="3" s="1"/>
  <c r="V156" i="8"/>
  <c r="U24" i="18"/>
  <c r="W135" i="9"/>
  <c r="V21" i="18"/>
  <c r="X156" i="9"/>
  <c r="W22" i="18"/>
  <c r="AA135" i="9"/>
  <c r="Z21" i="18"/>
  <c r="Q135" i="9"/>
  <c r="P21" i="18"/>
  <c r="Z156" i="9"/>
  <c r="Y22" i="18"/>
  <c r="I156" i="9"/>
  <c r="H22" i="18"/>
  <c r="U135" i="9"/>
  <c r="T21" i="18"/>
  <c r="S156" i="8"/>
  <c r="R24" i="18"/>
  <c r="L135" i="8"/>
  <c r="K23" i="18"/>
  <c r="Z156" i="8"/>
  <c r="Y24" i="18"/>
  <c r="S135" i="9"/>
  <c r="R21" i="18"/>
  <c r="Y156" i="9"/>
  <c r="X22" i="18"/>
  <c r="S156" i="9"/>
  <c r="R22" i="18"/>
  <c r="V156" i="9"/>
  <c r="U22" i="18"/>
  <c r="X135" i="9"/>
  <c r="W21" i="18"/>
  <c r="M156" i="8"/>
  <c r="L24" i="18"/>
  <c r="P156" i="8"/>
  <c r="O24" i="18"/>
  <c r="K156" i="8"/>
  <c r="J24" i="18"/>
  <c r="K135" i="9"/>
  <c r="J21" i="18"/>
  <c r="I135" i="9"/>
  <c r="H21" i="18"/>
  <c r="R156" i="9"/>
  <c r="Q22" i="18"/>
  <c r="M156" i="9"/>
  <c r="L22" i="18"/>
  <c r="P156" i="9"/>
  <c r="O22" i="18"/>
  <c r="V135" i="9"/>
  <c r="U21" i="18"/>
  <c r="M174" i="14"/>
  <c r="M217" i="14" s="1"/>
  <c r="L31" i="3" s="1"/>
  <c r="L69" i="3" s="1"/>
  <c r="I174" i="14"/>
  <c r="I217" i="14" s="1"/>
  <c r="H31" i="3" s="1"/>
  <c r="H69" i="3" s="1"/>
  <c r="S174" i="14"/>
  <c r="S217" i="14" s="1"/>
  <c r="R31" i="3" s="1"/>
  <c r="R69" i="3" s="1"/>
  <c r="H133" i="8"/>
  <c r="H136" i="8" s="1"/>
  <c r="G23" i="18"/>
  <c r="K174" i="14"/>
  <c r="K217" i="14" s="1"/>
  <c r="J31" i="3" s="1"/>
  <c r="J69" i="3" s="1"/>
  <c r="H154" i="9"/>
  <c r="H157" i="9" s="1"/>
  <c r="G22" i="18"/>
  <c r="H133" i="9"/>
  <c r="H136" i="9" s="1"/>
  <c r="G21" i="18"/>
  <c r="U174" i="14"/>
  <c r="U217" i="14" s="1"/>
  <c r="T31" i="3" s="1"/>
  <c r="T69" i="3" s="1"/>
  <c r="R174" i="14"/>
  <c r="R217" i="14" s="1"/>
  <c r="Q31" i="3" s="1"/>
  <c r="Q69" i="3" s="1"/>
  <c r="Y174" i="14"/>
  <c r="Y217" i="14" s="1"/>
  <c r="X31" i="3" s="1"/>
  <c r="X69" i="3" s="1"/>
  <c r="Q174" i="14"/>
  <c r="Q217" i="14" s="1"/>
  <c r="P31" i="3" s="1"/>
  <c r="P69" i="3" s="1"/>
  <c r="N174" i="14"/>
  <c r="N217" i="14" s="1"/>
  <c r="M31" i="3" s="1"/>
  <c r="M69" i="3" s="1"/>
  <c r="V174" i="14"/>
  <c r="V217" i="14" s="1"/>
  <c r="U31" i="3" s="1"/>
  <c r="U69" i="3" s="1"/>
  <c r="L174" i="14"/>
  <c r="L217" i="14" s="1"/>
  <c r="K31" i="3" s="1"/>
  <c r="K69" i="3" s="1"/>
  <c r="X174" i="14"/>
  <c r="X217" i="14" s="1"/>
  <c r="W31" i="3" s="1"/>
  <c r="W69" i="3" s="1"/>
  <c r="AA174" i="14"/>
  <c r="AA217" i="14" s="1"/>
  <c r="Z31" i="3" s="1"/>
  <c r="Z69" i="3" s="1"/>
  <c r="P174" i="14"/>
  <c r="P217" i="14" s="1"/>
  <c r="O31" i="3" s="1"/>
  <c r="O69" i="3" s="1"/>
  <c r="AA20" i="18"/>
  <c r="D20" i="18" s="1"/>
  <c r="N114" i="8"/>
  <c r="M18" i="18"/>
  <c r="Z114" i="8"/>
  <c r="Y18" i="18"/>
  <c r="S114" i="8"/>
  <c r="R18" i="18"/>
  <c r="T114" i="8"/>
  <c r="S18" i="18"/>
  <c r="W114" i="8"/>
  <c r="V18" i="18"/>
  <c r="M114" i="8"/>
  <c r="L18" i="18"/>
  <c r="X114" i="8"/>
  <c r="W18" i="18"/>
  <c r="V114" i="8"/>
  <c r="U18" i="18"/>
  <c r="K114" i="8"/>
  <c r="J18" i="18"/>
  <c r="Q114" i="8"/>
  <c r="P18" i="18"/>
  <c r="H114" i="8"/>
  <c r="G18" i="18"/>
  <c r="S114" i="9"/>
  <c r="R16" i="18"/>
  <c r="Z114" i="9"/>
  <c r="Y16" i="18"/>
  <c r="V114" i="9"/>
  <c r="U16" i="18"/>
  <c r="I114" i="9"/>
  <c r="H16" i="18"/>
  <c r="AA114" i="9"/>
  <c r="Z16" i="18"/>
  <c r="Q114" i="9"/>
  <c r="P16" i="18"/>
  <c r="W114" i="9"/>
  <c r="V16" i="18"/>
  <c r="Y114" i="9"/>
  <c r="X16" i="18"/>
  <c r="R114" i="9"/>
  <c r="Q16" i="18"/>
  <c r="K114" i="9"/>
  <c r="J16" i="18"/>
  <c r="P114" i="9"/>
  <c r="O16" i="18"/>
  <c r="X114" i="9"/>
  <c r="W16" i="18"/>
  <c r="O114" i="9"/>
  <c r="N16" i="18"/>
  <c r="M114" i="9"/>
  <c r="L16" i="18"/>
  <c r="T114" i="9"/>
  <c r="S16" i="18"/>
  <c r="L114" i="9"/>
  <c r="K16" i="18"/>
  <c r="J114" i="9"/>
  <c r="I16" i="18"/>
  <c r="N114" i="9"/>
  <c r="M16" i="18"/>
  <c r="U114" i="9"/>
  <c r="T16" i="18"/>
  <c r="H112" i="9"/>
  <c r="H120" i="9" s="1"/>
  <c r="G16" i="18"/>
  <c r="G17" i="18"/>
  <c r="G15" i="18"/>
  <c r="AA19" i="18"/>
  <c r="D19" i="18" s="1"/>
  <c r="Q93" i="9"/>
  <c r="S93" i="9"/>
  <c r="J93" i="9"/>
  <c r="V93" i="9"/>
  <c r="R93" i="9"/>
  <c r="L45" i="14"/>
  <c r="S93" i="10"/>
  <c r="X93" i="9"/>
  <c r="K93" i="9"/>
  <c r="I93" i="9"/>
  <c r="Z93" i="9"/>
  <c r="AA93" i="9"/>
  <c r="I93" i="8"/>
  <c r="AA93" i="8"/>
  <c r="Y93" i="9"/>
  <c r="U93" i="8"/>
  <c r="O93" i="9"/>
  <c r="U93" i="9"/>
  <c r="T93" i="9"/>
  <c r="N93" i="9"/>
  <c r="P93" i="9"/>
  <c r="M93" i="9"/>
  <c r="L93" i="9"/>
  <c r="W93" i="9"/>
  <c r="H91" i="8"/>
  <c r="I91" i="8" s="1"/>
  <c r="H93" i="9"/>
  <c r="M45" i="12"/>
  <c r="F11" i="18"/>
  <c r="L222" i="9"/>
  <c r="L288" i="9" s="1"/>
  <c r="M222" i="9"/>
  <c r="M288" i="9" s="1"/>
  <c r="K222" i="9"/>
  <c r="K288" i="9" s="1"/>
  <c r="J11" i="18"/>
  <c r="J222" i="9"/>
  <c r="J288" i="9" s="1"/>
  <c r="H222" i="9"/>
  <c r="H256" i="9" s="1"/>
  <c r="I222" i="9"/>
  <c r="I288" i="9" s="1"/>
  <c r="G222" i="9"/>
  <c r="G256" i="9" s="1"/>
  <c r="J7" i="18"/>
  <c r="K7" i="18"/>
  <c r="H7" i="18"/>
  <c r="L7" i="18"/>
  <c r="K45" i="14"/>
  <c r="I7" i="18"/>
  <c r="G7" i="18"/>
  <c r="M42" i="14"/>
  <c r="M222" i="14" s="1"/>
  <c r="M288" i="14" s="1"/>
  <c r="J45" i="12"/>
  <c r="I42" i="15"/>
  <c r="I222" i="15" s="1"/>
  <c r="I256" i="15" s="1"/>
  <c r="L45" i="12"/>
  <c r="N42" i="14"/>
  <c r="N222" i="14" s="1"/>
  <c r="N256" i="14" s="1"/>
  <c r="Z234" i="9"/>
  <c r="Z300" i="9" s="1"/>
  <c r="J234" i="9"/>
  <c r="J300" i="9" s="1"/>
  <c r="AF261" i="7"/>
  <c r="S234" i="9"/>
  <c r="S300" i="9" s="1"/>
  <c r="H234" i="9"/>
  <c r="H300" i="9" s="1"/>
  <c r="AD261" i="7"/>
  <c r="V234" i="9"/>
  <c r="V300" i="9" s="1"/>
  <c r="O234" i="9"/>
  <c r="O268" i="9" s="1"/>
  <c r="P234" i="9"/>
  <c r="P300" i="9" s="1"/>
  <c r="X234" i="9"/>
  <c r="X300" i="9" s="1"/>
  <c r="W234" i="9"/>
  <c r="W268" i="9" s="1"/>
  <c r="Q234" i="9"/>
  <c r="Q300" i="9" s="1"/>
  <c r="L234" i="9"/>
  <c r="L300" i="9" s="1"/>
  <c r="AH261" i="7"/>
  <c r="AA234" i="9"/>
  <c r="AA268" i="9" s="1"/>
  <c r="N234" i="9"/>
  <c r="N300" i="9" s="1"/>
  <c r="T234" i="9"/>
  <c r="T300" i="9" s="1"/>
  <c r="M234" i="9"/>
  <c r="M300" i="9" s="1"/>
  <c r="AI261" i="7"/>
  <c r="U234" i="9"/>
  <c r="U268" i="9" s="1"/>
  <c r="K234" i="9"/>
  <c r="K268" i="9" s="1"/>
  <c r="AG261" i="7"/>
  <c r="R234" i="9"/>
  <c r="R268" i="9" s="1"/>
  <c r="I234" i="9"/>
  <c r="I268" i="9" s="1"/>
  <c r="AE261" i="7"/>
  <c r="Y234" i="9"/>
  <c r="Y300" i="9" s="1"/>
  <c r="J42" i="15"/>
  <c r="J222" i="15" s="1"/>
  <c r="J256" i="15" s="1"/>
  <c r="K45" i="15"/>
  <c r="H45" i="14"/>
  <c r="H50" i="14" s="1"/>
  <c r="H45" i="12"/>
  <c r="H50" i="12" s="1"/>
  <c r="H37" i="13"/>
  <c r="H45" i="13" s="1"/>
  <c r="H50" i="13" s="1"/>
  <c r="L45" i="15"/>
  <c r="H256" i="14"/>
  <c r="H288" i="14"/>
  <c r="I45" i="12"/>
  <c r="N45" i="15"/>
  <c r="H45" i="11"/>
  <c r="J50" i="11" s="1"/>
  <c r="I42" i="12"/>
  <c r="I222" i="12" s="1"/>
  <c r="I256" i="12" s="1"/>
  <c r="M37" i="13"/>
  <c r="M42" i="13" s="1"/>
  <c r="M222" i="13" s="1"/>
  <c r="M288" i="13" s="1"/>
  <c r="L42" i="12"/>
  <c r="L222" i="12" s="1"/>
  <c r="L288" i="14"/>
  <c r="L256" i="14"/>
  <c r="L288" i="15"/>
  <c r="L256" i="15"/>
  <c r="K288" i="14"/>
  <c r="K256" i="14"/>
  <c r="J288" i="12"/>
  <c r="J256" i="12"/>
  <c r="M256" i="12"/>
  <c r="M288" i="12"/>
  <c r="L42" i="13"/>
  <c r="L222" i="13" s="1"/>
  <c r="L288" i="13" s="1"/>
  <c r="L45" i="13"/>
  <c r="M42" i="15"/>
  <c r="M222" i="15" s="1"/>
  <c r="M288" i="15" s="1"/>
  <c r="M42" i="11"/>
  <c r="M222" i="11" s="1"/>
  <c r="O37" i="8"/>
  <c r="J45" i="14"/>
  <c r="H42" i="11"/>
  <c r="H222" i="11" s="1"/>
  <c r="H45" i="15"/>
  <c r="H288" i="12"/>
  <c r="N288" i="15"/>
  <c r="K256" i="15"/>
  <c r="J37" i="13"/>
  <c r="M45" i="11"/>
  <c r="Y85" i="10"/>
  <c r="O85" i="9"/>
  <c r="V93" i="10"/>
  <c r="J256" i="14"/>
  <c r="Y135" i="10"/>
  <c r="J288" i="11"/>
  <c r="I42" i="13"/>
  <c r="I222" i="13" s="1"/>
  <c r="I288" i="13" s="1"/>
  <c r="H288" i="15"/>
  <c r="I256" i="11"/>
  <c r="L256" i="11"/>
  <c r="K256" i="11"/>
  <c r="W85" i="10"/>
  <c r="N42" i="9"/>
  <c r="N288" i="11"/>
  <c r="O42" i="15"/>
  <c r="O222" i="15" s="1"/>
  <c r="O45" i="15"/>
  <c r="O42" i="11"/>
  <c r="O222" i="11" s="1"/>
  <c r="O45" i="11"/>
  <c r="Z32" i="7"/>
  <c r="N42" i="12"/>
  <c r="N222" i="12" s="1"/>
  <c r="N45" i="12"/>
  <c r="O45" i="14"/>
  <c r="O42" i="14"/>
  <c r="O222" i="14" s="1"/>
  <c r="AA32" i="7"/>
  <c r="N45" i="9"/>
  <c r="N50" i="9" s="1"/>
  <c r="H174" i="15"/>
  <c r="H217" i="15" s="1"/>
  <c r="G32" i="3" s="1"/>
  <c r="G70" i="3" s="1"/>
  <c r="I133" i="14"/>
  <c r="H136" i="14"/>
  <c r="H141" i="14"/>
  <c r="H142" i="14"/>
  <c r="H140" i="14"/>
  <c r="H115" i="13"/>
  <c r="H120" i="13"/>
  <c r="I112" i="13"/>
  <c r="H119" i="13"/>
  <c r="H121" i="13"/>
  <c r="I91" i="13"/>
  <c r="H94" i="13"/>
  <c r="H98" i="13"/>
  <c r="H100" i="13"/>
  <c r="H99" i="13"/>
  <c r="H162" i="13"/>
  <c r="H157" i="13"/>
  <c r="I154" i="13"/>
  <c r="H161" i="13"/>
  <c r="H163" i="13"/>
  <c r="I112" i="14"/>
  <c r="H115" i="14"/>
  <c r="H120" i="14"/>
  <c r="H119" i="14"/>
  <c r="H121" i="14"/>
  <c r="H174" i="14"/>
  <c r="H217" i="14" s="1"/>
  <c r="G31" i="3" s="1"/>
  <c r="G69" i="3" s="1"/>
  <c r="H157" i="14"/>
  <c r="H162" i="14"/>
  <c r="I154" i="14"/>
  <c r="H161" i="14"/>
  <c r="H163" i="14"/>
  <c r="H174" i="13"/>
  <c r="H217" i="13" s="1"/>
  <c r="G30" i="3" s="1"/>
  <c r="G68" i="3" s="1"/>
  <c r="I112" i="15"/>
  <c r="H115" i="15"/>
  <c r="H120" i="15"/>
  <c r="H119" i="15"/>
  <c r="H121" i="15"/>
  <c r="I91" i="14"/>
  <c r="H94" i="14"/>
  <c r="H100" i="14"/>
  <c r="H99" i="14"/>
  <c r="H98" i="14"/>
  <c r="H157" i="15"/>
  <c r="I154" i="15"/>
  <c r="H162" i="15"/>
  <c r="H163" i="15"/>
  <c r="H161" i="15"/>
  <c r="I133" i="13"/>
  <c r="H136" i="13"/>
  <c r="H141" i="13"/>
  <c r="H140" i="13"/>
  <c r="H142" i="13"/>
  <c r="H94" i="15"/>
  <c r="I91" i="15"/>
  <c r="H98" i="15"/>
  <c r="H99" i="15"/>
  <c r="H100" i="15"/>
  <c r="I133" i="15"/>
  <c r="H136" i="15"/>
  <c r="H140" i="15"/>
  <c r="H141" i="15"/>
  <c r="H142" i="15"/>
  <c r="H85" i="10"/>
  <c r="N85" i="9"/>
  <c r="I85" i="9"/>
  <c r="AA149" i="7"/>
  <c r="AA119" i="7"/>
  <c r="Z135" i="10"/>
  <c r="K85" i="10"/>
  <c r="M85" i="10"/>
  <c r="U85" i="9"/>
  <c r="W85" i="8"/>
  <c r="W85" i="9"/>
  <c r="L85" i="10"/>
  <c r="Z85" i="9"/>
  <c r="H85" i="9"/>
  <c r="P85" i="9"/>
  <c r="L85" i="9"/>
  <c r="S85" i="10"/>
  <c r="M85" i="9"/>
  <c r="O85" i="10"/>
  <c r="U85" i="10"/>
  <c r="U85" i="8"/>
  <c r="V85" i="8"/>
  <c r="Q85" i="8"/>
  <c r="G85" i="8"/>
  <c r="Y85" i="8"/>
  <c r="K85" i="8"/>
  <c r="O85" i="8"/>
  <c r="T93" i="10"/>
  <c r="Q135" i="10"/>
  <c r="Z93" i="10"/>
  <c r="N93" i="10"/>
  <c r="X93" i="10"/>
  <c r="O135" i="10"/>
  <c r="AA135" i="10"/>
  <c r="O93" i="10"/>
  <c r="L93" i="10"/>
  <c r="H156" i="9"/>
  <c r="P93" i="10"/>
  <c r="P114" i="10"/>
  <c r="Y114" i="10"/>
  <c r="W135" i="10"/>
  <c r="I185" i="15"/>
  <c r="U135" i="10"/>
  <c r="U114" i="10"/>
  <c r="M135" i="10"/>
  <c r="J93" i="10"/>
  <c r="R93" i="10"/>
  <c r="AA114" i="10"/>
  <c r="I193" i="10"/>
  <c r="J193" i="10" s="1"/>
  <c r="K193" i="10" s="1"/>
  <c r="L193" i="10" s="1"/>
  <c r="M193" i="10" s="1"/>
  <c r="N193" i="10" s="1"/>
  <c r="O193" i="10" s="1"/>
  <c r="P193" i="10" s="1"/>
  <c r="Q193" i="10" s="1"/>
  <c r="R193" i="10" s="1"/>
  <c r="S193" i="10" s="1"/>
  <c r="T193" i="10" s="1"/>
  <c r="U193" i="10" s="1"/>
  <c r="V193" i="10" s="1"/>
  <c r="W193" i="10" s="1"/>
  <c r="X193" i="10" s="1"/>
  <c r="Y193" i="10" s="1"/>
  <c r="Z193" i="10" s="1"/>
  <c r="AA193" i="10" s="1"/>
  <c r="K93" i="10"/>
  <c r="S135" i="10"/>
  <c r="Q93" i="10"/>
  <c r="J114" i="10"/>
  <c r="O114" i="10"/>
  <c r="L114" i="10"/>
  <c r="J135" i="10"/>
  <c r="R114" i="10"/>
  <c r="H192" i="10"/>
  <c r="I192" i="10" s="1"/>
  <c r="W93" i="10"/>
  <c r="P135" i="10"/>
  <c r="H114" i="9"/>
  <c r="H135" i="9"/>
  <c r="X135" i="10"/>
  <c r="M93" i="10"/>
  <c r="I114" i="10"/>
  <c r="K135" i="10"/>
  <c r="Z300" i="14"/>
  <c r="Z268" i="14"/>
  <c r="S268" i="14"/>
  <c r="S300" i="14"/>
  <c r="T268" i="14"/>
  <c r="T300" i="14"/>
  <c r="U268" i="14"/>
  <c r="U300" i="14"/>
  <c r="M300" i="15"/>
  <c r="M268" i="15"/>
  <c r="L300" i="15"/>
  <c r="L268" i="15"/>
  <c r="I91" i="11"/>
  <c r="H94" i="11"/>
  <c r="H100" i="11"/>
  <c r="H99" i="11"/>
  <c r="H98" i="11"/>
  <c r="Y300" i="14"/>
  <c r="Y268" i="14"/>
  <c r="Z300" i="15"/>
  <c r="Z268" i="15"/>
  <c r="AA300" i="14"/>
  <c r="AA268" i="14"/>
  <c r="K300" i="14"/>
  <c r="K268" i="14"/>
  <c r="V268" i="14"/>
  <c r="V300" i="14"/>
  <c r="R268" i="14"/>
  <c r="R300" i="14"/>
  <c r="U300" i="15"/>
  <c r="U268" i="15"/>
  <c r="H174" i="11"/>
  <c r="H217" i="11" s="1"/>
  <c r="G29" i="3" s="1"/>
  <c r="G67" i="3" s="1"/>
  <c r="N300" i="15"/>
  <c r="N268" i="15"/>
  <c r="I154" i="11"/>
  <c r="H157" i="11"/>
  <c r="H162" i="11"/>
  <c r="H163" i="11"/>
  <c r="H161" i="11"/>
  <c r="J300" i="14"/>
  <c r="J268" i="14"/>
  <c r="O300" i="14"/>
  <c r="O268" i="14"/>
  <c r="W268" i="15"/>
  <c r="W300" i="15"/>
  <c r="V300" i="15"/>
  <c r="V268" i="15"/>
  <c r="R300" i="15"/>
  <c r="R268" i="15"/>
  <c r="Q300" i="14"/>
  <c r="Q268" i="14"/>
  <c r="X268" i="15"/>
  <c r="X300" i="15"/>
  <c r="W268" i="14"/>
  <c r="W300" i="14"/>
  <c r="L300" i="14"/>
  <c r="L268" i="14"/>
  <c r="I133" i="11"/>
  <c r="H136" i="11"/>
  <c r="H142" i="11"/>
  <c r="H140" i="11"/>
  <c r="H141" i="11"/>
  <c r="X300" i="14"/>
  <c r="X268" i="14"/>
  <c r="K300" i="15"/>
  <c r="K268" i="15"/>
  <c r="O300" i="15"/>
  <c r="O268" i="15"/>
  <c r="I268" i="15"/>
  <c r="I300" i="15"/>
  <c r="H268" i="15"/>
  <c r="H300" i="15"/>
  <c r="Y300" i="15"/>
  <c r="Y268" i="15"/>
  <c r="P300" i="14"/>
  <c r="P268" i="14"/>
  <c r="I112" i="11"/>
  <c r="H120" i="11"/>
  <c r="H115" i="11"/>
  <c r="H121" i="11"/>
  <c r="H119" i="11"/>
  <c r="I300" i="14"/>
  <c r="I268" i="14"/>
  <c r="S300" i="15"/>
  <c r="S268" i="15"/>
  <c r="N300" i="14"/>
  <c r="N268" i="14"/>
  <c r="T300" i="15"/>
  <c r="T268" i="15"/>
  <c r="Y93" i="10"/>
  <c r="V135" i="10"/>
  <c r="AA268" i="15"/>
  <c r="AA300" i="15"/>
  <c r="J300" i="15"/>
  <c r="J268" i="15"/>
  <c r="P268" i="15"/>
  <c r="P300" i="15"/>
  <c r="M300" i="14"/>
  <c r="M268" i="14"/>
  <c r="H300" i="14"/>
  <c r="H268" i="14"/>
  <c r="Q300" i="15"/>
  <c r="Q268" i="15"/>
  <c r="Z135" i="8"/>
  <c r="H91" i="9"/>
  <c r="D139" i="10"/>
  <c r="D137" i="10"/>
  <c r="D147" i="10"/>
  <c r="G147" i="10" s="1"/>
  <c r="D146" i="10"/>
  <c r="G146" i="10" s="1"/>
  <c r="D145" i="10"/>
  <c r="G145" i="10" s="1"/>
  <c r="D138" i="10"/>
  <c r="D144" i="10"/>
  <c r="G144" i="10" s="1"/>
  <c r="D118" i="10"/>
  <c r="D116" i="10"/>
  <c r="D125" i="10"/>
  <c r="D124" i="10"/>
  <c r="G124" i="10" s="1"/>
  <c r="D123" i="10"/>
  <c r="G123" i="10" s="1"/>
  <c r="D126" i="10"/>
  <c r="G126" i="10" s="1"/>
  <c r="D117" i="10"/>
  <c r="D105" i="10"/>
  <c r="G105" i="10" s="1"/>
  <c r="D97" i="10"/>
  <c r="D96" i="10"/>
  <c r="D95" i="10"/>
  <c r="D103" i="10"/>
  <c r="G103" i="10" s="1"/>
  <c r="D104" i="10"/>
  <c r="G104" i="10" s="1"/>
  <c r="D102" i="10"/>
  <c r="G102" i="10" s="1"/>
  <c r="D160" i="10"/>
  <c r="D166" i="10"/>
  <c r="G166" i="10" s="1"/>
  <c r="D159" i="10"/>
  <c r="D168" i="10"/>
  <c r="G168" i="10" s="1"/>
  <c r="D165" i="10"/>
  <c r="G165" i="10" s="1"/>
  <c r="D167" i="10"/>
  <c r="D158" i="10"/>
  <c r="D168" i="9"/>
  <c r="G168" i="9" s="1"/>
  <c r="D160" i="9"/>
  <c r="D158" i="9"/>
  <c r="D167" i="9"/>
  <c r="D166" i="9"/>
  <c r="G166" i="9" s="1"/>
  <c r="D165" i="9"/>
  <c r="G165" i="9" s="1"/>
  <c r="D159" i="9"/>
  <c r="D144" i="9"/>
  <c r="G144" i="9" s="1"/>
  <c r="D146" i="9"/>
  <c r="G146" i="9" s="1"/>
  <c r="D147" i="9"/>
  <c r="G147" i="9" s="1"/>
  <c r="D145" i="9"/>
  <c r="G145" i="9" s="1"/>
  <c r="D138" i="9"/>
  <c r="D137" i="9"/>
  <c r="D139" i="9"/>
  <c r="D103" i="9"/>
  <c r="G103" i="9" s="1"/>
  <c r="D97" i="9"/>
  <c r="D105" i="9"/>
  <c r="G105" i="9" s="1"/>
  <c r="D96" i="9"/>
  <c r="D104" i="9"/>
  <c r="G104" i="9" s="1"/>
  <c r="D95" i="9"/>
  <c r="H95" i="9" s="1"/>
  <c r="D102" i="9"/>
  <c r="G102" i="9" s="1"/>
  <c r="D123" i="9"/>
  <c r="G123" i="9" s="1"/>
  <c r="D124" i="9"/>
  <c r="G124" i="9" s="1"/>
  <c r="D126" i="9"/>
  <c r="G126" i="9" s="1"/>
  <c r="D125" i="9"/>
  <c r="D116" i="9"/>
  <c r="D117" i="9"/>
  <c r="D118" i="9"/>
  <c r="H174" i="12"/>
  <c r="H217" i="12" s="1"/>
  <c r="G28" i="3" s="1"/>
  <c r="G66" i="3" s="1"/>
  <c r="S300" i="11"/>
  <c r="S268" i="11"/>
  <c r="P268" i="11"/>
  <c r="P300" i="11"/>
  <c r="H121" i="12"/>
  <c r="H115" i="12"/>
  <c r="H120" i="12"/>
  <c r="I112" i="12"/>
  <c r="H119" i="12"/>
  <c r="U268" i="11"/>
  <c r="U300" i="11"/>
  <c r="K268" i="12"/>
  <c r="K300" i="12"/>
  <c r="O300" i="11"/>
  <c r="O268" i="11"/>
  <c r="K288" i="13"/>
  <c r="K256" i="13"/>
  <c r="H300" i="11"/>
  <c r="H268" i="11"/>
  <c r="AA268" i="12"/>
  <c r="AA300" i="12"/>
  <c r="W268" i="12"/>
  <c r="W300" i="12"/>
  <c r="P26" i="13"/>
  <c r="P234" i="13" s="1"/>
  <c r="P29" i="13"/>
  <c r="I26" i="13"/>
  <c r="I234" i="13" s="1"/>
  <c r="I29" i="13"/>
  <c r="R29" i="13"/>
  <c r="R26" i="13"/>
  <c r="R234" i="13" s="1"/>
  <c r="AA29" i="13"/>
  <c r="AA26" i="13"/>
  <c r="AA234" i="13" s="1"/>
  <c r="Y300" i="12"/>
  <c r="Y268" i="12"/>
  <c r="Z300" i="12"/>
  <c r="Z268" i="12"/>
  <c r="I268" i="12"/>
  <c r="I300" i="12"/>
  <c r="J268" i="11"/>
  <c r="J300" i="11"/>
  <c r="T268" i="12"/>
  <c r="T300" i="12"/>
  <c r="AA268" i="11"/>
  <c r="AA300" i="11"/>
  <c r="T300" i="11"/>
  <c r="T268" i="11"/>
  <c r="K268" i="11"/>
  <c r="K300" i="11"/>
  <c r="J26" i="13"/>
  <c r="J234" i="13" s="1"/>
  <c r="J29" i="13"/>
  <c r="S268" i="12"/>
  <c r="S300" i="12"/>
  <c r="Q300" i="12"/>
  <c r="Q268" i="12"/>
  <c r="I300" i="11"/>
  <c r="I268" i="11"/>
  <c r="U268" i="12"/>
  <c r="U300" i="12"/>
  <c r="O29" i="13"/>
  <c r="O26" i="13"/>
  <c r="O234" i="13" s="1"/>
  <c r="H300" i="12"/>
  <c r="H268" i="12"/>
  <c r="R268" i="11"/>
  <c r="R300" i="11"/>
  <c r="H26" i="13"/>
  <c r="H234" i="13" s="1"/>
  <c r="H29" i="13"/>
  <c r="V268" i="11"/>
  <c r="V300" i="11"/>
  <c r="M268" i="11"/>
  <c r="M300" i="11"/>
  <c r="H100" i="12"/>
  <c r="H98" i="12"/>
  <c r="H94" i="12"/>
  <c r="I91" i="12"/>
  <c r="H99" i="12"/>
  <c r="Q300" i="11"/>
  <c r="Q268" i="11"/>
  <c r="G50" i="13"/>
  <c r="P300" i="12"/>
  <c r="P268" i="12"/>
  <c r="N29" i="13"/>
  <c r="N26" i="13"/>
  <c r="N234" i="13" s="1"/>
  <c r="V26" i="13"/>
  <c r="V234" i="13" s="1"/>
  <c r="V29" i="13"/>
  <c r="L300" i="11"/>
  <c r="L268" i="11"/>
  <c r="X300" i="11"/>
  <c r="X268" i="11"/>
  <c r="Y26" i="13"/>
  <c r="Y234" i="13" s="1"/>
  <c r="Y29" i="13"/>
  <c r="N300" i="12"/>
  <c r="N268" i="12"/>
  <c r="Z29" i="13"/>
  <c r="Z26" i="13"/>
  <c r="Z234" i="13" s="1"/>
  <c r="H157" i="12"/>
  <c r="H163" i="12"/>
  <c r="H161" i="12"/>
  <c r="H162" i="12"/>
  <c r="I154" i="12"/>
  <c r="G256" i="13"/>
  <c r="G288" i="13"/>
  <c r="N300" i="11"/>
  <c r="N268" i="11"/>
  <c r="K29" i="13"/>
  <c r="K26" i="13"/>
  <c r="K234" i="13" s="1"/>
  <c r="Y268" i="11"/>
  <c r="Y300" i="11"/>
  <c r="V300" i="12"/>
  <c r="V268" i="12"/>
  <c r="J268" i="12"/>
  <c r="J300" i="12"/>
  <c r="M26" i="13"/>
  <c r="M234" i="13" s="1"/>
  <c r="M29" i="13"/>
  <c r="O268" i="12"/>
  <c r="O300" i="12"/>
  <c r="W300" i="11"/>
  <c r="W268" i="11"/>
  <c r="M300" i="12"/>
  <c r="M268" i="12"/>
  <c r="T29" i="13"/>
  <c r="T26" i="13"/>
  <c r="T234" i="13" s="1"/>
  <c r="L29" i="13"/>
  <c r="L26" i="13"/>
  <c r="L234" i="13" s="1"/>
  <c r="H142" i="12"/>
  <c r="H140" i="12"/>
  <c r="H136" i="12"/>
  <c r="I133" i="12"/>
  <c r="H141" i="12"/>
  <c r="R300" i="12"/>
  <c r="R268" i="12"/>
  <c r="Q29" i="13"/>
  <c r="Q26" i="13"/>
  <c r="Q234" i="13" s="1"/>
  <c r="Z268" i="11"/>
  <c r="Z300" i="11"/>
  <c r="S29" i="13"/>
  <c r="S26" i="13"/>
  <c r="S234" i="13" s="1"/>
  <c r="L268" i="12"/>
  <c r="L300" i="12"/>
  <c r="X26" i="13"/>
  <c r="X234" i="13" s="1"/>
  <c r="X29" i="13"/>
  <c r="U26" i="13"/>
  <c r="U234" i="13" s="1"/>
  <c r="U29" i="13"/>
  <c r="W29" i="13"/>
  <c r="W26" i="13"/>
  <c r="W234" i="13" s="1"/>
  <c r="X300" i="12"/>
  <c r="X268" i="12"/>
  <c r="P135" i="8"/>
  <c r="J135" i="8"/>
  <c r="H156" i="8"/>
  <c r="V135" i="8"/>
  <c r="U135" i="8"/>
  <c r="U156" i="10"/>
  <c r="N156" i="10"/>
  <c r="Y156" i="8"/>
  <c r="Y156" i="10"/>
  <c r="O156" i="10"/>
  <c r="J156" i="10"/>
  <c r="W156" i="10"/>
  <c r="R156" i="8"/>
  <c r="R156" i="10"/>
  <c r="H154" i="8"/>
  <c r="H156" i="10"/>
  <c r="Q156" i="8"/>
  <c r="T156" i="10"/>
  <c r="Z156" i="10"/>
  <c r="H135" i="8"/>
  <c r="H114" i="10"/>
  <c r="W156" i="8"/>
  <c r="I135" i="10"/>
  <c r="Q135" i="8"/>
  <c r="T135" i="10"/>
  <c r="Y135" i="8"/>
  <c r="N135" i="10"/>
  <c r="Q156" i="10"/>
  <c r="AA135" i="8"/>
  <c r="O156" i="8"/>
  <c r="T156" i="8"/>
  <c r="N156" i="8"/>
  <c r="T114" i="10"/>
  <c r="M135" i="8"/>
  <c r="U156" i="8"/>
  <c r="K135" i="8"/>
  <c r="K114" i="10"/>
  <c r="J156" i="8"/>
  <c r="S135" i="8"/>
  <c r="H112" i="8"/>
  <c r="H120" i="8" s="1"/>
  <c r="W135" i="8"/>
  <c r="S114" i="10"/>
  <c r="O114" i="8"/>
  <c r="Z114" i="10"/>
  <c r="O135" i="8"/>
  <c r="N114" i="10"/>
  <c r="X135" i="8"/>
  <c r="L114" i="8"/>
  <c r="AA114" i="8"/>
  <c r="R114" i="8"/>
  <c r="X114" i="10"/>
  <c r="P114" i="8"/>
  <c r="U114" i="8"/>
  <c r="Q114" i="10"/>
  <c r="V114" i="10"/>
  <c r="J114" i="8"/>
  <c r="Y114" i="8"/>
  <c r="I114" i="8"/>
  <c r="Q184" i="9"/>
  <c r="Q184" i="8"/>
  <c r="Q93" i="8"/>
  <c r="I93" i="10"/>
  <c r="H91" i="10"/>
  <c r="AA93" i="10"/>
  <c r="H93" i="8"/>
  <c r="M93" i="8"/>
  <c r="T93" i="8"/>
  <c r="X93" i="8"/>
  <c r="S93" i="8"/>
  <c r="L93" i="8"/>
  <c r="D104" i="8"/>
  <c r="G104" i="8" s="1"/>
  <c r="I42" i="8"/>
  <c r="I222" i="8" s="1"/>
  <c r="I288" i="8" s="1"/>
  <c r="I45" i="8"/>
  <c r="V93" i="8"/>
  <c r="R93" i="8"/>
  <c r="K93" i="8"/>
  <c r="N42" i="8"/>
  <c r="N222" i="8" s="1"/>
  <c r="N288" i="8" s="1"/>
  <c r="O93" i="8"/>
  <c r="P93" i="8"/>
  <c r="U93" i="10"/>
  <c r="N45" i="8"/>
  <c r="M45" i="10"/>
  <c r="W93" i="8"/>
  <c r="Y93" i="8"/>
  <c r="N93" i="8"/>
  <c r="J93" i="8"/>
  <c r="Z93" i="8"/>
  <c r="K45" i="8"/>
  <c r="K45" i="10"/>
  <c r="K288" i="8"/>
  <c r="H42" i="8"/>
  <c r="H222" i="8" s="1"/>
  <c r="H288" i="8" s="1"/>
  <c r="H45" i="8"/>
  <c r="L42" i="10"/>
  <c r="J288" i="8"/>
  <c r="M45" i="8"/>
  <c r="L42" i="8"/>
  <c r="L222" i="8" s="1"/>
  <c r="L256" i="8" s="1"/>
  <c r="J45" i="10"/>
  <c r="D95" i="8"/>
  <c r="D97" i="8"/>
  <c r="G45" i="8"/>
  <c r="G42" i="10"/>
  <c r="D96" i="8"/>
  <c r="D105" i="8"/>
  <c r="G105" i="8" s="1"/>
  <c r="D103" i="8"/>
  <c r="G103" i="8" s="1"/>
  <c r="D167" i="8"/>
  <c r="D116" i="8"/>
  <c r="J116" i="8" s="1"/>
  <c r="D160" i="8"/>
  <c r="T160" i="8" s="1"/>
  <c r="J45" i="8"/>
  <c r="D118" i="8"/>
  <c r="N118" i="8" s="1"/>
  <c r="D165" i="8"/>
  <c r="G165" i="8" s="1"/>
  <c r="I193" i="8"/>
  <c r="J193" i="8" s="1"/>
  <c r="K193" i="8" s="1"/>
  <c r="L193" i="8" s="1"/>
  <c r="M193" i="8" s="1"/>
  <c r="N193" i="8" s="1"/>
  <c r="O193" i="8" s="1"/>
  <c r="P193" i="8" s="1"/>
  <c r="Q193" i="8" s="1"/>
  <c r="R193" i="8" s="1"/>
  <c r="S193" i="8" s="1"/>
  <c r="T193" i="8" s="1"/>
  <c r="U193" i="8" s="1"/>
  <c r="V193" i="8" s="1"/>
  <c r="W193" i="8" s="1"/>
  <c r="X193" i="8" s="1"/>
  <c r="Y193" i="8" s="1"/>
  <c r="Z193" i="8" s="1"/>
  <c r="AA193" i="8" s="1"/>
  <c r="D117" i="8"/>
  <c r="D124" i="8"/>
  <c r="G124" i="8" s="1"/>
  <c r="D158" i="8"/>
  <c r="P158" i="8" s="1"/>
  <c r="D166" i="8"/>
  <c r="G166" i="8" s="1"/>
  <c r="D126" i="8"/>
  <c r="G126" i="8" s="1"/>
  <c r="D159" i="8"/>
  <c r="D146" i="8"/>
  <c r="G146" i="8" s="1"/>
  <c r="D137" i="8"/>
  <c r="D145" i="8"/>
  <c r="G145" i="8" s="1"/>
  <c r="D147" i="8"/>
  <c r="G147" i="8" s="1"/>
  <c r="D138" i="8"/>
  <c r="D139" i="8"/>
  <c r="D144" i="8"/>
  <c r="G144" i="8" s="1"/>
  <c r="H192" i="8"/>
  <c r="I192" i="8" s="1"/>
  <c r="J192" i="8" s="1"/>
  <c r="D123" i="8"/>
  <c r="G123" i="8" s="1"/>
  <c r="U300" i="8"/>
  <c r="AC25" i="7"/>
  <c r="AC27" i="7"/>
  <c r="AC28" i="7"/>
  <c r="AC26" i="7"/>
  <c r="AC24" i="7"/>
  <c r="AC23" i="7"/>
  <c r="AN59" i="6"/>
  <c r="R300" i="8"/>
  <c r="R268" i="8"/>
  <c r="H154" i="10"/>
  <c r="H42" i="10"/>
  <c r="H45" i="10"/>
  <c r="AB28" i="7"/>
  <c r="AB27" i="7"/>
  <c r="AB26" i="7"/>
  <c r="AB25" i="7"/>
  <c r="AB24" i="7"/>
  <c r="AB152" i="7"/>
  <c r="AB149" i="7"/>
  <c r="AB23" i="7"/>
  <c r="AF162" i="5"/>
  <c r="AF45" i="6" s="1"/>
  <c r="AN38" i="6"/>
  <c r="AN77" i="6"/>
  <c r="AN67" i="6"/>
  <c r="AN66" i="6"/>
  <c r="AN78" i="6"/>
  <c r="AN68" i="6"/>
  <c r="R184" i="11" s="1"/>
  <c r="AE75" i="6"/>
  <c r="AI75" i="6"/>
  <c r="AK75" i="6"/>
  <c r="AL75" i="6"/>
  <c r="AH75" i="6"/>
  <c r="AC75" i="6"/>
  <c r="G185" i="9" s="1"/>
  <c r="H185" i="9" s="1"/>
  <c r="I185" i="9" s="1"/>
  <c r="J185" i="9" s="1"/>
  <c r="AF75" i="6"/>
  <c r="AG75" i="6"/>
  <c r="AD75" i="6"/>
  <c r="AJ75" i="6"/>
  <c r="K85" i="9"/>
  <c r="S300" i="8"/>
  <c r="S268" i="8"/>
  <c r="Z157" i="7"/>
  <c r="Z158" i="7"/>
  <c r="AL59" i="6"/>
  <c r="AN75" i="6"/>
  <c r="AN65" i="6"/>
  <c r="R184" i="12" s="1"/>
  <c r="AN63" i="6"/>
  <c r="AN76" i="6"/>
  <c r="AN64" i="6"/>
  <c r="AN37" i="6"/>
  <c r="AE163" i="5"/>
  <c r="AE46" i="6" s="1"/>
  <c r="AM59" i="6"/>
  <c r="Q85" i="10"/>
  <c r="AA85" i="9"/>
  <c r="AF169" i="5"/>
  <c r="AF52" i="6" s="1"/>
  <c r="Z85" i="10"/>
  <c r="R85" i="10"/>
  <c r="S26" i="10"/>
  <c r="S29" i="10"/>
  <c r="N26" i="10"/>
  <c r="N29" i="10"/>
  <c r="L85" i="8"/>
  <c r="H85" i="8"/>
  <c r="J50" i="9"/>
  <c r="I50" i="9"/>
  <c r="H50" i="9"/>
  <c r="G50" i="9"/>
  <c r="L50" i="9"/>
  <c r="K50" i="9"/>
  <c r="M50" i="9"/>
  <c r="O29" i="10"/>
  <c r="O26" i="10"/>
  <c r="Q300" i="8"/>
  <c r="Q268" i="8"/>
  <c r="I300" i="8"/>
  <c r="I268" i="8"/>
  <c r="W29" i="10"/>
  <c r="W26" i="10"/>
  <c r="AK77" i="6"/>
  <c r="AH77" i="6"/>
  <c r="AA26" i="10"/>
  <c r="AA29" i="10"/>
  <c r="Z36" i="7" a="1"/>
  <c r="Z36" i="7" s="1"/>
  <c r="Z35" i="7" a="1"/>
  <c r="Z35" i="7" s="1"/>
  <c r="Z29" i="10"/>
  <c r="Z26" i="10"/>
  <c r="G288" i="8"/>
  <c r="G256" i="8"/>
  <c r="N42" i="10"/>
  <c r="N45" i="10"/>
  <c r="AL44" i="7"/>
  <c r="AK49" i="7"/>
  <c r="O37" i="12" s="1"/>
  <c r="O37" i="13" s="1"/>
  <c r="AK48" i="7"/>
  <c r="O37" i="9" s="1"/>
  <c r="AE166" i="5"/>
  <c r="AE49" i="6" s="1"/>
  <c r="H29" i="10"/>
  <c r="H26" i="10"/>
  <c r="AM77" i="6"/>
  <c r="AE164" i="5"/>
  <c r="AF164" i="5" s="1"/>
  <c r="AF47" i="6" s="1"/>
  <c r="N300" i="8"/>
  <c r="N268" i="8"/>
  <c r="O268" i="8"/>
  <c r="O300" i="8"/>
  <c r="V30" i="7"/>
  <c r="V24" i="7"/>
  <c r="V25" i="7"/>
  <c r="V23" i="7"/>
  <c r="V117" i="7"/>
  <c r="V31" i="7"/>
  <c r="V114" i="7"/>
  <c r="V152" i="7" s="1"/>
  <c r="V28" i="7"/>
  <c r="V26" i="7"/>
  <c r="V116" i="7"/>
  <c r="V113" i="7"/>
  <c r="V149" i="7" s="1"/>
  <c r="V27" i="7"/>
  <c r="V115" i="7"/>
  <c r="V118" i="7"/>
  <c r="V29" i="7"/>
  <c r="AJ54" i="7"/>
  <c r="AA85" i="8"/>
  <c r="AO35" i="6" a="1"/>
  <c r="AO35" i="6" s="1"/>
  <c r="AP13" i="6"/>
  <c r="AO34" i="6" a="1"/>
  <c r="AO34" i="6" s="1"/>
  <c r="AO25" i="6" a="1"/>
  <c r="AO25" i="6" s="1"/>
  <c r="AO29" i="6" s="1"/>
  <c r="AO27" i="6" a="1"/>
  <c r="AO27" i="6" s="1"/>
  <c r="AO33" i="6" a="1"/>
  <c r="AO33" i="6" s="1"/>
  <c r="AO26" i="6" a="1"/>
  <c r="AO26" i="6" s="1"/>
  <c r="AO30" i="6" s="1"/>
  <c r="T28" i="7"/>
  <c r="T29" i="7"/>
  <c r="T27" i="7"/>
  <c r="T116" i="7"/>
  <c r="T113" i="7"/>
  <c r="T149" i="7" s="1"/>
  <c r="T30" i="7"/>
  <c r="T26" i="7"/>
  <c r="T25" i="7"/>
  <c r="T24" i="7"/>
  <c r="T31" i="7"/>
  <c r="T23" i="7"/>
  <c r="T117" i="7"/>
  <c r="T114" i="7"/>
  <c r="T152" i="7" s="1"/>
  <c r="T115" i="7"/>
  <c r="T118" i="7"/>
  <c r="L300" i="8"/>
  <c r="L268" i="8"/>
  <c r="AI77" i="6"/>
  <c r="V300" i="8"/>
  <c r="V268" i="8"/>
  <c r="J300" i="8"/>
  <c r="J268" i="8"/>
  <c r="P300" i="8"/>
  <c r="P268" i="8"/>
  <c r="X300" i="8"/>
  <c r="X268" i="8"/>
  <c r="AI59" i="6"/>
  <c r="M5" i="5"/>
  <c r="L5" i="7"/>
  <c r="L5" i="6"/>
  <c r="N85" i="10"/>
  <c r="Y300" i="8"/>
  <c r="Y268" i="8"/>
  <c r="AL77" i="6"/>
  <c r="AE165" i="5"/>
  <c r="AE48" i="6" s="1"/>
  <c r="T85" i="8"/>
  <c r="M85" i="8"/>
  <c r="P85" i="8"/>
  <c r="AA154" i="7"/>
  <c r="AA153" i="7"/>
  <c r="AA35" i="7" a="1"/>
  <c r="AA35" i="7" s="1"/>
  <c r="AA36" i="7" a="1"/>
  <c r="AA36" i="7" s="1"/>
  <c r="Z38" i="7" a="1"/>
  <c r="Z38" i="7" s="1"/>
  <c r="Z37" i="7" a="1"/>
  <c r="Z37" i="7" s="1"/>
  <c r="Q26" i="10"/>
  <c r="Q29" i="10"/>
  <c r="AD59" i="6"/>
  <c r="U26" i="10"/>
  <c r="Z300" i="8"/>
  <c r="Z268" i="8"/>
  <c r="Z119" i="7"/>
  <c r="I29" i="10"/>
  <c r="I26" i="10"/>
  <c r="H133" i="10"/>
  <c r="H135" i="10"/>
  <c r="M26" i="10"/>
  <c r="M29" i="10"/>
  <c r="K26" i="10"/>
  <c r="K29" i="10"/>
  <c r="W118" i="7"/>
  <c r="W114" i="7"/>
  <c r="W152" i="7" s="1"/>
  <c r="W31" i="7"/>
  <c r="W27" i="7"/>
  <c r="W117" i="7"/>
  <c r="W113" i="7"/>
  <c r="W149" i="7" s="1"/>
  <c r="W29" i="7"/>
  <c r="W28" i="7"/>
  <c r="W26" i="7"/>
  <c r="W30" i="7"/>
  <c r="W24" i="7"/>
  <c r="W116" i="7"/>
  <c r="W115" i="7"/>
  <c r="W23" i="7"/>
  <c r="W25" i="7"/>
  <c r="Z85" i="8"/>
  <c r="Z155" i="7"/>
  <c r="Z156" i="7"/>
  <c r="I42" i="10"/>
  <c r="I45" i="10"/>
  <c r="AA300" i="8"/>
  <c r="AA268" i="8"/>
  <c r="AJ77" i="6"/>
  <c r="AH59" i="6"/>
  <c r="AJ59" i="6"/>
  <c r="Z4" i="7"/>
  <c r="Z4" i="6"/>
  <c r="Y4" i="5"/>
  <c r="Z151" i="7"/>
  <c r="Z150" i="7"/>
  <c r="T268" i="8"/>
  <c r="T300" i="8"/>
  <c r="X30" i="7"/>
  <c r="X24" i="7"/>
  <c r="X26" i="7"/>
  <c r="X117" i="7"/>
  <c r="X31" i="7"/>
  <c r="X114" i="7"/>
  <c r="X152" i="7" s="1"/>
  <c r="X118" i="7"/>
  <c r="X115" i="7"/>
  <c r="X28" i="7"/>
  <c r="X116" i="7"/>
  <c r="X29" i="7"/>
  <c r="X27" i="7"/>
  <c r="X23" i="7"/>
  <c r="X113" i="7"/>
  <c r="X149" i="7" s="1"/>
  <c r="X25" i="7"/>
  <c r="AC77" i="6"/>
  <c r="G185" i="8" s="1"/>
  <c r="H185" i="8" s="1"/>
  <c r="I185" i="8" s="1"/>
  <c r="J185" i="8" s="1"/>
  <c r="AI79" i="6"/>
  <c r="AH79" i="6"/>
  <c r="AJ79" i="6"/>
  <c r="AI12" i="4"/>
  <c r="AJ10" i="4"/>
  <c r="M6" i="5"/>
  <c r="L6" i="7"/>
  <c r="L6" i="6"/>
  <c r="V26" i="10"/>
  <c r="V29" i="10"/>
  <c r="J29" i="10"/>
  <c r="J26" i="10"/>
  <c r="V85" i="9"/>
  <c r="Q85" i="9"/>
  <c r="P29" i="10"/>
  <c r="P26" i="10"/>
  <c r="X29" i="10"/>
  <c r="X26" i="10"/>
  <c r="Y117" i="7"/>
  <c r="Y113" i="7"/>
  <c r="Y149" i="7" s="1"/>
  <c r="Y29" i="7"/>
  <c r="Y116" i="7"/>
  <c r="Y23" i="7"/>
  <c r="Y114" i="7"/>
  <c r="Y152" i="7" s="1"/>
  <c r="Y118" i="7"/>
  <c r="Y115" i="7"/>
  <c r="Y26" i="7"/>
  <c r="Y30" i="7"/>
  <c r="Y24" i="7"/>
  <c r="Y27" i="7"/>
  <c r="Y25" i="7"/>
  <c r="Y31" i="7"/>
  <c r="Y28" i="7"/>
  <c r="AF166" i="5"/>
  <c r="AG166" i="5" s="1"/>
  <c r="U115" i="7"/>
  <c r="U25" i="7"/>
  <c r="U118" i="7"/>
  <c r="U114" i="7"/>
  <c r="U152" i="7" s="1"/>
  <c r="U31" i="7"/>
  <c r="U27" i="7"/>
  <c r="U116" i="7"/>
  <c r="U113" i="7"/>
  <c r="U149" i="7" s="1"/>
  <c r="U30" i="7"/>
  <c r="U28" i="7"/>
  <c r="U26" i="7"/>
  <c r="U24" i="7"/>
  <c r="U23" i="7"/>
  <c r="U117" i="7"/>
  <c r="U29" i="7"/>
  <c r="AG161" i="5"/>
  <c r="AG44" i="6" s="1"/>
  <c r="AE167" i="5"/>
  <c r="AE50" i="6" s="1"/>
  <c r="Y29" i="10"/>
  <c r="Y26" i="10"/>
  <c r="AE170" i="5"/>
  <c r="J85" i="8"/>
  <c r="R85" i="8"/>
  <c r="X85" i="8"/>
  <c r="AA40" i="7" a="1"/>
  <c r="AA40" i="7" s="1"/>
  <c r="AA39" i="7" a="1"/>
  <c r="AA39" i="7" s="1"/>
  <c r="AA158" i="7"/>
  <c r="AA157" i="7"/>
  <c r="T26" i="10"/>
  <c r="T29" i="10"/>
  <c r="AL50" i="7"/>
  <c r="AM45" i="7"/>
  <c r="AL51" i="7"/>
  <c r="P37" i="11" s="1"/>
  <c r="K300" i="8"/>
  <c r="K268" i="8"/>
  <c r="AI4" i="5"/>
  <c r="H300" i="8"/>
  <c r="H268" i="8"/>
  <c r="AA151" i="7"/>
  <c r="AA150" i="7"/>
  <c r="R29" i="10"/>
  <c r="R26" i="10"/>
  <c r="AE77" i="6"/>
  <c r="X85" i="10"/>
  <c r="AA37" i="7" a="1"/>
  <c r="AA37" i="7" s="1"/>
  <c r="AA38" i="7" a="1"/>
  <c r="AA38" i="7" s="1"/>
  <c r="Z39" i="7" a="1"/>
  <c r="Z39" i="7" s="1"/>
  <c r="Z40" i="7" a="1"/>
  <c r="Z40" i="7" s="1"/>
  <c r="T85" i="10"/>
  <c r="AN79" i="6"/>
  <c r="AN71" i="6"/>
  <c r="AN69" i="6"/>
  <c r="AN70" i="6"/>
  <c r="AN72" i="6"/>
  <c r="AN39" i="6"/>
  <c r="AE59" i="6"/>
  <c r="W300" i="8"/>
  <c r="W268" i="8"/>
  <c r="L26" i="10"/>
  <c r="L29" i="10"/>
  <c r="M300" i="8"/>
  <c r="M268" i="8"/>
  <c r="M288" i="8"/>
  <c r="M256" i="8"/>
  <c r="S116" i="7"/>
  <c r="S115" i="7"/>
  <c r="S25" i="7"/>
  <c r="S118" i="7"/>
  <c r="S117" i="7"/>
  <c r="S29" i="7"/>
  <c r="S28" i="7"/>
  <c r="S27" i="7"/>
  <c r="T180" i="7"/>
  <c r="S30" i="7"/>
  <c r="S26" i="7"/>
  <c r="S24" i="7"/>
  <c r="S31" i="7"/>
  <c r="S114" i="7"/>
  <c r="S152" i="7" s="1"/>
  <c r="AF79" i="6"/>
  <c r="T85" i="9"/>
  <c r="G85" i="9"/>
  <c r="Y85" i="9"/>
  <c r="AA85" i="10"/>
  <c r="AF165" i="5"/>
  <c r="AF48" i="6" s="1"/>
  <c r="AG169" i="5"/>
  <c r="AG52" i="6" s="1"/>
  <c r="AL52" i="7"/>
  <c r="P37" i="14" s="1"/>
  <c r="AM46" i="7"/>
  <c r="AL53" i="7"/>
  <c r="P37" i="15" s="1"/>
  <c r="AG77" i="6"/>
  <c r="S85" i="8"/>
  <c r="N85" i="8"/>
  <c r="I85" i="8"/>
  <c r="AA156" i="7"/>
  <c r="AA155" i="7"/>
  <c r="Z154" i="7"/>
  <c r="Z153" i="7"/>
  <c r="AQ5" i="4" l="1"/>
  <c r="AP7" i="4"/>
  <c r="AK4" i="7"/>
  <c r="AJ260" i="7"/>
  <c r="AD55" i="6"/>
  <c r="AF54" i="6"/>
  <c r="AF168" i="5"/>
  <c r="AF51" i="6" s="1"/>
  <c r="AB119" i="7"/>
  <c r="AF49" i="6"/>
  <c r="J186" i="11" s="1"/>
  <c r="AF163" i="5"/>
  <c r="AF46" i="6" s="1"/>
  <c r="AF55" i="6" s="1"/>
  <c r="AG49" i="6"/>
  <c r="K186" i="11" s="1"/>
  <c r="AG165" i="5"/>
  <c r="AG48" i="6" s="1"/>
  <c r="AE53" i="6"/>
  <c r="I186" i="15" s="1"/>
  <c r="AF170" i="5"/>
  <c r="AF53" i="6" s="1"/>
  <c r="AE47" i="6"/>
  <c r="AE54" i="6" s="1"/>
  <c r="AG162" i="5"/>
  <c r="AG45" i="6" s="1"/>
  <c r="K186" i="9" s="1"/>
  <c r="I186" i="11"/>
  <c r="AG163" i="5"/>
  <c r="AD54" i="6"/>
  <c r="H35" i="18"/>
  <c r="R184" i="14"/>
  <c r="R184" i="8"/>
  <c r="R184" i="15"/>
  <c r="AE55" i="6"/>
  <c r="H186" i="13"/>
  <c r="H33" i="18"/>
  <c r="J186" i="9"/>
  <c r="I186" i="14"/>
  <c r="I186" i="9"/>
  <c r="I186" i="12"/>
  <c r="I133" i="8"/>
  <c r="I136" i="8" s="1"/>
  <c r="U174" i="9"/>
  <c r="U217" i="9" s="1"/>
  <c r="T25" i="3" s="1"/>
  <c r="T63" i="3" s="1"/>
  <c r="AA28" i="18"/>
  <c r="D28" i="18" s="1"/>
  <c r="H162" i="9"/>
  <c r="I154" i="9"/>
  <c r="I162" i="9" s="1"/>
  <c r="AA24" i="18"/>
  <c r="D24" i="18" s="1"/>
  <c r="AA22" i="18"/>
  <c r="D22" i="18" s="1"/>
  <c r="I133" i="9"/>
  <c r="J133" i="9" s="1"/>
  <c r="H115" i="9"/>
  <c r="P174" i="9"/>
  <c r="P217" i="9" s="1"/>
  <c r="O25" i="3" s="1"/>
  <c r="O63" i="3" s="1"/>
  <c r="M174" i="9"/>
  <c r="M217" i="9" s="1"/>
  <c r="L25" i="3" s="1"/>
  <c r="L63" i="3" s="1"/>
  <c r="Q174" i="9"/>
  <c r="Q217" i="9" s="1"/>
  <c r="P25" i="3" s="1"/>
  <c r="P63" i="3" s="1"/>
  <c r="K174" i="9"/>
  <c r="K217" i="9" s="1"/>
  <c r="J25" i="3" s="1"/>
  <c r="J63" i="3" s="1"/>
  <c r="Z174" i="9"/>
  <c r="Z217" i="9" s="1"/>
  <c r="Y25" i="3" s="1"/>
  <c r="Y63" i="3" s="1"/>
  <c r="J174" i="9"/>
  <c r="J217" i="9" s="1"/>
  <c r="I25" i="3" s="1"/>
  <c r="I63" i="3" s="1"/>
  <c r="R174" i="9"/>
  <c r="R217" i="9" s="1"/>
  <c r="Q25" i="3" s="1"/>
  <c r="Q63" i="3" s="1"/>
  <c r="AA174" i="9"/>
  <c r="AA217" i="9" s="1"/>
  <c r="Z25" i="3" s="1"/>
  <c r="Z63" i="3" s="1"/>
  <c r="S174" i="9"/>
  <c r="S217" i="9" s="1"/>
  <c r="R25" i="3" s="1"/>
  <c r="R63" i="3" s="1"/>
  <c r="O174" i="9"/>
  <c r="O217" i="9" s="1"/>
  <c r="N25" i="3" s="1"/>
  <c r="N63" i="3" s="1"/>
  <c r="N174" i="9"/>
  <c r="N217" i="9" s="1"/>
  <c r="M25" i="3" s="1"/>
  <c r="M63" i="3" s="1"/>
  <c r="V174" i="9"/>
  <c r="V217" i="9" s="1"/>
  <c r="U25" i="3" s="1"/>
  <c r="U63" i="3" s="1"/>
  <c r="H94" i="8"/>
  <c r="AA18" i="18"/>
  <c r="D18" i="18" s="1"/>
  <c r="T174" i="9"/>
  <c r="T217" i="9" s="1"/>
  <c r="S25" i="3" s="1"/>
  <c r="S63" i="3" s="1"/>
  <c r="I174" i="9"/>
  <c r="I217" i="9" s="1"/>
  <c r="H25" i="3" s="1"/>
  <c r="H63" i="3" s="1"/>
  <c r="W174" i="9"/>
  <c r="W217" i="9" s="1"/>
  <c r="V25" i="3" s="1"/>
  <c r="V63" i="3" s="1"/>
  <c r="X174" i="9"/>
  <c r="X217" i="9" s="1"/>
  <c r="W25" i="3" s="1"/>
  <c r="W63" i="3" s="1"/>
  <c r="I112" i="9"/>
  <c r="I115" i="9" s="1"/>
  <c r="L174" i="9"/>
  <c r="L217" i="9" s="1"/>
  <c r="K25" i="3" s="1"/>
  <c r="K63" i="3" s="1"/>
  <c r="Y174" i="9"/>
  <c r="Y217" i="9" s="1"/>
  <c r="X25" i="3" s="1"/>
  <c r="X63" i="3" s="1"/>
  <c r="I91" i="9"/>
  <c r="I94" i="9" s="1"/>
  <c r="AA16" i="18"/>
  <c r="D16" i="18" s="1"/>
  <c r="I174" i="8"/>
  <c r="I217" i="8" s="1"/>
  <c r="H26" i="3" s="1"/>
  <c r="H64" i="3" s="1"/>
  <c r="AA15" i="18"/>
  <c r="D15" i="18" s="1"/>
  <c r="AA17" i="18"/>
  <c r="D17" i="18" s="1"/>
  <c r="L256" i="9"/>
  <c r="M256" i="9"/>
  <c r="J8" i="18"/>
  <c r="I8" i="18"/>
  <c r="L8" i="18"/>
  <c r="K256" i="9"/>
  <c r="M8" i="18"/>
  <c r="H8" i="18"/>
  <c r="K8" i="18"/>
  <c r="AD262" i="7"/>
  <c r="G8" i="18"/>
  <c r="X268" i="9"/>
  <c r="J256" i="9"/>
  <c r="I222" i="10"/>
  <c r="I288" i="10" s="1"/>
  <c r="H12" i="18"/>
  <c r="L222" i="10"/>
  <c r="L256" i="10" s="1"/>
  <c r="K12" i="18"/>
  <c r="H222" i="10"/>
  <c r="H256" i="10" s="1"/>
  <c r="N222" i="10"/>
  <c r="N288" i="10" s="1"/>
  <c r="G222" i="10"/>
  <c r="G288" i="10" s="1"/>
  <c r="F12" i="18"/>
  <c r="H288" i="9"/>
  <c r="G288" i="9"/>
  <c r="I11" i="18"/>
  <c r="I256" i="9"/>
  <c r="H11" i="18"/>
  <c r="L11" i="18"/>
  <c r="Y268" i="9"/>
  <c r="N222" i="9"/>
  <c r="N256" i="9" s="1"/>
  <c r="M11" i="18"/>
  <c r="G11" i="18"/>
  <c r="K11" i="18"/>
  <c r="I288" i="15"/>
  <c r="N288" i="14"/>
  <c r="M256" i="14"/>
  <c r="AE262" i="7"/>
  <c r="K300" i="9"/>
  <c r="W300" i="9"/>
  <c r="Z268" i="9"/>
  <c r="N268" i="9"/>
  <c r="V268" i="9"/>
  <c r="AG262" i="7"/>
  <c r="AJ262" i="7"/>
  <c r="L50" i="11"/>
  <c r="AI262" i="7"/>
  <c r="Q268" i="9"/>
  <c r="AF262" i="7"/>
  <c r="T268" i="9"/>
  <c r="J268" i="9"/>
  <c r="O300" i="9"/>
  <c r="R300" i="9"/>
  <c r="I50" i="14"/>
  <c r="K50" i="11"/>
  <c r="M50" i="11"/>
  <c r="I50" i="11"/>
  <c r="J288" i="15"/>
  <c r="H50" i="11"/>
  <c r="M50" i="14"/>
  <c r="AH262" i="7"/>
  <c r="H42" i="13"/>
  <c r="H222" i="13" s="1"/>
  <c r="H256" i="13" s="1"/>
  <c r="L268" i="9"/>
  <c r="S268" i="9"/>
  <c r="P268" i="9"/>
  <c r="M268" i="9"/>
  <c r="H268" i="9"/>
  <c r="AA300" i="9"/>
  <c r="U300" i="9"/>
  <c r="I300" i="9"/>
  <c r="I50" i="13"/>
  <c r="U234" i="10"/>
  <c r="U268" i="10" s="1"/>
  <c r="O234" i="10"/>
  <c r="O268" i="10" s="1"/>
  <c r="M50" i="15"/>
  <c r="X234" i="10"/>
  <c r="X300" i="10" s="1"/>
  <c r="J234" i="10"/>
  <c r="J300" i="10" s="1"/>
  <c r="W234" i="10"/>
  <c r="W300" i="10" s="1"/>
  <c r="R234" i="10"/>
  <c r="R300" i="10" s="1"/>
  <c r="M234" i="10"/>
  <c r="M268" i="10" s="1"/>
  <c r="Q234" i="10"/>
  <c r="Q300" i="10" s="1"/>
  <c r="Y234" i="10"/>
  <c r="Y300" i="10" s="1"/>
  <c r="V234" i="10"/>
  <c r="V300" i="10" s="1"/>
  <c r="N234" i="10"/>
  <c r="N268" i="10" s="1"/>
  <c r="P234" i="10"/>
  <c r="P268" i="10" s="1"/>
  <c r="L234" i="10"/>
  <c r="L300" i="10" s="1"/>
  <c r="I234" i="10"/>
  <c r="I300" i="10" s="1"/>
  <c r="H234" i="10"/>
  <c r="H268" i="10" s="1"/>
  <c r="Z234" i="10"/>
  <c r="Z268" i="10" s="1"/>
  <c r="AA234" i="10"/>
  <c r="AA268" i="10" s="1"/>
  <c r="S234" i="10"/>
  <c r="S268" i="10" s="1"/>
  <c r="T234" i="10"/>
  <c r="T268" i="10" s="1"/>
  <c r="K234" i="10"/>
  <c r="K268" i="10" s="1"/>
  <c r="M45" i="13"/>
  <c r="J50" i="12"/>
  <c r="I50" i="12"/>
  <c r="L256" i="13"/>
  <c r="M50" i="12"/>
  <c r="K50" i="12"/>
  <c r="L50" i="12"/>
  <c r="K50" i="15"/>
  <c r="L50" i="15"/>
  <c r="N50" i="11"/>
  <c r="N50" i="15"/>
  <c r="L50" i="14"/>
  <c r="J50" i="14"/>
  <c r="N50" i="14"/>
  <c r="L288" i="12"/>
  <c r="L256" i="12"/>
  <c r="M256" i="13"/>
  <c r="K50" i="14"/>
  <c r="O37" i="10"/>
  <c r="I288" i="12"/>
  <c r="J42" i="13"/>
  <c r="J222" i="13" s="1"/>
  <c r="J45" i="13"/>
  <c r="O45" i="8"/>
  <c r="O50" i="8" s="1"/>
  <c r="P37" i="8"/>
  <c r="M288" i="11"/>
  <c r="M256" i="11"/>
  <c r="O42" i="8"/>
  <c r="O222" i="8" s="1"/>
  <c r="O288" i="8" s="1"/>
  <c r="M256" i="15"/>
  <c r="I50" i="15"/>
  <c r="H50" i="15"/>
  <c r="J50" i="15"/>
  <c r="X32" i="7"/>
  <c r="T32" i="7"/>
  <c r="H256" i="11"/>
  <c r="H288" i="11"/>
  <c r="I256" i="13"/>
  <c r="N50" i="12"/>
  <c r="O50" i="11"/>
  <c r="O50" i="15"/>
  <c r="O50" i="14"/>
  <c r="V174" i="8"/>
  <c r="V217" i="8" s="1"/>
  <c r="U26" i="3" s="1"/>
  <c r="U64" i="3" s="1"/>
  <c r="V32" i="7"/>
  <c r="AB32" i="7"/>
  <c r="N256" i="12"/>
  <c r="N288" i="12"/>
  <c r="O42" i="12"/>
  <c r="O222" i="12" s="1"/>
  <c r="O45" i="12"/>
  <c r="O50" i="12" s="1"/>
  <c r="W32" i="7"/>
  <c r="S32" i="7"/>
  <c r="U32" i="7"/>
  <c r="Y32" i="7"/>
  <c r="O256" i="14"/>
  <c r="O288" i="14"/>
  <c r="H129" i="13"/>
  <c r="N45" i="13"/>
  <c r="N42" i="13"/>
  <c r="N222" i="13" s="1"/>
  <c r="P42" i="15"/>
  <c r="P222" i="15" s="1"/>
  <c r="P45" i="15"/>
  <c r="AC32" i="7"/>
  <c r="O288" i="11"/>
  <c r="O256" i="11"/>
  <c r="P42" i="14"/>
  <c r="P222" i="14" s="1"/>
  <c r="P45" i="14"/>
  <c r="P50" i="14" s="1"/>
  <c r="AK54" i="7"/>
  <c r="P45" i="11"/>
  <c r="P42" i="11"/>
  <c r="P222" i="11" s="1"/>
  <c r="O288" i="15"/>
  <c r="O256" i="15"/>
  <c r="H149" i="14"/>
  <c r="H150" i="13"/>
  <c r="H108" i="15"/>
  <c r="H129" i="15"/>
  <c r="H171" i="14"/>
  <c r="H149" i="15"/>
  <c r="H150" i="14"/>
  <c r="H175" i="13"/>
  <c r="H107" i="13"/>
  <c r="H170" i="13"/>
  <c r="H108" i="14"/>
  <c r="H175" i="14"/>
  <c r="H129" i="14"/>
  <c r="H175" i="15"/>
  <c r="H170" i="15"/>
  <c r="J112" i="15"/>
  <c r="I121" i="15"/>
  <c r="I119" i="15"/>
  <c r="I120" i="15"/>
  <c r="I115" i="15"/>
  <c r="I100" i="14"/>
  <c r="I94" i="14"/>
  <c r="I99" i="14"/>
  <c r="J91" i="14"/>
  <c r="I98" i="14"/>
  <c r="H149" i="13"/>
  <c r="I163" i="15"/>
  <c r="I161" i="15"/>
  <c r="I157" i="15"/>
  <c r="J154" i="15"/>
  <c r="I162" i="15"/>
  <c r="H128" i="14"/>
  <c r="J91" i="13"/>
  <c r="I94" i="13"/>
  <c r="I100" i="13"/>
  <c r="I99" i="13"/>
  <c r="I98" i="13"/>
  <c r="H170" i="14"/>
  <c r="H150" i="15"/>
  <c r="H128" i="15"/>
  <c r="I162" i="14"/>
  <c r="I163" i="14"/>
  <c r="J154" i="14"/>
  <c r="I157" i="14"/>
  <c r="I161" i="14"/>
  <c r="H107" i="15"/>
  <c r="J133" i="13"/>
  <c r="I136" i="13"/>
  <c r="I141" i="13"/>
  <c r="I142" i="13"/>
  <c r="I140" i="13"/>
  <c r="H107" i="14"/>
  <c r="I115" i="14"/>
  <c r="I121" i="14"/>
  <c r="I119" i="14"/>
  <c r="I120" i="14"/>
  <c r="J112" i="14"/>
  <c r="H108" i="13"/>
  <c r="H128" i="13"/>
  <c r="I136" i="15"/>
  <c r="J133" i="15"/>
  <c r="I142" i="15"/>
  <c r="I141" i="15"/>
  <c r="I140" i="15"/>
  <c r="I162" i="13"/>
  <c r="I161" i="13"/>
  <c r="I157" i="13"/>
  <c r="I163" i="13"/>
  <c r="J154" i="13"/>
  <c r="I99" i="15"/>
  <c r="I94" i="15"/>
  <c r="J91" i="15"/>
  <c r="I100" i="15"/>
  <c r="I98" i="15"/>
  <c r="H171" i="15"/>
  <c r="H171" i="13"/>
  <c r="I115" i="13"/>
  <c r="I120" i="13"/>
  <c r="I121" i="13"/>
  <c r="J112" i="13"/>
  <c r="I119" i="13"/>
  <c r="I142" i="14"/>
  <c r="I141" i="14"/>
  <c r="I140" i="14"/>
  <c r="J133" i="14"/>
  <c r="I136" i="14"/>
  <c r="L174" i="10"/>
  <c r="L217" i="10" s="1"/>
  <c r="K27" i="3" s="1"/>
  <c r="K65" i="3" s="1"/>
  <c r="P174" i="10"/>
  <c r="P217" i="10" s="1"/>
  <c r="O27" i="3" s="1"/>
  <c r="O65" i="3" s="1"/>
  <c r="AA174" i="10"/>
  <c r="AA217" i="10" s="1"/>
  <c r="Z27" i="3" s="1"/>
  <c r="Z65" i="3" s="1"/>
  <c r="J185" i="15"/>
  <c r="O174" i="10"/>
  <c r="O217" i="10" s="1"/>
  <c r="N27" i="3" s="1"/>
  <c r="N65" i="3" s="1"/>
  <c r="J174" i="10"/>
  <c r="J217" i="10" s="1"/>
  <c r="I27" i="3" s="1"/>
  <c r="I65" i="3" s="1"/>
  <c r="R174" i="10"/>
  <c r="R217" i="10" s="1"/>
  <c r="Q27" i="3" s="1"/>
  <c r="Q65" i="3" s="1"/>
  <c r="X174" i="10"/>
  <c r="X217" i="10" s="1"/>
  <c r="W27" i="3" s="1"/>
  <c r="W65" i="3" s="1"/>
  <c r="M174" i="10"/>
  <c r="M217" i="10" s="1"/>
  <c r="L27" i="3" s="1"/>
  <c r="L65" i="3" s="1"/>
  <c r="S174" i="10"/>
  <c r="S217" i="10" s="1"/>
  <c r="R27" i="3" s="1"/>
  <c r="R65" i="3" s="1"/>
  <c r="H171" i="11"/>
  <c r="H129" i="11"/>
  <c r="H108" i="11"/>
  <c r="Z174" i="8"/>
  <c r="Z217" i="8" s="1"/>
  <c r="Y26" i="3" s="1"/>
  <c r="Y64" i="3" s="1"/>
  <c r="K174" i="10"/>
  <c r="K217" i="10" s="1"/>
  <c r="J27" i="3" s="1"/>
  <c r="J65" i="3" s="1"/>
  <c r="W174" i="10"/>
  <c r="W217" i="10" s="1"/>
  <c r="V27" i="3" s="1"/>
  <c r="V65" i="3" s="1"/>
  <c r="H174" i="9"/>
  <c r="H217" i="9" s="1"/>
  <c r="G25" i="3" s="1"/>
  <c r="G63" i="3" s="1"/>
  <c r="H128" i="11"/>
  <c r="H170" i="11"/>
  <c r="H175" i="11"/>
  <c r="Y174" i="10"/>
  <c r="Y217" i="10" s="1"/>
  <c r="X27" i="3" s="1"/>
  <c r="X65" i="3" s="1"/>
  <c r="H107" i="11"/>
  <c r="H150" i="11"/>
  <c r="J154" i="11"/>
  <c r="I162" i="11"/>
  <c r="I161" i="11"/>
  <c r="I157" i="11"/>
  <c r="I163" i="11"/>
  <c r="I120" i="11"/>
  <c r="J112" i="11"/>
  <c r="I119" i="11"/>
  <c r="I115" i="11"/>
  <c r="I121" i="11"/>
  <c r="I100" i="11"/>
  <c r="I98" i="11"/>
  <c r="I99" i="11"/>
  <c r="J91" i="11"/>
  <c r="I94" i="11"/>
  <c r="I140" i="11"/>
  <c r="I142" i="11"/>
  <c r="I136" i="11"/>
  <c r="I141" i="11"/>
  <c r="J133" i="11"/>
  <c r="J185" i="14"/>
  <c r="V174" i="10"/>
  <c r="V217" i="10" s="1"/>
  <c r="U27" i="3" s="1"/>
  <c r="U65" i="3" s="1"/>
  <c r="H149" i="11"/>
  <c r="H94" i="9"/>
  <c r="Z160" i="10"/>
  <c r="U160" i="10"/>
  <c r="S160" i="10"/>
  <c r="L160" i="10"/>
  <c r="K160" i="10"/>
  <c r="J160" i="10"/>
  <c r="Q160" i="10"/>
  <c r="N160" i="10"/>
  <c r="M160" i="10"/>
  <c r="I160" i="10"/>
  <c r="T160" i="10"/>
  <c r="X160" i="10"/>
  <c r="P160" i="10"/>
  <c r="W160" i="10"/>
  <c r="O160" i="10"/>
  <c r="V160" i="10"/>
  <c r="AA160" i="10"/>
  <c r="H160" i="10"/>
  <c r="H163" i="10" s="1"/>
  <c r="Y160" i="10"/>
  <c r="R160" i="10"/>
  <c r="S138" i="10"/>
  <c r="N138" i="10"/>
  <c r="O138" i="10"/>
  <c r="K138" i="10"/>
  <c r="M138" i="10"/>
  <c r="Z138" i="10"/>
  <c r="X138" i="10"/>
  <c r="R138" i="10"/>
  <c r="H138" i="10"/>
  <c r="H141" i="10" s="1"/>
  <c r="J138" i="10"/>
  <c r="W138" i="10"/>
  <c r="P138" i="10"/>
  <c r="T138" i="10"/>
  <c r="Y138" i="10"/>
  <c r="V138" i="10"/>
  <c r="AA138" i="10"/>
  <c r="L138" i="10"/>
  <c r="Q138" i="10"/>
  <c r="U138" i="10"/>
  <c r="I138" i="10"/>
  <c r="X158" i="10"/>
  <c r="Z158" i="10"/>
  <c r="O158" i="10"/>
  <c r="R158" i="10"/>
  <c r="N158" i="10"/>
  <c r="J158" i="10"/>
  <c r="W158" i="10"/>
  <c r="T158" i="10"/>
  <c r="Y158" i="10"/>
  <c r="D164" i="10"/>
  <c r="Q158" i="10"/>
  <c r="P158" i="10"/>
  <c r="L158" i="10"/>
  <c r="V158" i="10"/>
  <c r="AA158" i="10"/>
  <c r="I158" i="10"/>
  <c r="M158" i="10"/>
  <c r="S158" i="10"/>
  <c r="U158" i="10"/>
  <c r="H158" i="10"/>
  <c r="H161" i="10" s="1"/>
  <c r="K158" i="10"/>
  <c r="V118" i="10"/>
  <c r="Z118" i="10"/>
  <c r="X118" i="10"/>
  <c r="R118" i="10"/>
  <c r="H118" i="10"/>
  <c r="M118" i="10"/>
  <c r="J118" i="10"/>
  <c r="W118" i="10"/>
  <c r="T118" i="10"/>
  <c r="Y118" i="10"/>
  <c r="U118" i="10"/>
  <c r="O118" i="10"/>
  <c r="L118" i="10"/>
  <c r="Q118" i="10"/>
  <c r="P118" i="10"/>
  <c r="K118" i="10"/>
  <c r="AA118" i="10"/>
  <c r="I118" i="10"/>
  <c r="S118" i="10"/>
  <c r="N118" i="10"/>
  <c r="S95" i="10"/>
  <c r="K95" i="10"/>
  <c r="Z95" i="10"/>
  <c r="R95" i="10"/>
  <c r="J95" i="10"/>
  <c r="T95" i="10"/>
  <c r="Y95" i="10"/>
  <c r="Q95" i="10"/>
  <c r="I95" i="10"/>
  <c r="U95" i="10"/>
  <c r="L95" i="10"/>
  <c r="X95" i="10"/>
  <c r="P95" i="10"/>
  <c r="H95" i="10"/>
  <c r="H98" i="10" s="1"/>
  <c r="M95" i="10"/>
  <c r="W95" i="10"/>
  <c r="O95" i="10"/>
  <c r="V95" i="10"/>
  <c r="N95" i="10"/>
  <c r="D101" i="10"/>
  <c r="AA95" i="10"/>
  <c r="X96" i="10"/>
  <c r="P96" i="10"/>
  <c r="H96" i="10"/>
  <c r="H99" i="10" s="1"/>
  <c r="Y96" i="10"/>
  <c r="W96" i="10"/>
  <c r="O96" i="10"/>
  <c r="J96" i="10"/>
  <c r="V96" i="10"/>
  <c r="N96" i="10"/>
  <c r="U96" i="10"/>
  <c r="M96" i="10"/>
  <c r="Z96" i="10"/>
  <c r="Q96" i="10"/>
  <c r="T96" i="10"/>
  <c r="L96" i="10"/>
  <c r="R96" i="10"/>
  <c r="S96" i="10"/>
  <c r="K96" i="10"/>
  <c r="I96" i="10"/>
  <c r="AA96" i="10"/>
  <c r="M137" i="10"/>
  <c r="L137" i="10"/>
  <c r="W137" i="10"/>
  <c r="V137" i="10"/>
  <c r="K137" i="10"/>
  <c r="X137" i="10"/>
  <c r="I137" i="10"/>
  <c r="D143" i="10"/>
  <c r="P137" i="10"/>
  <c r="Z137" i="10"/>
  <c r="H137" i="10"/>
  <c r="H140" i="10" s="1"/>
  <c r="R137" i="10"/>
  <c r="U137" i="10"/>
  <c r="J137" i="10"/>
  <c r="T137" i="10"/>
  <c r="Q137" i="10"/>
  <c r="O137" i="10"/>
  <c r="N137" i="10"/>
  <c r="Y137" i="10"/>
  <c r="S137" i="10"/>
  <c r="AA137" i="10"/>
  <c r="U97" i="10"/>
  <c r="M97" i="10"/>
  <c r="T97" i="10"/>
  <c r="L97" i="10"/>
  <c r="W97" i="10"/>
  <c r="V97" i="10"/>
  <c r="S97" i="10"/>
  <c r="K97" i="10"/>
  <c r="O97" i="10"/>
  <c r="N97" i="10"/>
  <c r="Z97" i="10"/>
  <c r="R97" i="10"/>
  <c r="J97" i="10"/>
  <c r="Y97" i="10"/>
  <c r="Q97" i="10"/>
  <c r="I97" i="10"/>
  <c r="X97" i="10"/>
  <c r="P97" i="10"/>
  <c r="H97" i="10"/>
  <c r="H100" i="10" s="1"/>
  <c r="AA97" i="10"/>
  <c r="T116" i="10"/>
  <c r="I116" i="10"/>
  <c r="L116" i="10"/>
  <c r="X116" i="10"/>
  <c r="AA116" i="10"/>
  <c r="H116" i="10"/>
  <c r="V116" i="10"/>
  <c r="S116" i="10"/>
  <c r="W116" i="10"/>
  <c r="N116" i="10"/>
  <c r="K116" i="10"/>
  <c r="Q116" i="10"/>
  <c r="Y116" i="10"/>
  <c r="D122" i="10"/>
  <c r="Z116" i="10"/>
  <c r="P116" i="10"/>
  <c r="M116" i="10"/>
  <c r="U116" i="10"/>
  <c r="J116" i="10"/>
  <c r="O116" i="10"/>
  <c r="R116" i="10"/>
  <c r="X139" i="10"/>
  <c r="Z139" i="10"/>
  <c r="O139" i="10"/>
  <c r="P139" i="10"/>
  <c r="R139" i="10"/>
  <c r="N139" i="10"/>
  <c r="J139" i="10"/>
  <c r="W139" i="10"/>
  <c r="T139" i="10"/>
  <c r="Y139" i="10"/>
  <c r="V139" i="10"/>
  <c r="Q139" i="10"/>
  <c r="M139" i="10"/>
  <c r="H139" i="10"/>
  <c r="H142" i="10" s="1"/>
  <c r="L139" i="10"/>
  <c r="K139" i="10"/>
  <c r="AA139" i="10"/>
  <c r="I139" i="10"/>
  <c r="S139" i="10"/>
  <c r="U139" i="10"/>
  <c r="W97" i="9"/>
  <c r="O97" i="9"/>
  <c r="V97" i="9"/>
  <c r="N97" i="9"/>
  <c r="U97" i="9"/>
  <c r="M97" i="9"/>
  <c r="T97" i="9"/>
  <c r="L97" i="9"/>
  <c r="P97" i="9"/>
  <c r="AA97" i="9"/>
  <c r="S97" i="9"/>
  <c r="K97" i="9"/>
  <c r="Z97" i="9"/>
  <c r="R97" i="9"/>
  <c r="J97" i="9"/>
  <c r="H97" i="9"/>
  <c r="H100" i="9" s="1"/>
  <c r="Y97" i="9"/>
  <c r="Q97" i="9"/>
  <c r="I97" i="9"/>
  <c r="X97" i="9"/>
  <c r="N139" i="9"/>
  <c r="R139" i="9"/>
  <c r="Y139" i="9"/>
  <c r="Q139" i="9"/>
  <c r="X139" i="9"/>
  <c r="K139" i="9"/>
  <c r="M139" i="9"/>
  <c r="V139" i="9"/>
  <c r="P139" i="9"/>
  <c r="U139" i="9"/>
  <c r="L139" i="9"/>
  <c r="H139" i="9"/>
  <c r="H142" i="9" s="1"/>
  <c r="J139" i="9"/>
  <c r="AA139" i="9"/>
  <c r="S139" i="9"/>
  <c r="W139" i="9"/>
  <c r="T139" i="9"/>
  <c r="Z139" i="9"/>
  <c r="O139" i="9"/>
  <c r="I139" i="9"/>
  <c r="U137" i="9"/>
  <c r="R137" i="9"/>
  <c r="K137" i="9"/>
  <c r="L137" i="9"/>
  <c r="M137" i="9"/>
  <c r="D143" i="9"/>
  <c r="X137" i="9"/>
  <c r="Z137" i="9"/>
  <c r="H137" i="9"/>
  <c r="H140" i="9" s="1"/>
  <c r="J137" i="9"/>
  <c r="Y137" i="9"/>
  <c r="W137" i="9"/>
  <c r="T137" i="9"/>
  <c r="Q137" i="9"/>
  <c r="O137" i="9"/>
  <c r="I137" i="9"/>
  <c r="P137" i="9"/>
  <c r="N137" i="9"/>
  <c r="V137" i="9"/>
  <c r="S137" i="9"/>
  <c r="AA137" i="9"/>
  <c r="R118" i="9"/>
  <c r="S118" i="9"/>
  <c r="H118" i="9"/>
  <c r="H121" i="9" s="1"/>
  <c r="N118" i="9"/>
  <c r="AA118" i="9"/>
  <c r="K118" i="9"/>
  <c r="L118" i="9"/>
  <c r="Q118" i="9"/>
  <c r="J118" i="9"/>
  <c r="I118" i="9"/>
  <c r="U118" i="9"/>
  <c r="Z118" i="9"/>
  <c r="X118" i="9"/>
  <c r="M118" i="9"/>
  <c r="P118" i="9"/>
  <c r="W118" i="9"/>
  <c r="O118" i="9"/>
  <c r="T118" i="9"/>
  <c r="Y118" i="9"/>
  <c r="V118" i="9"/>
  <c r="U95" i="9"/>
  <c r="M95" i="9"/>
  <c r="V95" i="9"/>
  <c r="T95" i="9"/>
  <c r="L95" i="9"/>
  <c r="S95" i="9"/>
  <c r="K95" i="9"/>
  <c r="N95" i="9"/>
  <c r="Z95" i="9"/>
  <c r="R95" i="9"/>
  <c r="J95" i="9"/>
  <c r="Y95" i="9"/>
  <c r="Q95" i="9"/>
  <c r="I95" i="9"/>
  <c r="X95" i="9"/>
  <c r="P95" i="9"/>
  <c r="H98" i="9"/>
  <c r="W95" i="9"/>
  <c r="O95" i="9"/>
  <c r="AA95" i="9"/>
  <c r="D101" i="9"/>
  <c r="P138" i="9"/>
  <c r="U138" i="9"/>
  <c r="M138" i="9"/>
  <c r="H138" i="9"/>
  <c r="H141" i="9" s="1"/>
  <c r="J138" i="9"/>
  <c r="AA138" i="9"/>
  <c r="K138" i="9"/>
  <c r="W138" i="9"/>
  <c r="T138" i="9"/>
  <c r="L138" i="9"/>
  <c r="O138" i="9"/>
  <c r="I138" i="9"/>
  <c r="V138" i="9"/>
  <c r="S138" i="9"/>
  <c r="Q138" i="9"/>
  <c r="N138" i="9"/>
  <c r="Z138" i="9"/>
  <c r="X138" i="9"/>
  <c r="Y138" i="9"/>
  <c r="R138" i="9"/>
  <c r="P158" i="9"/>
  <c r="M158" i="9"/>
  <c r="J158" i="9"/>
  <c r="H158" i="9"/>
  <c r="H161" i="9" s="1"/>
  <c r="L158" i="9"/>
  <c r="S158" i="9"/>
  <c r="W158" i="9"/>
  <c r="AA158" i="9"/>
  <c r="X158" i="9"/>
  <c r="O158" i="9"/>
  <c r="K158" i="9"/>
  <c r="Y158" i="9"/>
  <c r="D164" i="9"/>
  <c r="Z158" i="9"/>
  <c r="R158" i="9"/>
  <c r="Q158" i="9"/>
  <c r="V158" i="9"/>
  <c r="U158" i="9"/>
  <c r="I158" i="9"/>
  <c r="N158" i="9"/>
  <c r="T158" i="9"/>
  <c r="D122" i="9"/>
  <c r="AA116" i="9"/>
  <c r="X116" i="9"/>
  <c r="Z116" i="9"/>
  <c r="W116" i="9"/>
  <c r="L116" i="9"/>
  <c r="S116" i="9"/>
  <c r="H116" i="9"/>
  <c r="H119" i="9" s="1"/>
  <c r="O116" i="9"/>
  <c r="U116" i="9"/>
  <c r="R116" i="9"/>
  <c r="V116" i="9"/>
  <c r="K116" i="9"/>
  <c r="Q116" i="9"/>
  <c r="M116" i="9"/>
  <c r="N116" i="9"/>
  <c r="T116" i="9"/>
  <c r="P116" i="9"/>
  <c r="Y116" i="9"/>
  <c r="J116" i="9"/>
  <c r="I116" i="9"/>
  <c r="Z96" i="9"/>
  <c r="R96" i="9"/>
  <c r="J96" i="9"/>
  <c r="Y96" i="9"/>
  <c r="Q96" i="9"/>
  <c r="I96" i="9"/>
  <c r="X96" i="9"/>
  <c r="P96" i="9"/>
  <c r="H96" i="9"/>
  <c r="W96" i="9"/>
  <c r="O96" i="9"/>
  <c r="K96" i="9"/>
  <c r="V96" i="9"/>
  <c r="N96" i="9"/>
  <c r="S96" i="9"/>
  <c r="U96" i="9"/>
  <c r="M96" i="9"/>
  <c r="T96" i="9"/>
  <c r="L96" i="9"/>
  <c r="AA96" i="9"/>
  <c r="X160" i="9"/>
  <c r="N160" i="9"/>
  <c r="P160" i="9"/>
  <c r="Q160" i="9"/>
  <c r="U160" i="9"/>
  <c r="O160" i="9"/>
  <c r="H160" i="9"/>
  <c r="H163" i="9" s="1"/>
  <c r="M160" i="9"/>
  <c r="Z160" i="9"/>
  <c r="T160" i="9"/>
  <c r="J160" i="9"/>
  <c r="L160" i="9"/>
  <c r="Y160" i="9"/>
  <c r="AA160" i="9"/>
  <c r="I160" i="9"/>
  <c r="S160" i="9"/>
  <c r="W160" i="9"/>
  <c r="V160" i="9"/>
  <c r="K160" i="9"/>
  <c r="R160" i="9"/>
  <c r="H150" i="12"/>
  <c r="H128" i="12"/>
  <c r="H170" i="12"/>
  <c r="H107" i="12"/>
  <c r="W300" i="13"/>
  <c r="W268" i="13"/>
  <c r="M300" i="13"/>
  <c r="M268" i="13"/>
  <c r="Y268" i="13"/>
  <c r="Y300" i="13"/>
  <c r="R300" i="13"/>
  <c r="R268" i="13"/>
  <c r="I300" i="13"/>
  <c r="I268" i="13"/>
  <c r="Z300" i="13"/>
  <c r="Z268" i="13"/>
  <c r="J300" i="13"/>
  <c r="J268" i="13"/>
  <c r="I120" i="12"/>
  <c r="I121" i="12"/>
  <c r="J112" i="12"/>
  <c r="I119" i="12"/>
  <c r="I115" i="12"/>
  <c r="L268" i="13"/>
  <c r="L300" i="13"/>
  <c r="K185" i="11"/>
  <c r="H268" i="13"/>
  <c r="H300" i="13"/>
  <c r="H129" i="12"/>
  <c r="H108" i="12"/>
  <c r="I142" i="12"/>
  <c r="I140" i="12"/>
  <c r="I136" i="12"/>
  <c r="J133" i="12"/>
  <c r="I141" i="12"/>
  <c r="P268" i="13"/>
  <c r="P300" i="13"/>
  <c r="J185" i="12"/>
  <c r="S268" i="13"/>
  <c r="S300" i="13"/>
  <c r="X268" i="13"/>
  <c r="X300" i="13"/>
  <c r="U300" i="13"/>
  <c r="U268" i="13"/>
  <c r="K268" i="13"/>
  <c r="K300" i="13"/>
  <c r="V300" i="13"/>
  <c r="V268" i="13"/>
  <c r="I100" i="12"/>
  <c r="I98" i="12"/>
  <c r="J91" i="12"/>
  <c r="I94" i="12"/>
  <c r="I99" i="12"/>
  <c r="AA300" i="13"/>
  <c r="AA268" i="13"/>
  <c r="I162" i="12"/>
  <c r="I163" i="12"/>
  <c r="I161" i="12"/>
  <c r="I157" i="12"/>
  <c r="J154" i="12"/>
  <c r="Q268" i="13"/>
  <c r="Q300" i="13"/>
  <c r="H149" i="12"/>
  <c r="T300" i="13"/>
  <c r="T268" i="13"/>
  <c r="H171" i="12"/>
  <c r="N300" i="13"/>
  <c r="N268" i="13"/>
  <c r="H175" i="12"/>
  <c r="O300" i="13"/>
  <c r="O268" i="13"/>
  <c r="H162" i="8"/>
  <c r="Y95" i="8"/>
  <c r="Q95" i="8"/>
  <c r="I95" i="8"/>
  <c r="I98" i="8" s="1"/>
  <c r="V95" i="8"/>
  <c r="U95" i="8"/>
  <c r="AA95" i="8"/>
  <c r="K95" i="8"/>
  <c r="J95" i="8"/>
  <c r="X95" i="8"/>
  <c r="P95" i="8"/>
  <c r="N95" i="8"/>
  <c r="M95" i="8"/>
  <c r="L95" i="8"/>
  <c r="S95" i="8"/>
  <c r="Z95" i="8"/>
  <c r="W95" i="8"/>
  <c r="O95" i="8"/>
  <c r="T95" i="8"/>
  <c r="R95" i="8"/>
  <c r="AA97" i="8"/>
  <c r="S97" i="8"/>
  <c r="K97" i="8"/>
  <c r="P97" i="8"/>
  <c r="W97" i="8"/>
  <c r="M97" i="8"/>
  <c r="T97" i="8"/>
  <c r="Z97" i="8"/>
  <c r="R97" i="8"/>
  <c r="J97" i="8"/>
  <c r="O97" i="8"/>
  <c r="N97" i="8"/>
  <c r="U97" i="8"/>
  <c r="L97" i="8"/>
  <c r="Y97" i="8"/>
  <c r="Q97" i="8"/>
  <c r="I97" i="8"/>
  <c r="I100" i="8" s="1"/>
  <c r="X97" i="8"/>
  <c r="V97" i="8"/>
  <c r="V96" i="8"/>
  <c r="N96" i="8"/>
  <c r="S96" i="8"/>
  <c r="Z96" i="8"/>
  <c r="O96" i="8"/>
  <c r="U96" i="8"/>
  <c r="M96" i="8"/>
  <c r="AA96" i="8"/>
  <c r="R96" i="8"/>
  <c r="Y96" i="8"/>
  <c r="I96" i="8"/>
  <c r="I99" i="8" s="1"/>
  <c r="X96" i="8"/>
  <c r="P96" i="8"/>
  <c r="T96" i="8"/>
  <c r="L96" i="8"/>
  <c r="K96" i="8"/>
  <c r="J96" i="8"/>
  <c r="Q96" i="8"/>
  <c r="W96" i="8"/>
  <c r="H95" i="8"/>
  <c r="H98" i="8" s="1"/>
  <c r="U174" i="8"/>
  <c r="I154" i="8"/>
  <c r="I162" i="8" s="1"/>
  <c r="H157" i="8"/>
  <c r="H174" i="8"/>
  <c r="U174" i="10"/>
  <c r="U217" i="10" s="1"/>
  <c r="T27" i="3" s="1"/>
  <c r="T65" i="3" s="1"/>
  <c r="T174" i="10"/>
  <c r="T217" i="10" s="1"/>
  <c r="S27" i="3" s="1"/>
  <c r="S65" i="3" s="1"/>
  <c r="H112" i="10"/>
  <c r="Z174" i="10"/>
  <c r="Z217" i="10" s="1"/>
  <c r="Y27" i="3" s="1"/>
  <c r="Y65" i="3" s="1"/>
  <c r="P174" i="8"/>
  <c r="W174" i="8"/>
  <c r="Q174" i="8"/>
  <c r="I112" i="8"/>
  <c r="J112" i="8" s="1"/>
  <c r="H115" i="8"/>
  <c r="Q174" i="10"/>
  <c r="Q217" i="10" s="1"/>
  <c r="P27" i="3" s="1"/>
  <c r="P65" i="3" s="1"/>
  <c r="N174" i="10"/>
  <c r="N217" i="10" s="1"/>
  <c r="M27" i="3" s="1"/>
  <c r="M65" i="3" s="1"/>
  <c r="N174" i="8"/>
  <c r="S174" i="8"/>
  <c r="I174" i="10"/>
  <c r="I217" i="10" s="1"/>
  <c r="H27" i="3" s="1"/>
  <c r="H65" i="3" s="1"/>
  <c r="AA174" i="8"/>
  <c r="T174" i="8"/>
  <c r="K174" i="8"/>
  <c r="M174" i="8"/>
  <c r="R174" i="8"/>
  <c r="L174" i="8"/>
  <c r="O174" i="8"/>
  <c r="X174" i="8"/>
  <c r="Y174" i="8"/>
  <c r="J174" i="8"/>
  <c r="Z159" i="7"/>
  <c r="S119" i="7"/>
  <c r="AA159" i="7"/>
  <c r="W119" i="7"/>
  <c r="AD58" i="6"/>
  <c r="AD60" i="6" s="1"/>
  <c r="H186" i="8"/>
  <c r="R184" i="9"/>
  <c r="H93" i="10"/>
  <c r="H174" i="10" s="1"/>
  <c r="H217" i="10" s="1"/>
  <c r="G27" i="3" s="1"/>
  <c r="G65" i="3" s="1"/>
  <c r="H50" i="8"/>
  <c r="I256" i="8"/>
  <c r="N256" i="8"/>
  <c r="G50" i="8"/>
  <c r="K42" i="10"/>
  <c r="M42" i="10"/>
  <c r="J42" i="10"/>
  <c r="X118" i="8"/>
  <c r="J118" i="8"/>
  <c r="K160" i="8"/>
  <c r="M160" i="8"/>
  <c r="L116" i="8"/>
  <c r="M116" i="8"/>
  <c r="T116" i="8"/>
  <c r="L45" i="10"/>
  <c r="R158" i="8"/>
  <c r="H116" i="8"/>
  <c r="H119" i="8" s="1"/>
  <c r="H256" i="8"/>
  <c r="Y118" i="8"/>
  <c r="AA118" i="8"/>
  <c r="S118" i="8"/>
  <c r="M118" i="8"/>
  <c r="W118" i="8"/>
  <c r="T118" i="8"/>
  <c r="L50" i="8"/>
  <c r="D101" i="8"/>
  <c r="V118" i="8"/>
  <c r="Q118" i="8"/>
  <c r="U118" i="8"/>
  <c r="R116" i="8"/>
  <c r="O116" i="8"/>
  <c r="N116" i="8"/>
  <c r="AA116" i="8"/>
  <c r="U158" i="8"/>
  <c r="O158" i="8"/>
  <c r="K116" i="8"/>
  <c r="V116" i="8"/>
  <c r="G45" i="10"/>
  <c r="M50" i="8"/>
  <c r="J50" i="8"/>
  <c r="U116" i="8"/>
  <c r="Y116" i="8"/>
  <c r="I50" i="8"/>
  <c r="L288" i="8"/>
  <c r="Y158" i="8"/>
  <c r="I116" i="8"/>
  <c r="D122" i="8"/>
  <c r="Z122" i="8" s="1"/>
  <c r="J158" i="8"/>
  <c r="Z116" i="8"/>
  <c r="S116" i="8"/>
  <c r="AA160" i="8"/>
  <c r="H118" i="8"/>
  <c r="H121" i="8" s="1"/>
  <c r="K118" i="8"/>
  <c r="I118" i="8"/>
  <c r="L160" i="8"/>
  <c r="O118" i="8"/>
  <c r="L118" i="8"/>
  <c r="H97" i="8"/>
  <c r="H100" i="8" s="1"/>
  <c r="U160" i="8"/>
  <c r="H96" i="8"/>
  <c r="P118" i="8"/>
  <c r="Z118" i="8"/>
  <c r="R118" i="8"/>
  <c r="X116" i="8"/>
  <c r="W116" i="8"/>
  <c r="P116" i="8"/>
  <c r="N50" i="8"/>
  <c r="T158" i="8"/>
  <c r="Z158" i="8"/>
  <c r="H160" i="8"/>
  <c r="H163" i="8" s="1"/>
  <c r="X160" i="8"/>
  <c r="X158" i="8"/>
  <c r="V158" i="8"/>
  <c r="P160" i="8"/>
  <c r="I160" i="8"/>
  <c r="K158" i="8"/>
  <c r="I158" i="8"/>
  <c r="M158" i="8"/>
  <c r="V160" i="8"/>
  <c r="N160" i="8"/>
  <c r="W158" i="8"/>
  <c r="H158" i="8"/>
  <c r="H161" i="8" s="1"/>
  <c r="D164" i="8"/>
  <c r="O164" i="8" s="1"/>
  <c r="R160" i="8"/>
  <c r="J160" i="8"/>
  <c r="Q160" i="8"/>
  <c r="K50" i="8"/>
  <c r="S158" i="8"/>
  <c r="Q158" i="8"/>
  <c r="N158" i="8"/>
  <c r="Y160" i="8"/>
  <c r="Z160" i="8"/>
  <c r="S160" i="8"/>
  <c r="AA158" i="8"/>
  <c r="L158" i="8"/>
  <c r="O160" i="8"/>
  <c r="W160" i="8"/>
  <c r="Q116" i="8"/>
  <c r="Y139" i="8"/>
  <c r="L139" i="8"/>
  <c r="X139" i="8"/>
  <c r="Q139" i="8"/>
  <c r="U139" i="8"/>
  <c r="W139" i="8"/>
  <c r="H139" i="8"/>
  <c r="H142" i="8" s="1"/>
  <c r="I139" i="8"/>
  <c r="K139" i="8"/>
  <c r="R139" i="8"/>
  <c r="M139" i="8"/>
  <c r="O139" i="8"/>
  <c r="J139" i="8"/>
  <c r="V139" i="8"/>
  <c r="N139" i="8"/>
  <c r="AA139" i="8"/>
  <c r="Z139" i="8"/>
  <c r="P139" i="8"/>
  <c r="T139" i="8"/>
  <c r="S139" i="8"/>
  <c r="J138" i="8"/>
  <c r="O138" i="8"/>
  <c r="X138" i="8"/>
  <c r="Z138" i="8"/>
  <c r="K138" i="8"/>
  <c r="V138" i="8"/>
  <c r="R138" i="8"/>
  <c r="W138" i="8"/>
  <c r="S138" i="8"/>
  <c r="Y138" i="8"/>
  <c r="I138" i="8"/>
  <c r="P138" i="8"/>
  <c r="U138" i="8"/>
  <c r="Q138" i="8"/>
  <c r="H138" i="8"/>
  <c r="H141" i="8" s="1"/>
  <c r="L138" i="8"/>
  <c r="N138" i="8"/>
  <c r="T138" i="8"/>
  <c r="M138" i="8"/>
  <c r="AA138" i="8"/>
  <c r="R137" i="8"/>
  <c r="W137" i="8"/>
  <c r="T137" i="8"/>
  <c r="H137" i="8"/>
  <c r="H140" i="8" s="1"/>
  <c r="D143" i="8"/>
  <c r="O137" i="8"/>
  <c r="Y137" i="8"/>
  <c r="J137" i="8"/>
  <c r="V137" i="8"/>
  <c r="N137" i="8"/>
  <c r="S137" i="8"/>
  <c r="K137" i="8"/>
  <c r="Z137" i="8"/>
  <c r="L137" i="8"/>
  <c r="X137" i="8"/>
  <c r="M137" i="8"/>
  <c r="U137" i="8"/>
  <c r="I137" i="8"/>
  <c r="AA137" i="8"/>
  <c r="Q137" i="8"/>
  <c r="P137" i="8"/>
  <c r="AG164" i="5"/>
  <c r="AG47" i="6" s="1"/>
  <c r="J186" i="8"/>
  <c r="W180" i="7"/>
  <c r="U180" i="7"/>
  <c r="AA180" i="7"/>
  <c r="Z180" i="7"/>
  <c r="Y180" i="7"/>
  <c r="X180" i="7"/>
  <c r="V180" i="7"/>
  <c r="AB180" i="7"/>
  <c r="S180" i="7"/>
  <c r="Y154" i="7"/>
  <c r="Y153" i="7"/>
  <c r="T153" i="7"/>
  <c r="T154" i="7"/>
  <c r="AB35" i="7" a="1"/>
  <c r="AB35" i="7" s="1"/>
  <c r="AB36" i="7" a="1"/>
  <c r="AB36" i="7" s="1"/>
  <c r="U181" i="7"/>
  <c r="AA181" i="7"/>
  <c r="S181" i="7"/>
  <c r="AB181" i="7"/>
  <c r="Z181" i="7"/>
  <c r="Y181" i="7"/>
  <c r="X181" i="7"/>
  <c r="W181" i="7"/>
  <c r="V181" i="7"/>
  <c r="T181" i="7"/>
  <c r="U36" i="7" a="1"/>
  <c r="U36" i="7" s="1"/>
  <c r="U35" i="7" a="1"/>
  <c r="U35" i="7" s="1"/>
  <c r="W168" i="7"/>
  <c r="U168" i="7"/>
  <c r="S168" i="7"/>
  <c r="AB168" i="7"/>
  <c r="AA168" i="7"/>
  <c r="Z168" i="7"/>
  <c r="T168" i="7"/>
  <c r="Y168" i="7"/>
  <c r="V168" i="7"/>
  <c r="X168" i="7"/>
  <c r="W176" i="7"/>
  <c r="U176" i="7"/>
  <c r="Y176" i="7"/>
  <c r="X176" i="7"/>
  <c r="V176" i="7"/>
  <c r="T176" i="7"/>
  <c r="S176" i="7"/>
  <c r="Z176" i="7"/>
  <c r="AA176" i="7"/>
  <c r="AB176" i="7"/>
  <c r="S151" i="7"/>
  <c r="S150" i="7"/>
  <c r="U177" i="7"/>
  <c r="AA177" i="7"/>
  <c r="S177" i="7"/>
  <c r="Y177" i="7"/>
  <c r="X177" i="7"/>
  <c r="AB177" i="7"/>
  <c r="Z177" i="7"/>
  <c r="W177" i="7"/>
  <c r="V177" i="7"/>
  <c r="T177" i="7"/>
  <c r="I94" i="8"/>
  <c r="J91" i="8"/>
  <c r="U158" i="7"/>
  <c r="U157" i="7"/>
  <c r="Y39" i="7" a="1"/>
  <c r="Y39" i="7" s="1"/>
  <c r="Y40" i="7" a="1"/>
  <c r="Y40" i="7" s="1"/>
  <c r="Y156" i="7"/>
  <c r="Y155" i="7"/>
  <c r="Y158" i="7"/>
  <c r="Y157" i="7"/>
  <c r="AJ12" i="4"/>
  <c r="AK10" i="4"/>
  <c r="X157" i="7"/>
  <c r="X158" i="7"/>
  <c r="H136" i="10"/>
  <c r="I133" i="10"/>
  <c r="T39" i="7" a="1"/>
  <c r="T39" i="7" s="1"/>
  <c r="T40" i="7" a="1"/>
  <c r="T40" i="7" s="1"/>
  <c r="AP33" i="6" a="1"/>
  <c r="AP33" i="6" s="1"/>
  <c r="AP34" i="6" a="1"/>
  <c r="AP34" i="6" s="1"/>
  <c r="AP26" i="6" a="1"/>
  <c r="AP26" i="6" s="1"/>
  <c r="AP30" i="6" s="1"/>
  <c r="AP27" i="6" a="1"/>
  <c r="AP27" i="6" s="1"/>
  <c r="AP35" i="6" a="1"/>
  <c r="AP35" i="6" s="1"/>
  <c r="AP25" i="6" a="1"/>
  <c r="AP25" i="6" s="1"/>
  <c r="AP29" i="6" s="1"/>
  <c r="AQ13" i="6"/>
  <c r="V36" i="7" a="1"/>
  <c r="V36" i="7" s="1"/>
  <c r="V35" i="7" a="1"/>
  <c r="V35" i="7" s="1"/>
  <c r="AL48" i="7"/>
  <c r="P37" i="9" s="1"/>
  <c r="AL49" i="7"/>
  <c r="P37" i="12" s="1"/>
  <c r="P37" i="13" s="1"/>
  <c r="AM44" i="7"/>
  <c r="AH166" i="5"/>
  <c r="AH49" i="6" s="1"/>
  <c r="Z41" i="7"/>
  <c r="K192" i="9"/>
  <c r="AB158" i="7"/>
  <c r="AB157" i="7"/>
  <c r="X150" i="7"/>
  <c r="X151" i="7"/>
  <c r="AH169" i="5"/>
  <c r="AH52" i="6" s="1"/>
  <c r="K185" i="9"/>
  <c r="AO77" i="6"/>
  <c r="AO67" i="6"/>
  <c r="AO66" i="6"/>
  <c r="AO38" i="6"/>
  <c r="AO68" i="6"/>
  <c r="S184" i="11" s="1"/>
  <c r="AO78" i="6"/>
  <c r="AB153" i="7"/>
  <c r="AB154" i="7"/>
  <c r="AC35" i="7" a="1"/>
  <c r="AC35" i="7" s="1"/>
  <c r="AC36" i="7" a="1"/>
  <c r="AC36" i="7" s="1"/>
  <c r="U185" i="7"/>
  <c r="AA185" i="7"/>
  <c r="S185" i="7"/>
  <c r="T185" i="7"/>
  <c r="AB185" i="7"/>
  <c r="Z185" i="7"/>
  <c r="V185" i="7"/>
  <c r="Y185" i="7"/>
  <c r="W185" i="7"/>
  <c r="X185" i="7"/>
  <c r="AA166" i="7"/>
  <c r="S166" i="7"/>
  <c r="Y166" i="7"/>
  <c r="AB166" i="7"/>
  <c r="W166" i="7"/>
  <c r="V166" i="7"/>
  <c r="U166" i="7"/>
  <c r="T166" i="7"/>
  <c r="X166" i="7"/>
  <c r="Z166" i="7"/>
  <c r="W164" i="7"/>
  <c r="U164" i="7"/>
  <c r="AA164" i="7"/>
  <c r="Z164" i="7"/>
  <c r="AB164" i="7"/>
  <c r="Y164" i="7"/>
  <c r="X164" i="7"/>
  <c r="V164" i="7"/>
  <c r="T164" i="7"/>
  <c r="S164" i="7"/>
  <c r="Y187" i="7"/>
  <c r="W187" i="7"/>
  <c r="U187" i="7"/>
  <c r="T187" i="7"/>
  <c r="AA187" i="7"/>
  <c r="Z187" i="7"/>
  <c r="X187" i="7"/>
  <c r="V187" i="7"/>
  <c r="AB187" i="7"/>
  <c r="S187" i="7"/>
  <c r="W40" i="7" a="1"/>
  <c r="W40" i="7" s="1"/>
  <c r="W39" i="7" a="1"/>
  <c r="W39" i="7" s="1"/>
  <c r="T151" i="7"/>
  <c r="T150" i="7"/>
  <c r="AB151" i="7"/>
  <c r="AB150" i="7"/>
  <c r="AC37" i="7" a="1"/>
  <c r="AC37" i="7" s="1"/>
  <c r="AC38" i="7" a="1"/>
  <c r="AC38" i="7" s="1"/>
  <c r="X154" i="7"/>
  <c r="X153" i="7"/>
  <c r="X4" i="5"/>
  <c r="Y4" i="6"/>
  <c r="Y4" i="7"/>
  <c r="AB155" i="7"/>
  <c r="AB156" i="7"/>
  <c r="U173" i="7"/>
  <c r="AA173" i="7"/>
  <c r="S173" i="7"/>
  <c r="W173" i="7"/>
  <c r="V173" i="7"/>
  <c r="Y173" i="7"/>
  <c r="X173" i="7"/>
  <c r="T173" i="7"/>
  <c r="Z173" i="7"/>
  <c r="AB173" i="7"/>
  <c r="Y183" i="7"/>
  <c r="W183" i="7"/>
  <c r="S183" i="7"/>
  <c r="AB183" i="7"/>
  <c r="X183" i="7"/>
  <c r="V183" i="7"/>
  <c r="U183" i="7"/>
  <c r="T183" i="7"/>
  <c r="Z183" i="7"/>
  <c r="AA183" i="7"/>
  <c r="AH162" i="5"/>
  <c r="AH45" i="6" s="1"/>
  <c r="AA174" i="7"/>
  <c r="S174" i="7"/>
  <c r="Y174" i="7"/>
  <c r="W174" i="7"/>
  <c r="V174" i="7"/>
  <c r="AB174" i="7"/>
  <c r="Z174" i="7"/>
  <c r="X174" i="7"/>
  <c r="U174" i="7"/>
  <c r="T174" i="7"/>
  <c r="X35" i="7" a="1"/>
  <c r="X35" i="7" s="1"/>
  <c r="X36" i="7" a="1"/>
  <c r="X36" i="7" s="1"/>
  <c r="T156" i="7"/>
  <c r="T155" i="7"/>
  <c r="T35" i="7" a="1"/>
  <c r="T35" i="7" s="1"/>
  <c r="T36" i="7" a="1"/>
  <c r="T36" i="7" s="1"/>
  <c r="T119" i="7"/>
  <c r="V151" i="7"/>
  <c r="V150" i="7"/>
  <c r="AH161" i="5"/>
  <c r="AH44" i="6" s="1"/>
  <c r="U150" i="7"/>
  <c r="U151" i="7"/>
  <c r="W158" i="7"/>
  <c r="W157" i="7"/>
  <c r="V37" i="7" a="1"/>
  <c r="V37" i="7" s="1"/>
  <c r="V38" i="7" a="1"/>
  <c r="V38" i="7" s="1"/>
  <c r="AC39" i="7" a="1"/>
  <c r="AC39" i="7" s="1"/>
  <c r="AC40" i="7" a="1"/>
  <c r="AC40" i="7" s="1"/>
  <c r="AN46" i="7"/>
  <c r="AM52" i="7"/>
  <c r="Q37" i="14" s="1"/>
  <c r="AM53" i="7"/>
  <c r="Q37" i="15" s="1"/>
  <c r="W184" i="7"/>
  <c r="U184" i="7"/>
  <c r="S184" i="7"/>
  <c r="AB184" i="7"/>
  <c r="AA184" i="7"/>
  <c r="Z184" i="7"/>
  <c r="Y184" i="7"/>
  <c r="X184" i="7"/>
  <c r="V184" i="7"/>
  <c r="T184" i="7"/>
  <c r="Y36" i="7" a="1"/>
  <c r="Y36" i="7" s="1"/>
  <c r="Y35" i="7" a="1"/>
  <c r="Y35" i="7" s="1"/>
  <c r="T37" i="7" a="1"/>
  <c r="T37" i="7" s="1"/>
  <c r="T38" i="7" a="1"/>
  <c r="T38" i="7" s="1"/>
  <c r="U165" i="7"/>
  <c r="AA165" i="7"/>
  <c r="S165" i="7"/>
  <c r="AB165" i="7"/>
  <c r="Z165" i="7"/>
  <c r="T165" i="7"/>
  <c r="V165" i="7"/>
  <c r="W165" i="7"/>
  <c r="Y165" i="7"/>
  <c r="X165" i="7"/>
  <c r="S35" i="7" a="1"/>
  <c r="S35" i="7" s="1"/>
  <c r="S36" i="7" a="1"/>
  <c r="S36" i="7" s="1"/>
  <c r="H94" i="10"/>
  <c r="I91" i="10"/>
  <c r="AM51" i="7"/>
  <c r="Q37" i="11" s="1"/>
  <c r="AM50" i="7"/>
  <c r="Q37" i="8" s="1"/>
  <c r="AN45" i="7"/>
  <c r="K149" i="7"/>
  <c r="Y179" i="7"/>
  <c r="W179" i="7"/>
  <c r="AA179" i="7"/>
  <c r="Z179" i="7"/>
  <c r="U179" i="7"/>
  <c r="T179" i="7"/>
  <c r="S179" i="7"/>
  <c r="V179" i="7"/>
  <c r="X179" i="7"/>
  <c r="AB179" i="7"/>
  <c r="S40" i="7" a="1"/>
  <c r="S40" i="7" s="1"/>
  <c r="S39" i="7" a="1"/>
  <c r="S39" i="7" s="1"/>
  <c r="U39" i="7" a="1"/>
  <c r="U39" i="7" s="1"/>
  <c r="U40" i="7" a="1"/>
  <c r="U40" i="7" s="1"/>
  <c r="X37" i="7" a="1"/>
  <c r="X37" i="7" s="1"/>
  <c r="X38" i="7" a="1"/>
  <c r="X38" i="7" s="1"/>
  <c r="W35" i="7" a="1"/>
  <c r="W35" i="7" s="1"/>
  <c r="W36" i="7" a="1"/>
  <c r="W36" i="7" s="1"/>
  <c r="W153" i="7"/>
  <c r="W154" i="7"/>
  <c r="W150" i="7"/>
  <c r="W151" i="7"/>
  <c r="T157" i="7"/>
  <c r="T158" i="7"/>
  <c r="AO75" i="6"/>
  <c r="AO65" i="6"/>
  <c r="S184" i="12" s="1"/>
  <c r="AO63" i="6"/>
  <c r="AO64" i="6"/>
  <c r="AO76" i="6"/>
  <c r="AO37" i="6"/>
  <c r="AG168" i="5"/>
  <c r="AG51" i="6" s="1"/>
  <c r="V157" i="7"/>
  <c r="V158" i="7"/>
  <c r="V153" i="7"/>
  <c r="V154" i="7"/>
  <c r="K185" i="8"/>
  <c r="K192" i="8"/>
  <c r="AB37" i="7" a="1"/>
  <c r="AB37" i="7" s="1"/>
  <c r="AB38" i="7" a="1"/>
  <c r="AB38" i="7" s="1"/>
  <c r="AA182" i="7"/>
  <c r="S182" i="7"/>
  <c r="Y182" i="7"/>
  <c r="AB182" i="7"/>
  <c r="U182" i="7"/>
  <c r="T182" i="7"/>
  <c r="V182" i="7"/>
  <c r="W182" i="7"/>
  <c r="Z182" i="7"/>
  <c r="X182" i="7"/>
  <c r="AA178" i="7"/>
  <c r="S178" i="7"/>
  <c r="Y178" i="7"/>
  <c r="Z178" i="7"/>
  <c r="X178" i="7"/>
  <c r="AB178" i="7"/>
  <c r="W178" i="7"/>
  <c r="V178" i="7"/>
  <c r="T178" i="7"/>
  <c r="U178" i="7"/>
  <c r="AA162" i="7"/>
  <c r="Y162" i="7"/>
  <c r="Z162" i="7"/>
  <c r="X162" i="7"/>
  <c r="U162" i="7"/>
  <c r="T162" i="7"/>
  <c r="V162" i="7"/>
  <c r="W162" i="7"/>
  <c r="AB162" i="7"/>
  <c r="Y175" i="7"/>
  <c r="W175" i="7"/>
  <c r="X175" i="7"/>
  <c r="V175" i="7"/>
  <c r="S175" i="7"/>
  <c r="AB175" i="7"/>
  <c r="AA175" i="7"/>
  <c r="Z175" i="7"/>
  <c r="T175" i="7"/>
  <c r="U175" i="7"/>
  <c r="U119" i="7"/>
  <c r="X40" i="7" a="1"/>
  <c r="X40" i="7" s="1"/>
  <c r="X39" i="7" a="1"/>
  <c r="X39" i="7" s="1"/>
  <c r="AO59" i="6"/>
  <c r="S154" i="7"/>
  <c r="S153" i="7"/>
  <c r="U169" i="7"/>
  <c r="AA169" i="7"/>
  <c r="S169" i="7"/>
  <c r="T169" i="7"/>
  <c r="W169" i="7"/>
  <c r="V169" i="7"/>
  <c r="AB169" i="7"/>
  <c r="Z169" i="7"/>
  <c r="X169" i="7"/>
  <c r="Y169" i="7"/>
  <c r="S38" i="7" a="1"/>
  <c r="S38" i="7" s="1"/>
  <c r="S37" i="7" a="1"/>
  <c r="S37" i="7" s="1"/>
  <c r="Y163" i="7"/>
  <c r="W163" i="7"/>
  <c r="AA163" i="7"/>
  <c r="Z163" i="7"/>
  <c r="X163" i="7"/>
  <c r="V163" i="7"/>
  <c r="U163" i="7"/>
  <c r="T163" i="7"/>
  <c r="AB163" i="7"/>
  <c r="S163" i="7"/>
  <c r="Y151" i="7"/>
  <c r="Y150" i="7"/>
  <c r="X119" i="7"/>
  <c r="J192" i="10"/>
  <c r="W38" i="7" a="1"/>
  <c r="W38" i="7" s="1"/>
  <c r="W37" i="7" a="1"/>
  <c r="W37" i="7" s="1"/>
  <c r="AO79" i="6"/>
  <c r="AO71" i="6"/>
  <c r="AO69" i="6"/>
  <c r="AO39" i="6"/>
  <c r="AO72" i="6"/>
  <c r="AO70" i="6"/>
  <c r="V39" i="7" a="1"/>
  <c r="V39" i="7" s="1"/>
  <c r="V40" i="7" a="1"/>
  <c r="V40" i="7" s="1"/>
  <c r="AA170" i="7"/>
  <c r="S170" i="7"/>
  <c r="Y170" i="7"/>
  <c r="U170" i="7"/>
  <c r="T170" i="7"/>
  <c r="Z170" i="7"/>
  <c r="X170" i="7"/>
  <c r="W170" i="7"/>
  <c r="V170" i="7"/>
  <c r="AB170" i="7"/>
  <c r="U153" i="7"/>
  <c r="U154" i="7"/>
  <c r="U37" i="7" a="1"/>
  <c r="U37" i="7" s="1"/>
  <c r="U38" i="7" a="1"/>
  <c r="U38" i="7" s="1"/>
  <c r="Y37" i="7" a="1"/>
  <c r="Y37" i="7" s="1"/>
  <c r="Y38" i="7" a="1"/>
  <c r="Y38" i="7" s="1"/>
  <c r="AG170" i="5"/>
  <c r="AG53" i="6" s="1"/>
  <c r="K152" i="7"/>
  <c r="S157" i="7"/>
  <c r="S158" i="7"/>
  <c r="W172" i="7"/>
  <c r="U172" i="7"/>
  <c r="V172" i="7"/>
  <c r="T172" i="7"/>
  <c r="S172" i="7"/>
  <c r="AB172" i="7"/>
  <c r="AA172" i="7"/>
  <c r="Z172" i="7"/>
  <c r="X172" i="7"/>
  <c r="Y172" i="7"/>
  <c r="Y171" i="7"/>
  <c r="W171" i="7"/>
  <c r="U171" i="7"/>
  <c r="T171" i="7"/>
  <c r="AB171" i="7"/>
  <c r="AA171" i="7"/>
  <c r="Z171" i="7"/>
  <c r="S171" i="7"/>
  <c r="X171" i="7"/>
  <c r="V171" i="7"/>
  <c r="AA186" i="7"/>
  <c r="S186" i="7"/>
  <c r="Y186" i="7"/>
  <c r="U186" i="7"/>
  <c r="T186" i="7"/>
  <c r="W186" i="7"/>
  <c r="V186" i="7"/>
  <c r="AB186" i="7"/>
  <c r="X186" i="7"/>
  <c r="Z186" i="7"/>
  <c r="S156" i="7"/>
  <c r="S155" i="7"/>
  <c r="Y167" i="7"/>
  <c r="W167" i="7"/>
  <c r="S167" i="7"/>
  <c r="AB167" i="7"/>
  <c r="AA167" i="7"/>
  <c r="Z167" i="7"/>
  <c r="X167" i="7"/>
  <c r="V167" i="7"/>
  <c r="U167" i="7"/>
  <c r="T167" i="7"/>
  <c r="AJ4" i="5"/>
  <c r="U156" i="7"/>
  <c r="U155" i="7"/>
  <c r="Y119" i="7"/>
  <c r="N6" i="5"/>
  <c r="M6" i="6"/>
  <c r="M6" i="7"/>
  <c r="X155" i="7"/>
  <c r="X156" i="7"/>
  <c r="AF167" i="5"/>
  <c r="AF50" i="6" s="1"/>
  <c r="W156" i="7"/>
  <c r="W155" i="7"/>
  <c r="AA41" i="7"/>
  <c r="M5" i="6"/>
  <c r="M5" i="7"/>
  <c r="N5" i="5"/>
  <c r="V155" i="7"/>
  <c r="V156" i="7"/>
  <c r="V119" i="7"/>
  <c r="AB40" i="7" a="1"/>
  <c r="AB40" i="7" s="1"/>
  <c r="AB39" i="7" a="1"/>
  <c r="AB39" i="7" s="1"/>
  <c r="H162" i="10"/>
  <c r="H157" i="10"/>
  <c r="I154" i="10"/>
  <c r="AR5" i="4" l="1"/>
  <c r="AQ7" i="4"/>
  <c r="M7" i="18"/>
  <c r="AJ261" i="7"/>
  <c r="AL4" i="7"/>
  <c r="AK260" i="7"/>
  <c r="J186" i="15"/>
  <c r="J186" i="12"/>
  <c r="J186" i="13" s="1"/>
  <c r="I186" i="13"/>
  <c r="AG54" i="6"/>
  <c r="S184" i="15"/>
  <c r="AG46" i="6"/>
  <c r="AH163" i="5"/>
  <c r="I35" i="18"/>
  <c r="AH165" i="5"/>
  <c r="AH48" i="6" s="1"/>
  <c r="S184" i="8"/>
  <c r="S184" i="14"/>
  <c r="I33" i="18"/>
  <c r="K36" i="7"/>
  <c r="I136" i="9"/>
  <c r="I140" i="8"/>
  <c r="J133" i="8"/>
  <c r="J141" i="8" s="1"/>
  <c r="I142" i="8"/>
  <c r="I141" i="8"/>
  <c r="Y71" i="3"/>
  <c r="U71" i="3"/>
  <c r="H71" i="3"/>
  <c r="I119" i="9"/>
  <c r="J154" i="9"/>
  <c r="J163" i="9" s="1"/>
  <c r="J186" i="10"/>
  <c r="J34" i="18"/>
  <c r="I157" i="9"/>
  <c r="I163" i="9"/>
  <c r="I161" i="9"/>
  <c r="H186" i="10"/>
  <c r="H36" i="18" s="1"/>
  <c r="H34" i="18"/>
  <c r="J112" i="9"/>
  <c r="J120" i="9" s="1"/>
  <c r="I120" i="9"/>
  <c r="I140" i="9"/>
  <c r="I142" i="9"/>
  <c r="H175" i="9"/>
  <c r="I141" i="9"/>
  <c r="L288" i="10"/>
  <c r="H99" i="8"/>
  <c r="H107" i="8" s="1"/>
  <c r="AA23" i="18"/>
  <c r="D23" i="18" s="1"/>
  <c r="H99" i="9"/>
  <c r="H107" i="9" s="1"/>
  <c r="AA21" i="18"/>
  <c r="D21" i="18" s="1"/>
  <c r="I100" i="9"/>
  <c r="I99" i="9"/>
  <c r="J91" i="9"/>
  <c r="J94" i="9" s="1"/>
  <c r="I98" i="9"/>
  <c r="I121" i="9"/>
  <c r="H288" i="10"/>
  <c r="I256" i="10"/>
  <c r="N256" i="10"/>
  <c r="G256" i="10"/>
  <c r="M12" i="18"/>
  <c r="J222" i="10"/>
  <c r="J288" i="10" s="1"/>
  <c r="I12" i="18"/>
  <c r="M222" i="10"/>
  <c r="M288" i="10" s="1"/>
  <c r="L12" i="18"/>
  <c r="G12" i="18"/>
  <c r="K222" i="10"/>
  <c r="K288" i="10" s="1"/>
  <c r="J12" i="18"/>
  <c r="N288" i="9"/>
  <c r="O300" i="10"/>
  <c r="AA300" i="10"/>
  <c r="Y268" i="10"/>
  <c r="V268" i="10"/>
  <c r="S300" i="10"/>
  <c r="W268" i="10"/>
  <c r="L268" i="10"/>
  <c r="U300" i="10"/>
  <c r="H300" i="10"/>
  <c r="R268" i="10"/>
  <c r="I268" i="10"/>
  <c r="J268" i="10"/>
  <c r="H288" i="13"/>
  <c r="N300" i="10"/>
  <c r="M300" i="10"/>
  <c r="Z300" i="10"/>
  <c r="X268" i="10"/>
  <c r="T300" i="10"/>
  <c r="Q268" i="10"/>
  <c r="P300" i="10"/>
  <c r="K300" i="10"/>
  <c r="P37" i="10"/>
  <c r="P42" i="8"/>
  <c r="P222" i="8" s="1"/>
  <c r="O256" i="8"/>
  <c r="K35" i="7"/>
  <c r="K39" i="7"/>
  <c r="P45" i="8"/>
  <c r="P50" i="8" s="1"/>
  <c r="K40" i="7"/>
  <c r="K37" i="7"/>
  <c r="L50" i="13"/>
  <c r="K50" i="13"/>
  <c r="J50" i="13"/>
  <c r="K38" i="7"/>
  <c r="M50" i="13"/>
  <c r="J288" i="13"/>
  <c r="J256" i="13"/>
  <c r="N50" i="13"/>
  <c r="P50" i="15"/>
  <c r="H177" i="15"/>
  <c r="H237" i="15" s="1"/>
  <c r="P50" i="11"/>
  <c r="Q45" i="8"/>
  <c r="Q42" i="8"/>
  <c r="Q222" i="8" s="1"/>
  <c r="Q42" i="15"/>
  <c r="Q222" i="15" s="1"/>
  <c r="Q45" i="15"/>
  <c r="Q50" i="15" s="1"/>
  <c r="P45" i="12"/>
  <c r="P42" i="12"/>
  <c r="P222" i="12" s="1"/>
  <c r="N256" i="13"/>
  <c r="N288" i="13"/>
  <c r="Q45" i="11"/>
  <c r="Q50" i="11" s="1"/>
  <c r="Q42" i="11"/>
  <c r="Q222" i="11" s="1"/>
  <c r="Q45" i="14"/>
  <c r="Q50" i="14" s="1"/>
  <c r="Q42" i="14"/>
  <c r="Q222" i="14" s="1"/>
  <c r="P45" i="9"/>
  <c r="P42" i="9"/>
  <c r="P256" i="14"/>
  <c r="P288" i="14"/>
  <c r="P256" i="11"/>
  <c r="P288" i="11"/>
  <c r="O288" i="12"/>
  <c r="O256" i="12"/>
  <c r="O45" i="13"/>
  <c r="O42" i="13"/>
  <c r="O222" i="13" s="1"/>
  <c r="O45" i="9"/>
  <c r="O42" i="9"/>
  <c r="P256" i="15"/>
  <c r="P288" i="15"/>
  <c r="I150" i="14"/>
  <c r="H177" i="13"/>
  <c r="H237" i="13" s="1"/>
  <c r="I129" i="15"/>
  <c r="I149" i="15"/>
  <c r="I171" i="15"/>
  <c r="H176" i="13"/>
  <c r="H200" i="13" s="1"/>
  <c r="I150" i="15"/>
  <c r="I129" i="13"/>
  <c r="I108" i="15"/>
  <c r="I149" i="14"/>
  <c r="I108" i="13"/>
  <c r="I149" i="13"/>
  <c r="I129" i="14"/>
  <c r="I170" i="13"/>
  <c r="H177" i="14"/>
  <c r="H176" i="14"/>
  <c r="H179" i="14" s="1"/>
  <c r="I170" i="14"/>
  <c r="I128" i="13"/>
  <c r="I107" i="15"/>
  <c r="I171" i="13"/>
  <c r="I150" i="13"/>
  <c r="I107" i="13"/>
  <c r="I108" i="14"/>
  <c r="I175" i="13"/>
  <c r="H176" i="15"/>
  <c r="J94" i="13"/>
  <c r="K91" i="13"/>
  <c r="J100" i="13"/>
  <c r="J98" i="13"/>
  <c r="J99" i="13"/>
  <c r="J119" i="13"/>
  <c r="J121" i="13"/>
  <c r="J120" i="13"/>
  <c r="J115" i="13"/>
  <c r="K112" i="13"/>
  <c r="I171" i="14"/>
  <c r="J99" i="15"/>
  <c r="J98" i="15"/>
  <c r="K91" i="15"/>
  <c r="J94" i="15"/>
  <c r="J100" i="15"/>
  <c r="J142" i="15"/>
  <c r="J141" i="15"/>
  <c r="K133" i="15"/>
  <c r="J140" i="15"/>
  <c r="J136" i="15"/>
  <c r="J141" i="14"/>
  <c r="J140" i="14"/>
  <c r="K133" i="14"/>
  <c r="J142" i="14"/>
  <c r="J136" i="14"/>
  <c r="I175" i="15"/>
  <c r="I107" i="14"/>
  <c r="K112" i="15"/>
  <c r="J120" i="15"/>
  <c r="J115" i="15"/>
  <c r="J119" i="15"/>
  <c r="J121" i="15"/>
  <c r="J121" i="14"/>
  <c r="J119" i="14"/>
  <c r="J120" i="14"/>
  <c r="J115" i="14"/>
  <c r="K112" i="14"/>
  <c r="J162" i="14"/>
  <c r="K154" i="14"/>
  <c r="J161" i="14"/>
  <c r="J157" i="14"/>
  <c r="J163" i="14"/>
  <c r="J162" i="15"/>
  <c r="K154" i="15"/>
  <c r="J163" i="15"/>
  <c r="J157" i="15"/>
  <c r="J161" i="15"/>
  <c r="J100" i="14"/>
  <c r="J98" i="14"/>
  <c r="J94" i="14"/>
  <c r="K91" i="14"/>
  <c r="J99" i="14"/>
  <c r="J140" i="13"/>
  <c r="J142" i="13"/>
  <c r="J141" i="13"/>
  <c r="J136" i="13"/>
  <c r="K133" i="13"/>
  <c r="I128" i="15"/>
  <c r="J163" i="13"/>
  <c r="J161" i="13"/>
  <c r="J162" i="13"/>
  <c r="K154" i="13"/>
  <c r="J157" i="13"/>
  <c r="I128" i="14"/>
  <c r="I170" i="15"/>
  <c r="I175" i="14"/>
  <c r="K185" i="15"/>
  <c r="L185" i="15" s="1"/>
  <c r="H177" i="11"/>
  <c r="H223" i="11" s="1"/>
  <c r="H176" i="11"/>
  <c r="I129" i="11"/>
  <c r="I150" i="11"/>
  <c r="I175" i="11"/>
  <c r="J140" i="11"/>
  <c r="J142" i="11"/>
  <c r="J141" i="11"/>
  <c r="K133" i="11"/>
  <c r="J136" i="11"/>
  <c r="I170" i="11"/>
  <c r="I107" i="11"/>
  <c r="J163" i="11"/>
  <c r="J161" i="11"/>
  <c r="J162" i="11"/>
  <c r="K154" i="11"/>
  <c r="J157" i="11"/>
  <c r="J98" i="11"/>
  <c r="K91" i="11"/>
  <c r="J99" i="11"/>
  <c r="J94" i="11"/>
  <c r="J100" i="11"/>
  <c r="K185" i="14"/>
  <c r="I128" i="11"/>
  <c r="I149" i="11"/>
  <c r="J121" i="11"/>
  <c r="K112" i="11"/>
  <c r="J115" i="11"/>
  <c r="J119" i="11"/>
  <c r="J120" i="11"/>
  <c r="I108" i="11"/>
  <c r="I171" i="11"/>
  <c r="AD61" i="6"/>
  <c r="H119" i="10"/>
  <c r="H128" i="9"/>
  <c r="H149" i="9"/>
  <c r="J101" i="10"/>
  <c r="T101" i="10"/>
  <c r="L101" i="10"/>
  <c r="X101" i="10"/>
  <c r="S101" i="10"/>
  <c r="K101" i="10"/>
  <c r="P101" i="10"/>
  <c r="Q101" i="10"/>
  <c r="R101" i="10"/>
  <c r="H101" i="10"/>
  <c r="AA101" i="10"/>
  <c r="W101" i="10"/>
  <c r="Y101" i="10"/>
  <c r="O101" i="10"/>
  <c r="V101" i="10"/>
  <c r="I101" i="10"/>
  <c r="Z101" i="10"/>
  <c r="U101" i="10"/>
  <c r="N101" i="10"/>
  <c r="M101" i="10"/>
  <c r="H170" i="9"/>
  <c r="W143" i="10"/>
  <c r="AA143" i="10"/>
  <c r="I143" i="10"/>
  <c r="O143" i="10"/>
  <c r="K143" i="10"/>
  <c r="V143" i="10"/>
  <c r="Z143" i="10"/>
  <c r="H143" i="10"/>
  <c r="N143" i="10"/>
  <c r="J143" i="10"/>
  <c r="U143" i="10"/>
  <c r="Y143" i="10"/>
  <c r="R143" i="10"/>
  <c r="X143" i="10"/>
  <c r="M143" i="10"/>
  <c r="T143" i="10"/>
  <c r="P143" i="10"/>
  <c r="Q143" i="10"/>
  <c r="S143" i="10"/>
  <c r="L143" i="10"/>
  <c r="P122" i="10"/>
  <c r="Z122" i="10"/>
  <c r="Q122" i="10"/>
  <c r="H122" i="10"/>
  <c r="J122" i="10"/>
  <c r="L122" i="10"/>
  <c r="M122" i="10"/>
  <c r="W122" i="10"/>
  <c r="Y122" i="10"/>
  <c r="K122" i="10"/>
  <c r="O122" i="10"/>
  <c r="I122" i="10"/>
  <c r="R122" i="10"/>
  <c r="V122" i="10"/>
  <c r="T122" i="10"/>
  <c r="X122" i="10"/>
  <c r="N122" i="10"/>
  <c r="S122" i="10"/>
  <c r="U122" i="10"/>
  <c r="AA122" i="10"/>
  <c r="M164" i="10"/>
  <c r="J164" i="10"/>
  <c r="W164" i="10"/>
  <c r="T164" i="10"/>
  <c r="O164" i="10"/>
  <c r="V164" i="10"/>
  <c r="L164" i="10"/>
  <c r="N164" i="10"/>
  <c r="Q164" i="10"/>
  <c r="P164" i="10"/>
  <c r="AA164" i="10"/>
  <c r="Y164" i="10"/>
  <c r="S164" i="10"/>
  <c r="I164" i="10"/>
  <c r="K164" i="10"/>
  <c r="X164" i="10"/>
  <c r="U164" i="10"/>
  <c r="Z164" i="10"/>
  <c r="H164" i="10"/>
  <c r="R164" i="10"/>
  <c r="Q164" i="9"/>
  <c r="AA164" i="9"/>
  <c r="I164" i="9"/>
  <c r="K164" i="9"/>
  <c r="Y164" i="9"/>
  <c r="X164" i="9"/>
  <c r="V164" i="9"/>
  <c r="P164" i="9"/>
  <c r="U164" i="9"/>
  <c r="Z164" i="9"/>
  <c r="H164" i="9"/>
  <c r="T164" i="9"/>
  <c r="R164" i="9"/>
  <c r="W164" i="9"/>
  <c r="S164" i="9"/>
  <c r="M164" i="9"/>
  <c r="J164" i="9"/>
  <c r="O164" i="9"/>
  <c r="N164" i="9"/>
  <c r="L164" i="9"/>
  <c r="I101" i="9"/>
  <c r="M101" i="9"/>
  <c r="R101" i="9"/>
  <c r="N101" i="9"/>
  <c r="X101" i="9"/>
  <c r="L101" i="9"/>
  <c r="S101" i="9"/>
  <c r="P101" i="9"/>
  <c r="K101" i="9"/>
  <c r="H101" i="9"/>
  <c r="AA101" i="9"/>
  <c r="W101" i="9"/>
  <c r="J101" i="9"/>
  <c r="Q101" i="9"/>
  <c r="Z101" i="9"/>
  <c r="O101" i="9"/>
  <c r="U101" i="9"/>
  <c r="Y101" i="9"/>
  <c r="V101" i="9"/>
  <c r="T101" i="9"/>
  <c r="K143" i="9"/>
  <c r="M143" i="9"/>
  <c r="Z143" i="9"/>
  <c r="W143" i="9"/>
  <c r="R143" i="9"/>
  <c r="I143" i="9"/>
  <c r="J143" i="9"/>
  <c r="V143" i="9"/>
  <c r="T143" i="9"/>
  <c r="O143" i="9"/>
  <c r="U143" i="9"/>
  <c r="L143" i="9"/>
  <c r="Y143" i="9"/>
  <c r="Q143" i="9"/>
  <c r="AA143" i="9"/>
  <c r="N143" i="9"/>
  <c r="P143" i="9"/>
  <c r="S143" i="9"/>
  <c r="X143" i="9"/>
  <c r="H143" i="9"/>
  <c r="T122" i="9"/>
  <c r="L122" i="9"/>
  <c r="J122" i="9"/>
  <c r="K122" i="9"/>
  <c r="Y122" i="9"/>
  <c r="S122" i="9"/>
  <c r="Z122" i="9"/>
  <c r="Q122" i="9"/>
  <c r="R122" i="9"/>
  <c r="W122" i="9"/>
  <c r="I122" i="9"/>
  <c r="AA122" i="9"/>
  <c r="V122" i="9"/>
  <c r="X122" i="9"/>
  <c r="O122" i="9"/>
  <c r="U122" i="9"/>
  <c r="P122" i="9"/>
  <c r="N122" i="9"/>
  <c r="H122" i="9"/>
  <c r="M122" i="9"/>
  <c r="I108" i="12"/>
  <c r="I150" i="12"/>
  <c r="H176" i="12"/>
  <c r="H179" i="12" s="1"/>
  <c r="I175" i="12"/>
  <c r="I129" i="12"/>
  <c r="I170" i="12"/>
  <c r="I149" i="12"/>
  <c r="I128" i="12"/>
  <c r="J94" i="12"/>
  <c r="K91" i="12"/>
  <c r="J98" i="12"/>
  <c r="J100" i="12"/>
  <c r="J99" i="12"/>
  <c r="I107" i="12"/>
  <c r="K185" i="12"/>
  <c r="J120" i="12"/>
  <c r="J119" i="12"/>
  <c r="K112" i="12"/>
  <c r="J121" i="12"/>
  <c r="J115" i="12"/>
  <c r="I171" i="12"/>
  <c r="L185" i="11"/>
  <c r="J162" i="12"/>
  <c r="J163" i="12"/>
  <c r="K154" i="12"/>
  <c r="J157" i="12"/>
  <c r="J161" i="12"/>
  <c r="J140" i="12"/>
  <c r="J142" i="12"/>
  <c r="J136" i="12"/>
  <c r="K133" i="12"/>
  <c r="J141" i="12"/>
  <c r="H177" i="12"/>
  <c r="L217" i="8"/>
  <c r="K26" i="3" s="1"/>
  <c r="K64" i="3" s="1"/>
  <c r="K71" i="3" s="1"/>
  <c r="N217" i="8"/>
  <c r="M26" i="3" s="1"/>
  <c r="M64" i="3" s="1"/>
  <c r="M71" i="3" s="1"/>
  <c r="R217" i="8"/>
  <c r="Q26" i="3" s="1"/>
  <c r="Q64" i="3" s="1"/>
  <c r="Q71" i="3" s="1"/>
  <c r="K217" i="8"/>
  <c r="J26" i="3" s="1"/>
  <c r="J64" i="3" s="1"/>
  <c r="J71" i="3" s="1"/>
  <c r="J217" i="8"/>
  <c r="I26" i="3" s="1"/>
  <c r="I64" i="3" s="1"/>
  <c r="I71" i="3" s="1"/>
  <c r="T217" i="8"/>
  <c r="S26" i="3" s="1"/>
  <c r="S64" i="3" s="1"/>
  <c r="S71" i="3" s="1"/>
  <c r="M217" i="8"/>
  <c r="L26" i="3" s="1"/>
  <c r="L64" i="3" s="1"/>
  <c r="L71" i="3" s="1"/>
  <c r="Y217" i="8"/>
  <c r="X26" i="3" s="1"/>
  <c r="X64" i="3" s="1"/>
  <c r="X71" i="3" s="1"/>
  <c r="AA217" i="8"/>
  <c r="Z26" i="3" s="1"/>
  <c r="Z64" i="3" s="1"/>
  <c r="Z71" i="3" s="1"/>
  <c r="Q217" i="8"/>
  <c r="P26" i="3" s="1"/>
  <c r="P64" i="3" s="1"/>
  <c r="P71" i="3" s="1"/>
  <c r="X217" i="8"/>
  <c r="W26" i="3" s="1"/>
  <c r="W64" i="3" s="1"/>
  <c r="W71" i="3" s="1"/>
  <c r="W217" i="8"/>
  <c r="V26" i="3" s="1"/>
  <c r="V64" i="3" s="1"/>
  <c r="V71" i="3" s="1"/>
  <c r="O217" i="8"/>
  <c r="N26" i="3" s="1"/>
  <c r="N64" i="3" s="1"/>
  <c r="N71" i="3" s="1"/>
  <c r="S217" i="8"/>
  <c r="R26" i="3" s="1"/>
  <c r="R64" i="3" s="1"/>
  <c r="R71" i="3" s="1"/>
  <c r="P217" i="8"/>
  <c r="O26" i="3" s="1"/>
  <c r="O64" i="3" s="1"/>
  <c r="O71" i="3" s="1"/>
  <c r="U217" i="8"/>
  <c r="T26" i="3" s="1"/>
  <c r="T64" i="3" s="1"/>
  <c r="T71" i="3" s="1"/>
  <c r="H217" i="8"/>
  <c r="G26" i="3" s="1"/>
  <c r="G64" i="3" s="1"/>
  <c r="G71" i="3" s="1"/>
  <c r="I157" i="8"/>
  <c r="J154" i="8"/>
  <c r="J157" i="8" s="1"/>
  <c r="I161" i="8"/>
  <c r="I120" i="8"/>
  <c r="I115" i="8"/>
  <c r="I163" i="8"/>
  <c r="H175" i="8"/>
  <c r="I121" i="8"/>
  <c r="I119" i="8"/>
  <c r="I112" i="10"/>
  <c r="I115" i="10" s="1"/>
  <c r="H121" i="10"/>
  <c r="H120" i="10"/>
  <c r="H115" i="10"/>
  <c r="H175" i="10" s="1"/>
  <c r="AB193" i="7"/>
  <c r="W159" i="7"/>
  <c r="V159" i="7"/>
  <c r="X159" i="7"/>
  <c r="Y159" i="7"/>
  <c r="T159" i="7"/>
  <c r="AB159" i="7"/>
  <c r="U159" i="7"/>
  <c r="S159" i="7"/>
  <c r="AE58" i="6"/>
  <c r="AE60" i="6" s="1"/>
  <c r="I186" i="8"/>
  <c r="S184" i="9"/>
  <c r="K101" i="8"/>
  <c r="H101" i="8"/>
  <c r="H105" i="8" s="1"/>
  <c r="R101" i="8"/>
  <c r="Z101" i="8"/>
  <c r="AA101" i="8"/>
  <c r="X101" i="8"/>
  <c r="I50" i="10"/>
  <c r="R122" i="8"/>
  <c r="Q101" i="8"/>
  <c r="M50" i="10"/>
  <c r="Y101" i="8"/>
  <c r="V101" i="8"/>
  <c r="J101" i="8"/>
  <c r="H170" i="8"/>
  <c r="H128" i="8"/>
  <c r="U101" i="8"/>
  <c r="L101" i="8"/>
  <c r="O101" i="8"/>
  <c r="L50" i="10"/>
  <c r="G50" i="10"/>
  <c r="W101" i="8"/>
  <c r="N50" i="10"/>
  <c r="T101" i="8"/>
  <c r="P101" i="8"/>
  <c r="M101" i="8"/>
  <c r="J122" i="8"/>
  <c r="J50" i="10"/>
  <c r="I101" i="8"/>
  <c r="S101" i="8"/>
  <c r="N122" i="8"/>
  <c r="N101" i="8"/>
  <c r="AA122" i="8"/>
  <c r="V122" i="8"/>
  <c r="H122" i="8"/>
  <c r="H126" i="8" s="1"/>
  <c r="Y122" i="8"/>
  <c r="P122" i="8"/>
  <c r="Q122" i="8"/>
  <c r="S122" i="8"/>
  <c r="L122" i="8"/>
  <c r="H50" i="10"/>
  <c r="K50" i="10"/>
  <c r="W122" i="8"/>
  <c r="O122" i="8"/>
  <c r="I122" i="8"/>
  <c r="M122" i="8"/>
  <c r="T122" i="8"/>
  <c r="K122" i="8"/>
  <c r="U122" i="8"/>
  <c r="X122" i="8"/>
  <c r="V164" i="8"/>
  <c r="M164" i="8"/>
  <c r="AA164" i="8"/>
  <c r="U164" i="8"/>
  <c r="J164" i="8"/>
  <c r="L164" i="8"/>
  <c r="H164" i="8"/>
  <c r="H167" i="8" s="1"/>
  <c r="S164" i="8"/>
  <c r="Z164" i="8"/>
  <c r="T164" i="8"/>
  <c r="R164" i="8"/>
  <c r="I164" i="8"/>
  <c r="Y164" i="8"/>
  <c r="K164" i="8"/>
  <c r="Q164" i="8"/>
  <c r="H149" i="8"/>
  <c r="X164" i="8"/>
  <c r="P164" i="8"/>
  <c r="N164" i="8"/>
  <c r="W164" i="8"/>
  <c r="H143" i="8"/>
  <c r="J143" i="8"/>
  <c r="L143" i="8"/>
  <c r="K143" i="8"/>
  <c r="O143" i="8"/>
  <c r="V143" i="8"/>
  <c r="T143" i="8"/>
  <c r="AA143" i="8"/>
  <c r="N143" i="8"/>
  <c r="I143" i="8"/>
  <c r="Y143" i="8"/>
  <c r="X143" i="8"/>
  <c r="U143" i="8"/>
  <c r="S143" i="8"/>
  <c r="R143" i="8"/>
  <c r="P143" i="8"/>
  <c r="M143" i="8"/>
  <c r="Z143" i="8"/>
  <c r="Q143" i="8"/>
  <c r="W143" i="8"/>
  <c r="H149" i="10"/>
  <c r="I107" i="8"/>
  <c r="H170" i="10"/>
  <c r="W41" i="7"/>
  <c r="AP59" i="6"/>
  <c r="AP79" i="6"/>
  <c r="AP71" i="6"/>
  <c r="AP69" i="6"/>
  <c r="AP72" i="6"/>
  <c r="AP39" i="6"/>
  <c r="AP70" i="6"/>
  <c r="X193" i="7"/>
  <c r="X195" i="7"/>
  <c r="X194" i="7"/>
  <c r="X192" i="7"/>
  <c r="X191" i="7"/>
  <c r="X201" i="7" s="1"/>
  <c r="X190" i="7"/>
  <c r="X198" i="7" s="1"/>
  <c r="AN44" i="7"/>
  <c r="AM48" i="7"/>
  <c r="Q37" i="9" s="1"/>
  <c r="Q37" i="10" s="1"/>
  <c r="AM49" i="7"/>
  <c r="Q37" i="12" s="1"/>
  <c r="Q37" i="13" s="1"/>
  <c r="Y193" i="7"/>
  <c r="Y192" i="7"/>
  <c r="Y195" i="7"/>
  <c r="Y194" i="7"/>
  <c r="Y190" i="7"/>
  <c r="Y198" i="7" s="1"/>
  <c r="Y191" i="7"/>
  <c r="Y201" i="7" s="1"/>
  <c r="K155" i="7"/>
  <c r="AI165" i="5"/>
  <c r="AI48" i="6" s="1"/>
  <c r="S192" i="7"/>
  <c r="S195" i="7"/>
  <c r="S191" i="7"/>
  <c r="S201" i="7" s="1"/>
  <c r="S194" i="7"/>
  <c r="S190" i="7"/>
  <c r="S198" i="7" s="1"/>
  <c r="S193" i="7"/>
  <c r="U41" i="7"/>
  <c r="AH164" i="5"/>
  <c r="AH47" i="6" s="1"/>
  <c r="AH54" i="6" s="1"/>
  <c r="Z192" i="7"/>
  <c r="Z195" i="7"/>
  <c r="Z193" i="7"/>
  <c r="Z190" i="7"/>
  <c r="Z198" i="7" s="1"/>
  <c r="Z191" i="7"/>
  <c r="Z201" i="7" s="1"/>
  <c r="Z194" i="7"/>
  <c r="N6" i="7"/>
  <c r="N6" i="6"/>
  <c r="O6" i="5"/>
  <c r="AH170" i="5"/>
  <c r="AH53" i="6" s="1"/>
  <c r="K192" i="10"/>
  <c r="J142" i="9"/>
  <c r="J140" i="9"/>
  <c r="J141" i="9"/>
  <c r="J136" i="9"/>
  <c r="K133" i="9"/>
  <c r="L185" i="8"/>
  <c r="L192" i="9"/>
  <c r="AB41" i="7"/>
  <c r="J115" i="8"/>
  <c r="J119" i="8"/>
  <c r="J121" i="8"/>
  <c r="J120" i="8"/>
  <c r="K112" i="8"/>
  <c r="X4" i="7"/>
  <c r="W4" i="5"/>
  <c r="X4" i="6"/>
  <c r="AK4" i="5"/>
  <c r="AO45" i="7"/>
  <c r="AN51" i="7"/>
  <c r="R37" i="11" s="1"/>
  <c r="AN50" i="7"/>
  <c r="R37" i="8" s="1"/>
  <c r="K156" i="7"/>
  <c r="Y41" i="7"/>
  <c r="L185" i="9"/>
  <c r="AL54" i="7"/>
  <c r="AP38" i="6"/>
  <c r="AP77" i="6"/>
  <c r="AP67" i="6"/>
  <c r="AP78" i="6"/>
  <c r="AP68" i="6"/>
  <c r="T184" i="11" s="1"/>
  <c r="AP66" i="6"/>
  <c r="I136" i="10"/>
  <c r="I141" i="10"/>
  <c r="I142" i="10"/>
  <c r="J133" i="10"/>
  <c r="I140" i="10"/>
  <c r="T190" i="7"/>
  <c r="T198" i="7" s="1"/>
  <c r="T191" i="7"/>
  <c r="T201" i="7" s="1"/>
  <c r="T195" i="7"/>
  <c r="T192" i="7"/>
  <c r="T194" i="7"/>
  <c r="T193" i="7"/>
  <c r="AA192" i="7"/>
  <c r="AA195" i="7"/>
  <c r="AA191" i="7"/>
  <c r="AA201" i="7" s="1"/>
  <c r="AA193" i="7"/>
  <c r="AA190" i="7"/>
  <c r="AA198" i="7" s="1"/>
  <c r="AA194" i="7"/>
  <c r="AH168" i="5"/>
  <c r="AH51" i="6" s="1"/>
  <c r="AI162" i="5"/>
  <c r="AI45" i="6" s="1"/>
  <c r="AK12" i="4"/>
  <c r="AL10" i="4"/>
  <c r="AI161" i="5"/>
  <c r="AI44" i="6" s="1"/>
  <c r="AB195" i="7"/>
  <c r="AB190" i="7"/>
  <c r="AB198" i="7" s="1"/>
  <c r="AB192" i="7"/>
  <c r="AB194" i="7"/>
  <c r="AB191" i="7"/>
  <c r="AB201" i="7" s="1"/>
  <c r="N5" i="6"/>
  <c r="N5" i="7"/>
  <c r="O5" i="5"/>
  <c r="H107" i="10"/>
  <c r="AN53" i="7"/>
  <c r="R37" i="15" s="1"/>
  <c r="AO46" i="7"/>
  <c r="AN52" i="7"/>
  <c r="R37" i="14" s="1"/>
  <c r="K158" i="7"/>
  <c r="K153" i="7"/>
  <c r="L192" i="8"/>
  <c r="S41" i="7"/>
  <c r="AC41" i="7"/>
  <c r="V41" i="7"/>
  <c r="AP75" i="6"/>
  <c r="AP65" i="6"/>
  <c r="T184" i="12" s="1"/>
  <c r="AP63" i="6"/>
  <c r="AP37" i="6"/>
  <c r="AP64" i="6"/>
  <c r="AP76" i="6"/>
  <c r="J94" i="8"/>
  <c r="K91" i="8"/>
  <c r="J99" i="8"/>
  <c r="J100" i="8"/>
  <c r="J98" i="8"/>
  <c r="V190" i="7"/>
  <c r="V198" i="7" s="1"/>
  <c r="V193" i="7"/>
  <c r="V192" i="7"/>
  <c r="V191" i="7"/>
  <c r="V201" i="7" s="1"/>
  <c r="V194" i="7"/>
  <c r="V195" i="7"/>
  <c r="U195" i="7"/>
  <c r="U191" i="7"/>
  <c r="U201" i="7" s="1"/>
  <c r="U194" i="7"/>
  <c r="U190" i="7"/>
  <c r="U198" i="7" s="1"/>
  <c r="U192" i="7"/>
  <c r="U193" i="7"/>
  <c r="AQ35" i="6" a="1"/>
  <c r="AQ35" i="6" s="1"/>
  <c r="AQ34" i="6" a="1"/>
  <c r="AQ34" i="6" s="1"/>
  <c r="AQ33" i="6" a="1"/>
  <c r="AQ33" i="6" s="1"/>
  <c r="AQ27" i="6" a="1"/>
  <c r="AQ27" i="6" s="1"/>
  <c r="AQ26" i="6" a="1"/>
  <c r="AQ26" i="6" s="1"/>
  <c r="AQ30" i="6" s="1"/>
  <c r="AQ25" i="6" a="1"/>
  <c r="AQ25" i="6" s="1"/>
  <c r="AQ29" i="6" s="1"/>
  <c r="AR13" i="6"/>
  <c r="K151" i="7"/>
  <c r="I162" i="10"/>
  <c r="I157" i="10"/>
  <c r="J154" i="10"/>
  <c r="I161" i="10"/>
  <c r="I163" i="10"/>
  <c r="AG167" i="5"/>
  <c r="AG50" i="6" s="1"/>
  <c r="K157" i="7"/>
  <c r="K154" i="7"/>
  <c r="I94" i="10"/>
  <c r="J91" i="10"/>
  <c r="I98" i="10"/>
  <c r="I99" i="10"/>
  <c r="I100" i="10"/>
  <c r="T41" i="7"/>
  <c r="X41" i="7"/>
  <c r="AI169" i="5"/>
  <c r="AI52" i="6" s="1"/>
  <c r="L186" i="11"/>
  <c r="AI166" i="5"/>
  <c r="AI49" i="6" s="1"/>
  <c r="W194" i="7"/>
  <c r="W190" i="7"/>
  <c r="W198" i="7" s="1"/>
  <c r="W193" i="7"/>
  <c r="W192" i="7"/>
  <c r="W191" i="7"/>
  <c r="W201" i="7" s="1"/>
  <c r="W195" i="7"/>
  <c r="K150" i="7"/>
  <c r="AS5" i="4" l="1"/>
  <c r="AR7" i="4"/>
  <c r="J33" i="18"/>
  <c r="AK261" i="7"/>
  <c r="N7" i="18"/>
  <c r="N8" i="18"/>
  <c r="AK262" i="7"/>
  <c r="AM4" i="7"/>
  <c r="AL260" i="7"/>
  <c r="AI163" i="5"/>
  <c r="AH46" i="6"/>
  <c r="AG55" i="6"/>
  <c r="K186" i="12"/>
  <c r="T184" i="14"/>
  <c r="T184" i="15"/>
  <c r="S203" i="7"/>
  <c r="S202" i="7"/>
  <c r="T202" i="7"/>
  <c r="T203" i="7"/>
  <c r="V202" i="7"/>
  <c r="V203" i="7"/>
  <c r="AA203" i="7"/>
  <c r="AA202" i="7"/>
  <c r="T205" i="7"/>
  <c r="T204" i="7"/>
  <c r="Z199" i="7"/>
  <c r="Z200" i="7"/>
  <c r="S200" i="7"/>
  <c r="S199" i="7"/>
  <c r="Y204" i="7"/>
  <c r="Y205" i="7"/>
  <c r="X203" i="7"/>
  <c r="X202" i="7"/>
  <c r="W202" i="7"/>
  <c r="W203" i="7"/>
  <c r="T207" i="7"/>
  <c r="T206" i="7"/>
  <c r="W200" i="7"/>
  <c r="W199" i="7"/>
  <c r="S204" i="7"/>
  <c r="S205" i="7"/>
  <c r="U205" i="7"/>
  <c r="U204" i="7"/>
  <c r="V205" i="7"/>
  <c r="V204" i="7"/>
  <c r="AA207" i="7"/>
  <c r="AA206" i="7"/>
  <c r="X207" i="7"/>
  <c r="X206" i="7"/>
  <c r="AB207" i="7"/>
  <c r="AB206" i="7"/>
  <c r="AB202" i="7"/>
  <c r="AB203" i="7"/>
  <c r="Y203" i="7"/>
  <c r="Y202" i="7"/>
  <c r="AB205" i="7"/>
  <c r="AB204" i="7"/>
  <c r="X205" i="7"/>
  <c r="X204" i="7"/>
  <c r="U206" i="7"/>
  <c r="U207" i="7"/>
  <c r="T199" i="7"/>
  <c r="T200" i="7"/>
  <c r="Z204" i="7"/>
  <c r="Z205" i="7"/>
  <c r="W205" i="7"/>
  <c r="W204" i="7"/>
  <c r="V206" i="7"/>
  <c r="V207" i="7"/>
  <c r="U199" i="7"/>
  <c r="U200" i="7"/>
  <c r="Z207" i="7"/>
  <c r="Z206" i="7"/>
  <c r="AB200" i="7"/>
  <c r="AB199" i="7"/>
  <c r="X200" i="7"/>
  <c r="X199" i="7"/>
  <c r="W206" i="7"/>
  <c r="W207" i="7"/>
  <c r="U202" i="7"/>
  <c r="U203" i="7"/>
  <c r="AA199" i="7"/>
  <c r="AA200" i="7"/>
  <c r="Z203" i="7"/>
  <c r="Z202" i="7"/>
  <c r="S207" i="7"/>
  <c r="S206" i="7"/>
  <c r="V199" i="7"/>
  <c r="V200" i="7"/>
  <c r="Y199" i="7"/>
  <c r="Y200" i="7"/>
  <c r="Y207" i="7"/>
  <c r="Y206" i="7"/>
  <c r="AA204" i="7"/>
  <c r="AA205" i="7"/>
  <c r="J140" i="8"/>
  <c r="K133" i="8"/>
  <c r="L133" i="8" s="1"/>
  <c r="J142" i="8"/>
  <c r="J136" i="8"/>
  <c r="J175" i="8" s="1"/>
  <c r="I149" i="8"/>
  <c r="I175" i="9"/>
  <c r="K186" i="15"/>
  <c r="J36" i="18"/>
  <c r="L186" i="9"/>
  <c r="K186" i="8"/>
  <c r="K34" i="18" s="1"/>
  <c r="AF58" i="6"/>
  <c r="AF60" i="6" s="1"/>
  <c r="J186" i="14"/>
  <c r="J35" i="18" s="1"/>
  <c r="K154" i="9"/>
  <c r="L154" i="9" s="1"/>
  <c r="J162" i="9"/>
  <c r="J161" i="9"/>
  <c r="J157" i="9"/>
  <c r="I170" i="9"/>
  <c r="J115" i="9"/>
  <c r="I186" i="10"/>
  <c r="I36" i="18" s="1"/>
  <c r="I34" i="18"/>
  <c r="K112" i="9"/>
  <c r="K121" i="9" s="1"/>
  <c r="J121" i="9"/>
  <c r="J119" i="9"/>
  <c r="I128" i="9"/>
  <c r="I149" i="9"/>
  <c r="J100" i="9"/>
  <c r="J98" i="9"/>
  <c r="J99" i="9"/>
  <c r="K91" i="9"/>
  <c r="K98" i="9" s="1"/>
  <c r="I107" i="9"/>
  <c r="J256" i="10"/>
  <c r="M256" i="10"/>
  <c r="K256" i="10"/>
  <c r="P222" i="9"/>
  <c r="P256" i="9" s="1"/>
  <c r="O11" i="18"/>
  <c r="O222" i="9"/>
  <c r="O288" i="9" s="1"/>
  <c r="N11" i="18"/>
  <c r="P256" i="8"/>
  <c r="P288" i="8"/>
  <c r="K198" i="7"/>
  <c r="K201" i="7"/>
  <c r="H180" i="15"/>
  <c r="H223" i="15"/>
  <c r="H289" i="15" s="1"/>
  <c r="H181" i="15"/>
  <c r="P50" i="9"/>
  <c r="O50" i="9"/>
  <c r="P50" i="12"/>
  <c r="O50" i="13"/>
  <c r="H180" i="13"/>
  <c r="H223" i="13"/>
  <c r="H257" i="13" s="1"/>
  <c r="Q50" i="8"/>
  <c r="Q42" i="13"/>
  <c r="Q222" i="13" s="1"/>
  <c r="Q45" i="13"/>
  <c r="R42" i="15"/>
  <c r="R222" i="15" s="1"/>
  <c r="R45" i="15"/>
  <c r="AM54" i="7"/>
  <c r="P256" i="12"/>
  <c r="P288" i="12"/>
  <c r="P42" i="10"/>
  <c r="P45" i="10"/>
  <c r="Q288" i="14"/>
  <c r="Q256" i="14"/>
  <c r="R45" i="8"/>
  <c r="R42" i="8"/>
  <c r="R222" i="8" s="1"/>
  <c r="O42" i="10"/>
  <c r="O45" i="10"/>
  <c r="P45" i="13"/>
  <c r="P50" i="13" s="1"/>
  <c r="P42" i="13"/>
  <c r="P222" i="13" s="1"/>
  <c r="R42" i="11"/>
  <c r="R222" i="11" s="1"/>
  <c r="R45" i="11"/>
  <c r="R50" i="11" s="1"/>
  <c r="Q288" i="11"/>
  <c r="Q256" i="11"/>
  <c r="Q288" i="15"/>
  <c r="Q256" i="15"/>
  <c r="Q288" i="8"/>
  <c r="Q256" i="8"/>
  <c r="R45" i="14"/>
  <c r="R42" i="14"/>
  <c r="R222" i="14" s="1"/>
  <c r="O288" i="13"/>
  <c r="O256" i="13"/>
  <c r="Q45" i="12"/>
  <c r="Q50" i="12" s="1"/>
  <c r="Q42" i="12"/>
  <c r="Q222" i="12" s="1"/>
  <c r="H179" i="13"/>
  <c r="J108" i="13"/>
  <c r="J171" i="14"/>
  <c r="H181" i="13"/>
  <c r="H200" i="15"/>
  <c r="H225" i="15" s="1"/>
  <c r="I177" i="15"/>
  <c r="I223" i="15" s="1"/>
  <c r="J129" i="13"/>
  <c r="I176" i="13"/>
  <c r="I179" i="13" s="1"/>
  <c r="H200" i="14"/>
  <c r="H225" i="14" s="1"/>
  <c r="H181" i="14"/>
  <c r="I177" i="13"/>
  <c r="I223" i="13" s="1"/>
  <c r="I177" i="14"/>
  <c r="I223" i="14" s="1"/>
  <c r="J108" i="14"/>
  <c r="J128" i="14"/>
  <c r="I176" i="15"/>
  <c r="I179" i="15" s="1"/>
  <c r="J129" i="15"/>
  <c r="J170" i="15"/>
  <c r="H223" i="14"/>
  <c r="H237" i="14"/>
  <c r="H180" i="14"/>
  <c r="J170" i="14"/>
  <c r="H187" i="14"/>
  <c r="H224" i="14" s="1"/>
  <c r="H290" i="14" s="1"/>
  <c r="J171" i="13"/>
  <c r="J150" i="15"/>
  <c r="J107" i="13"/>
  <c r="J171" i="15"/>
  <c r="K115" i="15"/>
  <c r="L112" i="15"/>
  <c r="K120" i="15"/>
  <c r="K119" i="15"/>
  <c r="K121" i="15"/>
  <c r="K140" i="14"/>
  <c r="K142" i="14"/>
  <c r="K136" i="14"/>
  <c r="L133" i="14"/>
  <c r="K141" i="14"/>
  <c r="J175" i="15"/>
  <c r="H225" i="13"/>
  <c r="H239" i="13"/>
  <c r="J149" i="13"/>
  <c r="J149" i="14"/>
  <c r="L91" i="15"/>
  <c r="K100" i="15"/>
  <c r="K99" i="15"/>
  <c r="K98" i="15"/>
  <c r="K94" i="15"/>
  <c r="I176" i="14"/>
  <c r="J107" i="15"/>
  <c r="L112" i="13"/>
  <c r="K115" i="13"/>
  <c r="K119" i="13"/>
  <c r="K120" i="13"/>
  <c r="K121" i="13"/>
  <c r="K157" i="14"/>
  <c r="K163" i="14"/>
  <c r="K161" i="14"/>
  <c r="L154" i="14"/>
  <c r="K162" i="14"/>
  <c r="K100" i="13"/>
  <c r="K94" i="13"/>
  <c r="K99" i="13"/>
  <c r="L91" i="13"/>
  <c r="K98" i="13"/>
  <c r="K157" i="13"/>
  <c r="K162" i="13"/>
  <c r="K163" i="13"/>
  <c r="K161" i="13"/>
  <c r="L154" i="13"/>
  <c r="J150" i="13"/>
  <c r="K99" i="14"/>
  <c r="K100" i="14"/>
  <c r="L91" i="14"/>
  <c r="K94" i="14"/>
  <c r="K98" i="14"/>
  <c r="K163" i="15"/>
  <c r="K157" i="15"/>
  <c r="K161" i="15"/>
  <c r="K162" i="15"/>
  <c r="L154" i="15"/>
  <c r="J175" i="13"/>
  <c r="K141" i="13"/>
  <c r="L133" i="13"/>
  <c r="K142" i="13"/>
  <c r="K140" i="13"/>
  <c r="K136" i="13"/>
  <c r="J175" i="14"/>
  <c r="J129" i="14"/>
  <c r="J128" i="15"/>
  <c r="J150" i="14"/>
  <c r="J149" i="15"/>
  <c r="H271" i="13"/>
  <c r="H303" i="13"/>
  <c r="H179" i="15"/>
  <c r="H187" i="15"/>
  <c r="H224" i="15" s="1"/>
  <c r="J170" i="13"/>
  <c r="J107" i="14"/>
  <c r="K119" i="14"/>
  <c r="K121" i="14"/>
  <c r="K115" i="14"/>
  <c r="K120" i="14"/>
  <c r="L112" i="14"/>
  <c r="L133" i="15"/>
  <c r="K142" i="15"/>
  <c r="K136" i="15"/>
  <c r="K140" i="15"/>
  <c r="K141" i="15"/>
  <c r="J108" i="15"/>
  <c r="J128" i="13"/>
  <c r="H271" i="15"/>
  <c r="H303" i="15"/>
  <c r="H180" i="11"/>
  <c r="H181" i="11"/>
  <c r="H237" i="11"/>
  <c r="H303" i="11" s="1"/>
  <c r="H200" i="11"/>
  <c r="H239" i="11" s="1"/>
  <c r="H187" i="11"/>
  <c r="H224" i="11" s="1"/>
  <c r="H258" i="11" s="1"/>
  <c r="H179" i="11"/>
  <c r="J171" i="11"/>
  <c r="J129" i="11"/>
  <c r="I176" i="11"/>
  <c r="I200" i="11" s="1"/>
  <c r="J170" i="11"/>
  <c r="J149" i="11"/>
  <c r="J107" i="11"/>
  <c r="K163" i="11"/>
  <c r="K157" i="11"/>
  <c r="L154" i="11"/>
  <c r="K162" i="11"/>
  <c r="K161" i="11"/>
  <c r="J150" i="11"/>
  <c r="H257" i="11"/>
  <c r="H289" i="11"/>
  <c r="J108" i="11"/>
  <c r="L133" i="11"/>
  <c r="K136" i="11"/>
  <c r="K140" i="11"/>
  <c r="K142" i="11"/>
  <c r="K141" i="11"/>
  <c r="L185" i="14"/>
  <c r="K94" i="11"/>
  <c r="K100" i="11"/>
  <c r="L91" i="11"/>
  <c r="K99" i="11"/>
  <c r="K98" i="11"/>
  <c r="I177" i="11"/>
  <c r="J128" i="11"/>
  <c r="M185" i="15"/>
  <c r="K119" i="11"/>
  <c r="K121" i="11"/>
  <c r="L112" i="11"/>
  <c r="K115" i="11"/>
  <c r="K120" i="11"/>
  <c r="J175" i="11"/>
  <c r="H176" i="9"/>
  <c r="H200" i="9" s="1"/>
  <c r="H225" i="9" s="1"/>
  <c r="H200" i="12"/>
  <c r="H239" i="12" s="1"/>
  <c r="J163" i="8"/>
  <c r="H167" i="10"/>
  <c r="I167" i="10" s="1"/>
  <c r="J167" i="10" s="1"/>
  <c r="K167" i="10" s="1"/>
  <c r="L167" i="10" s="1"/>
  <c r="M167" i="10" s="1"/>
  <c r="N167" i="10" s="1"/>
  <c r="O167" i="10" s="1"/>
  <c r="P167" i="10" s="1"/>
  <c r="Q167" i="10" s="1"/>
  <c r="R167" i="10" s="1"/>
  <c r="S167" i="10" s="1"/>
  <c r="T167" i="10" s="1"/>
  <c r="U167" i="10" s="1"/>
  <c r="V167" i="10" s="1"/>
  <c r="W167" i="10" s="1"/>
  <c r="X167" i="10" s="1"/>
  <c r="Y167" i="10" s="1"/>
  <c r="Z167" i="10" s="1"/>
  <c r="AA167" i="10" s="1"/>
  <c r="H165" i="10"/>
  <c r="H168" i="10"/>
  <c r="I168" i="10" s="1"/>
  <c r="J168" i="10" s="1"/>
  <c r="K168" i="10" s="1"/>
  <c r="L168" i="10" s="1"/>
  <c r="M168" i="10" s="1"/>
  <c r="N168" i="10" s="1"/>
  <c r="O168" i="10" s="1"/>
  <c r="P168" i="10" s="1"/>
  <c r="Q168" i="10" s="1"/>
  <c r="R168" i="10" s="1"/>
  <c r="S168" i="10" s="1"/>
  <c r="T168" i="10" s="1"/>
  <c r="U168" i="10" s="1"/>
  <c r="V168" i="10" s="1"/>
  <c r="W168" i="10" s="1"/>
  <c r="X168" i="10" s="1"/>
  <c r="Y168" i="10" s="1"/>
  <c r="Z168" i="10" s="1"/>
  <c r="AA168" i="10" s="1"/>
  <c r="H166" i="10"/>
  <c r="I166" i="10" s="1"/>
  <c r="J166" i="10" s="1"/>
  <c r="K166" i="10" s="1"/>
  <c r="L166" i="10" s="1"/>
  <c r="M166" i="10" s="1"/>
  <c r="N166" i="10" s="1"/>
  <c r="O166" i="10" s="1"/>
  <c r="P166" i="10" s="1"/>
  <c r="Q166" i="10" s="1"/>
  <c r="R166" i="10" s="1"/>
  <c r="S166" i="10" s="1"/>
  <c r="T166" i="10" s="1"/>
  <c r="U166" i="10" s="1"/>
  <c r="V166" i="10" s="1"/>
  <c r="W166" i="10" s="1"/>
  <c r="X166" i="10" s="1"/>
  <c r="Y166" i="10" s="1"/>
  <c r="Z166" i="10" s="1"/>
  <c r="AA166" i="10" s="1"/>
  <c r="H125" i="10"/>
  <c r="I125" i="10" s="1"/>
  <c r="J125" i="10" s="1"/>
  <c r="K125" i="10" s="1"/>
  <c r="L125" i="10" s="1"/>
  <c r="M125" i="10" s="1"/>
  <c r="N125" i="10" s="1"/>
  <c r="O125" i="10" s="1"/>
  <c r="P125" i="10" s="1"/>
  <c r="Q125" i="10" s="1"/>
  <c r="R125" i="10" s="1"/>
  <c r="S125" i="10" s="1"/>
  <c r="T125" i="10" s="1"/>
  <c r="U125" i="10" s="1"/>
  <c r="V125" i="10" s="1"/>
  <c r="W125" i="10" s="1"/>
  <c r="X125" i="10" s="1"/>
  <c r="Y125" i="10" s="1"/>
  <c r="Z125" i="10" s="1"/>
  <c r="AA125" i="10" s="1"/>
  <c r="H123" i="10"/>
  <c r="I123" i="10" s="1"/>
  <c r="J123" i="10" s="1"/>
  <c r="K123" i="10" s="1"/>
  <c r="L123" i="10" s="1"/>
  <c r="M123" i="10" s="1"/>
  <c r="N123" i="10" s="1"/>
  <c r="O123" i="10" s="1"/>
  <c r="P123" i="10" s="1"/>
  <c r="Q123" i="10" s="1"/>
  <c r="R123" i="10" s="1"/>
  <c r="S123" i="10" s="1"/>
  <c r="T123" i="10" s="1"/>
  <c r="U123" i="10" s="1"/>
  <c r="V123" i="10" s="1"/>
  <c r="W123" i="10" s="1"/>
  <c r="X123" i="10" s="1"/>
  <c r="Y123" i="10" s="1"/>
  <c r="Z123" i="10" s="1"/>
  <c r="AA123" i="10" s="1"/>
  <c r="H124" i="10"/>
  <c r="I124" i="10" s="1"/>
  <c r="J124" i="10" s="1"/>
  <c r="K124" i="10" s="1"/>
  <c r="L124" i="10" s="1"/>
  <c r="M124" i="10" s="1"/>
  <c r="N124" i="10" s="1"/>
  <c r="O124" i="10" s="1"/>
  <c r="P124" i="10" s="1"/>
  <c r="Q124" i="10" s="1"/>
  <c r="R124" i="10" s="1"/>
  <c r="S124" i="10" s="1"/>
  <c r="T124" i="10" s="1"/>
  <c r="U124" i="10" s="1"/>
  <c r="V124" i="10" s="1"/>
  <c r="W124" i="10" s="1"/>
  <c r="X124" i="10" s="1"/>
  <c r="Y124" i="10" s="1"/>
  <c r="Z124" i="10" s="1"/>
  <c r="AA124" i="10" s="1"/>
  <c r="H126" i="10"/>
  <c r="I126" i="10" s="1"/>
  <c r="J126" i="10" s="1"/>
  <c r="K126" i="10" s="1"/>
  <c r="L126" i="10" s="1"/>
  <c r="M126" i="10" s="1"/>
  <c r="N126" i="10" s="1"/>
  <c r="O126" i="10" s="1"/>
  <c r="P126" i="10" s="1"/>
  <c r="Q126" i="10" s="1"/>
  <c r="R126" i="10" s="1"/>
  <c r="S126" i="10" s="1"/>
  <c r="T126" i="10" s="1"/>
  <c r="U126" i="10" s="1"/>
  <c r="V126" i="10" s="1"/>
  <c r="W126" i="10" s="1"/>
  <c r="X126" i="10" s="1"/>
  <c r="Y126" i="10" s="1"/>
  <c r="Z126" i="10" s="1"/>
  <c r="AA126" i="10" s="1"/>
  <c r="H144" i="10"/>
  <c r="H146" i="10"/>
  <c r="I146" i="10" s="1"/>
  <c r="J146" i="10" s="1"/>
  <c r="K146" i="10" s="1"/>
  <c r="L146" i="10" s="1"/>
  <c r="M146" i="10" s="1"/>
  <c r="N146" i="10" s="1"/>
  <c r="O146" i="10" s="1"/>
  <c r="P146" i="10" s="1"/>
  <c r="Q146" i="10" s="1"/>
  <c r="R146" i="10" s="1"/>
  <c r="S146" i="10" s="1"/>
  <c r="T146" i="10" s="1"/>
  <c r="U146" i="10" s="1"/>
  <c r="V146" i="10" s="1"/>
  <c r="W146" i="10" s="1"/>
  <c r="X146" i="10" s="1"/>
  <c r="Y146" i="10" s="1"/>
  <c r="Z146" i="10" s="1"/>
  <c r="AA146" i="10" s="1"/>
  <c r="H147" i="10"/>
  <c r="I147" i="10" s="1"/>
  <c r="J147" i="10" s="1"/>
  <c r="K147" i="10" s="1"/>
  <c r="L147" i="10" s="1"/>
  <c r="M147" i="10" s="1"/>
  <c r="N147" i="10" s="1"/>
  <c r="O147" i="10" s="1"/>
  <c r="P147" i="10" s="1"/>
  <c r="Q147" i="10" s="1"/>
  <c r="R147" i="10" s="1"/>
  <c r="S147" i="10" s="1"/>
  <c r="T147" i="10" s="1"/>
  <c r="U147" i="10" s="1"/>
  <c r="V147" i="10" s="1"/>
  <c r="W147" i="10" s="1"/>
  <c r="X147" i="10" s="1"/>
  <c r="Y147" i="10" s="1"/>
  <c r="Z147" i="10" s="1"/>
  <c r="AA147" i="10" s="1"/>
  <c r="H145" i="10"/>
  <c r="I145" i="10" s="1"/>
  <c r="J145" i="10" s="1"/>
  <c r="K145" i="10" s="1"/>
  <c r="L145" i="10" s="1"/>
  <c r="M145" i="10" s="1"/>
  <c r="N145" i="10" s="1"/>
  <c r="O145" i="10" s="1"/>
  <c r="P145" i="10" s="1"/>
  <c r="Q145" i="10" s="1"/>
  <c r="R145" i="10" s="1"/>
  <c r="S145" i="10" s="1"/>
  <c r="T145" i="10" s="1"/>
  <c r="U145" i="10" s="1"/>
  <c r="V145" i="10" s="1"/>
  <c r="W145" i="10" s="1"/>
  <c r="X145" i="10" s="1"/>
  <c r="Y145" i="10" s="1"/>
  <c r="Z145" i="10" s="1"/>
  <c r="AA145" i="10" s="1"/>
  <c r="H105" i="10"/>
  <c r="I105" i="10" s="1"/>
  <c r="J105" i="10" s="1"/>
  <c r="K105" i="10" s="1"/>
  <c r="L105" i="10" s="1"/>
  <c r="M105" i="10" s="1"/>
  <c r="N105" i="10" s="1"/>
  <c r="O105" i="10" s="1"/>
  <c r="P105" i="10" s="1"/>
  <c r="Q105" i="10" s="1"/>
  <c r="R105" i="10" s="1"/>
  <c r="S105" i="10" s="1"/>
  <c r="T105" i="10" s="1"/>
  <c r="U105" i="10" s="1"/>
  <c r="V105" i="10" s="1"/>
  <c r="W105" i="10" s="1"/>
  <c r="X105" i="10" s="1"/>
  <c r="Y105" i="10" s="1"/>
  <c r="Z105" i="10" s="1"/>
  <c r="AA105" i="10" s="1"/>
  <c r="H104" i="10"/>
  <c r="I104" i="10" s="1"/>
  <c r="J104" i="10" s="1"/>
  <c r="K104" i="10" s="1"/>
  <c r="L104" i="10" s="1"/>
  <c r="M104" i="10" s="1"/>
  <c r="N104" i="10" s="1"/>
  <c r="O104" i="10" s="1"/>
  <c r="P104" i="10" s="1"/>
  <c r="Q104" i="10" s="1"/>
  <c r="R104" i="10" s="1"/>
  <c r="S104" i="10" s="1"/>
  <c r="T104" i="10" s="1"/>
  <c r="U104" i="10" s="1"/>
  <c r="V104" i="10" s="1"/>
  <c r="W104" i="10" s="1"/>
  <c r="X104" i="10" s="1"/>
  <c r="Y104" i="10" s="1"/>
  <c r="Z104" i="10" s="1"/>
  <c r="AA104" i="10" s="1"/>
  <c r="H103" i="10"/>
  <c r="I103" i="10" s="1"/>
  <c r="J103" i="10" s="1"/>
  <c r="K103" i="10" s="1"/>
  <c r="L103" i="10" s="1"/>
  <c r="M103" i="10" s="1"/>
  <c r="N103" i="10" s="1"/>
  <c r="O103" i="10" s="1"/>
  <c r="P103" i="10" s="1"/>
  <c r="Q103" i="10" s="1"/>
  <c r="R103" i="10" s="1"/>
  <c r="S103" i="10" s="1"/>
  <c r="T103" i="10" s="1"/>
  <c r="U103" i="10" s="1"/>
  <c r="V103" i="10" s="1"/>
  <c r="W103" i="10" s="1"/>
  <c r="X103" i="10" s="1"/>
  <c r="Y103" i="10" s="1"/>
  <c r="Z103" i="10" s="1"/>
  <c r="AA103" i="10" s="1"/>
  <c r="H102" i="10"/>
  <c r="H126" i="9"/>
  <c r="I126" i="9" s="1"/>
  <c r="J126" i="9" s="1"/>
  <c r="K126" i="9" s="1"/>
  <c r="L126" i="9" s="1"/>
  <c r="M126" i="9" s="1"/>
  <c r="N126" i="9" s="1"/>
  <c r="O126" i="9" s="1"/>
  <c r="P126" i="9" s="1"/>
  <c r="Q126" i="9" s="1"/>
  <c r="R126" i="9" s="1"/>
  <c r="S126" i="9" s="1"/>
  <c r="T126" i="9" s="1"/>
  <c r="U126" i="9" s="1"/>
  <c r="V126" i="9" s="1"/>
  <c r="W126" i="9" s="1"/>
  <c r="X126" i="9" s="1"/>
  <c r="Y126" i="9" s="1"/>
  <c r="Z126" i="9" s="1"/>
  <c r="AA126" i="9" s="1"/>
  <c r="H125" i="9"/>
  <c r="I125" i="9" s="1"/>
  <c r="J125" i="9" s="1"/>
  <c r="K125" i="9" s="1"/>
  <c r="L125" i="9" s="1"/>
  <c r="M125" i="9" s="1"/>
  <c r="N125" i="9" s="1"/>
  <c r="O125" i="9" s="1"/>
  <c r="P125" i="9" s="1"/>
  <c r="Q125" i="9" s="1"/>
  <c r="R125" i="9" s="1"/>
  <c r="S125" i="9" s="1"/>
  <c r="T125" i="9" s="1"/>
  <c r="U125" i="9" s="1"/>
  <c r="V125" i="9" s="1"/>
  <c r="W125" i="9" s="1"/>
  <c r="X125" i="9" s="1"/>
  <c r="Y125" i="9" s="1"/>
  <c r="Z125" i="9" s="1"/>
  <c r="AA125" i="9" s="1"/>
  <c r="H124" i="9"/>
  <c r="I124" i="9" s="1"/>
  <c r="J124" i="9" s="1"/>
  <c r="K124" i="9" s="1"/>
  <c r="L124" i="9" s="1"/>
  <c r="M124" i="9" s="1"/>
  <c r="N124" i="9" s="1"/>
  <c r="O124" i="9" s="1"/>
  <c r="P124" i="9" s="1"/>
  <c r="Q124" i="9" s="1"/>
  <c r="R124" i="9" s="1"/>
  <c r="S124" i="9" s="1"/>
  <c r="T124" i="9" s="1"/>
  <c r="U124" i="9" s="1"/>
  <c r="V124" i="9" s="1"/>
  <c r="W124" i="9" s="1"/>
  <c r="X124" i="9" s="1"/>
  <c r="Y124" i="9" s="1"/>
  <c r="Z124" i="9" s="1"/>
  <c r="AA124" i="9" s="1"/>
  <c r="H123" i="9"/>
  <c r="H103" i="9"/>
  <c r="H105" i="9"/>
  <c r="I105" i="9" s="1"/>
  <c r="J105" i="9" s="1"/>
  <c r="K105" i="9" s="1"/>
  <c r="L105" i="9" s="1"/>
  <c r="M105" i="9" s="1"/>
  <c r="N105" i="9" s="1"/>
  <c r="O105" i="9" s="1"/>
  <c r="P105" i="9" s="1"/>
  <c r="Q105" i="9" s="1"/>
  <c r="R105" i="9" s="1"/>
  <c r="S105" i="9" s="1"/>
  <c r="T105" i="9" s="1"/>
  <c r="U105" i="9" s="1"/>
  <c r="V105" i="9" s="1"/>
  <c r="W105" i="9" s="1"/>
  <c r="X105" i="9" s="1"/>
  <c r="Y105" i="9" s="1"/>
  <c r="Z105" i="9" s="1"/>
  <c r="AA105" i="9" s="1"/>
  <c r="H104" i="9"/>
  <c r="I104" i="9" s="1"/>
  <c r="J104" i="9" s="1"/>
  <c r="K104" i="9" s="1"/>
  <c r="L104" i="9" s="1"/>
  <c r="M104" i="9" s="1"/>
  <c r="N104" i="9" s="1"/>
  <c r="O104" i="9" s="1"/>
  <c r="P104" i="9" s="1"/>
  <c r="Q104" i="9" s="1"/>
  <c r="R104" i="9" s="1"/>
  <c r="S104" i="9" s="1"/>
  <c r="T104" i="9" s="1"/>
  <c r="U104" i="9" s="1"/>
  <c r="V104" i="9" s="1"/>
  <c r="W104" i="9" s="1"/>
  <c r="X104" i="9" s="1"/>
  <c r="Y104" i="9" s="1"/>
  <c r="Z104" i="9" s="1"/>
  <c r="AA104" i="9" s="1"/>
  <c r="H102" i="9"/>
  <c r="H146" i="9"/>
  <c r="I146" i="9" s="1"/>
  <c r="J146" i="9" s="1"/>
  <c r="K146" i="9" s="1"/>
  <c r="L146" i="9" s="1"/>
  <c r="M146" i="9" s="1"/>
  <c r="N146" i="9" s="1"/>
  <c r="O146" i="9" s="1"/>
  <c r="P146" i="9" s="1"/>
  <c r="Q146" i="9" s="1"/>
  <c r="R146" i="9" s="1"/>
  <c r="S146" i="9" s="1"/>
  <c r="T146" i="9" s="1"/>
  <c r="U146" i="9" s="1"/>
  <c r="V146" i="9" s="1"/>
  <c r="W146" i="9" s="1"/>
  <c r="X146" i="9" s="1"/>
  <c r="Y146" i="9" s="1"/>
  <c r="Z146" i="9" s="1"/>
  <c r="AA146" i="9" s="1"/>
  <c r="H147" i="9"/>
  <c r="I147" i="9" s="1"/>
  <c r="J147" i="9" s="1"/>
  <c r="K147" i="9" s="1"/>
  <c r="L147" i="9" s="1"/>
  <c r="M147" i="9" s="1"/>
  <c r="N147" i="9" s="1"/>
  <c r="O147" i="9" s="1"/>
  <c r="P147" i="9" s="1"/>
  <c r="Q147" i="9" s="1"/>
  <c r="R147" i="9" s="1"/>
  <c r="S147" i="9" s="1"/>
  <c r="T147" i="9" s="1"/>
  <c r="U147" i="9" s="1"/>
  <c r="V147" i="9" s="1"/>
  <c r="W147" i="9" s="1"/>
  <c r="X147" i="9" s="1"/>
  <c r="Y147" i="9" s="1"/>
  <c r="Z147" i="9" s="1"/>
  <c r="AA147" i="9" s="1"/>
  <c r="H145" i="9"/>
  <c r="I145" i="9" s="1"/>
  <c r="J145" i="9" s="1"/>
  <c r="K145" i="9" s="1"/>
  <c r="L145" i="9" s="1"/>
  <c r="M145" i="9" s="1"/>
  <c r="N145" i="9" s="1"/>
  <c r="O145" i="9" s="1"/>
  <c r="P145" i="9" s="1"/>
  <c r="Q145" i="9" s="1"/>
  <c r="R145" i="9" s="1"/>
  <c r="S145" i="9" s="1"/>
  <c r="T145" i="9" s="1"/>
  <c r="U145" i="9" s="1"/>
  <c r="V145" i="9" s="1"/>
  <c r="W145" i="9" s="1"/>
  <c r="X145" i="9" s="1"/>
  <c r="Y145" i="9" s="1"/>
  <c r="Z145" i="9" s="1"/>
  <c r="AA145" i="9" s="1"/>
  <c r="H144" i="9"/>
  <c r="H167" i="9"/>
  <c r="I167" i="9" s="1"/>
  <c r="J167" i="9" s="1"/>
  <c r="K167" i="9" s="1"/>
  <c r="L167" i="9" s="1"/>
  <c r="M167" i="9" s="1"/>
  <c r="N167" i="9" s="1"/>
  <c r="O167" i="9" s="1"/>
  <c r="P167" i="9" s="1"/>
  <c r="Q167" i="9" s="1"/>
  <c r="R167" i="9" s="1"/>
  <c r="S167" i="9" s="1"/>
  <c r="T167" i="9" s="1"/>
  <c r="U167" i="9" s="1"/>
  <c r="V167" i="9" s="1"/>
  <c r="W167" i="9" s="1"/>
  <c r="X167" i="9" s="1"/>
  <c r="Y167" i="9" s="1"/>
  <c r="Z167" i="9" s="1"/>
  <c r="AA167" i="9" s="1"/>
  <c r="H168" i="9"/>
  <c r="I168" i="9" s="1"/>
  <c r="J168" i="9" s="1"/>
  <c r="K168" i="9" s="1"/>
  <c r="L168" i="9" s="1"/>
  <c r="M168" i="9" s="1"/>
  <c r="N168" i="9" s="1"/>
  <c r="O168" i="9" s="1"/>
  <c r="P168" i="9" s="1"/>
  <c r="Q168" i="9" s="1"/>
  <c r="R168" i="9" s="1"/>
  <c r="S168" i="9" s="1"/>
  <c r="T168" i="9" s="1"/>
  <c r="U168" i="9" s="1"/>
  <c r="V168" i="9" s="1"/>
  <c r="W168" i="9" s="1"/>
  <c r="X168" i="9" s="1"/>
  <c r="Y168" i="9" s="1"/>
  <c r="Z168" i="9" s="1"/>
  <c r="AA168" i="9" s="1"/>
  <c r="H165" i="9"/>
  <c r="H166" i="9"/>
  <c r="I166" i="9" s="1"/>
  <c r="J166" i="9" s="1"/>
  <c r="K166" i="9" s="1"/>
  <c r="L166" i="9" s="1"/>
  <c r="M166" i="9" s="1"/>
  <c r="N166" i="9" s="1"/>
  <c r="O166" i="9" s="1"/>
  <c r="P166" i="9" s="1"/>
  <c r="Q166" i="9" s="1"/>
  <c r="R166" i="9" s="1"/>
  <c r="S166" i="9" s="1"/>
  <c r="T166" i="9" s="1"/>
  <c r="U166" i="9" s="1"/>
  <c r="V166" i="9" s="1"/>
  <c r="W166" i="9" s="1"/>
  <c r="X166" i="9" s="1"/>
  <c r="Y166" i="9" s="1"/>
  <c r="Z166" i="9" s="1"/>
  <c r="AA166" i="9" s="1"/>
  <c r="I177" i="12"/>
  <c r="I237" i="12" s="1"/>
  <c r="H187" i="12"/>
  <c r="H224" i="12" s="1"/>
  <c r="J108" i="12"/>
  <c r="J129" i="12"/>
  <c r="J170" i="12"/>
  <c r="J150" i="12"/>
  <c r="I176" i="12"/>
  <c r="I200" i="12" s="1"/>
  <c r="I225" i="12" s="1"/>
  <c r="J171" i="12"/>
  <c r="K120" i="12"/>
  <c r="L112" i="12"/>
  <c r="K119" i="12"/>
  <c r="K115" i="12"/>
  <c r="K121" i="12"/>
  <c r="H237" i="12"/>
  <c r="H180" i="12"/>
  <c r="H223" i="12"/>
  <c r="H181" i="12"/>
  <c r="K94" i="12"/>
  <c r="L91" i="12"/>
  <c r="K99" i="12"/>
  <c r="K98" i="12"/>
  <c r="K100" i="12"/>
  <c r="J175" i="12"/>
  <c r="J128" i="12"/>
  <c r="M185" i="11"/>
  <c r="K136" i="12"/>
  <c r="L133" i="12"/>
  <c r="K142" i="12"/>
  <c r="K141" i="12"/>
  <c r="K140" i="12"/>
  <c r="K163" i="12"/>
  <c r="L154" i="12"/>
  <c r="K162" i="12"/>
  <c r="K157" i="12"/>
  <c r="K161" i="12"/>
  <c r="J149" i="12"/>
  <c r="L185" i="12"/>
  <c r="J107" i="12"/>
  <c r="J162" i="8"/>
  <c r="H176" i="8"/>
  <c r="J161" i="8"/>
  <c r="I175" i="8"/>
  <c r="I170" i="8"/>
  <c r="K154" i="8"/>
  <c r="K157" i="8" s="1"/>
  <c r="J112" i="10"/>
  <c r="J119" i="10" s="1"/>
  <c r="I121" i="10"/>
  <c r="I119" i="10"/>
  <c r="I128" i="8"/>
  <c r="I120" i="10"/>
  <c r="H128" i="10"/>
  <c r="H176" i="10" s="1"/>
  <c r="H179" i="10" s="1"/>
  <c r="T184" i="8"/>
  <c r="T184" i="9"/>
  <c r="I105" i="8"/>
  <c r="J105" i="8" s="1"/>
  <c r="K105" i="8" s="1"/>
  <c r="L105" i="8" s="1"/>
  <c r="M105" i="8" s="1"/>
  <c r="N105" i="8" s="1"/>
  <c r="O105" i="8" s="1"/>
  <c r="P105" i="8" s="1"/>
  <c r="Q105" i="8" s="1"/>
  <c r="R105" i="8" s="1"/>
  <c r="S105" i="8" s="1"/>
  <c r="T105" i="8" s="1"/>
  <c r="U105" i="8" s="1"/>
  <c r="V105" i="8" s="1"/>
  <c r="W105" i="8" s="1"/>
  <c r="X105" i="8" s="1"/>
  <c r="Y105" i="8" s="1"/>
  <c r="Z105" i="8" s="1"/>
  <c r="AA105" i="8" s="1"/>
  <c r="I126" i="8"/>
  <c r="J126" i="8" s="1"/>
  <c r="K126" i="8" s="1"/>
  <c r="L126" i="8" s="1"/>
  <c r="M126" i="8" s="1"/>
  <c r="N126" i="8" s="1"/>
  <c r="O126" i="8" s="1"/>
  <c r="P126" i="8" s="1"/>
  <c r="Q126" i="8" s="1"/>
  <c r="R126" i="8" s="1"/>
  <c r="S126" i="8" s="1"/>
  <c r="T126" i="8" s="1"/>
  <c r="U126" i="8" s="1"/>
  <c r="V126" i="8" s="1"/>
  <c r="W126" i="8" s="1"/>
  <c r="X126" i="8" s="1"/>
  <c r="Y126" i="8" s="1"/>
  <c r="Z126" i="8" s="1"/>
  <c r="AA126" i="8" s="1"/>
  <c r="H103" i="8"/>
  <c r="I103" i="8" s="1"/>
  <c r="J103" i="8" s="1"/>
  <c r="K103" i="8" s="1"/>
  <c r="L103" i="8" s="1"/>
  <c r="M103" i="8" s="1"/>
  <c r="N103" i="8" s="1"/>
  <c r="O103" i="8" s="1"/>
  <c r="P103" i="8" s="1"/>
  <c r="Q103" i="8" s="1"/>
  <c r="R103" i="8" s="1"/>
  <c r="S103" i="8" s="1"/>
  <c r="T103" i="8" s="1"/>
  <c r="U103" i="8" s="1"/>
  <c r="V103" i="8" s="1"/>
  <c r="W103" i="8" s="1"/>
  <c r="X103" i="8" s="1"/>
  <c r="Y103" i="8" s="1"/>
  <c r="Z103" i="8" s="1"/>
  <c r="AA103" i="8" s="1"/>
  <c r="H123" i="8"/>
  <c r="I123" i="8" s="1"/>
  <c r="H102" i="8"/>
  <c r="I102" i="8" s="1"/>
  <c r="H104" i="8"/>
  <c r="I104" i="8" s="1"/>
  <c r="J104" i="8" s="1"/>
  <c r="K104" i="8" s="1"/>
  <c r="L104" i="8" s="1"/>
  <c r="M104" i="8" s="1"/>
  <c r="N104" i="8" s="1"/>
  <c r="O104" i="8" s="1"/>
  <c r="P104" i="8" s="1"/>
  <c r="Q104" i="8" s="1"/>
  <c r="R104" i="8" s="1"/>
  <c r="S104" i="8" s="1"/>
  <c r="T104" i="8" s="1"/>
  <c r="U104" i="8" s="1"/>
  <c r="V104" i="8" s="1"/>
  <c r="W104" i="8" s="1"/>
  <c r="X104" i="8" s="1"/>
  <c r="Y104" i="8" s="1"/>
  <c r="Z104" i="8" s="1"/>
  <c r="AA104" i="8" s="1"/>
  <c r="H124" i="8"/>
  <c r="H125" i="8"/>
  <c r="I125" i="8" s="1"/>
  <c r="J125" i="8" s="1"/>
  <c r="K125" i="8" s="1"/>
  <c r="L125" i="8" s="1"/>
  <c r="M125" i="8" s="1"/>
  <c r="N125" i="8" s="1"/>
  <c r="O125" i="8" s="1"/>
  <c r="P125" i="8" s="1"/>
  <c r="Q125" i="8" s="1"/>
  <c r="R125" i="8" s="1"/>
  <c r="S125" i="8" s="1"/>
  <c r="T125" i="8" s="1"/>
  <c r="U125" i="8" s="1"/>
  <c r="V125" i="8" s="1"/>
  <c r="W125" i="8" s="1"/>
  <c r="X125" i="8" s="1"/>
  <c r="Y125" i="8" s="1"/>
  <c r="Z125" i="8" s="1"/>
  <c r="AA125" i="8" s="1"/>
  <c r="H168" i="8"/>
  <c r="I168" i="8" s="1"/>
  <c r="J168" i="8" s="1"/>
  <c r="K168" i="8" s="1"/>
  <c r="L168" i="8" s="1"/>
  <c r="M168" i="8" s="1"/>
  <c r="N168" i="8" s="1"/>
  <c r="O168" i="8" s="1"/>
  <c r="P168" i="8" s="1"/>
  <c r="Q168" i="8" s="1"/>
  <c r="R168" i="8" s="1"/>
  <c r="S168" i="8" s="1"/>
  <c r="T168" i="8" s="1"/>
  <c r="U168" i="8" s="1"/>
  <c r="V168" i="8" s="1"/>
  <c r="W168" i="8" s="1"/>
  <c r="X168" i="8" s="1"/>
  <c r="Y168" i="8" s="1"/>
  <c r="Z168" i="8" s="1"/>
  <c r="AA168" i="8" s="1"/>
  <c r="H166" i="8"/>
  <c r="I166" i="8" s="1"/>
  <c r="J166" i="8" s="1"/>
  <c r="K166" i="8" s="1"/>
  <c r="L166" i="8" s="1"/>
  <c r="M166" i="8" s="1"/>
  <c r="N166" i="8" s="1"/>
  <c r="O166" i="8" s="1"/>
  <c r="P166" i="8" s="1"/>
  <c r="Q166" i="8" s="1"/>
  <c r="R166" i="8" s="1"/>
  <c r="S166" i="8" s="1"/>
  <c r="T166" i="8" s="1"/>
  <c r="U166" i="8" s="1"/>
  <c r="V166" i="8" s="1"/>
  <c r="W166" i="8" s="1"/>
  <c r="X166" i="8" s="1"/>
  <c r="Y166" i="8" s="1"/>
  <c r="Z166" i="8" s="1"/>
  <c r="AA166" i="8" s="1"/>
  <c r="H165" i="8"/>
  <c r="I167" i="8"/>
  <c r="J167" i="8" s="1"/>
  <c r="K167" i="8" s="1"/>
  <c r="L167" i="8" s="1"/>
  <c r="M167" i="8" s="1"/>
  <c r="N167" i="8" s="1"/>
  <c r="O167" i="8" s="1"/>
  <c r="P167" i="8" s="1"/>
  <c r="Q167" i="8" s="1"/>
  <c r="R167" i="8" s="1"/>
  <c r="S167" i="8" s="1"/>
  <c r="T167" i="8" s="1"/>
  <c r="U167" i="8" s="1"/>
  <c r="V167" i="8" s="1"/>
  <c r="W167" i="8" s="1"/>
  <c r="X167" i="8" s="1"/>
  <c r="Y167" i="8" s="1"/>
  <c r="Z167" i="8" s="1"/>
  <c r="AA167" i="8" s="1"/>
  <c r="H145" i="8"/>
  <c r="I145" i="8" s="1"/>
  <c r="J145" i="8" s="1"/>
  <c r="K145" i="8" s="1"/>
  <c r="L145" i="8" s="1"/>
  <c r="M145" i="8" s="1"/>
  <c r="N145" i="8" s="1"/>
  <c r="O145" i="8" s="1"/>
  <c r="P145" i="8" s="1"/>
  <c r="Q145" i="8" s="1"/>
  <c r="R145" i="8" s="1"/>
  <c r="S145" i="8" s="1"/>
  <c r="T145" i="8" s="1"/>
  <c r="U145" i="8" s="1"/>
  <c r="V145" i="8" s="1"/>
  <c r="W145" i="8" s="1"/>
  <c r="X145" i="8" s="1"/>
  <c r="Y145" i="8" s="1"/>
  <c r="Z145" i="8" s="1"/>
  <c r="AA145" i="8" s="1"/>
  <c r="H146" i="8"/>
  <c r="I146" i="8" s="1"/>
  <c r="J146" i="8" s="1"/>
  <c r="K146" i="8" s="1"/>
  <c r="L146" i="8" s="1"/>
  <c r="M146" i="8" s="1"/>
  <c r="N146" i="8" s="1"/>
  <c r="O146" i="8" s="1"/>
  <c r="P146" i="8" s="1"/>
  <c r="Q146" i="8" s="1"/>
  <c r="R146" i="8" s="1"/>
  <c r="S146" i="8" s="1"/>
  <c r="T146" i="8" s="1"/>
  <c r="U146" i="8" s="1"/>
  <c r="V146" i="8" s="1"/>
  <c r="W146" i="8" s="1"/>
  <c r="X146" i="8" s="1"/>
  <c r="Y146" i="8" s="1"/>
  <c r="Z146" i="8" s="1"/>
  <c r="AA146" i="8" s="1"/>
  <c r="H147" i="8"/>
  <c r="I147" i="8" s="1"/>
  <c r="J147" i="8" s="1"/>
  <c r="K147" i="8" s="1"/>
  <c r="L147" i="8" s="1"/>
  <c r="M147" i="8" s="1"/>
  <c r="N147" i="8" s="1"/>
  <c r="O147" i="8" s="1"/>
  <c r="P147" i="8" s="1"/>
  <c r="Q147" i="8" s="1"/>
  <c r="R147" i="8" s="1"/>
  <c r="S147" i="8" s="1"/>
  <c r="T147" i="8" s="1"/>
  <c r="U147" i="8" s="1"/>
  <c r="V147" i="8" s="1"/>
  <c r="W147" i="8" s="1"/>
  <c r="X147" i="8" s="1"/>
  <c r="Y147" i="8" s="1"/>
  <c r="Z147" i="8" s="1"/>
  <c r="AA147" i="8" s="1"/>
  <c r="H144" i="8"/>
  <c r="J149" i="9"/>
  <c r="J128" i="8"/>
  <c r="Z196" i="7"/>
  <c r="AJ161" i="5"/>
  <c r="AJ44" i="6" s="1"/>
  <c r="AI168" i="5"/>
  <c r="AI51" i="6" s="1"/>
  <c r="W4" i="7"/>
  <c r="W4" i="6"/>
  <c r="V4" i="5"/>
  <c r="J100" i="10"/>
  <c r="J98" i="10"/>
  <c r="J94" i="10"/>
  <c r="K91" i="10"/>
  <c r="J99" i="10"/>
  <c r="AH167" i="5"/>
  <c r="AH50" i="6" s="1"/>
  <c r="AM10" i="4"/>
  <c r="AL12" i="4"/>
  <c r="I149" i="10"/>
  <c r="AB196" i="7"/>
  <c r="M192" i="9"/>
  <c r="Y196" i="7"/>
  <c r="AN49" i="7"/>
  <c r="R37" i="12" s="1"/>
  <c r="R37" i="13" s="1"/>
  <c r="AO44" i="7"/>
  <c r="AN48" i="7"/>
  <c r="R37" i="9" s="1"/>
  <c r="R37" i="10" s="1"/>
  <c r="AJ166" i="5"/>
  <c r="AJ49" i="6" s="1"/>
  <c r="M185" i="8"/>
  <c r="M185" i="9"/>
  <c r="T196" i="7"/>
  <c r="U196" i="7"/>
  <c r="O5" i="7"/>
  <c r="O5" i="6"/>
  <c r="P5" i="5"/>
  <c r="J136" i="10"/>
  <c r="J141" i="10"/>
  <c r="J140" i="10"/>
  <c r="K133" i="10"/>
  <c r="J142" i="10"/>
  <c r="AA196" i="7"/>
  <c r="AL4" i="5"/>
  <c r="K121" i="8"/>
  <c r="K119" i="8"/>
  <c r="K120" i="8"/>
  <c r="L112" i="8"/>
  <c r="K115" i="8"/>
  <c r="K142" i="9"/>
  <c r="K140" i="9"/>
  <c r="K136" i="9"/>
  <c r="L133" i="9"/>
  <c r="K141" i="9"/>
  <c r="L192" i="10"/>
  <c r="O6" i="7"/>
  <c r="O6" i="6"/>
  <c r="P6" i="5"/>
  <c r="AJ169" i="5"/>
  <c r="AJ52" i="6" s="1"/>
  <c r="M192" i="8"/>
  <c r="I107" i="10"/>
  <c r="I170" i="10"/>
  <c r="AS13" i="6"/>
  <c r="AR34" i="6" a="1"/>
  <c r="AR34" i="6" s="1"/>
  <c r="AR25" i="6" a="1"/>
  <c r="AR25" i="6" s="1"/>
  <c r="AR29" i="6" s="1"/>
  <c r="AR26" i="6" a="1"/>
  <c r="AR26" i="6" s="1"/>
  <c r="AR30" i="6" s="1"/>
  <c r="AR35" i="6" a="1"/>
  <c r="AR35" i="6" s="1"/>
  <c r="AR27" i="6" a="1"/>
  <c r="AR27" i="6" s="1"/>
  <c r="AR33" i="6" a="1"/>
  <c r="AR33" i="6" s="1"/>
  <c r="V196" i="7"/>
  <c r="AQ59" i="6"/>
  <c r="W196" i="7"/>
  <c r="I175" i="10"/>
  <c r="J157" i="10"/>
  <c r="K154" i="10"/>
  <c r="J163" i="10"/>
  <c r="J161" i="10"/>
  <c r="J162" i="10"/>
  <c r="AQ75" i="6"/>
  <c r="AQ65" i="6"/>
  <c r="U184" i="12" s="1"/>
  <c r="AQ63" i="6"/>
  <c r="AQ37" i="6"/>
  <c r="AQ64" i="6"/>
  <c r="AQ76" i="6"/>
  <c r="S196" i="7"/>
  <c r="AP46" i="7"/>
  <c r="AO53" i="7"/>
  <c r="S37" i="15" s="1"/>
  <c r="AO52" i="7"/>
  <c r="S37" i="14" s="1"/>
  <c r="AI170" i="5"/>
  <c r="AI53" i="6" s="1"/>
  <c r="AQ79" i="6"/>
  <c r="AQ71" i="6"/>
  <c r="AQ69" i="6"/>
  <c r="AQ72" i="6"/>
  <c r="AQ70" i="6"/>
  <c r="AQ39" i="6"/>
  <c r="AI164" i="5"/>
  <c r="AI47" i="6" s="1"/>
  <c r="AI54" i="6" s="1"/>
  <c r="L186" i="8"/>
  <c r="AO51" i="7"/>
  <c r="S37" i="11" s="1"/>
  <c r="AP45" i="7"/>
  <c r="AO50" i="7"/>
  <c r="S37" i="8" s="1"/>
  <c r="K94" i="8"/>
  <c r="L91" i="8"/>
  <c r="K99" i="8"/>
  <c r="K100" i="8"/>
  <c r="K98" i="8"/>
  <c r="X196" i="7"/>
  <c r="AQ77" i="6"/>
  <c r="AQ67" i="6"/>
  <c r="AQ78" i="6"/>
  <c r="AQ68" i="6"/>
  <c r="U184" i="11" s="1"/>
  <c r="AQ38" i="6"/>
  <c r="AQ66" i="6"/>
  <c r="J107" i="8"/>
  <c r="AJ162" i="5"/>
  <c r="AJ45" i="6" s="1"/>
  <c r="AJ165" i="5"/>
  <c r="AJ48" i="6" s="1"/>
  <c r="AT5" i="4" l="1"/>
  <c r="AS7" i="4"/>
  <c r="O7" i="18"/>
  <c r="AL261" i="7"/>
  <c r="AL262" i="7"/>
  <c r="O8" i="18"/>
  <c r="AN4" i="7"/>
  <c r="AM260" i="7"/>
  <c r="U184" i="14"/>
  <c r="K186" i="13"/>
  <c r="K33" i="18"/>
  <c r="AH55" i="6"/>
  <c r="L186" i="12"/>
  <c r="L186" i="13" s="1"/>
  <c r="AI46" i="6"/>
  <c r="AJ163" i="5"/>
  <c r="U184" i="15"/>
  <c r="U184" i="9"/>
  <c r="K199" i="7"/>
  <c r="AC223" i="7" s="1"/>
  <c r="G23" i="9" s="1"/>
  <c r="K204" i="7"/>
  <c r="K205" i="7"/>
  <c r="I103" i="9"/>
  <c r="J103" i="9" s="1"/>
  <c r="K103" i="9" s="1"/>
  <c r="L103" i="9" s="1"/>
  <c r="M103" i="9" s="1"/>
  <c r="N103" i="9" s="1"/>
  <c r="O103" i="9" s="1"/>
  <c r="P103" i="9" s="1"/>
  <c r="Q103" i="9" s="1"/>
  <c r="R103" i="9" s="1"/>
  <c r="S103" i="9" s="1"/>
  <c r="T103" i="9" s="1"/>
  <c r="U103" i="9" s="1"/>
  <c r="V103" i="9" s="1"/>
  <c r="W103" i="9" s="1"/>
  <c r="X103" i="9" s="1"/>
  <c r="Y103" i="9" s="1"/>
  <c r="Z103" i="9" s="1"/>
  <c r="AA103" i="9" s="1"/>
  <c r="K141" i="8"/>
  <c r="K140" i="8"/>
  <c r="K142" i="8"/>
  <c r="J149" i="8"/>
  <c r="K136" i="8"/>
  <c r="K175" i="8" s="1"/>
  <c r="K162" i="9"/>
  <c r="K186" i="10"/>
  <c r="M186" i="11"/>
  <c r="AG58" i="6"/>
  <c r="AG60" i="6" s="1"/>
  <c r="K186" i="14"/>
  <c r="K35" i="18" s="1"/>
  <c r="M186" i="9"/>
  <c r="L186" i="15"/>
  <c r="K163" i="9"/>
  <c r="K161" i="9"/>
  <c r="K157" i="9"/>
  <c r="J175" i="9"/>
  <c r="J170" i="9"/>
  <c r="I176" i="9"/>
  <c r="I200" i="9" s="1"/>
  <c r="I225" i="9" s="1"/>
  <c r="K120" i="9"/>
  <c r="K115" i="9"/>
  <c r="K119" i="9"/>
  <c r="L112" i="9"/>
  <c r="M112" i="9" s="1"/>
  <c r="K100" i="9"/>
  <c r="J128" i="9"/>
  <c r="J107" i="9"/>
  <c r="K99" i="9"/>
  <c r="L91" i="9"/>
  <c r="L100" i="9" s="1"/>
  <c r="K94" i="9"/>
  <c r="L186" i="10"/>
  <c r="L34" i="18"/>
  <c r="P288" i="9"/>
  <c r="O256" i="9"/>
  <c r="P222" i="10"/>
  <c r="P288" i="10" s="1"/>
  <c r="O12" i="18"/>
  <c r="O222" i="10"/>
  <c r="O256" i="10" s="1"/>
  <c r="N12" i="18"/>
  <c r="K203" i="7"/>
  <c r="K206" i="7"/>
  <c r="K202" i="7"/>
  <c r="AC219" i="7" s="1"/>
  <c r="G22" i="8" s="1"/>
  <c r="K207" i="7"/>
  <c r="K200" i="7"/>
  <c r="H257" i="15"/>
  <c r="I180" i="14"/>
  <c r="I237" i="14"/>
  <c r="I303" i="14" s="1"/>
  <c r="Q50" i="13"/>
  <c r="R50" i="15"/>
  <c r="O50" i="10"/>
  <c r="P50" i="10"/>
  <c r="H289" i="13"/>
  <c r="R50" i="14"/>
  <c r="H239" i="14"/>
  <c r="H305" i="14" s="1"/>
  <c r="R50" i="8"/>
  <c r="R42" i="13"/>
  <c r="R222" i="13" s="1"/>
  <c r="R45" i="13"/>
  <c r="AN54" i="7"/>
  <c r="R288" i="11"/>
  <c r="R256" i="11"/>
  <c r="Q288" i="12"/>
  <c r="Q256" i="12"/>
  <c r="Q45" i="9"/>
  <c r="Q42" i="9"/>
  <c r="R42" i="12"/>
  <c r="R222" i="12" s="1"/>
  <c r="R45" i="12"/>
  <c r="R50" i="12" s="1"/>
  <c r="P256" i="13"/>
  <c r="P288" i="13"/>
  <c r="S45" i="11"/>
  <c r="S50" i="11" s="1"/>
  <c r="S42" i="11"/>
  <c r="S222" i="11" s="1"/>
  <c r="R288" i="15"/>
  <c r="R256" i="15"/>
  <c r="S45" i="8"/>
  <c r="S42" i="8"/>
  <c r="S222" i="8" s="1"/>
  <c r="S42" i="14"/>
  <c r="S222" i="14" s="1"/>
  <c r="S45" i="14"/>
  <c r="R256" i="14"/>
  <c r="R288" i="14"/>
  <c r="S42" i="15"/>
  <c r="S222" i="15" s="1"/>
  <c r="S45" i="15"/>
  <c r="S50" i="15" s="1"/>
  <c r="R256" i="8"/>
  <c r="R288" i="8"/>
  <c r="Q256" i="13"/>
  <c r="Q288" i="13"/>
  <c r="I237" i="13"/>
  <c r="I303" i="13" s="1"/>
  <c r="I180" i="13"/>
  <c r="I181" i="13"/>
  <c r="I200" i="13"/>
  <c r="I239" i="13" s="1"/>
  <c r="H239" i="15"/>
  <c r="H273" i="15" s="1"/>
  <c r="I200" i="15"/>
  <c r="I225" i="15" s="1"/>
  <c r="I237" i="15"/>
  <c r="I271" i="15" s="1"/>
  <c r="I180" i="15"/>
  <c r="J177" i="13"/>
  <c r="J180" i="13" s="1"/>
  <c r="I181" i="15"/>
  <c r="I187" i="15"/>
  <c r="I224" i="15" s="1"/>
  <c r="I290" i="15" s="1"/>
  <c r="K171" i="15"/>
  <c r="K150" i="14"/>
  <c r="K107" i="14"/>
  <c r="K128" i="14"/>
  <c r="K175" i="14"/>
  <c r="K175" i="13"/>
  <c r="J176" i="14"/>
  <c r="J179" i="14" s="1"/>
  <c r="K129" i="13"/>
  <c r="K150" i="15"/>
  <c r="K149" i="13"/>
  <c r="K108" i="14"/>
  <c r="K128" i="15"/>
  <c r="K108" i="15"/>
  <c r="H238" i="14"/>
  <c r="H304" i="14" s="1"/>
  <c r="H258" i="14"/>
  <c r="J177" i="14"/>
  <c r="H303" i="14"/>
  <c r="H271" i="14"/>
  <c r="J176" i="13"/>
  <c r="J179" i="13" s="1"/>
  <c r="K107" i="13"/>
  <c r="H257" i="14"/>
  <c r="H289" i="14"/>
  <c r="J177" i="15"/>
  <c r="K171" i="14"/>
  <c r="K170" i="13"/>
  <c r="M91" i="13"/>
  <c r="L98" i="13"/>
  <c r="L99" i="13"/>
  <c r="L100" i="13"/>
  <c r="L94" i="13"/>
  <c r="J176" i="15"/>
  <c r="J200" i="15" s="1"/>
  <c r="L163" i="13"/>
  <c r="L161" i="13"/>
  <c r="L157" i="13"/>
  <c r="M154" i="13"/>
  <c r="L162" i="13"/>
  <c r="I289" i="13"/>
  <c r="I257" i="13"/>
  <c r="L142" i="15"/>
  <c r="L140" i="15"/>
  <c r="L141" i="15"/>
  <c r="L136" i="15"/>
  <c r="M133" i="15"/>
  <c r="L140" i="13"/>
  <c r="L142" i="13"/>
  <c r="L136" i="13"/>
  <c r="L141" i="13"/>
  <c r="M133" i="13"/>
  <c r="I289" i="14"/>
  <c r="I257" i="14"/>
  <c r="I179" i="14"/>
  <c r="I187" i="14"/>
  <c r="I224" i="14" s="1"/>
  <c r="L94" i="15"/>
  <c r="L100" i="15"/>
  <c r="L98" i="15"/>
  <c r="L99" i="15"/>
  <c r="M91" i="15"/>
  <c r="L140" i="14"/>
  <c r="L141" i="14"/>
  <c r="L142" i="14"/>
  <c r="L136" i="14"/>
  <c r="M133" i="14"/>
  <c r="L120" i="15"/>
  <c r="L121" i="15"/>
  <c r="L119" i="15"/>
  <c r="L115" i="15"/>
  <c r="M112" i="15"/>
  <c r="L119" i="13"/>
  <c r="L121" i="13"/>
  <c r="L120" i="13"/>
  <c r="M112" i="13"/>
  <c r="L115" i="13"/>
  <c r="K129" i="14"/>
  <c r="H238" i="15"/>
  <c r="H290" i="15"/>
  <c r="H258" i="15"/>
  <c r="L163" i="15"/>
  <c r="L162" i="15"/>
  <c r="L157" i="15"/>
  <c r="L161" i="15"/>
  <c r="M154" i="15"/>
  <c r="L98" i="14"/>
  <c r="L94" i="14"/>
  <c r="M91" i="14"/>
  <c r="L100" i="14"/>
  <c r="L99" i="14"/>
  <c r="L161" i="14"/>
  <c r="L163" i="14"/>
  <c r="M154" i="14"/>
  <c r="L162" i="14"/>
  <c r="L157" i="14"/>
  <c r="L120" i="14"/>
  <c r="L119" i="14"/>
  <c r="L121" i="14"/>
  <c r="M112" i="14"/>
  <c r="L115" i="14"/>
  <c r="K170" i="14"/>
  <c r="I200" i="14"/>
  <c r="K170" i="15"/>
  <c r="I289" i="15"/>
  <c r="I257" i="15"/>
  <c r="H305" i="13"/>
  <c r="H273" i="13"/>
  <c r="K149" i="14"/>
  <c r="H259" i="14"/>
  <c r="H291" i="14"/>
  <c r="K150" i="13"/>
  <c r="H291" i="15"/>
  <c r="H259" i="15"/>
  <c r="K128" i="13"/>
  <c r="K175" i="15"/>
  <c r="H259" i="13"/>
  <c r="H291" i="13"/>
  <c r="K129" i="15"/>
  <c r="K149" i="15"/>
  <c r="K171" i="13"/>
  <c r="K108" i="13"/>
  <c r="I181" i="14"/>
  <c r="K107" i="15"/>
  <c r="H271" i="11"/>
  <c r="H225" i="11"/>
  <c r="H291" i="11" s="1"/>
  <c r="H238" i="11"/>
  <c r="H272" i="11" s="1"/>
  <c r="H290" i="11"/>
  <c r="K171" i="11"/>
  <c r="I187" i="11"/>
  <c r="I224" i="11" s="1"/>
  <c r="I290" i="11" s="1"/>
  <c r="J177" i="11"/>
  <c r="J223" i="11" s="1"/>
  <c r="I179" i="11"/>
  <c r="K108" i="11"/>
  <c r="K170" i="11"/>
  <c r="N185" i="15"/>
  <c r="K175" i="11"/>
  <c r="M112" i="11"/>
  <c r="L119" i="11"/>
  <c r="L115" i="11"/>
  <c r="L121" i="11"/>
  <c r="L120" i="11"/>
  <c r="M185" i="14"/>
  <c r="I180" i="11"/>
  <c r="I223" i="11"/>
  <c r="I237" i="11"/>
  <c r="I181" i="11"/>
  <c r="L142" i="11"/>
  <c r="L136" i="11"/>
  <c r="L141" i="11"/>
  <c r="L140" i="11"/>
  <c r="M133" i="11"/>
  <c r="L157" i="11"/>
  <c r="L163" i="11"/>
  <c r="L162" i="11"/>
  <c r="L161" i="11"/>
  <c r="M154" i="11"/>
  <c r="K107" i="11"/>
  <c r="K149" i="11"/>
  <c r="K128" i="11"/>
  <c r="H273" i="11"/>
  <c r="H305" i="11"/>
  <c r="I239" i="11"/>
  <c r="I225" i="11"/>
  <c r="K150" i="11"/>
  <c r="J176" i="11"/>
  <c r="J200" i="11" s="1"/>
  <c r="K129" i="11"/>
  <c r="L100" i="11"/>
  <c r="M91" i="11"/>
  <c r="L94" i="11"/>
  <c r="L99" i="11"/>
  <c r="L98" i="11"/>
  <c r="H179" i="9"/>
  <c r="H225" i="12"/>
  <c r="H259" i="12" s="1"/>
  <c r="H239" i="9"/>
  <c r="H273" i="9" s="1"/>
  <c r="H187" i="9"/>
  <c r="H224" i="9" s="1"/>
  <c r="H290" i="9" s="1"/>
  <c r="H129" i="10"/>
  <c r="I180" i="12"/>
  <c r="I223" i="12"/>
  <c r="I289" i="12" s="1"/>
  <c r="I165" i="10"/>
  <c r="H171" i="10"/>
  <c r="I102" i="10"/>
  <c r="H108" i="10"/>
  <c r="I144" i="10"/>
  <c r="H150" i="10"/>
  <c r="H187" i="13"/>
  <c r="H224" i="13" s="1"/>
  <c r="H290" i="13" s="1"/>
  <c r="I102" i="9"/>
  <c r="H108" i="9"/>
  <c r="I165" i="9"/>
  <c r="H171" i="9"/>
  <c r="I144" i="9"/>
  <c r="H150" i="9"/>
  <c r="I123" i="9"/>
  <c r="H129" i="9"/>
  <c r="J177" i="12"/>
  <c r="J237" i="12" s="1"/>
  <c r="I187" i="12"/>
  <c r="I224" i="12" s="1"/>
  <c r="K170" i="12"/>
  <c r="K108" i="12"/>
  <c r="K129" i="12"/>
  <c r="I239" i="12"/>
  <c r="I273" i="12" s="1"/>
  <c r="J176" i="12"/>
  <c r="J187" i="12" s="1"/>
  <c r="I179" i="12"/>
  <c r="I181" i="12"/>
  <c r="K149" i="12"/>
  <c r="K107" i="12"/>
  <c r="L115" i="12"/>
  <c r="M112" i="12"/>
  <c r="L121" i="12"/>
  <c r="L119" i="12"/>
  <c r="L120" i="12"/>
  <c r="N185" i="11"/>
  <c r="I271" i="12"/>
  <c r="I303" i="12"/>
  <c r="H258" i="12"/>
  <c r="H290" i="12"/>
  <c r="H238" i="12"/>
  <c r="K150" i="12"/>
  <c r="H271" i="12"/>
  <c r="H303" i="12"/>
  <c r="H305" i="12"/>
  <c r="H273" i="12"/>
  <c r="K171" i="12"/>
  <c r="M185" i="12"/>
  <c r="L157" i="12"/>
  <c r="M154" i="12"/>
  <c r="L162" i="12"/>
  <c r="L161" i="12"/>
  <c r="L163" i="12"/>
  <c r="L136" i="12"/>
  <c r="M133" i="12"/>
  <c r="L141" i="12"/>
  <c r="L142" i="12"/>
  <c r="L140" i="12"/>
  <c r="I259" i="12"/>
  <c r="I291" i="12"/>
  <c r="L99" i="12"/>
  <c r="L98" i="12"/>
  <c r="L100" i="12"/>
  <c r="M91" i="12"/>
  <c r="L94" i="12"/>
  <c r="H289" i="12"/>
  <c r="H257" i="12"/>
  <c r="K175" i="12"/>
  <c r="K128" i="12"/>
  <c r="J170" i="8"/>
  <c r="I165" i="8"/>
  <c r="J165" i="8" s="1"/>
  <c r="H171" i="8"/>
  <c r="H179" i="8"/>
  <c r="J120" i="10"/>
  <c r="I176" i="8"/>
  <c r="K162" i="8"/>
  <c r="L154" i="8"/>
  <c r="L157" i="8" s="1"/>
  <c r="K161" i="8"/>
  <c r="K163" i="8"/>
  <c r="J121" i="10"/>
  <c r="K112" i="10"/>
  <c r="K120" i="10" s="1"/>
  <c r="J115" i="10"/>
  <c r="J175" i="10" s="1"/>
  <c r="I128" i="10"/>
  <c r="I176" i="10" s="1"/>
  <c r="I179" i="10" s="1"/>
  <c r="I129" i="10"/>
  <c r="T208" i="7"/>
  <c r="U184" i="8"/>
  <c r="H200" i="8"/>
  <c r="H225" i="8" s="1"/>
  <c r="H129" i="8"/>
  <c r="H187" i="8"/>
  <c r="I124" i="8"/>
  <c r="J124" i="8" s="1"/>
  <c r="K124" i="8" s="1"/>
  <c r="L124" i="8" s="1"/>
  <c r="M124" i="8" s="1"/>
  <c r="N124" i="8" s="1"/>
  <c r="O124" i="8" s="1"/>
  <c r="P124" i="8" s="1"/>
  <c r="Q124" i="8" s="1"/>
  <c r="R124" i="8" s="1"/>
  <c r="S124" i="8" s="1"/>
  <c r="T124" i="8" s="1"/>
  <c r="U124" i="8" s="1"/>
  <c r="V124" i="8" s="1"/>
  <c r="W124" i="8" s="1"/>
  <c r="X124" i="8" s="1"/>
  <c r="Y124" i="8" s="1"/>
  <c r="Z124" i="8" s="1"/>
  <c r="AA124" i="8" s="1"/>
  <c r="H108" i="8"/>
  <c r="I144" i="8"/>
  <c r="H150" i="8"/>
  <c r="J102" i="8"/>
  <c r="I108" i="8"/>
  <c r="J123" i="8"/>
  <c r="W208" i="7"/>
  <c r="X208" i="7"/>
  <c r="Y208" i="7"/>
  <c r="Z208" i="7"/>
  <c r="AB208" i="7"/>
  <c r="AA208" i="7"/>
  <c r="U208" i="7"/>
  <c r="V208" i="7"/>
  <c r="K157" i="10"/>
  <c r="L154" i="10"/>
  <c r="K163" i="10"/>
  <c r="K161" i="10"/>
  <c r="K162" i="10"/>
  <c r="AP51" i="7"/>
  <c r="T37" i="11" s="1"/>
  <c r="AP50" i="7"/>
  <c r="T37" i="8" s="1"/>
  <c r="AQ45" i="7"/>
  <c r="V4" i="7"/>
  <c r="U4" i="5"/>
  <c r="V4" i="6"/>
  <c r="AR59" i="6"/>
  <c r="L140" i="8"/>
  <c r="L141" i="8"/>
  <c r="M133" i="8"/>
  <c r="L142" i="8"/>
  <c r="L136" i="8"/>
  <c r="AO48" i="7"/>
  <c r="S37" i="9" s="1"/>
  <c r="S37" i="10" s="1"/>
  <c r="AO49" i="7"/>
  <c r="S37" i="12" s="1"/>
  <c r="S37" i="13" s="1"/>
  <c r="AP44" i="7"/>
  <c r="S208" i="7"/>
  <c r="AK165" i="5"/>
  <c r="AK48" i="6" s="1"/>
  <c r="AK162" i="5"/>
  <c r="AK45" i="6" s="1"/>
  <c r="P6" i="7"/>
  <c r="Q6" i="5"/>
  <c r="P6" i="6"/>
  <c r="L142" i="9"/>
  <c r="L140" i="9"/>
  <c r="M133" i="9"/>
  <c r="L136" i="9"/>
  <c r="L141" i="9"/>
  <c r="K128" i="8"/>
  <c r="N192" i="8"/>
  <c r="AK166" i="5"/>
  <c r="AK49" i="6" s="1"/>
  <c r="L162" i="9"/>
  <c r="L161" i="9"/>
  <c r="M154" i="9"/>
  <c r="L163" i="9"/>
  <c r="L157" i="9"/>
  <c r="J170" i="10"/>
  <c r="AR78" i="6"/>
  <c r="AR68" i="6"/>
  <c r="V184" i="11" s="1"/>
  <c r="AR66" i="6"/>
  <c r="AR77" i="6"/>
  <c r="AR67" i="6"/>
  <c r="AR38" i="6"/>
  <c r="AM4" i="5"/>
  <c r="K136" i="10"/>
  <c r="K141" i="10"/>
  <c r="K140" i="10"/>
  <c r="L133" i="10"/>
  <c r="K142" i="10"/>
  <c r="P5" i="6"/>
  <c r="P5" i="7"/>
  <c r="Q5" i="5"/>
  <c r="H259" i="9"/>
  <c r="H291" i="9"/>
  <c r="H200" i="10"/>
  <c r="AM12" i="4"/>
  <c r="AN10" i="4"/>
  <c r="K99" i="10"/>
  <c r="K94" i="10"/>
  <c r="L91" i="10"/>
  <c r="K98" i="10"/>
  <c r="K100" i="10"/>
  <c r="AR76" i="6"/>
  <c r="AR64" i="6"/>
  <c r="AR75" i="6"/>
  <c r="AR63" i="6"/>
  <c r="AR65" i="6"/>
  <c r="V184" i="12" s="1"/>
  <c r="AR37" i="6"/>
  <c r="AK169" i="5"/>
  <c r="AK52" i="6" s="1"/>
  <c r="AK161" i="5"/>
  <c r="AK44" i="6" s="1"/>
  <c r="AI167" i="5"/>
  <c r="AI50" i="6" s="1"/>
  <c r="K149" i="9"/>
  <c r="K107" i="8"/>
  <c r="M186" i="8"/>
  <c r="AJ164" i="5"/>
  <c r="AJ47" i="6" s="1"/>
  <c r="AJ54" i="6" s="1"/>
  <c r="AT13" i="6"/>
  <c r="AS25" i="6" a="1"/>
  <c r="AS25" i="6" s="1"/>
  <c r="AS29" i="6" s="1"/>
  <c r="AS26" i="6" a="1"/>
  <c r="AS26" i="6" s="1"/>
  <c r="AS30" i="6" s="1"/>
  <c r="AS27" i="6" a="1"/>
  <c r="AS27" i="6" s="1"/>
  <c r="AS35" i="6" a="1"/>
  <c r="AS35" i="6" s="1"/>
  <c r="AS34" i="6" a="1"/>
  <c r="AS34" i="6" s="1"/>
  <c r="AS33" i="6" a="1"/>
  <c r="AS33" i="6" s="1"/>
  <c r="J149" i="10"/>
  <c r="N185" i="9"/>
  <c r="N192" i="9"/>
  <c r="AJ168" i="5"/>
  <c r="AJ51" i="6" s="1"/>
  <c r="L99" i="8"/>
  <c r="L100" i="8"/>
  <c r="M91" i="8"/>
  <c r="L94" i="8"/>
  <c r="L98" i="8"/>
  <c r="AJ170" i="5"/>
  <c r="AJ53" i="6" s="1"/>
  <c r="AR72" i="6"/>
  <c r="AR70" i="6"/>
  <c r="AR39" i="6"/>
  <c r="AR79" i="6"/>
  <c r="AR69" i="6"/>
  <c r="AR71" i="6"/>
  <c r="AP53" i="7"/>
  <c r="T37" i="15" s="1"/>
  <c r="AQ46" i="7"/>
  <c r="AP52" i="7"/>
  <c r="T37" i="14" s="1"/>
  <c r="M192" i="10"/>
  <c r="L121" i="8"/>
  <c r="L119" i="8"/>
  <c r="L120" i="8"/>
  <c r="M112" i="8"/>
  <c r="L115" i="8"/>
  <c r="N185" i="8"/>
  <c r="J107" i="10"/>
  <c r="AT7" i="4" l="1"/>
  <c r="AU5" i="4"/>
  <c r="AM261" i="7"/>
  <c r="P7" i="18"/>
  <c r="P8" i="18"/>
  <c r="AM262" i="7"/>
  <c r="AO4" i="7"/>
  <c r="AN260" i="7"/>
  <c r="K36" i="18"/>
  <c r="L33" i="18"/>
  <c r="M186" i="12"/>
  <c r="M186" i="13" s="1"/>
  <c r="AI55" i="6"/>
  <c r="AJ46" i="6"/>
  <c r="AK163" i="5"/>
  <c r="V184" i="14"/>
  <c r="V184" i="15"/>
  <c r="K149" i="8"/>
  <c r="J176" i="8"/>
  <c r="J200" i="8" s="1"/>
  <c r="J225" i="8" s="1"/>
  <c r="L36" i="18"/>
  <c r="N186" i="11"/>
  <c r="M186" i="15"/>
  <c r="N186" i="9"/>
  <c r="AH58" i="6"/>
  <c r="AH60" i="6" s="1"/>
  <c r="L186" i="14"/>
  <c r="L35" i="18" s="1"/>
  <c r="K170" i="9"/>
  <c r="K175" i="9"/>
  <c r="I239" i="9"/>
  <c r="I273" i="9" s="1"/>
  <c r="L121" i="9"/>
  <c r="L120" i="9"/>
  <c r="I179" i="9"/>
  <c r="I187" i="9"/>
  <c r="I224" i="9" s="1"/>
  <c r="I290" i="9" s="1"/>
  <c r="L99" i="9"/>
  <c r="K128" i="9"/>
  <c r="L94" i="9"/>
  <c r="L119" i="9"/>
  <c r="L115" i="9"/>
  <c r="J176" i="9"/>
  <c r="J200" i="9" s="1"/>
  <c r="K107" i="9"/>
  <c r="P256" i="10"/>
  <c r="L98" i="9"/>
  <c r="M91" i="9"/>
  <c r="M100" i="9" s="1"/>
  <c r="M186" i="10"/>
  <c r="M34" i="18"/>
  <c r="O288" i="10"/>
  <c r="Q222" i="9"/>
  <c r="Q288" i="9" s="1"/>
  <c r="P11" i="18"/>
  <c r="AC218" i="7"/>
  <c r="G22" i="12" s="1"/>
  <c r="AC224" i="7"/>
  <c r="G23" i="12" s="1"/>
  <c r="AC212" i="7"/>
  <c r="G21" i="12" s="1"/>
  <c r="AC217" i="7"/>
  <c r="G22" i="9" s="1"/>
  <c r="G22" i="10" s="1"/>
  <c r="AC225" i="7"/>
  <c r="G23" i="8" s="1"/>
  <c r="G23" i="10" s="1"/>
  <c r="AC227" i="7"/>
  <c r="G23" i="14" s="1"/>
  <c r="G31" i="14" s="1"/>
  <c r="AC215" i="7"/>
  <c r="G21" i="14" s="1"/>
  <c r="AC221" i="7"/>
  <c r="G22" i="14" s="1"/>
  <c r="AC228" i="7"/>
  <c r="G23" i="15" s="1"/>
  <c r="G31" i="15" s="1"/>
  <c r="AC216" i="7"/>
  <c r="G21" i="15" s="1"/>
  <c r="AC222" i="7"/>
  <c r="G22" i="15" s="1"/>
  <c r="G30" i="15" s="1"/>
  <c r="AC213" i="7"/>
  <c r="G21" i="8" s="1"/>
  <c r="AC226" i="7"/>
  <c r="G23" i="11" s="1"/>
  <c r="AC220" i="7"/>
  <c r="G22" i="11" s="1"/>
  <c r="AC214" i="7"/>
  <c r="G21" i="11" s="1"/>
  <c r="AC211" i="7"/>
  <c r="I271" i="14"/>
  <c r="H273" i="14"/>
  <c r="I225" i="13"/>
  <c r="I259" i="13" s="1"/>
  <c r="H305" i="15"/>
  <c r="I271" i="13"/>
  <c r="R50" i="13"/>
  <c r="Q50" i="9"/>
  <c r="S50" i="14"/>
  <c r="S50" i="8"/>
  <c r="S288" i="15"/>
  <c r="S256" i="15"/>
  <c r="S256" i="8"/>
  <c r="S288" i="8"/>
  <c r="AO54" i="7"/>
  <c r="I258" i="15"/>
  <c r="I238" i="15"/>
  <c r="I272" i="15" s="1"/>
  <c r="R288" i="12"/>
  <c r="R256" i="12"/>
  <c r="R42" i="9"/>
  <c r="R45" i="9"/>
  <c r="S45" i="12"/>
  <c r="S50" i="12" s="1"/>
  <c r="S42" i="12"/>
  <c r="S222" i="12" s="1"/>
  <c r="T45" i="14"/>
  <c r="T42" i="14"/>
  <c r="T222" i="14" s="1"/>
  <c r="Q45" i="10"/>
  <c r="Q42" i="10"/>
  <c r="T45" i="8"/>
  <c r="T42" i="8"/>
  <c r="T222" i="8" s="1"/>
  <c r="S256" i="14"/>
  <c r="S288" i="14"/>
  <c r="S256" i="11"/>
  <c r="S288" i="11"/>
  <c r="T45" i="15"/>
  <c r="T42" i="15"/>
  <c r="T222" i="15" s="1"/>
  <c r="T45" i="11"/>
  <c r="T50" i="11" s="1"/>
  <c r="T42" i="11"/>
  <c r="T222" i="11" s="1"/>
  <c r="R288" i="13"/>
  <c r="R256" i="13"/>
  <c r="J200" i="13"/>
  <c r="J225" i="13" s="1"/>
  <c r="I303" i="15"/>
  <c r="J237" i="13"/>
  <c r="J271" i="13" s="1"/>
  <c r="J223" i="13"/>
  <c r="J289" i="13" s="1"/>
  <c r="I239" i="15"/>
  <c r="I273" i="15" s="1"/>
  <c r="J200" i="14"/>
  <c r="J239" i="14" s="1"/>
  <c r="L150" i="14"/>
  <c r="J181" i="15"/>
  <c r="J223" i="15"/>
  <c r="J257" i="15" s="1"/>
  <c r="J237" i="15"/>
  <c r="J303" i="15" s="1"/>
  <c r="K176" i="13"/>
  <c r="K179" i="13" s="1"/>
  <c r="J180" i="15"/>
  <c r="J187" i="14"/>
  <c r="J224" i="14" s="1"/>
  <c r="J258" i="14" s="1"/>
  <c r="J181" i="14"/>
  <c r="L150" i="15"/>
  <c r="K177" i="14"/>
  <c r="K180" i="14" s="1"/>
  <c r="L108" i="15"/>
  <c r="J181" i="13"/>
  <c r="L171" i="15"/>
  <c r="J223" i="14"/>
  <c r="J257" i="14" s="1"/>
  <c r="K176" i="14"/>
  <c r="K187" i="14" s="1"/>
  <c r="K224" i="14" s="1"/>
  <c r="L171" i="14"/>
  <c r="L149" i="13"/>
  <c r="H272" i="14"/>
  <c r="J237" i="14"/>
  <c r="J303" i="14" s="1"/>
  <c r="L149" i="14"/>
  <c r="J180" i="14"/>
  <c r="K177" i="15"/>
  <c r="K237" i="15" s="1"/>
  <c r="L129" i="14"/>
  <c r="L128" i="15"/>
  <c r="I273" i="13"/>
  <c r="I305" i="13"/>
  <c r="L170" i="13"/>
  <c r="I291" i="15"/>
  <c r="I259" i="15"/>
  <c r="M121" i="13"/>
  <c r="M119" i="13"/>
  <c r="M115" i="13"/>
  <c r="M120" i="13"/>
  <c r="N112" i="13"/>
  <c r="J239" i="15"/>
  <c r="J225" i="15"/>
  <c r="M162" i="14"/>
  <c r="M157" i="14"/>
  <c r="M161" i="14"/>
  <c r="M163" i="14"/>
  <c r="N154" i="14"/>
  <c r="L175" i="14"/>
  <c r="M141" i="15"/>
  <c r="M140" i="15"/>
  <c r="M136" i="15"/>
  <c r="N133" i="15"/>
  <c r="M142" i="15"/>
  <c r="L107" i="13"/>
  <c r="K176" i="15"/>
  <c r="K200" i="15" s="1"/>
  <c r="L128" i="14"/>
  <c r="L107" i="14"/>
  <c r="L128" i="13"/>
  <c r="M140" i="14"/>
  <c r="M136" i="14"/>
  <c r="M141" i="14"/>
  <c r="N133" i="14"/>
  <c r="M142" i="14"/>
  <c r="L107" i="15"/>
  <c r="L150" i="13"/>
  <c r="L171" i="13"/>
  <c r="J179" i="15"/>
  <c r="J187" i="15"/>
  <c r="J224" i="15" s="1"/>
  <c r="M100" i="13"/>
  <c r="M99" i="13"/>
  <c r="M94" i="13"/>
  <c r="M98" i="13"/>
  <c r="N91" i="13"/>
  <c r="M121" i="14"/>
  <c r="M119" i="14"/>
  <c r="N112" i="14"/>
  <c r="M115" i="14"/>
  <c r="M120" i="14"/>
  <c r="M100" i="15"/>
  <c r="M98" i="15"/>
  <c r="M94" i="15"/>
  <c r="M99" i="15"/>
  <c r="N91" i="15"/>
  <c r="I225" i="14"/>
  <c r="I239" i="14"/>
  <c r="L170" i="14"/>
  <c r="H272" i="15"/>
  <c r="H304" i="15"/>
  <c r="L129" i="15"/>
  <c r="N133" i="13"/>
  <c r="M140" i="13"/>
  <c r="M136" i="13"/>
  <c r="M141" i="13"/>
  <c r="M142" i="13"/>
  <c r="K177" i="13"/>
  <c r="M161" i="15"/>
  <c r="M162" i="15"/>
  <c r="N154" i="15"/>
  <c r="M157" i="15"/>
  <c r="M163" i="15"/>
  <c r="N112" i="15"/>
  <c r="M121" i="15"/>
  <c r="M120" i="15"/>
  <c r="M119" i="15"/>
  <c r="M115" i="15"/>
  <c r="L175" i="15"/>
  <c r="L149" i="15"/>
  <c r="M162" i="13"/>
  <c r="M161" i="13"/>
  <c r="M157" i="13"/>
  <c r="N154" i="13"/>
  <c r="M163" i="13"/>
  <c r="N91" i="14"/>
  <c r="M100" i="14"/>
  <c r="M98" i="14"/>
  <c r="M94" i="14"/>
  <c r="M99" i="14"/>
  <c r="L108" i="14"/>
  <c r="L170" i="15"/>
  <c r="L129" i="13"/>
  <c r="I238" i="14"/>
  <c r="I258" i="14"/>
  <c r="I290" i="14"/>
  <c r="L175" i="13"/>
  <c r="L108" i="13"/>
  <c r="J180" i="11"/>
  <c r="G31" i="9"/>
  <c r="H304" i="11"/>
  <c r="H259" i="11"/>
  <c r="J237" i="11"/>
  <c r="J271" i="11" s="1"/>
  <c r="H305" i="9"/>
  <c r="K176" i="11"/>
  <c r="K187" i="11" s="1"/>
  <c r="K224" i="11" s="1"/>
  <c r="I238" i="11"/>
  <c r="I304" i="11" s="1"/>
  <c r="I258" i="11"/>
  <c r="H291" i="12"/>
  <c r="L108" i="11"/>
  <c r="K177" i="11"/>
  <c r="H258" i="9"/>
  <c r="H238" i="9"/>
  <c r="H304" i="9" s="1"/>
  <c r="J181" i="11"/>
  <c r="H187" i="10"/>
  <c r="H224" i="10" s="1"/>
  <c r="H238" i="10" s="1"/>
  <c r="L149" i="11"/>
  <c r="L128" i="11"/>
  <c r="L171" i="11"/>
  <c r="M119" i="11"/>
  <c r="M115" i="11"/>
  <c r="N112" i="11"/>
  <c r="M121" i="11"/>
  <c r="M120" i="11"/>
  <c r="J225" i="11"/>
  <c r="J239" i="11"/>
  <c r="J289" i="11"/>
  <c r="J257" i="11"/>
  <c r="L129" i="11"/>
  <c r="O185" i="15"/>
  <c r="I289" i="11"/>
  <c r="I257" i="11"/>
  <c r="L175" i="11"/>
  <c r="J179" i="11"/>
  <c r="J187" i="11"/>
  <c r="J224" i="11" s="1"/>
  <c r="M163" i="11"/>
  <c r="M162" i="11"/>
  <c r="M157" i="11"/>
  <c r="M161" i="11"/>
  <c r="N154" i="11"/>
  <c r="L150" i="11"/>
  <c r="I259" i="11"/>
  <c r="I291" i="11"/>
  <c r="I271" i="11"/>
  <c r="I303" i="11"/>
  <c r="I305" i="11"/>
  <c r="I273" i="11"/>
  <c r="N185" i="14"/>
  <c r="L107" i="11"/>
  <c r="M94" i="11"/>
  <c r="M98" i="11"/>
  <c r="M99" i="11"/>
  <c r="M100" i="11"/>
  <c r="N91" i="11"/>
  <c r="L170" i="11"/>
  <c r="M142" i="11"/>
  <c r="M141" i="11"/>
  <c r="M136" i="11"/>
  <c r="N133" i="11"/>
  <c r="M140" i="11"/>
  <c r="I187" i="13"/>
  <c r="I224" i="13" s="1"/>
  <c r="I290" i="13" s="1"/>
  <c r="I257" i="12"/>
  <c r="J180" i="12"/>
  <c r="H177" i="10"/>
  <c r="H223" i="10" s="1"/>
  <c r="J179" i="12"/>
  <c r="J223" i="12"/>
  <c r="J289" i="12" s="1"/>
  <c r="J144" i="10"/>
  <c r="I150" i="10"/>
  <c r="H258" i="13"/>
  <c r="J102" i="10"/>
  <c r="I108" i="10"/>
  <c r="H238" i="13"/>
  <c r="H272" i="13" s="1"/>
  <c r="J165" i="10"/>
  <c r="I171" i="10"/>
  <c r="I305" i="12"/>
  <c r="J123" i="9"/>
  <c r="I129" i="9"/>
  <c r="J144" i="9"/>
  <c r="I150" i="9"/>
  <c r="J165" i="9"/>
  <c r="I171" i="9"/>
  <c r="H177" i="9"/>
  <c r="J102" i="9"/>
  <c r="I108" i="9"/>
  <c r="J200" i="12"/>
  <c r="J239" i="12" s="1"/>
  <c r="L150" i="12"/>
  <c r="J181" i="12"/>
  <c r="L171" i="12"/>
  <c r="L108" i="12"/>
  <c r="K177" i="12"/>
  <c r="K180" i="12" s="1"/>
  <c r="L129" i="12"/>
  <c r="K176" i="12"/>
  <c r="K187" i="12" s="1"/>
  <c r="I171" i="8"/>
  <c r="M157" i="12"/>
  <c r="N154" i="12"/>
  <c r="M163" i="12"/>
  <c r="M161" i="12"/>
  <c r="M162" i="12"/>
  <c r="M115" i="12"/>
  <c r="N112" i="12"/>
  <c r="M119" i="12"/>
  <c r="M121" i="12"/>
  <c r="M120" i="12"/>
  <c r="M141" i="12"/>
  <c r="M140" i="12"/>
  <c r="N133" i="12"/>
  <c r="M142" i="12"/>
  <c r="M136" i="12"/>
  <c r="J303" i="12"/>
  <c r="J271" i="12"/>
  <c r="H272" i="12"/>
  <c r="H304" i="12"/>
  <c r="L107" i="12"/>
  <c r="N185" i="12"/>
  <c r="O185" i="11"/>
  <c r="I290" i="12"/>
  <c r="I238" i="12"/>
  <c r="I258" i="12"/>
  <c r="L175" i="12"/>
  <c r="L170" i="12"/>
  <c r="J224" i="12"/>
  <c r="M99" i="12"/>
  <c r="M100" i="12"/>
  <c r="M98" i="12"/>
  <c r="N91" i="12"/>
  <c r="M94" i="12"/>
  <c r="L149" i="12"/>
  <c r="L128" i="12"/>
  <c r="I179" i="8"/>
  <c r="J129" i="10"/>
  <c r="L161" i="8"/>
  <c r="L162" i="8"/>
  <c r="I187" i="8"/>
  <c r="L163" i="8"/>
  <c r="M154" i="8"/>
  <c r="M162" i="8" s="1"/>
  <c r="J128" i="10"/>
  <c r="J176" i="10" s="1"/>
  <c r="K119" i="10"/>
  <c r="I200" i="8"/>
  <c r="I239" i="8" s="1"/>
  <c r="I305" i="8" s="1"/>
  <c r="K170" i="8"/>
  <c r="K121" i="10"/>
  <c r="L112" i="10"/>
  <c r="L115" i="10" s="1"/>
  <c r="K115" i="10"/>
  <c r="K175" i="10" s="1"/>
  <c r="V184" i="9"/>
  <c r="V184" i="8"/>
  <c r="H224" i="8"/>
  <c r="H258" i="8" s="1"/>
  <c r="H239" i="8"/>
  <c r="H305" i="8" s="1"/>
  <c r="H177" i="8"/>
  <c r="H181" i="8" s="1"/>
  <c r="I129" i="8"/>
  <c r="J144" i="8"/>
  <c r="I150" i="8"/>
  <c r="K165" i="8"/>
  <c r="J171" i="8"/>
  <c r="K123" i="8"/>
  <c r="J129" i="8"/>
  <c r="K102" i="8"/>
  <c r="J108" i="8"/>
  <c r="G30" i="8"/>
  <c r="I200" i="10"/>
  <c r="I239" i="10" s="1"/>
  <c r="K149" i="10"/>
  <c r="L128" i="8"/>
  <c r="AK170" i="5"/>
  <c r="AK53" i="6" s="1"/>
  <c r="AL166" i="5"/>
  <c r="AL49" i="6" s="1"/>
  <c r="O185" i="8"/>
  <c r="AS72" i="6"/>
  <c r="AS70" i="6"/>
  <c r="AS39" i="6"/>
  <c r="AS79" i="6"/>
  <c r="AS69" i="6"/>
  <c r="AS71" i="6"/>
  <c r="AL161" i="5"/>
  <c r="AL44" i="6" s="1"/>
  <c r="H225" i="10"/>
  <c r="H239" i="10"/>
  <c r="L141" i="10"/>
  <c r="L140" i="10"/>
  <c r="L136" i="10"/>
  <c r="M133" i="10"/>
  <c r="L142" i="10"/>
  <c r="K170" i="10"/>
  <c r="O192" i="8"/>
  <c r="L107" i="8"/>
  <c r="AS59" i="6"/>
  <c r="Q5" i="7"/>
  <c r="R5" i="5"/>
  <c r="Q5" i="6"/>
  <c r="L149" i="9"/>
  <c r="AL165" i="5"/>
  <c r="AL48" i="6" s="1"/>
  <c r="M142" i="8"/>
  <c r="M140" i="8"/>
  <c r="M141" i="8"/>
  <c r="N133" i="8"/>
  <c r="M136" i="8"/>
  <c r="L157" i="10"/>
  <c r="M154" i="10"/>
  <c r="L163" i="10"/>
  <c r="L161" i="10"/>
  <c r="L162" i="10"/>
  <c r="AS78" i="6"/>
  <c r="AS68" i="6"/>
  <c r="W184" i="11" s="1"/>
  <c r="AS66" i="6"/>
  <c r="AS38" i="6"/>
  <c r="AS67" i="6"/>
  <c r="AS77" i="6"/>
  <c r="AK168" i="5"/>
  <c r="AK51" i="6" s="1"/>
  <c r="K107" i="10"/>
  <c r="M162" i="9"/>
  <c r="N154" i="9"/>
  <c r="M163" i="9"/>
  <c r="M161" i="9"/>
  <c r="M157" i="9"/>
  <c r="AL162" i="5"/>
  <c r="AL45" i="6" s="1"/>
  <c r="L170" i="9"/>
  <c r="M120" i="9"/>
  <c r="N112" i="9"/>
  <c r="M115" i="9"/>
  <c r="M119" i="9"/>
  <c r="M121" i="9"/>
  <c r="L175" i="8"/>
  <c r="AT27" i="6" a="1"/>
  <c r="AT27" i="6" s="1"/>
  <c r="AT35" i="6" a="1"/>
  <c r="AT35" i="6" s="1"/>
  <c r="AT33" i="6" a="1"/>
  <c r="AT33" i="6" s="1"/>
  <c r="AT26" i="6" a="1"/>
  <c r="AT26" i="6" s="1"/>
  <c r="AT30" i="6" s="1"/>
  <c r="AT25" i="6" a="1"/>
  <c r="AT25" i="6" s="1"/>
  <c r="AT29" i="6" s="1"/>
  <c r="AU13" i="6"/>
  <c r="AT34" i="6" a="1"/>
  <c r="AT34" i="6" s="1"/>
  <c r="AN4" i="5"/>
  <c r="U4" i="7"/>
  <c r="U4" i="6"/>
  <c r="T4" i="5"/>
  <c r="N192" i="10"/>
  <c r="O185" i="9"/>
  <c r="AL169" i="5"/>
  <c r="AL52" i="6" s="1"/>
  <c r="L94" i="10"/>
  <c r="M91" i="10"/>
  <c r="L99" i="10"/>
  <c r="L98" i="10"/>
  <c r="L100" i="10"/>
  <c r="M136" i="9"/>
  <c r="N133" i="9"/>
  <c r="M142" i="9"/>
  <c r="M140" i="9"/>
  <c r="M141" i="9"/>
  <c r="AP49" i="7"/>
  <c r="T37" i="12" s="1"/>
  <c r="T37" i="13" s="1"/>
  <c r="AP48" i="7"/>
  <c r="T37" i="9" s="1"/>
  <c r="T37" i="10" s="1"/>
  <c r="AQ44" i="7"/>
  <c r="L149" i="8"/>
  <c r="H291" i="8"/>
  <c r="H259" i="8"/>
  <c r="I259" i="9"/>
  <c r="I291" i="9"/>
  <c r="N112" i="8"/>
  <c r="M121" i="8"/>
  <c r="M115" i="8"/>
  <c r="M120" i="8"/>
  <c r="M119" i="8"/>
  <c r="AQ53" i="7"/>
  <c r="U37" i="15" s="1"/>
  <c r="AR46" i="7"/>
  <c r="AQ52" i="7"/>
  <c r="U37" i="14" s="1"/>
  <c r="M99" i="8"/>
  <c r="M94" i="8"/>
  <c r="M98" i="8"/>
  <c r="N91" i="8"/>
  <c r="M100" i="8"/>
  <c r="O192" i="9"/>
  <c r="AS37" i="6"/>
  <c r="AS76" i="6"/>
  <c r="AS64" i="6"/>
  <c r="AS65" i="6"/>
  <c r="W184" i="12" s="1"/>
  <c r="AS75" i="6"/>
  <c r="AS63" i="6"/>
  <c r="AK164" i="5"/>
  <c r="AK47" i="6" s="1"/>
  <c r="AK54" i="6" s="1"/>
  <c r="N186" i="8"/>
  <c r="AJ167" i="5"/>
  <c r="AJ50" i="6" s="1"/>
  <c r="AO10" i="4"/>
  <c r="AN12" i="4"/>
  <c r="Q6" i="6"/>
  <c r="Q6" i="7"/>
  <c r="R6" i="5"/>
  <c r="AQ50" i="7"/>
  <c r="U37" i="8" s="1"/>
  <c r="AQ51" i="7"/>
  <c r="U37" i="11" s="1"/>
  <c r="AR45" i="7"/>
  <c r="AV5" i="4" l="1"/>
  <c r="AU7" i="4"/>
  <c r="M33" i="18"/>
  <c r="AN261" i="7"/>
  <c r="Q7" i="18"/>
  <c r="Q8" i="18"/>
  <c r="AN262" i="7"/>
  <c r="AP4" i="7"/>
  <c r="AO260" i="7"/>
  <c r="AK46" i="6"/>
  <c r="AL163" i="5"/>
  <c r="AJ55" i="6"/>
  <c r="N186" i="12"/>
  <c r="N186" i="13" s="1"/>
  <c r="W184" i="9"/>
  <c r="W184" i="15"/>
  <c r="W184" i="14"/>
  <c r="W184" i="8"/>
  <c r="I187" i="10"/>
  <c r="I224" i="10" s="1"/>
  <c r="I238" i="10" s="1"/>
  <c r="I272" i="10" s="1"/>
  <c r="K176" i="8"/>
  <c r="K179" i="8" s="1"/>
  <c r="J187" i="8"/>
  <c r="J224" i="8" s="1"/>
  <c r="J179" i="8"/>
  <c r="M36" i="18"/>
  <c r="N186" i="15"/>
  <c r="O186" i="9"/>
  <c r="O186" i="11"/>
  <c r="AI58" i="6"/>
  <c r="AI60" i="6" s="1"/>
  <c r="M186" i="14"/>
  <c r="M35" i="18" s="1"/>
  <c r="I305" i="9"/>
  <c r="I238" i="9"/>
  <c r="I304" i="9" s="1"/>
  <c r="L128" i="9"/>
  <c r="L175" i="9"/>
  <c r="L107" i="9"/>
  <c r="I258" i="9"/>
  <c r="K176" i="9"/>
  <c r="K200" i="9" s="1"/>
  <c r="K225" i="9" s="1"/>
  <c r="J187" i="9"/>
  <c r="J224" i="9" s="1"/>
  <c r="J238" i="9" s="1"/>
  <c r="J179" i="9"/>
  <c r="M94" i="9"/>
  <c r="M175" i="9" s="1"/>
  <c r="N91" i="9"/>
  <c r="N100" i="9" s="1"/>
  <c r="M98" i="9"/>
  <c r="M99" i="9"/>
  <c r="AC260" i="7"/>
  <c r="AC257" i="7"/>
  <c r="N186" i="10"/>
  <c r="N34" i="18"/>
  <c r="Q222" i="10"/>
  <c r="Q288" i="10" s="1"/>
  <c r="P12" i="18"/>
  <c r="G30" i="9"/>
  <c r="Q256" i="9"/>
  <c r="R222" i="9"/>
  <c r="R256" i="9" s="1"/>
  <c r="Q11" i="18"/>
  <c r="G23" i="13"/>
  <c r="G21" i="9"/>
  <c r="G21" i="10" s="1"/>
  <c r="G21" i="13"/>
  <c r="G22" i="13"/>
  <c r="G30" i="11"/>
  <c r="I291" i="13"/>
  <c r="J303" i="13"/>
  <c r="I304" i="15"/>
  <c r="J239" i="13"/>
  <c r="J305" i="13" s="1"/>
  <c r="Q50" i="10"/>
  <c r="R50" i="9"/>
  <c r="T50" i="14"/>
  <c r="T50" i="15"/>
  <c r="I305" i="15"/>
  <c r="T50" i="8"/>
  <c r="T42" i="13"/>
  <c r="T222" i="13" s="1"/>
  <c r="T45" i="13"/>
  <c r="S256" i="12"/>
  <c r="S288" i="12"/>
  <c r="U45" i="15"/>
  <c r="U50" i="15" s="1"/>
  <c r="U42" i="15"/>
  <c r="U222" i="15" s="1"/>
  <c r="T256" i="15"/>
  <c r="T288" i="15"/>
  <c r="T288" i="8"/>
  <c r="T256" i="8"/>
  <c r="S42" i="9"/>
  <c r="S45" i="9"/>
  <c r="S50" i="9" s="1"/>
  <c r="R42" i="10"/>
  <c r="R45" i="10"/>
  <c r="AP54" i="7"/>
  <c r="J257" i="13"/>
  <c r="U42" i="11"/>
  <c r="U222" i="11" s="1"/>
  <c r="U45" i="11"/>
  <c r="T45" i="12"/>
  <c r="T42" i="12"/>
  <c r="T222" i="12" s="1"/>
  <c r="S45" i="13"/>
  <c r="S42" i="13"/>
  <c r="S222" i="13" s="1"/>
  <c r="U42" i="8"/>
  <c r="U222" i="8" s="1"/>
  <c r="U45" i="8"/>
  <c r="U50" i="8" s="1"/>
  <c r="U45" i="14"/>
  <c r="U50" i="14" s="1"/>
  <c r="U42" i="14"/>
  <c r="U222" i="14" s="1"/>
  <c r="T256" i="11"/>
  <c r="T288" i="11"/>
  <c r="T288" i="14"/>
  <c r="T256" i="14"/>
  <c r="K179" i="14"/>
  <c r="J225" i="14"/>
  <c r="J259" i="14" s="1"/>
  <c r="J289" i="15"/>
  <c r="J271" i="15"/>
  <c r="J271" i="14"/>
  <c r="M171" i="14"/>
  <c r="J290" i="14"/>
  <c r="J238" i="14"/>
  <c r="J304" i="14" s="1"/>
  <c r="K200" i="13"/>
  <c r="K225" i="13" s="1"/>
  <c r="K223" i="14"/>
  <c r="K289" i="14" s="1"/>
  <c r="M108" i="14"/>
  <c r="K237" i="14"/>
  <c r="K303" i="14" s="1"/>
  <c r="J289" i="14"/>
  <c r="L177" i="15"/>
  <c r="L223" i="15" s="1"/>
  <c r="M128" i="15"/>
  <c r="K180" i="15"/>
  <c r="K181" i="14"/>
  <c r="K223" i="15"/>
  <c r="K257" i="15" s="1"/>
  <c r="L177" i="14"/>
  <c r="L180" i="14" s="1"/>
  <c r="M108" i="13"/>
  <c r="K200" i="14"/>
  <c r="K225" i="14" s="1"/>
  <c r="M129" i="14"/>
  <c r="M107" i="15"/>
  <c r="M129" i="13"/>
  <c r="M149" i="14"/>
  <c r="M171" i="15"/>
  <c r="M149" i="13"/>
  <c r="M108" i="15"/>
  <c r="M107" i="13"/>
  <c r="M129" i="15"/>
  <c r="M171" i="13"/>
  <c r="M149" i="15"/>
  <c r="O112" i="13"/>
  <c r="N120" i="13"/>
  <c r="N115" i="13"/>
  <c r="N119" i="13"/>
  <c r="N121" i="13"/>
  <c r="N94" i="14"/>
  <c r="N99" i="14"/>
  <c r="O91" i="14"/>
  <c r="N100" i="14"/>
  <c r="N98" i="14"/>
  <c r="N120" i="15"/>
  <c r="N115" i="15"/>
  <c r="O112" i="15"/>
  <c r="N121" i="15"/>
  <c r="N119" i="15"/>
  <c r="J258" i="15"/>
  <c r="J238" i="15"/>
  <c r="J290" i="15"/>
  <c r="K179" i="15"/>
  <c r="K187" i="15"/>
  <c r="K224" i="15" s="1"/>
  <c r="I259" i="14"/>
  <c r="I291" i="14"/>
  <c r="K271" i="15"/>
  <c r="K303" i="15"/>
  <c r="J259" i="13"/>
  <c r="J291" i="13"/>
  <c r="I305" i="14"/>
  <c r="I273" i="14"/>
  <c r="J259" i="15"/>
  <c r="J291" i="15"/>
  <c r="K181" i="15"/>
  <c r="J305" i="14"/>
  <c r="J273" i="14"/>
  <c r="J305" i="15"/>
  <c r="J273" i="15"/>
  <c r="I272" i="14"/>
  <c r="I304" i="14"/>
  <c r="K225" i="15"/>
  <c r="K239" i="15"/>
  <c r="O91" i="13"/>
  <c r="N99" i="13"/>
  <c r="N100" i="13"/>
  <c r="N98" i="13"/>
  <c r="N94" i="13"/>
  <c r="O154" i="15"/>
  <c r="N163" i="15"/>
  <c r="N162" i="15"/>
  <c r="N161" i="15"/>
  <c r="N157" i="15"/>
  <c r="N140" i="13"/>
  <c r="N136" i="13"/>
  <c r="N142" i="13"/>
  <c r="N141" i="13"/>
  <c r="O133" i="13"/>
  <c r="L176" i="15"/>
  <c r="L176" i="14"/>
  <c r="L200" i="14" s="1"/>
  <c r="M150" i="15"/>
  <c r="N162" i="14"/>
  <c r="N157" i="14"/>
  <c r="N163" i="14"/>
  <c r="N161" i="14"/>
  <c r="O154" i="14"/>
  <c r="M175" i="14"/>
  <c r="O154" i="13"/>
  <c r="N162" i="13"/>
  <c r="N161" i="13"/>
  <c r="N163" i="13"/>
  <c r="N157" i="13"/>
  <c r="N98" i="15"/>
  <c r="N99" i="15"/>
  <c r="N94" i="15"/>
  <c r="O91" i="15"/>
  <c r="N100" i="15"/>
  <c r="N120" i="14"/>
  <c r="N119" i="14"/>
  <c r="O112" i="14"/>
  <c r="N115" i="14"/>
  <c r="N121" i="14"/>
  <c r="M150" i="14"/>
  <c r="M128" i="13"/>
  <c r="L176" i="13"/>
  <c r="L179" i="13" s="1"/>
  <c r="M107" i="14"/>
  <c r="M175" i="13"/>
  <c r="M170" i="15"/>
  <c r="K181" i="13"/>
  <c r="K223" i="13"/>
  <c r="K180" i="13"/>
  <c r="K237" i="13"/>
  <c r="M128" i="14"/>
  <c r="N141" i="15"/>
  <c r="N140" i="15"/>
  <c r="N142" i="15"/>
  <c r="O133" i="15"/>
  <c r="N136" i="15"/>
  <c r="M170" i="14"/>
  <c r="K238" i="14"/>
  <c r="K258" i="14"/>
  <c r="K290" i="14"/>
  <c r="L177" i="13"/>
  <c r="M170" i="13"/>
  <c r="M150" i="13"/>
  <c r="M175" i="15"/>
  <c r="N142" i="14"/>
  <c r="N136" i="14"/>
  <c r="O133" i="14"/>
  <c r="N140" i="14"/>
  <c r="N141" i="14"/>
  <c r="G30" i="10"/>
  <c r="J303" i="11"/>
  <c r="G26" i="15"/>
  <c r="G234" i="15" s="1"/>
  <c r="G29" i="15"/>
  <c r="G31" i="11"/>
  <c r="G30" i="14"/>
  <c r="G26" i="11"/>
  <c r="G234" i="11" s="1"/>
  <c r="G29" i="11"/>
  <c r="G31" i="12"/>
  <c r="G29" i="12"/>
  <c r="K181" i="11"/>
  <c r="K179" i="11"/>
  <c r="I272" i="11"/>
  <c r="K180" i="11"/>
  <c r="K200" i="11"/>
  <c r="K239" i="11" s="1"/>
  <c r="K223" i="11"/>
  <c r="K289" i="11" s="1"/>
  <c r="K237" i="11"/>
  <c r="K271" i="11" s="1"/>
  <c r="M171" i="11"/>
  <c r="M128" i="11"/>
  <c r="H272" i="9"/>
  <c r="M150" i="11"/>
  <c r="H258" i="10"/>
  <c r="H290" i="10"/>
  <c r="L177" i="11"/>
  <c r="L237" i="11" s="1"/>
  <c r="I238" i="13"/>
  <c r="I304" i="13" s="1"/>
  <c r="L176" i="11"/>
  <c r="L200" i="11" s="1"/>
  <c r="M170" i="11"/>
  <c r="J238" i="11"/>
  <c r="J258" i="11"/>
  <c r="J290" i="11"/>
  <c r="N121" i="11"/>
  <c r="N119" i="11"/>
  <c r="O112" i="11"/>
  <c r="N120" i="11"/>
  <c r="N115" i="11"/>
  <c r="M107" i="11"/>
  <c r="I258" i="13"/>
  <c r="M175" i="11"/>
  <c r="O154" i="11"/>
  <c r="N161" i="11"/>
  <c r="N163" i="11"/>
  <c r="N162" i="11"/>
  <c r="N157" i="11"/>
  <c r="J273" i="11"/>
  <c r="J305" i="11"/>
  <c r="J291" i="11"/>
  <c r="J259" i="11"/>
  <c r="J187" i="13"/>
  <c r="J224" i="13" s="1"/>
  <c r="J290" i="13" s="1"/>
  <c r="O185" i="14"/>
  <c r="M129" i="11"/>
  <c r="P185" i="15"/>
  <c r="M149" i="11"/>
  <c r="M108" i="11"/>
  <c r="N142" i="11"/>
  <c r="N141" i="11"/>
  <c r="N136" i="11"/>
  <c r="O133" i="11"/>
  <c r="N140" i="11"/>
  <c r="N100" i="11"/>
  <c r="N94" i="11"/>
  <c r="N98" i="11"/>
  <c r="O91" i="11"/>
  <c r="N99" i="11"/>
  <c r="K258" i="11"/>
  <c r="K238" i="11"/>
  <c r="K290" i="11"/>
  <c r="H180" i="10"/>
  <c r="H237" i="10"/>
  <c r="H303" i="10" s="1"/>
  <c r="H181" i="10"/>
  <c r="J257" i="12"/>
  <c r="H304" i="13"/>
  <c r="I177" i="10"/>
  <c r="I223" i="10" s="1"/>
  <c r="K144" i="10"/>
  <c r="J150" i="10"/>
  <c r="J225" i="12"/>
  <c r="J291" i="12" s="1"/>
  <c r="K165" i="10"/>
  <c r="J171" i="10"/>
  <c r="K102" i="10"/>
  <c r="J108" i="10"/>
  <c r="H257" i="10"/>
  <c r="H289" i="10"/>
  <c r="H223" i="9"/>
  <c r="H237" i="9"/>
  <c r="H180" i="9"/>
  <c r="H181" i="9"/>
  <c r="K165" i="9"/>
  <c r="J171" i="9"/>
  <c r="K144" i="9"/>
  <c r="J150" i="9"/>
  <c r="L177" i="12"/>
  <c r="L237" i="12" s="1"/>
  <c r="L271" i="12" s="1"/>
  <c r="I177" i="9"/>
  <c r="K123" i="9"/>
  <c r="J129" i="9"/>
  <c r="K102" i="9"/>
  <c r="J108" i="9"/>
  <c r="J239" i="8"/>
  <c r="J305" i="8" s="1"/>
  <c r="K237" i="12"/>
  <c r="K303" i="12" s="1"/>
  <c r="K181" i="12"/>
  <c r="K200" i="12"/>
  <c r="K225" i="12" s="1"/>
  <c r="K179" i="12"/>
  <c r="K223" i="12"/>
  <c r="K289" i="12" s="1"/>
  <c r="M107" i="12"/>
  <c r="M150" i="12"/>
  <c r="M171" i="12"/>
  <c r="M128" i="12"/>
  <c r="M175" i="12"/>
  <c r="N100" i="12"/>
  <c r="N99" i="12"/>
  <c r="N94" i="12"/>
  <c r="O91" i="12"/>
  <c r="N98" i="12"/>
  <c r="I304" i="12"/>
  <c r="I272" i="12"/>
  <c r="M149" i="12"/>
  <c r="J273" i="12"/>
  <c r="J305" i="12"/>
  <c r="M108" i="12"/>
  <c r="J238" i="12"/>
  <c r="J290" i="12"/>
  <c r="J258" i="12"/>
  <c r="P185" i="11"/>
  <c r="O185" i="12"/>
  <c r="N163" i="12"/>
  <c r="N161" i="12"/>
  <c r="N157" i="12"/>
  <c r="N162" i="12"/>
  <c r="O154" i="12"/>
  <c r="M129" i="12"/>
  <c r="N121" i="12"/>
  <c r="N119" i="12"/>
  <c r="O112" i="12"/>
  <c r="N120" i="12"/>
  <c r="N115" i="12"/>
  <c r="L176" i="12"/>
  <c r="M170" i="12"/>
  <c r="K224" i="12"/>
  <c r="K187" i="13"/>
  <c r="K224" i="13" s="1"/>
  <c r="N140" i="12"/>
  <c r="O133" i="12"/>
  <c r="N136" i="12"/>
  <c r="N141" i="12"/>
  <c r="N142" i="12"/>
  <c r="M163" i="8"/>
  <c r="M161" i="8"/>
  <c r="L170" i="8"/>
  <c r="L176" i="8" s="1"/>
  <c r="I273" i="8"/>
  <c r="M157" i="8"/>
  <c r="M175" i="8" s="1"/>
  <c r="I224" i="8"/>
  <c r="I238" i="8" s="1"/>
  <c r="I272" i="8" s="1"/>
  <c r="N154" i="8"/>
  <c r="N162" i="8" s="1"/>
  <c r="L120" i="10"/>
  <c r="K129" i="10"/>
  <c r="L121" i="10"/>
  <c r="M112" i="10"/>
  <c r="M119" i="10" s="1"/>
  <c r="L119" i="10"/>
  <c r="I225" i="8"/>
  <c r="I259" i="8" s="1"/>
  <c r="K128" i="10"/>
  <c r="K176" i="10" s="1"/>
  <c r="H290" i="8"/>
  <c r="H238" i="8"/>
  <c r="H304" i="8" s="1"/>
  <c r="I177" i="8"/>
  <c r="I223" i="8" s="1"/>
  <c r="H273" i="8"/>
  <c r="H237" i="8"/>
  <c r="H223" i="8"/>
  <c r="H180" i="8"/>
  <c r="K144" i="8"/>
  <c r="J150" i="8"/>
  <c r="J177" i="8" s="1"/>
  <c r="L102" i="8"/>
  <c r="K108" i="8"/>
  <c r="L123" i="8"/>
  <c r="K129" i="8"/>
  <c r="L165" i="8"/>
  <c r="K171" i="8"/>
  <c r="AC210" i="7"/>
  <c r="I225" i="10"/>
  <c r="I291" i="10" s="1"/>
  <c r="M149" i="9"/>
  <c r="L175" i="10"/>
  <c r="M170" i="9"/>
  <c r="M128" i="8"/>
  <c r="J179" i="10"/>
  <c r="P192" i="8"/>
  <c r="AL168" i="5"/>
  <c r="AL51" i="6" s="1"/>
  <c r="AQ49" i="7"/>
  <c r="U37" i="12" s="1"/>
  <c r="U37" i="13" s="1"/>
  <c r="AR44" i="7"/>
  <c r="AQ48" i="7"/>
  <c r="U37" i="9" s="1"/>
  <c r="U37" i="10" s="1"/>
  <c r="H291" i="10"/>
  <c r="H259" i="10"/>
  <c r="N136" i="9"/>
  <c r="O133" i="9"/>
  <c r="N141" i="9"/>
  <c r="N142" i="9"/>
  <c r="N140" i="9"/>
  <c r="AM161" i="5"/>
  <c r="AM44" i="6" s="1"/>
  <c r="AL170" i="5"/>
  <c r="AL53" i="6" s="1"/>
  <c r="AK167" i="5"/>
  <c r="AK50" i="6" s="1"/>
  <c r="AM169" i="5"/>
  <c r="AM52" i="6" s="1"/>
  <c r="N115" i="9"/>
  <c r="O112" i="9"/>
  <c r="N119" i="9"/>
  <c r="N121" i="9"/>
  <c r="N120" i="9"/>
  <c r="AM165" i="5"/>
  <c r="AM48" i="6" s="1"/>
  <c r="J200" i="10"/>
  <c r="M142" i="10"/>
  <c r="M140" i="10"/>
  <c r="M141" i="10"/>
  <c r="M136" i="10"/>
  <c r="N133" i="10"/>
  <c r="P185" i="8"/>
  <c r="M99" i="10"/>
  <c r="M94" i="10"/>
  <c r="N91" i="10"/>
  <c r="M98" i="10"/>
  <c r="M100" i="10"/>
  <c r="M149" i="8"/>
  <c r="M107" i="8"/>
  <c r="R6" i="7"/>
  <c r="S6" i="5"/>
  <c r="R6" i="6"/>
  <c r="AT72" i="6"/>
  <c r="AT70" i="6"/>
  <c r="AT71" i="6"/>
  <c r="AT79" i="6"/>
  <c r="AT69" i="6"/>
  <c r="AT39" i="6"/>
  <c r="AR50" i="7"/>
  <c r="V37" i="8" s="1"/>
  <c r="AR51" i="7"/>
  <c r="V37" i="11" s="1"/>
  <c r="AS45" i="7"/>
  <c r="I305" i="10"/>
  <c r="I273" i="10"/>
  <c r="N162" i="9"/>
  <c r="N157" i="9"/>
  <c r="O154" i="9"/>
  <c r="N163" i="9"/>
  <c r="N161" i="9"/>
  <c r="N100" i="8"/>
  <c r="N98" i="8"/>
  <c r="N94" i="8"/>
  <c r="N99" i="8"/>
  <c r="O91" i="8"/>
  <c r="J239" i="9"/>
  <c r="J225" i="9"/>
  <c r="H304" i="10"/>
  <c r="H272" i="10"/>
  <c r="H273" i="10"/>
  <c r="H305" i="10"/>
  <c r="M128" i="9"/>
  <c r="M163" i="10"/>
  <c r="M161" i="10"/>
  <c r="M157" i="10"/>
  <c r="N154" i="10"/>
  <c r="M162" i="10"/>
  <c r="P192" i="9"/>
  <c r="N121" i="8"/>
  <c r="N115" i="8"/>
  <c r="N120" i="8"/>
  <c r="N119" i="8"/>
  <c r="O112" i="8"/>
  <c r="L107" i="10"/>
  <c r="P185" i="9"/>
  <c r="AT78" i="6"/>
  <c r="AT68" i="6"/>
  <c r="X184" i="11" s="1"/>
  <c r="AT66" i="6"/>
  <c r="AT77" i="6"/>
  <c r="AT67" i="6"/>
  <c r="AT38" i="6"/>
  <c r="J291" i="8"/>
  <c r="J259" i="8"/>
  <c r="L149" i="10"/>
  <c r="AM166" i="5"/>
  <c r="AM49" i="6" s="1"/>
  <c r="AP10" i="4"/>
  <c r="AO12" i="4"/>
  <c r="AO4" i="5"/>
  <c r="AT59" i="6"/>
  <c r="R5" i="7"/>
  <c r="R5" i="6"/>
  <c r="S5" i="5"/>
  <c r="AT76" i="6"/>
  <c r="AT64" i="6"/>
  <c r="AT63" i="6"/>
  <c r="AT37" i="6"/>
  <c r="AT75" i="6"/>
  <c r="AT65" i="6"/>
  <c r="X184" i="12" s="1"/>
  <c r="O186" i="8"/>
  <c r="AL164" i="5"/>
  <c r="AL47" i="6" s="1"/>
  <c r="AL54" i="6" s="1"/>
  <c r="AR52" i="7"/>
  <c r="V37" i="14" s="1"/>
  <c r="AR53" i="7"/>
  <c r="V37" i="15" s="1"/>
  <c r="AS46" i="7"/>
  <c r="O192" i="10"/>
  <c r="T4" i="7"/>
  <c r="S4" i="5"/>
  <c r="T4" i="6"/>
  <c r="AV13" i="6"/>
  <c r="AU35" i="6" a="1"/>
  <c r="AU35" i="6" s="1"/>
  <c r="AU34" i="6" a="1"/>
  <c r="AU34" i="6" s="1"/>
  <c r="AU33" i="6" a="1"/>
  <c r="AU33" i="6" s="1"/>
  <c r="AU27" i="6" a="1"/>
  <c r="AU27" i="6" s="1"/>
  <c r="AU26" i="6" a="1"/>
  <c r="AU26" i="6" s="1"/>
  <c r="AU30" i="6" s="1"/>
  <c r="AU25" i="6" a="1"/>
  <c r="AU25" i="6" s="1"/>
  <c r="AU29" i="6" s="1"/>
  <c r="AM162" i="5"/>
  <c r="AM45" i="6" s="1"/>
  <c r="L170" i="10"/>
  <c r="N142" i="8"/>
  <c r="N140" i="8"/>
  <c r="N141" i="8"/>
  <c r="O133" i="8"/>
  <c r="N136" i="8"/>
  <c r="AW5" i="4" l="1"/>
  <c r="AV7" i="4"/>
  <c r="X184" i="15"/>
  <c r="AQ4" i="7"/>
  <c r="AP260" i="7"/>
  <c r="AO261" i="7"/>
  <c r="R7" i="18"/>
  <c r="AO262" i="7"/>
  <c r="R8" i="18"/>
  <c r="N33" i="18"/>
  <c r="X184" i="9"/>
  <c r="X184" i="14"/>
  <c r="AL46" i="6"/>
  <c r="AM163" i="5"/>
  <c r="AK55" i="6"/>
  <c r="O186" i="12"/>
  <c r="O186" i="13" s="1"/>
  <c r="I290" i="10"/>
  <c r="I304" i="10"/>
  <c r="K187" i="8"/>
  <c r="K224" i="8" s="1"/>
  <c r="K258" i="8" s="1"/>
  <c r="K200" i="8"/>
  <c r="K239" i="8" s="1"/>
  <c r="K305" i="8" s="1"/>
  <c r="I258" i="10"/>
  <c r="N36" i="18"/>
  <c r="O186" i="15"/>
  <c r="AJ58" i="6"/>
  <c r="AJ60" i="6" s="1"/>
  <c r="N186" i="14"/>
  <c r="N35" i="18" s="1"/>
  <c r="P186" i="9"/>
  <c r="P186" i="11"/>
  <c r="I272" i="9"/>
  <c r="L176" i="9"/>
  <c r="L200" i="9" s="1"/>
  <c r="L225" i="9" s="1"/>
  <c r="K239" i="9"/>
  <c r="K305" i="9" s="1"/>
  <c r="K179" i="9"/>
  <c r="O91" i="9"/>
  <c r="O100" i="9" s="1"/>
  <c r="J258" i="9"/>
  <c r="N98" i="9"/>
  <c r="J187" i="10"/>
  <c r="J224" i="10" s="1"/>
  <c r="J238" i="10" s="1"/>
  <c r="K187" i="9"/>
  <c r="K224" i="9" s="1"/>
  <c r="K290" i="9" s="1"/>
  <c r="M107" i="9"/>
  <c r="M176" i="9" s="1"/>
  <c r="M179" i="9" s="1"/>
  <c r="J290" i="9"/>
  <c r="N99" i="9"/>
  <c r="N94" i="9"/>
  <c r="N175" i="9" s="1"/>
  <c r="O186" i="10"/>
  <c r="O34" i="18"/>
  <c r="R288" i="9"/>
  <c r="Q256" i="10"/>
  <c r="R222" i="10"/>
  <c r="R288" i="10" s="1"/>
  <c r="Q12" i="18"/>
  <c r="S222" i="9"/>
  <c r="S256" i="9" s="1"/>
  <c r="R11" i="18"/>
  <c r="G26" i="9"/>
  <c r="J273" i="13"/>
  <c r="T50" i="12"/>
  <c r="S50" i="13"/>
  <c r="T50" i="13"/>
  <c r="R50" i="10"/>
  <c r="U50" i="11"/>
  <c r="U42" i="12"/>
  <c r="U222" i="12" s="1"/>
  <c r="U45" i="12"/>
  <c r="U50" i="12" s="1"/>
  <c r="U256" i="11"/>
  <c r="U288" i="11"/>
  <c r="K257" i="14"/>
  <c r="U288" i="8"/>
  <c r="U256" i="8"/>
  <c r="U288" i="15"/>
  <c r="U256" i="15"/>
  <c r="S288" i="13"/>
  <c r="S256" i="13"/>
  <c r="S45" i="10"/>
  <c r="S42" i="10"/>
  <c r="V45" i="11"/>
  <c r="V42" i="11"/>
  <c r="V222" i="11" s="1"/>
  <c r="V45" i="8"/>
  <c r="V50" i="8" s="1"/>
  <c r="V42" i="8"/>
  <c r="V222" i="8" s="1"/>
  <c r="T288" i="12"/>
  <c r="T256" i="12"/>
  <c r="V45" i="14"/>
  <c r="V50" i="14" s="1"/>
  <c r="V42" i="14"/>
  <c r="V222" i="14" s="1"/>
  <c r="J291" i="14"/>
  <c r="U288" i="14"/>
  <c r="U256" i="14"/>
  <c r="V45" i="15"/>
  <c r="V50" i="15" s="1"/>
  <c r="V42" i="15"/>
  <c r="V222" i="15" s="1"/>
  <c r="AQ54" i="7"/>
  <c r="T42" i="9"/>
  <c r="T45" i="9"/>
  <c r="T50" i="9" s="1"/>
  <c r="T256" i="13"/>
  <c r="T288" i="13"/>
  <c r="J272" i="14"/>
  <c r="K289" i="15"/>
  <c r="M177" i="13"/>
  <c r="M237" i="13" s="1"/>
  <c r="L223" i="14"/>
  <c r="L289" i="14" s="1"/>
  <c r="L237" i="14"/>
  <c r="L303" i="14" s="1"/>
  <c r="K239" i="13"/>
  <c r="K305" i="13" s="1"/>
  <c r="N129" i="13"/>
  <c r="L181" i="15"/>
  <c r="L180" i="15"/>
  <c r="K271" i="14"/>
  <c r="M176" i="14"/>
  <c r="M179" i="14" s="1"/>
  <c r="L237" i="15"/>
  <c r="L271" i="15" s="1"/>
  <c r="N171" i="13"/>
  <c r="N129" i="15"/>
  <c r="M176" i="15"/>
  <c r="M187" i="15" s="1"/>
  <c r="M224" i="15" s="1"/>
  <c r="N107" i="14"/>
  <c r="M177" i="14"/>
  <c r="M223" i="14" s="1"/>
  <c r="N128" i="13"/>
  <c r="N150" i="14"/>
  <c r="K239" i="14"/>
  <c r="K305" i="14" s="1"/>
  <c r="N150" i="13"/>
  <c r="L181" i="14"/>
  <c r="N170" i="15"/>
  <c r="N107" i="15"/>
  <c r="M177" i="15"/>
  <c r="M223" i="15" s="1"/>
  <c r="N149" i="15"/>
  <c r="N175" i="13"/>
  <c r="N108" i="13"/>
  <c r="N170" i="13"/>
  <c r="N170" i="14"/>
  <c r="N175" i="15"/>
  <c r="L223" i="13"/>
  <c r="L237" i="13"/>
  <c r="L180" i="13"/>
  <c r="L181" i="13"/>
  <c r="L239" i="14"/>
  <c r="L225" i="14"/>
  <c r="K259" i="14"/>
  <c r="K291" i="14"/>
  <c r="O136" i="13"/>
  <c r="P133" i="13"/>
  <c r="O140" i="13"/>
  <c r="O141" i="13"/>
  <c r="O142" i="13"/>
  <c r="O98" i="13"/>
  <c r="P91" i="13"/>
  <c r="O100" i="13"/>
  <c r="O94" i="13"/>
  <c r="O99" i="13"/>
  <c r="L289" i="15"/>
  <c r="L257" i="15"/>
  <c r="N108" i="14"/>
  <c r="O142" i="15"/>
  <c r="O136" i="15"/>
  <c r="P133" i="15"/>
  <c r="O141" i="15"/>
  <c r="O140" i="15"/>
  <c r="O162" i="13"/>
  <c r="O163" i="13"/>
  <c r="O157" i="13"/>
  <c r="P154" i="13"/>
  <c r="O161" i="13"/>
  <c r="O120" i="14"/>
  <c r="O115" i="14"/>
  <c r="O121" i="14"/>
  <c r="O119" i="14"/>
  <c r="P112" i="14"/>
  <c r="K305" i="15"/>
  <c r="K273" i="15"/>
  <c r="N128" i="14"/>
  <c r="P154" i="15"/>
  <c r="O163" i="15"/>
  <c r="O162" i="15"/>
  <c r="O161" i="15"/>
  <c r="O157" i="15"/>
  <c r="K291" i="15"/>
  <c r="K259" i="15"/>
  <c r="O141" i="14"/>
  <c r="O140" i="14"/>
  <c r="P133" i="14"/>
  <c r="O136" i="14"/>
  <c r="O142" i="14"/>
  <c r="K304" i="14"/>
  <c r="K272" i="14"/>
  <c r="N128" i="15"/>
  <c r="O94" i="14"/>
  <c r="P91" i="14"/>
  <c r="O99" i="14"/>
  <c r="O98" i="14"/>
  <c r="O100" i="14"/>
  <c r="K271" i="13"/>
  <c r="K303" i="13"/>
  <c r="N108" i="15"/>
  <c r="L179" i="14"/>
  <c r="L187" i="14"/>
  <c r="L224" i="14" s="1"/>
  <c r="N149" i="13"/>
  <c r="K258" i="15"/>
  <c r="K290" i="15"/>
  <c r="K238" i="15"/>
  <c r="P112" i="13"/>
  <c r="O121" i="13"/>
  <c r="O115" i="13"/>
  <c r="O120" i="13"/>
  <c r="O119" i="13"/>
  <c r="K259" i="13"/>
  <c r="K291" i="13"/>
  <c r="N150" i="15"/>
  <c r="N171" i="14"/>
  <c r="L200" i="15"/>
  <c r="L179" i="15"/>
  <c r="L187" i="15"/>
  <c r="L224" i="15" s="1"/>
  <c r="N171" i="15"/>
  <c r="N107" i="13"/>
  <c r="O121" i="15"/>
  <c r="O119" i="15"/>
  <c r="P112" i="15"/>
  <c r="O120" i="15"/>
  <c r="O115" i="15"/>
  <c r="N175" i="14"/>
  <c r="J304" i="15"/>
  <c r="J272" i="15"/>
  <c r="N149" i="14"/>
  <c r="M176" i="13"/>
  <c r="M179" i="13" s="1"/>
  <c r="K289" i="13"/>
  <c r="K257" i="13"/>
  <c r="N129" i="14"/>
  <c r="P91" i="15"/>
  <c r="O100" i="15"/>
  <c r="O98" i="15"/>
  <c r="O94" i="15"/>
  <c r="O99" i="15"/>
  <c r="P154" i="14"/>
  <c r="O161" i="14"/>
  <c r="O157" i="14"/>
  <c r="O162" i="14"/>
  <c r="O163" i="14"/>
  <c r="L200" i="13"/>
  <c r="G29" i="9"/>
  <c r="K34" i="9" s="1"/>
  <c r="K226" i="9" s="1"/>
  <c r="G31" i="13"/>
  <c r="G29" i="14"/>
  <c r="G26" i="14"/>
  <c r="G234" i="14" s="1"/>
  <c r="G268" i="11"/>
  <c r="G300" i="11"/>
  <c r="G26" i="12"/>
  <c r="G234" i="12" s="1"/>
  <c r="G30" i="12"/>
  <c r="G30" i="13"/>
  <c r="J34" i="15"/>
  <c r="J226" i="15" s="1"/>
  <c r="M34" i="15"/>
  <c r="M226" i="15" s="1"/>
  <c r="O34" i="15"/>
  <c r="O226" i="15" s="1"/>
  <c r="Z34" i="15"/>
  <c r="Y34" i="15"/>
  <c r="W34" i="15"/>
  <c r="G34" i="15"/>
  <c r="G226" i="15" s="1"/>
  <c r="U34" i="15"/>
  <c r="U226" i="15" s="1"/>
  <c r="T34" i="15"/>
  <c r="T226" i="15" s="1"/>
  <c r="R34" i="15"/>
  <c r="R226" i="15" s="1"/>
  <c r="S34" i="15"/>
  <c r="S226" i="15" s="1"/>
  <c r="Q34" i="15"/>
  <c r="Q226" i="15" s="1"/>
  <c r="L34" i="15"/>
  <c r="L226" i="15" s="1"/>
  <c r="N34" i="15"/>
  <c r="N226" i="15" s="1"/>
  <c r="I34" i="15"/>
  <c r="I226" i="15" s="1"/>
  <c r="V34" i="15"/>
  <c r="X34" i="15"/>
  <c r="K34" i="15"/>
  <c r="K226" i="15" s="1"/>
  <c r="P34" i="15"/>
  <c r="P226" i="15" s="1"/>
  <c r="H34" i="15"/>
  <c r="H226" i="15" s="1"/>
  <c r="AA34" i="15"/>
  <c r="G29" i="13"/>
  <c r="Y34" i="11"/>
  <c r="O34" i="11"/>
  <c r="O226" i="11" s="1"/>
  <c r="Z34" i="11"/>
  <c r="K34" i="11"/>
  <c r="K226" i="11" s="1"/>
  <c r="X34" i="11"/>
  <c r="Q34" i="11"/>
  <c r="Q226" i="11" s="1"/>
  <c r="G34" i="11"/>
  <c r="G226" i="11" s="1"/>
  <c r="J34" i="11"/>
  <c r="J226" i="11" s="1"/>
  <c r="N34" i="11"/>
  <c r="N226" i="11" s="1"/>
  <c r="T34" i="11"/>
  <c r="T226" i="11" s="1"/>
  <c r="P34" i="11"/>
  <c r="P226" i="11" s="1"/>
  <c r="I34" i="11"/>
  <c r="I226" i="11" s="1"/>
  <c r="V34" i="11"/>
  <c r="U34" i="11"/>
  <c r="R34" i="11"/>
  <c r="R226" i="11" s="1"/>
  <c r="L34" i="11"/>
  <c r="L226" i="11" s="1"/>
  <c r="W34" i="11"/>
  <c r="AA34" i="11"/>
  <c r="S34" i="11"/>
  <c r="S226" i="11" s="1"/>
  <c r="M34" i="11"/>
  <c r="M226" i="11" s="1"/>
  <c r="H34" i="11"/>
  <c r="H226" i="11" s="1"/>
  <c r="G268" i="15"/>
  <c r="G300" i="15"/>
  <c r="K257" i="11"/>
  <c r="J238" i="13"/>
  <c r="J304" i="13" s="1"/>
  <c r="K303" i="11"/>
  <c r="K225" i="11"/>
  <c r="K291" i="11" s="1"/>
  <c r="N129" i="11"/>
  <c r="M177" i="11"/>
  <c r="M237" i="11" s="1"/>
  <c r="N171" i="11"/>
  <c r="L223" i="11"/>
  <c r="L257" i="11" s="1"/>
  <c r="L239" i="11"/>
  <c r="L273" i="11" s="1"/>
  <c r="L225" i="11"/>
  <c r="L259" i="11" s="1"/>
  <c r="L181" i="11"/>
  <c r="I272" i="13"/>
  <c r="N150" i="11"/>
  <c r="L187" i="11"/>
  <c r="L224" i="11" s="1"/>
  <c r="L290" i="11" s="1"/>
  <c r="L179" i="11"/>
  <c r="L180" i="11"/>
  <c r="N175" i="11"/>
  <c r="M176" i="11"/>
  <c r="M179" i="11" s="1"/>
  <c r="J258" i="13"/>
  <c r="N107" i="11"/>
  <c r="P185" i="14"/>
  <c r="Q185" i="15"/>
  <c r="K304" i="11"/>
  <c r="K272" i="11"/>
  <c r="N149" i="11"/>
  <c r="N108" i="11"/>
  <c r="O142" i="11"/>
  <c r="P133" i="11"/>
  <c r="O140" i="11"/>
  <c r="O141" i="11"/>
  <c r="O136" i="11"/>
  <c r="K305" i="11"/>
  <c r="K273" i="11"/>
  <c r="J304" i="11"/>
  <c r="J272" i="11"/>
  <c r="N170" i="11"/>
  <c r="O119" i="11"/>
  <c r="O115" i="11"/>
  <c r="O120" i="11"/>
  <c r="O121" i="11"/>
  <c r="P112" i="11"/>
  <c r="O99" i="11"/>
  <c r="O94" i="11"/>
  <c r="P91" i="11"/>
  <c r="O100" i="11"/>
  <c r="O98" i="11"/>
  <c r="O162" i="11"/>
  <c r="O163" i="11"/>
  <c r="O157" i="11"/>
  <c r="P154" i="11"/>
  <c r="O161" i="11"/>
  <c r="N128" i="11"/>
  <c r="L271" i="11"/>
  <c r="L303" i="11"/>
  <c r="H271" i="10"/>
  <c r="J273" i="8"/>
  <c r="K239" i="12"/>
  <c r="K305" i="12" s="1"/>
  <c r="I181" i="10"/>
  <c r="I237" i="10"/>
  <c r="I180" i="10"/>
  <c r="J177" i="10"/>
  <c r="J237" i="10" s="1"/>
  <c r="L303" i="12"/>
  <c r="L144" i="10"/>
  <c r="K150" i="10"/>
  <c r="L223" i="12"/>
  <c r="L289" i="12" s="1"/>
  <c r="L102" i="10"/>
  <c r="K108" i="10"/>
  <c r="J259" i="12"/>
  <c r="L180" i="12"/>
  <c r="K271" i="12"/>
  <c r="L165" i="10"/>
  <c r="K171" i="10"/>
  <c r="I257" i="10"/>
  <c r="I289" i="10"/>
  <c r="L144" i="9"/>
  <c r="K150" i="9"/>
  <c r="L102" i="9"/>
  <c r="K108" i="9"/>
  <c r="K171" i="9"/>
  <c r="L165" i="9"/>
  <c r="J177" i="9"/>
  <c r="K129" i="9"/>
  <c r="L123" i="9"/>
  <c r="I223" i="9"/>
  <c r="I180" i="9"/>
  <c r="I237" i="9"/>
  <c r="I181" i="9"/>
  <c r="H303" i="9"/>
  <c r="H271" i="9"/>
  <c r="H289" i="9"/>
  <c r="H257" i="9"/>
  <c r="K257" i="12"/>
  <c r="N107" i="12"/>
  <c r="N150" i="12"/>
  <c r="M176" i="12"/>
  <c r="M200" i="12" s="1"/>
  <c r="M225" i="12" s="1"/>
  <c r="N129" i="12"/>
  <c r="N149" i="12"/>
  <c r="P154" i="12"/>
  <c r="O162" i="12"/>
  <c r="O157" i="12"/>
  <c r="O163" i="12"/>
  <c r="O161" i="12"/>
  <c r="N170" i="12"/>
  <c r="N175" i="12"/>
  <c r="O121" i="12"/>
  <c r="O119" i="12"/>
  <c r="O120" i="12"/>
  <c r="O115" i="12"/>
  <c r="P112" i="12"/>
  <c r="Q185" i="11"/>
  <c r="K238" i="13"/>
  <c r="K290" i="13"/>
  <c r="K258" i="13"/>
  <c r="N108" i="12"/>
  <c r="L179" i="12"/>
  <c r="L187" i="12"/>
  <c r="L181" i="12"/>
  <c r="K258" i="12"/>
  <c r="K290" i="12"/>
  <c r="K238" i="12"/>
  <c r="K291" i="12"/>
  <c r="K259" i="12"/>
  <c r="J272" i="12"/>
  <c r="J304" i="12"/>
  <c r="N128" i="12"/>
  <c r="L200" i="12"/>
  <c r="M177" i="12"/>
  <c r="O136" i="12"/>
  <c r="O142" i="12"/>
  <c r="O141" i="12"/>
  <c r="O140" i="12"/>
  <c r="P133" i="12"/>
  <c r="P185" i="12"/>
  <c r="P91" i="12"/>
  <c r="O100" i="12"/>
  <c r="O94" i="12"/>
  <c r="O98" i="12"/>
  <c r="O99" i="12"/>
  <c r="N171" i="12"/>
  <c r="L200" i="8"/>
  <c r="L225" i="8" s="1"/>
  <c r="M170" i="8"/>
  <c r="M176" i="8" s="1"/>
  <c r="O154" i="8"/>
  <c r="O162" i="8" s="1"/>
  <c r="I304" i="8"/>
  <c r="N161" i="8"/>
  <c r="N112" i="10"/>
  <c r="N121" i="10" s="1"/>
  <c r="I291" i="8"/>
  <c r="M115" i="10"/>
  <c r="M175" i="10" s="1"/>
  <c r="N157" i="8"/>
  <c r="N175" i="8" s="1"/>
  <c r="N163" i="8"/>
  <c r="L129" i="10"/>
  <c r="I258" i="8"/>
  <c r="M121" i="10"/>
  <c r="I290" i="8"/>
  <c r="L128" i="10"/>
  <c r="L176" i="10" s="1"/>
  <c r="M120" i="10"/>
  <c r="H303" i="8"/>
  <c r="X184" i="8"/>
  <c r="H257" i="8"/>
  <c r="H272" i="8"/>
  <c r="H271" i="8"/>
  <c r="H289" i="8"/>
  <c r="I181" i="8"/>
  <c r="I237" i="8"/>
  <c r="I180" i="8"/>
  <c r="J237" i="8"/>
  <c r="J223" i="8"/>
  <c r="J181" i="8"/>
  <c r="J180" i="8"/>
  <c r="L144" i="8"/>
  <c r="K150" i="8"/>
  <c r="K177" i="8" s="1"/>
  <c r="M123" i="8"/>
  <c r="L129" i="8"/>
  <c r="M165" i="8"/>
  <c r="L171" i="8"/>
  <c r="I257" i="8"/>
  <c r="I289" i="8"/>
  <c r="M102" i="8"/>
  <c r="L108" i="8"/>
  <c r="G29" i="8"/>
  <c r="G26" i="8"/>
  <c r="G234" i="8" s="1"/>
  <c r="G31" i="8"/>
  <c r="G31" i="10"/>
  <c r="I259" i="10"/>
  <c r="N170" i="9"/>
  <c r="M170" i="10"/>
  <c r="N128" i="9"/>
  <c r="AM164" i="5"/>
  <c r="AM47" i="6" s="1"/>
  <c r="AM54" i="6" s="1"/>
  <c r="P186" i="8"/>
  <c r="S5" i="7"/>
  <c r="T5" i="5"/>
  <c r="S5" i="6"/>
  <c r="O100" i="8"/>
  <c r="O98" i="8"/>
  <c r="O94" i="8"/>
  <c r="O99" i="8"/>
  <c r="P91" i="8"/>
  <c r="Q185" i="8"/>
  <c r="O136" i="9"/>
  <c r="P133" i="9"/>
  <c r="O141" i="9"/>
  <c r="O142" i="9"/>
  <c r="O140" i="9"/>
  <c r="K179" i="10"/>
  <c r="K200" i="10"/>
  <c r="AU78" i="6"/>
  <c r="AU68" i="6"/>
  <c r="Y184" i="11" s="1"/>
  <c r="AU66" i="6"/>
  <c r="AU38" i="6"/>
  <c r="AU77" i="6"/>
  <c r="AU67" i="6"/>
  <c r="AQ10" i="4"/>
  <c r="AP12" i="4"/>
  <c r="Q185" i="9"/>
  <c r="O120" i="8"/>
  <c r="O115" i="8"/>
  <c r="O121" i="8"/>
  <c r="P112" i="8"/>
  <c r="O119" i="8"/>
  <c r="N107" i="8"/>
  <c r="O157" i="9"/>
  <c r="P154" i="9"/>
  <c r="O163" i="9"/>
  <c r="O161" i="9"/>
  <c r="O162" i="9"/>
  <c r="J239" i="10"/>
  <c r="J225" i="10"/>
  <c r="AU59" i="6"/>
  <c r="S4" i="7"/>
  <c r="R4" i="5"/>
  <c r="S4" i="6"/>
  <c r="N162" i="10"/>
  <c r="N157" i="10"/>
  <c r="N161" i="10"/>
  <c r="N163" i="10"/>
  <c r="O154" i="10"/>
  <c r="J290" i="8"/>
  <c r="J258" i="8"/>
  <c r="J238" i="8"/>
  <c r="N149" i="8"/>
  <c r="AP4" i="5"/>
  <c r="O115" i="9"/>
  <c r="P112" i="9"/>
  <c r="O119" i="9"/>
  <c r="O121" i="9"/>
  <c r="O120" i="9"/>
  <c r="P192" i="10"/>
  <c r="AS50" i="7"/>
  <c r="W37" i="8" s="1"/>
  <c r="AS51" i="7"/>
  <c r="W37" i="11" s="1"/>
  <c r="AT45" i="7"/>
  <c r="AN162" i="5"/>
  <c r="AN45" i="6" s="1"/>
  <c r="AU72" i="6"/>
  <c r="AU70" i="6"/>
  <c r="AU39" i="6"/>
  <c r="AU71" i="6"/>
  <c r="AU79" i="6"/>
  <c r="AU69" i="6"/>
  <c r="N128" i="8"/>
  <c r="K291" i="9"/>
  <c r="K259" i="9"/>
  <c r="J291" i="9"/>
  <c r="J259" i="9"/>
  <c r="L179" i="8"/>
  <c r="L187" i="8"/>
  <c r="S6" i="7"/>
  <c r="T6" i="5"/>
  <c r="S6" i="6"/>
  <c r="J272" i="9"/>
  <c r="J304" i="9"/>
  <c r="AN169" i="5"/>
  <c r="AN52" i="6" s="1"/>
  <c r="AN161" i="5"/>
  <c r="AN44" i="6" s="1"/>
  <c r="Q192" i="8"/>
  <c r="M107" i="10"/>
  <c r="M149" i="10"/>
  <c r="N99" i="10"/>
  <c r="N94" i="10"/>
  <c r="O91" i="10"/>
  <c r="N100" i="10"/>
  <c r="N98" i="10"/>
  <c r="AM170" i="5"/>
  <c r="AM53" i="6" s="1"/>
  <c r="AR48" i="7"/>
  <c r="V37" i="9" s="1"/>
  <c r="V37" i="10" s="1"/>
  <c r="AR49" i="7"/>
  <c r="V37" i="12" s="1"/>
  <c r="V37" i="13" s="1"/>
  <c r="AS44" i="7"/>
  <c r="AU76" i="6"/>
  <c r="AU64" i="6"/>
  <c r="AU63" i="6"/>
  <c r="AU75" i="6"/>
  <c r="AU37" i="6"/>
  <c r="AU65" i="6"/>
  <c r="Y184" i="12" s="1"/>
  <c r="Q192" i="9"/>
  <c r="O141" i="8"/>
  <c r="O140" i="8"/>
  <c r="P133" i="8"/>
  <c r="O136" i="8"/>
  <c r="O142" i="8"/>
  <c r="AV34" i="6" a="1"/>
  <c r="AV34" i="6" s="1"/>
  <c r="AV35" i="6" a="1"/>
  <c r="AV35" i="6" s="1"/>
  <c r="AV33" i="6" a="1"/>
  <c r="AV33" i="6" s="1"/>
  <c r="AV25" i="6" a="1"/>
  <c r="AV25" i="6" s="1"/>
  <c r="AV29" i="6" s="1"/>
  <c r="AW13" i="6"/>
  <c r="AV27" i="6" a="1"/>
  <c r="AV27" i="6" s="1"/>
  <c r="AV26" i="6" a="1"/>
  <c r="AV26" i="6" s="1"/>
  <c r="AV30" i="6" s="1"/>
  <c r="AS53" i="7"/>
  <c r="W37" i="15" s="1"/>
  <c r="AS52" i="7"/>
  <c r="W37" i="14" s="1"/>
  <c r="AT46" i="7"/>
  <c r="AN166" i="5"/>
  <c r="AN49" i="6" s="1"/>
  <c r="J305" i="9"/>
  <c r="J273" i="9"/>
  <c r="N142" i="10"/>
  <c r="N140" i="10"/>
  <c r="N141" i="10"/>
  <c r="N136" i="10"/>
  <c r="O133" i="10"/>
  <c r="AN165" i="5"/>
  <c r="AN48" i="6" s="1"/>
  <c r="AL167" i="5"/>
  <c r="AL50" i="6" s="1"/>
  <c r="N149" i="9"/>
  <c r="AM168" i="5"/>
  <c r="AM51" i="6" s="1"/>
  <c r="AW7" i="4" l="1"/>
  <c r="AX5" i="4"/>
  <c r="Y184" i="14"/>
  <c r="AP261" i="7"/>
  <c r="S7" i="18"/>
  <c r="AP262" i="7"/>
  <c r="S8" i="18"/>
  <c r="AR4" i="7"/>
  <c r="AQ260" i="7"/>
  <c r="Y184" i="15"/>
  <c r="Y184" i="8"/>
  <c r="O33" i="18"/>
  <c r="AM46" i="6"/>
  <c r="AN163" i="5"/>
  <c r="AL55" i="6"/>
  <c r="P186" i="12"/>
  <c r="P33" i="18" s="1"/>
  <c r="K238" i="8"/>
  <c r="K304" i="8" s="1"/>
  <c r="K290" i="8"/>
  <c r="K273" i="8"/>
  <c r="K225" i="8"/>
  <c r="K291" i="8" s="1"/>
  <c r="P186" i="15"/>
  <c r="AK58" i="6"/>
  <c r="AK60" i="6" s="1"/>
  <c r="O186" i="14"/>
  <c r="O35" i="18" s="1"/>
  <c r="Q186" i="9"/>
  <c r="Q186" i="11"/>
  <c r="O36" i="18"/>
  <c r="O99" i="9"/>
  <c r="L187" i="9"/>
  <c r="L224" i="9" s="1"/>
  <c r="L238" i="9" s="1"/>
  <c r="L179" i="9"/>
  <c r="O94" i="9"/>
  <c r="O175" i="9" s="1"/>
  <c r="P91" i="9"/>
  <c r="P100" i="9" s="1"/>
  <c r="L239" i="9"/>
  <c r="L273" i="9" s="1"/>
  <c r="O98" i="9"/>
  <c r="K238" i="9"/>
  <c r="K272" i="9" s="1"/>
  <c r="K273" i="9"/>
  <c r="K258" i="9"/>
  <c r="K187" i="10"/>
  <c r="K224" i="10" s="1"/>
  <c r="K290" i="10" s="1"/>
  <c r="J290" i="10"/>
  <c r="J258" i="10"/>
  <c r="N107" i="9"/>
  <c r="N176" i="9" s="1"/>
  <c r="P186" i="10"/>
  <c r="P34" i="18"/>
  <c r="V226" i="15"/>
  <c r="V292" i="15" s="1"/>
  <c r="R256" i="10"/>
  <c r="F7" i="18"/>
  <c r="S288" i="9"/>
  <c r="S222" i="10"/>
  <c r="S288" i="10" s="1"/>
  <c r="R12" i="18"/>
  <c r="T222" i="9"/>
  <c r="T256" i="9" s="1"/>
  <c r="S11" i="18"/>
  <c r="T34" i="12"/>
  <c r="T226" i="12" s="1"/>
  <c r="T292" i="12" s="1"/>
  <c r="AC261" i="7"/>
  <c r="G234" i="9"/>
  <c r="G300" i="9" s="1"/>
  <c r="K273" i="13"/>
  <c r="U226" i="11"/>
  <c r="U260" i="11" s="1"/>
  <c r="L257" i="14"/>
  <c r="L303" i="15"/>
  <c r="V50" i="11"/>
  <c r="V226" i="11" s="1"/>
  <c r="S50" i="10"/>
  <c r="V42" i="12"/>
  <c r="V222" i="12" s="1"/>
  <c r="V45" i="12"/>
  <c r="V50" i="12" s="1"/>
  <c r="V42" i="9"/>
  <c r="V45" i="9"/>
  <c r="T45" i="10"/>
  <c r="T42" i="10"/>
  <c r="V256" i="8"/>
  <c r="V288" i="8"/>
  <c r="W42" i="11"/>
  <c r="W222" i="11" s="1"/>
  <c r="W45" i="11"/>
  <c r="W50" i="11" s="1"/>
  <c r="W226" i="11" s="1"/>
  <c r="W42" i="8"/>
  <c r="W222" i="8" s="1"/>
  <c r="W45" i="8"/>
  <c r="W50" i="8" s="1"/>
  <c r="V288" i="14"/>
  <c r="V256" i="14"/>
  <c r="W45" i="15"/>
  <c r="W50" i="15" s="1"/>
  <c r="W226" i="15" s="1"/>
  <c r="W42" i="15"/>
  <c r="W222" i="15" s="1"/>
  <c r="U42" i="9"/>
  <c r="U45" i="9"/>
  <c r="U50" i="9" s="1"/>
  <c r="V288" i="11"/>
  <c r="V256" i="11"/>
  <c r="W42" i="14"/>
  <c r="W222" i="14" s="1"/>
  <c r="W45" i="14"/>
  <c r="W50" i="14" s="1"/>
  <c r="U42" i="13"/>
  <c r="U222" i="13" s="1"/>
  <c r="U45" i="13"/>
  <c r="V256" i="15"/>
  <c r="V288" i="15"/>
  <c r="U256" i="12"/>
  <c r="U288" i="12"/>
  <c r="L271" i="14"/>
  <c r="M180" i="13"/>
  <c r="M223" i="13"/>
  <c r="M289" i="13" s="1"/>
  <c r="M237" i="14"/>
  <c r="M303" i="14" s="1"/>
  <c r="M200" i="14"/>
  <c r="M239" i="14" s="1"/>
  <c r="M179" i="15"/>
  <c r="O171" i="15"/>
  <c r="M200" i="15"/>
  <c r="M239" i="15" s="1"/>
  <c r="O150" i="14"/>
  <c r="M181" i="15"/>
  <c r="M187" i="14"/>
  <c r="M224" i="14" s="1"/>
  <c r="M238" i="14" s="1"/>
  <c r="M180" i="14"/>
  <c r="K273" i="14"/>
  <c r="M237" i="15"/>
  <c r="M271" i="15" s="1"/>
  <c r="M180" i="15"/>
  <c r="M181" i="14"/>
  <c r="O108" i="15"/>
  <c r="O170" i="15"/>
  <c r="N177" i="13"/>
  <c r="N176" i="15"/>
  <c r="N179" i="15" s="1"/>
  <c r="O129" i="13"/>
  <c r="N176" i="14"/>
  <c r="N179" i="14" s="1"/>
  <c r="O150" i="15"/>
  <c r="O107" i="13"/>
  <c r="O175" i="14"/>
  <c r="O171" i="13"/>
  <c r="O150" i="13"/>
  <c r="O170" i="14"/>
  <c r="O129" i="14"/>
  <c r="O149" i="15"/>
  <c r="O108" i="13"/>
  <c r="N176" i="13"/>
  <c r="N179" i="13" s="1"/>
  <c r="M200" i="13"/>
  <c r="M225" i="13" s="1"/>
  <c r="P100" i="15"/>
  <c r="P99" i="15"/>
  <c r="P94" i="15"/>
  <c r="P98" i="15"/>
  <c r="Q91" i="15"/>
  <c r="Q112" i="15"/>
  <c r="P115" i="15"/>
  <c r="P121" i="15"/>
  <c r="P119" i="15"/>
  <c r="P120" i="15"/>
  <c r="O107" i="14"/>
  <c r="N177" i="14"/>
  <c r="O128" i="15"/>
  <c r="N177" i="15"/>
  <c r="M289" i="14"/>
  <c r="M257" i="14"/>
  <c r="P120" i="13"/>
  <c r="Q112" i="13"/>
  <c r="P121" i="13"/>
  <c r="P119" i="13"/>
  <c r="P115" i="13"/>
  <c r="K272" i="15"/>
  <c r="K304" i="15"/>
  <c r="L273" i="14"/>
  <c r="L305" i="14"/>
  <c r="Q91" i="14"/>
  <c r="P99" i="14"/>
  <c r="P100" i="14"/>
  <c r="P94" i="14"/>
  <c r="P98" i="14"/>
  <c r="L239" i="13"/>
  <c r="L225" i="13"/>
  <c r="O149" i="13"/>
  <c r="M181" i="13"/>
  <c r="O171" i="14"/>
  <c r="O175" i="15"/>
  <c r="O129" i="15"/>
  <c r="L258" i="15"/>
  <c r="L290" i="15"/>
  <c r="L238" i="15"/>
  <c r="P141" i="14"/>
  <c r="P142" i="14"/>
  <c r="Q133" i="14"/>
  <c r="P140" i="14"/>
  <c r="P136" i="14"/>
  <c r="M290" i="15"/>
  <c r="M258" i="15"/>
  <c r="M238" i="15"/>
  <c r="O170" i="13"/>
  <c r="P142" i="15"/>
  <c r="Q133" i="15"/>
  <c r="P140" i="15"/>
  <c r="P141" i="15"/>
  <c r="P136" i="15"/>
  <c r="O175" i="13"/>
  <c r="P136" i="13"/>
  <c r="Q133" i="13"/>
  <c r="P140" i="13"/>
  <c r="P141" i="13"/>
  <c r="P142" i="13"/>
  <c r="M303" i="13"/>
  <c r="M271" i="13"/>
  <c r="P161" i="14"/>
  <c r="P162" i="14"/>
  <c r="P157" i="14"/>
  <c r="P163" i="14"/>
  <c r="Q154" i="14"/>
  <c r="L259" i="14"/>
  <c r="L291" i="14"/>
  <c r="O107" i="15"/>
  <c r="O128" i="13"/>
  <c r="O108" i="14"/>
  <c r="O149" i="14"/>
  <c r="P121" i="14"/>
  <c r="P119" i="14"/>
  <c r="P120" i="14"/>
  <c r="Q112" i="14"/>
  <c r="P115" i="14"/>
  <c r="P157" i="13"/>
  <c r="P162" i="13"/>
  <c r="Q154" i="13"/>
  <c r="P161" i="13"/>
  <c r="P163" i="13"/>
  <c r="L303" i="13"/>
  <c r="L271" i="13"/>
  <c r="M289" i="15"/>
  <c r="M257" i="15"/>
  <c r="L225" i="15"/>
  <c r="L239" i="15"/>
  <c r="L290" i="14"/>
  <c r="L238" i="14"/>
  <c r="L258" i="14"/>
  <c r="P157" i="15"/>
  <c r="Q154" i="15"/>
  <c r="P163" i="15"/>
  <c r="P161" i="15"/>
  <c r="P162" i="15"/>
  <c r="O128" i="14"/>
  <c r="P100" i="13"/>
  <c r="Q91" i="13"/>
  <c r="P94" i="13"/>
  <c r="P99" i="13"/>
  <c r="P98" i="13"/>
  <c r="L257" i="13"/>
  <c r="L289" i="13"/>
  <c r="O34" i="9"/>
  <c r="O226" i="9" s="1"/>
  <c r="O292" i="9" s="1"/>
  <c r="W34" i="9"/>
  <c r="V34" i="9"/>
  <c r="G34" i="9"/>
  <c r="G226" i="9" s="1"/>
  <c r="G230" i="9" s="1"/>
  <c r="G231" i="9" s="1"/>
  <c r="G242" i="9" s="1"/>
  <c r="G243" i="9" s="1"/>
  <c r="S34" i="9"/>
  <c r="S226" i="9" s="1"/>
  <c r="S260" i="9" s="1"/>
  <c r="Z34" i="9"/>
  <c r="U34" i="9"/>
  <c r="N34" i="9"/>
  <c r="N226" i="9" s="1"/>
  <c r="N292" i="9" s="1"/>
  <c r="L34" i="9"/>
  <c r="L226" i="9" s="1"/>
  <c r="L260" i="9" s="1"/>
  <c r="P34" i="9"/>
  <c r="P226" i="9" s="1"/>
  <c r="P260" i="9" s="1"/>
  <c r="R34" i="9"/>
  <c r="R226" i="9" s="1"/>
  <c r="R292" i="9" s="1"/>
  <c r="Y34" i="9"/>
  <c r="T34" i="9"/>
  <c r="T226" i="9" s="1"/>
  <c r="T292" i="9" s="1"/>
  <c r="M34" i="9"/>
  <c r="M226" i="9" s="1"/>
  <c r="M292" i="9" s="1"/>
  <c r="J34" i="9"/>
  <c r="J226" i="9" s="1"/>
  <c r="J292" i="9" s="1"/>
  <c r="H34" i="9"/>
  <c r="H226" i="9" s="1"/>
  <c r="H292" i="9" s="1"/>
  <c r="X34" i="9"/>
  <c r="Q34" i="9"/>
  <c r="Q226" i="9" s="1"/>
  <c r="Q260" i="9" s="1"/>
  <c r="I34" i="9"/>
  <c r="I226" i="9" s="1"/>
  <c r="I292" i="9" s="1"/>
  <c r="AA34" i="9"/>
  <c r="K259" i="11"/>
  <c r="J272" i="13"/>
  <c r="G26" i="13"/>
  <c r="G234" i="13" s="1"/>
  <c r="G268" i="13" s="1"/>
  <c r="G292" i="15"/>
  <c r="G260" i="15"/>
  <c r="G230" i="15"/>
  <c r="G231" i="15" s="1"/>
  <c r="G242" i="15" s="1"/>
  <c r="G243" i="15" s="1"/>
  <c r="G244" i="15" s="1"/>
  <c r="V34" i="12"/>
  <c r="H292" i="11"/>
  <c r="H260" i="11"/>
  <c r="H264" i="11" s="1"/>
  <c r="H265" i="11" s="1"/>
  <c r="H276" i="11" s="1"/>
  <c r="L292" i="15"/>
  <c r="L260" i="15"/>
  <c r="W34" i="12"/>
  <c r="H34" i="12"/>
  <c r="H226" i="12" s="1"/>
  <c r="J34" i="12"/>
  <c r="J226" i="12" s="1"/>
  <c r="M260" i="11"/>
  <c r="M292" i="11"/>
  <c r="I292" i="11"/>
  <c r="I260" i="11"/>
  <c r="I264" i="11" s="1"/>
  <c r="I265" i="11" s="1"/>
  <c r="I276" i="11" s="1"/>
  <c r="K292" i="11"/>
  <c r="K260" i="11"/>
  <c r="H260" i="15"/>
  <c r="H264" i="15" s="1"/>
  <c r="H265" i="15" s="1"/>
  <c r="H276" i="15" s="1"/>
  <c r="H292" i="15"/>
  <c r="Q292" i="15"/>
  <c r="Q260" i="15"/>
  <c r="L34" i="12"/>
  <c r="L226" i="12" s="1"/>
  <c r="Z34" i="12"/>
  <c r="AA34" i="12"/>
  <c r="R260" i="11"/>
  <c r="R292" i="11"/>
  <c r="I260" i="15"/>
  <c r="I264" i="15" s="1"/>
  <c r="I265" i="15" s="1"/>
  <c r="I276" i="15" s="1"/>
  <c r="I292" i="15"/>
  <c r="S34" i="12"/>
  <c r="S226" i="12" s="1"/>
  <c r="N292" i="15"/>
  <c r="N260" i="15"/>
  <c r="I34" i="12"/>
  <c r="I226" i="12" s="1"/>
  <c r="S260" i="15"/>
  <c r="S292" i="15"/>
  <c r="G34" i="12"/>
  <c r="G226" i="12" s="1"/>
  <c r="T292" i="11"/>
  <c r="T260" i="11"/>
  <c r="O292" i="11"/>
  <c r="O260" i="11"/>
  <c r="K260" i="15"/>
  <c r="K264" i="15" s="1"/>
  <c r="K265" i="15" s="1"/>
  <c r="K276" i="15" s="1"/>
  <c r="K292" i="15"/>
  <c r="R292" i="15"/>
  <c r="R260" i="15"/>
  <c r="M292" i="15"/>
  <c r="M260" i="15"/>
  <c r="X34" i="12"/>
  <c r="O34" i="12"/>
  <c r="O226" i="12" s="1"/>
  <c r="M34" i="12"/>
  <c r="M226" i="12" s="1"/>
  <c r="G268" i="14"/>
  <c r="G300" i="14"/>
  <c r="Y34" i="12"/>
  <c r="O34" i="13"/>
  <c r="O226" i="13" s="1"/>
  <c r="R34" i="13"/>
  <c r="R226" i="13" s="1"/>
  <c r="T34" i="13"/>
  <c r="T226" i="13" s="1"/>
  <c r="I34" i="13"/>
  <c r="I226" i="13" s="1"/>
  <c r="X34" i="13"/>
  <c r="J34" i="13"/>
  <c r="J226" i="13" s="1"/>
  <c r="N34" i="13"/>
  <c r="N226" i="13" s="1"/>
  <c r="L34" i="13"/>
  <c r="L226" i="13" s="1"/>
  <c r="M34" i="13"/>
  <c r="M226" i="13" s="1"/>
  <c r="P34" i="13"/>
  <c r="P226" i="13" s="1"/>
  <c r="H34" i="13"/>
  <c r="H226" i="13" s="1"/>
  <c r="V34" i="13"/>
  <c r="U34" i="13"/>
  <c r="Z34" i="13"/>
  <c r="AA34" i="13"/>
  <c r="W34" i="13"/>
  <c r="Q34" i="13"/>
  <c r="Q226" i="13" s="1"/>
  <c r="K34" i="13"/>
  <c r="K226" i="13" s="1"/>
  <c r="S34" i="13"/>
  <c r="S226" i="13" s="1"/>
  <c r="G34" i="13"/>
  <c r="G226" i="13" s="1"/>
  <c r="Y34" i="13"/>
  <c r="Q34" i="12"/>
  <c r="Q226" i="12" s="1"/>
  <c r="S292" i="11"/>
  <c r="S260" i="11"/>
  <c r="R34" i="12"/>
  <c r="R226" i="12" s="1"/>
  <c r="N292" i="11"/>
  <c r="N260" i="11"/>
  <c r="T260" i="15"/>
  <c r="T292" i="15"/>
  <c r="J292" i="15"/>
  <c r="J260" i="15"/>
  <c r="J264" i="15" s="1"/>
  <c r="J265" i="15" s="1"/>
  <c r="J276" i="15" s="1"/>
  <c r="N34" i="12"/>
  <c r="N226" i="12" s="1"/>
  <c r="P34" i="12"/>
  <c r="P226" i="12" s="1"/>
  <c r="J34" i="14"/>
  <c r="J226" i="14" s="1"/>
  <c r="W34" i="14"/>
  <c r="Z34" i="14"/>
  <c r="P34" i="14"/>
  <c r="P226" i="14" s="1"/>
  <c r="G34" i="14"/>
  <c r="G226" i="14" s="1"/>
  <c r="X34" i="14"/>
  <c r="O34" i="14"/>
  <c r="O226" i="14" s="1"/>
  <c r="M34" i="14"/>
  <c r="M226" i="14" s="1"/>
  <c r="N34" i="14"/>
  <c r="N226" i="14" s="1"/>
  <c r="AA34" i="14"/>
  <c r="Y34" i="14"/>
  <c r="T34" i="14"/>
  <c r="T226" i="14" s="1"/>
  <c r="S34" i="14"/>
  <c r="S226" i="14" s="1"/>
  <c r="Q34" i="14"/>
  <c r="Q226" i="14" s="1"/>
  <c r="V34" i="14"/>
  <c r="V226" i="14" s="1"/>
  <c r="K34" i="14"/>
  <c r="K226" i="14" s="1"/>
  <c r="I34" i="14"/>
  <c r="I226" i="14" s="1"/>
  <c r="U34" i="14"/>
  <c r="U226" i="14" s="1"/>
  <c r="H34" i="14"/>
  <c r="H226" i="14" s="1"/>
  <c r="L34" i="14"/>
  <c r="L226" i="14" s="1"/>
  <c r="R34" i="14"/>
  <c r="R226" i="14" s="1"/>
  <c r="G292" i="11"/>
  <c r="G260" i="11"/>
  <c r="G230" i="11"/>
  <c r="G231" i="11" s="1"/>
  <c r="G242" i="11" s="1"/>
  <c r="G243" i="11" s="1"/>
  <c r="G244" i="11" s="1"/>
  <c r="Q292" i="11"/>
  <c r="Q260" i="11"/>
  <c r="P292" i="11"/>
  <c r="P260" i="11"/>
  <c r="P292" i="15"/>
  <c r="P260" i="15"/>
  <c r="O292" i="15"/>
  <c r="O260" i="15"/>
  <c r="K34" i="12"/>
  <c r="K226" i="12" s="1"/>
  <c r="L260" i="11"/>
  <c r="L292" i="11"/>
  <c r="J260" i="11"/>
  <c r="J264" i="11" s="1"/>
  <c r="J265" i="11" s="1"/>
  <c r="J276" i="11" s="1"/>
  <c r="J277" i="11" s="1"/>
  <c r="J292" i="11"/>
  <c r="U292" i="15"/>
  <c r="U260" i="15"/>
  <c r="U34" i="12"/>
  <c r="U226" i="12" s="1"/>
  <c r="G268" i="12"/>
  <c r="G300" i="12"/>
  <c r="L305" i="11"/>
  <c r="M223" i="11"/>
  <c r="M289" i="11" s="1"/>
  <c r="M180" i="11"/>
  <c r="L291" i="11"/>
  <c r="L289" i="11"/>
  <c r="M187" i="11"/>
  <c r="M224" i="11" s="1"/>
  <c r="M238" i="11" s="1"/>
  <c r="O170" i="11"/>
  <c r="O129" i="11"/>
  <c r="M181" i="11"/>
  <c r="M200" i="11"/>
  <c r="M239" i="11" s="1"/>
  <c r="O175" i="11"/>
  <c r="O150" i="11"/>
  <c r="L238" i="11"/>
  <c r="L272" i="11" s="1"/>
  <c r="O108" i="11"/>
  <c r="N177" i="11"/>
  <c r="N223" i="11" s="1"/>
  <c r="L258" i="11"/>
  <c r="O171" i="11"/>
  <c r="P142" i="11"/>
  <c r="P140" i="11"/>
  <c r="Q133" i="11"/>
  <c r="P136" i="11"/>
  <c r="P141" i="11"/>
  <c r="P157" i="11"/>
  <c r="P161" i="11"/>
  <c r="P162" i="11"/>
  <c r="P163" i="11"/>
  <c r="Q154" i="11"/>
  <c r="R185" i="15"/>
  <c r="K273" i="12"/>
  <c r="O107" i="11"/>
  <c r="Q185" i="14"/>
  <c r="M303" i="11"/>
  <c r="M271" i="11"/>
  <c r="P115" i="11"/>
  <c r="P121" i="11"/>
  <c r="Q112" i="11"/>
  <c r="P120" i="11"/>
  <c r="P119" i="11"/>
  <c r="N176" i="11"/>
  <c r="Q91" i="11"/>
  <c r="P99" i="11"/>
  <c r="P100" i="11"/>
  <c r="P94" i="11"/>
  <c r="P98" i="11"/>
  <c r="O128" i="11"/>
  <c r="O149" i="11"/>
  <c r="J180" i="10"/>
  <c r="J223" i="10"/>
  <c r="J289" i="10" s="1"/>
  <c r="J181" i="10"/>
  <c r="J303" i="10"/>
  <c r="J271" i="10"/>
  <c r="I303" i="10"/>
  <c r="I271" i="10"/>
  <c r="K177" i="10"/>
  <c r="K180" i="10" s="1"/>
  <c r="M165" i="10"/>
  <c r="L171" i="10"/>
  <c r="M144" i="10"/>
  <c r="L150" i="10"/>
  <c r="L257" i="12"/>
  <c r="M102" i="10"/>
  <c r="L108" i="10"/>
  <c r="J180" i="9"/>
  <c r="J237" i="9"/>
  <c r="J181" i="9"/>
  <c r="J223" i="9"/>
  <c r="M165" i="9"/>
  <c r="L171" i="9"/>
  <c r="I271" i="9"/>
  <c r="I303" i="9"/>
  <c r="K177" i="9"/>
  <c r="M102" i="9"/>
  <c r="L108" i="9"/>
  <c r="I257" i="9"/>
  <c r="I289" i="9"/>
  <c r="M123" i="9"/>
  <c r="L129" i="9"/>
  <c r="M144" i="9"/>
  <c r="L150" i="9"/>
  <c r="M239" i="12"/>
  <c r="M273" i="12" s="1"/>
  <c r="O108" i="12"/>
  <c r="M187" i="12"/>
  <c r="M179" i="12"/>
  <c r="O149" i="12"/>
  <c r="O170" i="12"/>
  <c r="O107" i="12"/>
  <c r="N176" i="12"/>
  <c r="N179" i="12" s="1"/>
  <c r="O150" i="12"/>
  <c r="P100" i="12"/>
  <c r="P98" i="12"/>
  <c r="Q91" i="12"/>
  <c r="P94" i="12"/>
  <c r="P99" i="12"/>
  <c r="P120" i="12"/>
  <c r="P119" i="12"/>
  <c r="P115" i="12"/>
  <c r="P121" i="12"/>
  <c r="Q112" i="12"/>
  <c r="L239" i="12"/>
  <c r="L225" i="12"/>
  <c r="L224" i="12"/>
  <c r="L187" i="13"/>
  <c r="L224" i="13" s="1"/>
  <c r="K272" i="13"/>
  <c r="K304" i="13"/>
  <c r="O128" i="12"/>
  <c r="M291" i="12"/>
  <c r="M259" i="12"/>
  <c r="P142" i="12"/>
  <c r="P140" i="12"/>
  <c r="P141" i="12"/>
  <c r="Q133" i="12"/>
  <c r="P136" i="12"/>
  <c r="O171" i="12"/>
  <c r="Q185" i="12"/>
  <c r="O161" i="8"/>
  <c r="O157" i="8"/>
  <c r="O175" i="8" s="1"/>
  <c r="K304" i="12"/>
  <c r="K272" i="12"/>
  <c r="N177" i="12"/>
  <c r="O129" i="12"/>
  <c r="P154" i="8"/>
  <c r="P162" i="8" s="1"/>
  <c r="O175" i="12"/>
  <c r="M237" i="12"/>
  <c r="M180" i="12"/>
  <c r="M223" i="12"/>
  <c r="M181" i="12"/>
  <c r="R185" i="11"/>
  <c r="Q154" i="12"/>
  <c r="P162" i="12"/>
  <c r="P161" i="12"/>
  <c r="P157" i="12"/>
  <c r="P163" i="12"/>
  <c r="L239" i="8"/>
  <c r="L305" i="8" s="1"/>
  <c r="N115" i="10"/>
  <c r="N175" i="10" s="1"/>
  <c r="O112" i="10"/>
  <c r="O121" i="10" s="1"/>
  <c r="N170" i="8"/>
  <c r="N176" i="8" s="1"/>
  <c r="N120" i="10"/>
  <c r="N119" i="10"/>
  <c r="O163" i="8"/>
  <c r="M128" i="10"/>
  <c r="M176" i="10" s="1"/>
  <c r="M179" i="10" s="1"/>
  <c r="M129" i="10"/>
  <c r="Y184" i="9"/>
  <c r="I303" i="8"/>
  <c r="I271" i="8"/>
  <c r="M144" i="8"/>
  <c r="L150" i="8"/>
  <c r="L177" i="8" s="1"/>
  <c r="J257" i="8"/>
  <c r="J289" i="8"/>
  <c r="J271" i="8"/>
  <c r="J303" i="8"/>
  <c r="K180" i="8"/>
  <c r="K181" i="8"/>
  <c r="K237" i="8"/>
  <c r="K223" i="8"/>
  <c r="N102" i="8"/>
  <c r="M108" i="8"/>
  <c r="N165" i="8"/>
  <c r="M171" i="8"/>
  <c r="N123" i="8"/>
  <c r="M129" i="8"/>
  <c r="G29" i="10"/>
  <c r="G26" i="10"/>
  <c r="G268" i="8"/>
  <c r="G300" i="8"/>
  <c r="M34" i="8"/>
  <c r="M226" i="8" s="1"/>
  <c r="P34" i="8"/>
  <c r="P226" i="8" s="1"/>
  <c r="I34" i="8"/>
  <c r="I226" i="8" s="1"/>
  <c r="Z34" i="8"/>
  <c r="R34" i="8"/>
  <c r="R226" i="8" s="1"/>
  <c r="J34" i="8"/>
  <c r="J226" i="8" s="1"/>
  <c r="T34" i="8"/>
  <c r="T226" i="8" s="1"/>
  <c r="O34" i="8"/>
  <c r="O226" i="8" s="1"/>
  <c r="W34" i="8"/>
  <c r="S34" i="8"/>
  <c r="S226" i="8" s="1"/>
  <c r="V34" i="8"/>
  <c r="V226" i="8" s="1"/>
  <c r="X34" i="8"/>
  <c r="Q34" i="8"/>
  <c r="Q226" i="8" s="1"/>
  <c r="L34" i="8"/>
  <c r="L226" i="8" s="1"/>
  <c r="H34" i="8"/>
  <c r="H226" i="8" s="1"/>
  <c r="K34" i="8"/>
  <c r="K226" i="8" s="1"/>
  <c r="U34" i="8"/>
  <c r="U226" i="8" s="1"/>
  <c r="AA34" i="8"/>
  <c r="G34" i="8"/>
  <c r="G226" i="8" s="1"/>
  <c r="G230" i="8" s="1"/>
  <c r="G231" i="8" s="1"/>
  <c r="G242" i="8" s="1"/>
  <c r="G243" i="8" s="1"/>
  <c r="Y34" i="8"/>
  <c r="N34" i="8"/>
  <c r="N226" i="8" s="1"/>
  <c r="K260" i="9"/>
  <c r="K292" i="9"/>
  <c r="M200" i="9"/>
  <c r="M239" i="9" s="1"/>
  <c r="M187" i="9"/>
  <c r="M224" i="9" s="1"/>
  <c r="M258" i="9" s="1"/>
  <c r="O149" i="8"/>
  <c r="N170" i="10"/>
  <c r="O128" i="8"/>
  <c r="AT50" i="7"/>
  <c r="X37" i="8" s="1"/>
  <c r="AU45" i="7"/>
  <c r="AT51" i="7"/>
  <c r="X37" i="11" s="1"/>
  <c r="P121" i="9"/>
  <c r="P119" i="9"/>
  <c r="Q112" i="9"/>
  <c r="P115" i="9"/>
  <c r="P120" i="9"/>
  <c r="AR54" i="7"/>
  <c r="P120" i="8"/>
  <c r="P115" i="8"/>
  <c r="P121" i="8"/>
  <c r="Q112" i="8"/>
  <c r="P119" i="8"/>
  <c r="P141" i="9"/>
  <c r="P140" i="9"/>
  <c r="Q133" i="9"/>
  <c r="P136" i="9"/>
  <c r="P142" i="9"/>
  <c r="T5" i="7"/>
  <c r="U5" i="5"/>
  <c r="T5" i="6"/>
  <c r="J305" i="10"/>
  <c r="J273" i="10"/>
  <c r="O142" i="10"/>
  <c r="O140" i="10"/>
  <c r="O141" i="10"/>
  <c r="O136" i="10"/>
  <c r="P133" i="10"/>
  <c r="AO166" i="5"/>
  <c r="AO49" i="6" s="1"/>
  <c r="AV59" i="6"/>
  <c r="R192" i="8"/>
  <c r="J272" i="8"/>
  <c r="J304" i="8"/>
  <c r="O107" i="8"/>
  <c r="AO169" i="5"/>
  <c r="AO52" i="6" s="1"/>
  <c r="P100" i="8"/>
  <c r="P98" i="8"/>
  <c r="P94" i="8"/>
  <c r="Q91" i="8"/>
  <c r="P99" i="8"/>
  <c r="P142" i="8"/>
  <c r="P136" i="8"/>
  <c r="Q133" i="8"/>
  <c r="P141" i="8"/>
  <c r="P140" i="8"/>
  <c r="J291" i="10"/>
  <c r="J259" i="10"/>
  <c r="AQ12" i="4"/>
  <c r="AR10" i="4"/>
  <c r="L259" i="8"/>
  <c r="L291" i="8"/>
  <c r="AO165" i="5"/>
  <c r="AO48" i="6" s="1"/>
  <c r="L179" i="10"/>
  <c r="L200" i="10"/>
  <c r="AW33" i="6" a="1"/>
  <c r="AW33" i="6" s="1"/>
  <c r="AW26" i="6" a="1"/>
  <c r="AW26" i="6" s="1"/>
  <c r="AW30" i="6" s="1"/>
  <c r="AW35" i="6" a="1"/>
  <c r="AW35" i="6" s="1"/>
  <c r="AW25" i="6" a="1"/>
  <c r="AW25" i="6" s="1"/>
  <c r="AW29" i="6" s="1"/>
  <c r="AW27" i="6" a="1"/>
  <c r="AW27" i="6" s="1"/>
  <c r="AW34" i="6" a="1"/>
  <c r="AW34" i="6" s="1"/>
  <c r="AN170" i="5"/>
  <c r="AN53" i="6" s="1"/>
  <c r="U6" i="5"/>
  <c r="T6" i="7"/>
  <c r="T6" i="6"/>
  <c r="AO162" i="5"/>
  <c r="AO45" i="6" s="1"/>
  <c r="J304" i="10"/>
  <c r="J272" i="10"/>
  <c r="R185" i="8"/>
  <c r="AT52" i="7"/>
  <c r="X37" i="14" s="1"/>
  <c r="AU46" i="7"/>
  <c r="AT53" i="7"/>
  <c r="X37" i="15" s="1"/>
  <c r="AQ4" i="5"/>
  <c r="O170" i="9"/>
  <c r="O149" i="9"/>
  <c r="N149" i="10"/>
  <c r="AV38" i="6"/>
  <c r="AV77" i="6"/>
  <c r="AV67" i="6"/>
  <c r="AV78" i="6"/>
  <c r="AV68" i="6"/>
  <c r="Z184" i="11" s="1"/>
  <c r="AV66" i="6"/>
  <c r="Q192" i="10"/>
  <c r="O162" i="10"/>
  <c r="O161" i="10"/>
  <c r="O157" i="10"/>
  <c r="O163" i="10"/>
  <c r="P154" i="10"/>
  <c r="R185" i="9"/>
  <c r="L291" i="9"/>
  <c r="L259" i="9"/>
  <c r="P157" i="9"/>
  <c r="Q154" i="9"/>
  <c r="P163" i="9"/>
  <c r="P161" i="9"/>
  <c r="P162" i="9"/>
  <c r="K239" i="10"/>
  <c r="K225" i="10"/>
  <c r="M179" i="8"/>
  <c r="M187" i="8"/>
  <c r="M200" i="8"/>
  <c r="AV75" i="6"/>
  <c r="AV65" i="6"/>
  <c r="Z184" i="12" s="1"/>
  <c r="AV63" i="6"/>
  <c r="AV76" i="6"/>
  <c r="AV64" i="6"/>
  <c r="AV37" i="6"/>
  <c r="AN164" i="5"/>
  <c r="AN47" i="6" s="1"/>
  <c r="AN54" i="6" s="1"/>
  <c r="Q186" i="8"/>
  <c r="AM167" i="5"/>
  <c r="AM50" i="6" s="1"/>
  <c r="AV79" i="6"/>
  <c r="AV71" i="6"/>
  <c r="AV69" i="6"/>
  <c r="Z184" i="14" s="1"/>
  <c r="AV72" i="6"/>
  <c r="AV70" i="6"/>
  <c r="AV39" i="6"/>
  <c r="N107" i="10"/>
  <c r="AO161" i="5"/>
  <c r="AO44" i="6" s="1"/>
  <c r="L224" i="8"/>
  <c r="AN168" i="5"/>
  <c r="AN51" i="6" s="1"/>
  <c r="R192" i="9"/>
  <c r="AT44" i="7"/>
  <c r="AS49" i="7"/>
  <c r="W37" i="12" s="1"/>
  <c r="W37" i="13" s="1"/>
  <c r="AS48" i="7"/>
  <c r="W37" i="9" s="1"/>
  <c r="W37" i="10" s="1"/>
  <c r="O100" i="10"/>
  <c r="O98" i="10"/>
  <c r="O99" i="10"/>
  <c r="P91" i="10"/>
  <c r="O94" i="10"/>
  <c r="O128" i="9"/>
  <c r="R4" i="7"/>
  <c r="R4" i="6"/>
  <c r="Q4" i="5"/>
  <c r="AY5" i="4" l="1"/>
  <c r="AX7" i="4"/>
  <c r="T7" i="18"/>
  <c r="AQ261" i="7"/>
  <c r="T8" i="18"/>
  <c r="AQ262" i="7"/>
  <c r="AS4" i="7"/>
  <c r="AR260" i="7"/>
  <c r="Z184" i="15"/>
  <c r="K272" i="8"/>
  <c r="P186" i="13"/>
  <c r="P36" i="18" s="1"/>
  <c r="AN46" i="6"/>
  <c r="AO163" i="5"/>
  <c r="AM55" i="6"/>
  <c r="Q186" i="12"/>
  <c r="Q186" i="13" s="1"/>
  <c r="Z184" i="8"/>
  <c r="K259" i="8"/>
  <c r="L258" i="9"/>
  <c r="Q186" i="15"/>
  <c r="R186" i="9"/>
  <c r="R186" i="11"/>
  <c r="AL58" i="6"/>
  <c r="AL60" i="6" s="1"/>
  <c r="P186" i="14"/>
  <c r="P35" i="18" s="1"/>
  <c r="L290" i="9"/>
  <c r="L187" i="10"/>
  <c r="L224" i="10" s="1"/>
  <c r="L238" i="10" s="1"/>
  <c r="O107" i="9"/>
  <c r="O176" i="9" s="1"/>
  <c r="O200" i="9" s="1"/>
  <c r="P99" i="9"/>
  <c r="Q91" i="9"/>
  <c r="Q94" i="9" s="1"/>
  <c r="P94" i="9"/>
  <c r="P175" i="9" s="1"/>
  <c r="P98" i="9"/>
  <c r="L305" i="9"/>
  <c r="K304" i="9"/>
  <c r="K258" i="10"/>
  <c r="K238" i="10"/>
  <c r="K272" i="10" s="1"/>
  <c r="V260" i="15"/>
  <c r="Q186" i="10"/>
  <c r="Q34" i="18"/>
  <c r="S256" i="10"/>
  <c r="T288" i="9"/>
  <c r="F8" i="18"/>
  <c r="T260" i="12"/>
  <c r="M303" i="15"/>
  <c r="T222" i="10"/>
  <c r="T256" i="10" s="1"/>
  <c r="S12" i="18"/>
  <c r="U222" i="9"/>
  <c r="U288" i="9" s="1"/>
  <c r="T11" i="18"/>
  <c r="V222" i="9"/>
  <c r="V288" i="9" s="1"/>
  <c r="U11" i="18"/>
  <c r="G268" i="9"/>
  <c r="G234" i="10"/>
  <c r="G300" i="10" s="1"/>
  <c r="AC262" i="7"/>
  <c r="W226" i="8"/>
  <c r="W260" i="8" s="1"/>
  <c r="U292" i="11"/>
  <c r="U226" i="9"/>
  <c r="U292" i="9" s="1"/>
  <c r="V292" i="11"/>
  <c r="V260" i="11"/>
  <c r="M257" i="13"/>
  <c r="V50" i="9"/>
  <c r="V226" i="9" s="1"/>
  <c r="V226" i="12"/>
  <c r="V292" i="12" s="1"/>
  <c r="W260" i="15"/>
  <c r="W292" i="15"/>
  <c r="W292" i="11"/>
  <c r="W260" i="11"/>
  <c r="W226" i="14"/>
  <c r="W292" i="14" s="1"/>
  <c r="U50" i="13"/>
  <c r="U226" i="13" s="1"/>
  <c r="T50" i="10"/>
  <c r="X42" i="14"/>
  <c r="X222" i="14" s="1"/>
  <c r="X45" i="14"/>
  <c r="X50" i="14" s="1"/>
  <c r="X226" i="14" s="1"/>
  <c r="U288" i="13"/>
  <c r="U256" i="13"/>
  <c r="W256" i="15"/>
  <c r="W288" i="15"/>
  <c r="W288" i="8"/>
  <c r="W256" i="8"/>
  <c r="X42" i="8"/>
  <c r="X222" i="8" s="1"/>
  <c r="X45" i="8"/>
  <c r="X50" i="8" s="1"/>
  <c r="X226" i="8" s="1"/>
  <c r="W256" i="14"/>
  <c r="W288" i="14"/>
  <c r="V45" i="10"/>
  <c r="V42" i="10"/>
  <c r="W42" i="9"/>
  <c r="W45" i="9"/>
  <c r="W50" i="9" s="1"/>
  <c r="W226" i="9" s="1"/>
  <c r="W288" i="11"/>
  <c r="W256" i="11"/>
  <c r="W45" i="12"/>
  <c r="W50" i="12" s="1"/>
  <c r="W226" i="12" s="1"/>
  <c r="W42" i="12"/>
  <c r="W222" i="12" s="1"/>
  <c r="V45" i="13"/>
  <c r="V50" i="13" s="1"/>
  <c r="V226" i="13" s="1"/>
  <c r="V292" i="13" s="1"/>
  <c r="V42" i="13"/>
  <c r="V222" i="13" s="1"/>
  <c r="X42" i="11"/>
  <c r="X222" i="11" s="1"/>
  <c r="X45" i="11"/>
  <c r="X50" i="11" s="1"/>
  <c r="X226" i="11" s="1"/>
  <c r="U45" i="10"/>
  <c r="U42" i="10"/>
  <c r="X45" i="15"/>
  <c r="X50" i="15" s="1"/>
  <c r="X226" i="15" s="1"/>
  <c r="X42" i="15"/>
  <c r="X222" i="15" s="1"/>
  <c r="V288" i="12"/>
  <c r="V256" i="12"/>
  <c r="M225" i="14"/>
  <c r="M291" i="14" s="1"/>
  <c r="M225" i="15"/>
  <c r="M291" i="15" s="1"/>
  <c r="M271" i="14"/>
  <c r="O177" i="15"/>
  <c r="O223" i="15" s="1"/>
  <c r="N181" i="13"/>
  <c r="M290" i="14"/>
  <c r="M258" i="14"/>
  <c r="P129" i="15"/>
  <c r="S292" i="9"/>
  <c r="N200" i="15"/>
  <c r="N239" i="15" s="1"/>
  <c r="N200" i="14"/>
  <c r="N225" i="14" s="1"/>
  <c r="N187" i="15"/>
  <c r="N224" i="15" s="1"/>
  <c r="N258" i="15" s="1"/>
  <c r="O176" i="13"/>
  <c r="O179" i="13" s="1"/>
  <c r="O177" i="13"/>
  <c r="O180" i="13" s="1"/>
  <c r="G292" i="9"/>
  <c r="G244" i="9"/>
  <c r="P129" i="13"/>
  <c r="N200" i="13"/>
  <c r="N239" i="13" s="1"/>
  <c r="G260" i="9"/>
  <c r="P107" i="15"/>
  <c r="N187" i="14"/>
  <c r="N224" i="14" s="1"/>
  <c r="N258" i="14" s="1"/>
  <c r="O176" i="15"/>
  <c r="P171" i="15"/>
  <c r="P170" i="13"/>
  <c r="P149" i="14"/>
  <c r="P175" i="13"/>
  <c r="P107" i="14"/>
  <c r="P128" i="13"/>
  <c r="N223" i="13"/>
  <c r="N237" i="13"/>
  <c r="N180" i="13"/>
  <c r="M239" i="13"/>
  <c r="M273" i="13" s="1"/>
  <c r="T260" i="9"/>
  <c r="P108" i="14"/>
  <c r="O260" i="9"/>
  <c r="P149" i="13"/>
  <c r="P150" i="15"/>
  <c r="P170" i="14"/>
  <c r="P107" i="13"/>
  <c r="P171" i="13"/>
  <c r="P108" i="15"/>
  <c r="P128" i="14"/>
  <c r="O176" i="14"/>
  <c r="O179" i="14" s="1"/>
  <c r="Q140" i="15"/>
  <c r="R133" i="15"/>
  <c r="Q141" i="15"/>
  <c r="Q142" i="15"/>
  <c r="Q136" i="15"/>
  <c r="L273" i="15"/>
  <c r="L305" i="15"/>
  <c r="Q119" i="14"/>
  <c r="R112" i="14"/>
  <c r="Q121" i="14"/>
  <c r="Q120" i="14"/>
  <c r="Q115" i="14"/>
  <c r="R133" i="13"/>
  <c r="Q140" i="13"/>
  <c r="Q136" i="13"/>
  <c r="Q141" i="13"/>
  <c r="Q142" i="13"/>
  <c r="Q140" i="14"/>
  <c r="Q141" i="14"/>
  <c r="R133" i="14"/>
  <c r="Q142" i="14"/>
  <c r="Q136" i="14"/>
  <c r="Q98" i="15"/>
  <c r="Q94" i="15"/>
  <c r="R91" i="15"/>
  <c r="Q99" i="15"/>
  <c r="Q100" i="15"/>
  <c r="P170" i="15"/>
  <c r="L291" i="15"/>
  <c r="L259" i="15"/>
  <c r="L264" i="15" s="1"/>
  <c r="L265" i="15" s="1"/>
  <c r="L276" i="15" s="1"/>
  <c r="L277" i="15" s="1"/>
  <c r="M304" i="14"/>
  <c r="M272" i="14"/>
  <c r="Q94" i="13"/>
  <c r="R91" i="13"/>
  <c r="Q100" i="13"/>
  <c r="Q99" i="13"/>
  <c r="Q98" i="13"/>
  <c r="P171" i="14"/>
  <c r="M272" i="15"/>
  <c r="M304" i="15"/>
  <c r="P175" i="14"/>
  <c r="P175" i="15"/>
  <c r="N223" i="14"/>
  <c r="N237" i="14"/>
  <c r="N180" i="14"/>
  <c r="N181" i="14"/>
  <c r="Q157" i="15"/>
  <c r="R154" i="15"/>
  <c r="Q163" i="15"/>
  <c r="Q161" i="15"/>
  <c r="Q162" i="15"/>
  <c r="Q161" i="13"/>
  <c r="Q162" i="13"/>
  <c r="R154" i="13"/>
  <c r="Q163" i="13"/>
  <c r="Q157" i="13"/>
  <c r="Q161" i="14"/>
  <c r="Q163" i="14"/>
  <c r="R154" i="14"/>
  <c r="Q157" i="14"/>
  <c r="Q162" i="14"/>
  <c r="L272" i="15"/>
  <c r="L304" i="15"/>
  <c r="M291" i="13"/>
  <c r="M259" i="13"/>
  <c r="P128" i="15"/>
  <c r="P150" i="13"/>
  <c r="L291" i="13"/>
  <c r="L259" i="13"/>
  <c r="N237" i="15"/>
  <c r="N181" i="15"/>
  <c r="N180" i="15"/>
  <c r="N223" i="15"/>
  <c r="M273" i="14"/>
  <c r="M305" i="14"/>
  <c r="O177" i="14"/>
  <c r="P150" i="14"/>
  <c r="L273" i="13"/>
  <c r="L305" i="13"/>
  <c r="Q98" i="14"/>
  <c r="R91" i="14"/>
  <c r="Q94" i="14"/>
  <c r="Q99" i="14"/>
  <c r="Q100" i="14"/>
  <c r="Q120" i="13"/>
  <c r="Q121" i="13"/>
  <c r="Q119" i="13"/>
  <c r="Q115" i="13"/>
  <c r="R112" i="13"/>
  <c r="P108" i="13"/>
  <c r="M273" i="15"/>
  <c r="M305" i="15"/>
  <c r="L304" i="14"/>
  <c r="L272" i="14"/>
  <c r="P129" i="14"/>
  <c r="P149" i="15"/>
  <c r="Q115" i="15"/>
  <c r="R112" i="15"/>
  <c r="Q119" i="15"/>
  <c r="Q121" i="15"/>
  <c r="Q120" i="15"/>
  <c r="M260" i="9"/>
  <c r="R260" i="9"/>
  <c r="I260" i="9"/>
  <c r="I264" i="9" s="1"/>
  <c r="I265" i="9" s="1"/>
  <c r="I276" i="9" s="1"/>
  <c r="I277" i="9" s="1"/>
  <c r="I278" i="9" s="1"/>
  <c r="P292" i="9"/>
  <c r="N260" i="9"/>
  <c r="L292" i="9"/>
  <c r="Q292" i="9"/>
  <c r="H260" i="9"/>
  <c r="H264" i="9" s="1"/>
  <c r="H265" i="9" s="1"/>
  <c r="H276" i="9" s="1"/>
  <c r="H277" i="9" s="1"/>
  <c r="H278" i="9" s="1"/>
  <c r="J260" i="9"/>
  <c r="G300" i="13"/>
  <c r="J278" i="11"/>
  <c r="K264" i="11"/>
  <c r="K265" i="11" s="1"/>
  <c r="K276" i="11" s="1"/>
  <c r="K277" i="11" s="1"/>
  <c r="K278" i="11" s="1"/>
  <c r="L264" i="11"/>
  <c r="L265" i="11" s="1"/>
  <c r="L276" i="11" s="1"/>
  <c r="L277" i="11" s="1"/>
  <c r="K260" i="12"/>
  <c r="K264" i="12" s="1"/>
  <c r="K265" i="12" s="1"/>
  <c r="K276" i="12" s="1"/>
  <c r="K277" i="12" s="1"/>
  <c r="K292" i="12"/>
  <c r="S292" i="13"/>
  <c r="S260" i="13"/>
  <c r="P292" i="13"/>
  <c r="P260" i="13"/>
  <c r="J292" i="12"/>
  <c r="J260" i="12"/>
  <c r="J264" i="12" s="1"/>
  <c r="J265" i="12" s="1"/>
  <c r="J276" i="12" s="1"/>
  <c r="R292" i="12"/>
  <c r="R260" i="12"/>
  <c r="O292" i="13"/>
  <c r="O260" i="13"/>
  <c r="K260" i="14"/>
  <c r="K264" i="14" s="1"/>
  <c r="K265" i="14" s="1"/>
  <c r="K276" i="14" s="1"/>
  <c r="K292" i="14"/>
  <c r="M257" i="11"/>
  <c r="V292" i="14"/>
  <c r="V260" i="14"/>
  <c r="O292" i="14"/>
  <c r="O260" i="14"/>
  <c r="N260" i="12"/>
  <c r="N292" i="12"/>
  <c r="N260" i="13"/>
  <c r="N292" i="13"/>
  <c r="H260" i="13"/>
  <c r="H264" i="13" s="1"/>
  <c r="H265" i="13" s="1"/>
  <c r="H276" i="13" s="1"/>
  <c r="H292" i="13"/>
  <c r="K277" i="15"/>
  <c r="K278" i="15" s="1"/>
  <c r="H277" i="15"/>
  <c r="H278" i="15" s="1"/>
  <c r="K260" i="13"/>
  <c r="K264" i="13" s="1"/>
  <c r="K265" i="13" s="1"/>
  <c r="K276" i="13" s="1"/>
  <c r="K277" i="13" s="1"/>
  <c r="K292" i="13"/>
  <c r="N292" i="14"/>
  <c r="N260" i="14"/>
  <c r="Q260" i="13"/>
  <c r="Q292" i="13"/>
  <c r="L260" i="12"/>
  <c r="L292" i="12"/>
  <c r="P292" i="12"/>
  <c r="P260" i="12"/>
  <c r="L260" i="13"/>
  <c r="L292" i="13"/>
  <c r="I277" i="11"/>
  <c r="I278" i="11" s="1"/>
  <c r="Q292" i="14"/>
  <c r="Q260" i="14"/>
  <c r="J277" i="15"/>
  <c r="J278" i="15" s="1"/>
  <c r="Q260" i="12"/>
  <c r="Q292" i="12"/>
  <c r="J260" i="13"/>
  <c r="J264" i="13" s="1"/>
  <c r="J265" i="13" s="1"/>
  <c r="J276" i="13" s="1"/>
  <c r="J292" i="13"/>
  <c r="I277" i="15"/>
  <c r="I278" i="15" s="1"/>
  <c r="H260" i="14"/>
  <c r="H264" i="14" s="1"/>
  <c r="H265" i="14" s="1"/>
  <c r="H276" i="14" s="1"/>
  <c r="H292" i="14"/>
  <c r="T260" i="13"/>
  <c r="T292" i="13"/>
  <c r="G230" i="12"/>
  <c r="G231" i="12" s="1"/>
  <c r="G242" i="12" s="1"/>
  <c r="G243" i="12" s="1"/>
  <c r="G244" i="12" s="1"/>
  <c r="G292" i="12"/>
  <c r="G260" i="12"/>
  <c r="U292" i="14"/>
  <c r="U260" i="14"/>
  <c r="R292" i="13"/>
  <c r="R260" i="13"/>
  <c r="I260" i="14"/>
  <c r="I264" i="14" s="1"/>
  <c r="I265" i="14" s="1"/>
  <c r="I276" i="14" s="1"/>
  <c r="I292" i="14"/>
  <c r="S292" i="12"/>
  <c r="S260" i="12"/>
  <c r="U292" i="12"/>
  <c r="U260" i="12"/>
  <c r="R292" i="14"/>
  <c r="R260" i="14"/>
  <c r="S292" i="14"/>
  <c r="S260" i="14"/>
  <c r="G230" i="14"/>
  <c r="G231" i="14" s="1"/>
  <c r="G242" i="14" s="1"/>
  <c r="G243" i="14" s="1"/>
  <c r="G244" i="14" s="1"/>
  <c r="G292" i="14"/>
  <c r="G260" i="14"/>
  <c r="I292" i="12"/>
  <c r="I260" i="12"/>
  <c r="I264" i="12" s="1"/>
  <c r="I265" i="12" s="1"/>
  <c r="I276" i="12" s="1"/>
  <c r="H277" i="11"/>
  <c r="H278" i="11" s="1"/>
  <c r="M260" i="12"/>
  <c r="M292" i="12"/>
  <c r="O292" i="12"/>
  <c r="O260" i="12"/>
  <c r="J292" i="14"/>
  <c r="J260" i="14"/>
  <c r="J264" i="14" s="1"/>
  <c r="J265" i="14" s="1"/>
  <c r="J276" i="14" s="1"/>
  <c r="M260" i="13"/>
  <c r="M292" i="13"/>
  <c r="H260" i="12"/>
  <c r="H264" i="12" s="1"/>
  <c r="H265" i="12" s="1"/>
  <c r="H276" i="12" s="1"/>
  <c r="H292" i="12"/>
  <c r="M260" i="14"/>
  <c r="M292" i="14"/>
  <c r="L260" i="14"/>
  <c r="L264" i="14" s="1"/>
  <c r="L265" i="14" s="1"/>
  <c r="L276" i="14" s="1"/>
  <c r="L292" i="14"/>
  <c r="T260" i="14"/>
  <c r="T292" i="14"/>
  <c r="P260" i="14"/>
  <c r="P292" i="14"/>
  <c r="G292" i="13"/>
  <c r="G260" i="13"/>
  <c r="G230" i="13"/>
  <c r="G231" i="13" s="1"/>
  <c r="G242" i="13" s="1"/>
  <c r="G243" i="13" s="1"/>
  <c r="G244" i="13" s="1"/>
  <c r="I292" i="13"/>
  <c r="I260" i="13"/>
  <c r="I264" i="13" s="1"/>
  <c r="I265" i="13" s="1"/>
  <c r="I276" i="13" s="1"/>
  <c r="M187" i="13"/>
  <c r="M224" i="13" s="1"/>
  <c r="M258" i="13" s="1"/>
  <c r="M290" i="11"/>
  <c r="M258" i="11"/>
  <c r="M225" i="11"/>
  <c r="M259" i="11" s="1"/>
  <c r="P150" i="11"/>
  <c r="L304" i="11"/>
  <c r="O177" i="11"/>
  <c r="O237" i="11" s="1"/>
  <c r="P128" i="11"/>
  <c r="P108" i="11"/>
  <c r="N180" i="11"/>
  <c r="N237" i="11"/>
  <c r="N271" i="11" s="1"/>
  <c r="P129" i="11"/>
  <c r="P171" i="11"/>
  <c r="M272" i="11"/>
  <c r="M304" i="11"/>
  <c r="P107" i="11"/>
  <c r="M305" i="11"/>
  <c r="M273" i="11"/>
  <c r="P170" i="11"/>
  <c r="P175" i="11"/>
  <c r="N179" i="11"/>
  <c r="N187" i="11"/>
  <c r="N224" i="11" s="1"/>
  <c r="N200" i="11"/>
  <c r="O176" i="11"/>
  <c r="R154" i="11"/>
  <c r="Q162" i="11"/>
  <c r="Q157" i="11"/>
  <c r="Q163" i="11"/>
  <c r="Q161" i="11"/>
  <c r="N289" i="11"/>
  <c r="N257" i="11"/>
  <c r="Q94" i="11"/>
  <c r="Q99" i="11"/>
  <c r="R91" i="11"/>
  <c r="Q98" i="11"/>
  <c r="Q100" i="11"/>
  <c r="R185" i="14"/>
  <c r="Q120" i="11"/>
  <c r="Q121" i="11"/>
  <c r="Q115" i="11"/>
  <c r="Q119" i="11"/>
  <c r="R112" i="11"/>
  <c r="S185" i="15"/>
  <c r="R133" i="11"/>
  <c r="Q142" i="11"/>
  <c r="Q140" i="11"/>
  <c r="Q141" i="11"/>
  <c r="Q136" i="11"/>
  <c r="P149" i="11"/>
  <c r="N181" i="11"/>
  <c r="J257" i="10"/>
  <c r="K223" i="10"/>
  <c r="K289" i="10" s="1"/>
  <c r="K181" i="10"/>
  <c r="K237" i="10"/>
  <c r="L177" i="10"/>
  <c r="L223" i="10" s="1"/>
  <c r="N144" i="10"/>
  <c r="M150" i="10"/>
  <c r="N165" i="10"/>
  <c r="M171" i="10"/>
  <c r="N102" i="10"/>
  <c r="M108" i="10"/>
  <c r="M224" i="12"/>
  <c r="M290" i="12" s="1"/>
  <c r="M129" i="9"/>
  <c r="N123" i="9"/>
  <c r="N165" i="9"/>
  <c r="M171" i="9"/>
  <c r="J257" i="9"/>
  <c r="J289" i="9"/>
  <c r="L177" i="9"/>
  <c r="N102" i="9"/>
  <c r="M108" i="9"/>
  <c r="J271" i="9"/>
  <c r="J303" i="9"/>
  <c r="M150" i="9"/>
  <c r="N144" i="9"/>
  <c r="K237" i="9"/>
  <c r="K223" i="9"/>
  <c r="K181" i="9"/>
  <c r="K180" i="9"/>
  <c r="P129" i="12"/>
  <c r="M305" i="12"/>
  <c r="O176" i="12"/>
  <c r="O179" i="12" s="1"/>
  <c r="P175" i="12"/>
  <c r="N200" i="12"/>
  <c r="N239" i="12" s="1"/>
  <c r="O177" i="12"/>
  <c r="O237" i="12" s="1"/>
  <c r="P157" i="8"/>
  <c r="P175" i="8" s="1"/>
  <c r="L273" i="8"/>
  <c r="Q154" i="8"/>
  <c r="Q162" i="8" s="1"/>
  <c r="N187" i="12"/>
  <c r="N224" i="12" s="1"/>
  <c r="P149" i="12"/>
  <c r="P161" i="8"/>
  <c r="P163" i="8"/>
  <c r="P171" i="12"/>
  <c r="Q121" i="12"/>
  <c r="Q119" i="12"/>
  <c r="Q115" i="12"/>
  <c r="R112" i="12"/>
  <c r="Q120" i="12"/>
  <c r="P107" i="12"/>
  <c r="R185" i="12"/>
  <c r="M271" i="12"/>
  <c r="M303" i="12"/>
  <c r="L238" i="13"/>
  <c r="L258" i="13"/>
  <c r="L290" i="13"/>
  <c r="N237" i="12"/>
  <c r="N180" i="12"/>
  <c r="N223" i="12"/>
  <c r="N181" i="12"/>
  <c r="L238" i="12"/>
  <c r="L290" i="12"/>
  <c r="L258" i="12"/>
  <c r="P108" i="12"/>
  <c r="Q162" i="12"/>
  <c r="Q161" i="12"/>
  <c r="Q157" i="12"/>
  <c r="R154" i="12"/>
  <c r="Q163" i="12"/>
  <c r="M257" i="12"/>
  <c r="M289" i="12"/>
  <c r="Q100" i="12"/>
  <c r="Q98" i="12"/>
  <c r="Q94" i="12"/>
  <c r="Q99" i="12"/>
  <c r="R91" i="12"/>
  <c r="O170" i="8"/>
  <c r="O176" i="8" s="1"/>
  <c r="Q142" i="12"/>
  <c r="Q140" i="12"/>
  <c r="R133" i="12"/>
  <c r="Q141" i="12"/>
  <c r="Q136" i="12"/>
  <c r="L291" i="12"/>
  <c r="L259" i="12"/>
  <c r="P128" i="12"/>
  <c r="P150" i="12"/>
  <c r="P170" i="12"/>
  <c r="S185" i="11"/>
  <c r="L273" i="12"/>
  <c r="L305" i="12"/>
  <c r="N128" i="10"/>
  <c r="N176" i="10" s="1"/>
  <c r="O120" i="10"/>
  <c r="O119" i="10"/>
  <c r="O115" i="10"/>
  <c r="O175" i="10" s="1"/>
  <c r="P112" i="10"/>
  <c r="P121" i="10" s="1"/>
  <c r="N129" i="10"/>
  <c r="G244" i="8"/>
  <c r="Z184" i="9"/>
  <c r="L180" i="8"/>
  <c r="L223" i="8"/>
  <c r="L237" i="8"/>
  <c r="L181" i="8"/>
  <c r="N144" i="8"/>
  <c r="M150" i="8"/>
  <c r="M177" i="8" s="1"/>
  <c r="O165" i="8"/>
  <c r="N171" i="8"/>
  <c r="O102" i="8"/>
  <c r="N108" i="8"/>
  <c r="K289" i="8"/>
  <c r="K257" i="8"/>
  <c r="K271" i="8"/>
  <c r="K303" i="8"/>
  <c r="O123" i="8"/>
  <c r="N129" i="8"/>
  <c r="U260" i="8"/>
  <c r="U292" i="8"/>
  <c r="M292" i="8"/>
  <c r="M260" i="8"/>
  <c r="K260" i="8"/>
  <c r="K292" i="8"/>
  <c r="O292" i="8"/>
  <c r="O260" i="8"/>
  <c r="T292" i="8"/>
  <c r="T260" i="8"/>
  <c r="L292" i="8"/>
  <c r="L260" i="8"/>
  <c r="N260" i="8"/>
  <c r="N292" i="8"/>
  <c r="Q292" i="8"/>
  <c r="Q260" i="8"/>
  <c r="R260" i="8"/>
  <c r="R292" i="8"/>
  <c r="O34" i="10"/>
  <c r="O226" i="10" s="1"/>
  <c r="K34" i="10"/>
  <c r="K226" i="10" s="1"/>
  <c r="G34" i="10"/>
  <c r="Z34" i="10"/>
  <c r="T34" i="10"/>
  <c r="Y34" i="10"/>
  <c r="W34" i="10"/>
  <c r="Q34" i="10"/>
  <c r="Q226" i="10" s="1"/>
  <c r="V34" i="10"/>
  <c r="U34" i="10"/>
  <c r="I34" i="10"/>
  <c r="I226" i="10" s="1"/>
  <c r="N34" i="10"/>
  <c r="N226" i="10" s="1"/>
  <c r="X34" i="10"/>
  <c r="R34" i="10"/>
  <c r="R226" i="10" s="1"/>
  <c r="S34" i="10"/>
  <c r="S226" i="10" s="1"/>
  <c r="AA34" i="10"/>
  <c r="P34" i="10"/>
  <c r="P226" i="10" s="1"/>
  <c r="M34" i="10"/>
  <c r="M226" i="10" s="1"/>
  <c r="J34" i="10"/>
  <c r="J226" i="10" s="1"/>
  <c r="H34" i="10"/>
  <c r="H226" i="10" s="1"/>
  <c r="L34" i="10"/>
  <c r="L226" i="10" s="1"/>
  <c r="J292" i="8"/>
  <c r="J260" i="8"/>
  <c r="J264" i="8" s="1"/>
  <c r="J265" i="8" s="1"/>
  <c r="J276" i="8" s="1"/>
  <c r="J277" i="8" s="1"/>
  <c r="G260" i="8"/>
  <c r="G292" i="8"/>
  <c r="V260" i="8"/>
  <c r="V292" i="8"/>
  <c r="I292" i="8"/>
  <c r="I260" i="8"/>
  <c r="I264" i="8" s="1"/>
  <c r="I265" i="8" s="1"/>
  <c r="I276" i="8" s="1"/>
  <c r="I277" i="8" s="1"/>
  <c r="H260" i="8"/>
  <c r="H264" i="8" s="1"/>
  <c r="H265" i="8" s="1"/>
  <c r="H276" i="8" s="1"/>
  <c r="H292" i="8"/>
  <c r="S260" i="8"/>
  <c r="S292" i="8"/>
  <c r="P260" i="8"/>
  <c r="P292" i="8"/>
  <c r="M225" i="9"/>
  <c r="M291" i="9" s="1"/>
  <c r="M238" i="9"/>
  <c r="M272" i="9" s="1"/>
  <c r="M290" i="9"/>
  <c r="M200" i="10"/>
  <c r="M225" i="10" s="1"/>
  <c r="P128" i="8"/>
  <c r="P170" i="9"/>
  <c r="AP166" i="5"/>
  <c r="AP49" i="6" s="1"/>
  <c r="P162" i="10"/>
  <c r="P161" i="10"/>
  <c r="Q154" i="10"/>
  <c r="P157" i="10"/>
  <c r="P163" i="10"/>
  <c r="N179" i="8"/>
  <c r="N187" i="8"/>
  <c r="S185" i="8"/>
  <c r="AP162" i="5"/>
  <c r="AP45" i="6" s="1"/>
  <c r="AW79" i="6"/>
  <c r="AW71" i="6"/>
  <c r="AW69" i="6"/>
  <c r="AW70" i="6"/>
  <c r="AW39" i="6"/>
  <c r="AW72" i="6"/>
  <c r="P149" i="8"/>
  <c r="S192" i="9"/>
  <c r="AV46" i="7"/>
  <c r="AU52" i="7"/>
  <c r="Y37" i="14" s="1"/>
  <c r="AU53" i="7"/>
  <c r="Y37" i="15" s="1"/>
  <c r="U5" i="6"/>
  <c r="U5" i="7"/>
  <c r="V5" i="5"/>
  <c r="Q157" i="9"/>
  <c r="R154" i="9"/>
  <c r="Q163" i="9"/>
  <c r="Q161" i="9"/>
  <c r="Q162" i="9"/>
  <c r="AS54" i="7"/>
  <c r="AN167" i="5"/>
  <c r="AN50" i="6" s="1"/>
  <c r="N200" i="8"/>
  <c r="K291" i="10"/>
  <c r="K259" i="10"/>
  <c r="L272" i="9"/>
  <c r="L304" i="9"/>
  <c r="Q100" i="8"/>
  <c r="Q98" i="8"/>
  <c r="Q94" i="8"/>
  <c r="R91" i="8"/>
  <c r="Q99" i="8"/>
  <c r="R133" i="9"/>
  <c r="Q140" i="9"/>
  <c r="Q136" i="9"/>
  <c r="Q142" i="9"/>
  <c r="Q141" i="9"/>
  <c r="P100" i="10"/>
  <c r="P98" i="10"/>
  <c r="P99" i="10"/>
  <c r="P94" i="10"/>
  <c r="Q91" i="10"/>
  <c r="AO164" i="5"/>
  <c r="AO47" i="6" s="1"/>
  <c r="AO54" i="6" s="1"/>
  <c r="R186" i="8"/>
  <c r="AW77" i="6"/>
  <c r="AW67" i="6"/>
  <c r="AW38" i="6"/>
  <c r="AW78" i="6"/>
  <c r="AW68" i="6"/>
  <c r="AA184" i="11" s="1"/>
  <c r="AW66" i="6"/>
  <c r="M273" i="9"/>
  <c r="M305" i="9"/>
  <c r="O149" i="10"/>
  <c r="O107" i="10"/>
  <c r="AO168" i="5"/>
  <c r="AO51" i="6" s="1"/>
  <c r="AR12" i="4"/>
  <c r="AS10" i="4"/>
  <c r="S192" i="8"/>
  <c r="Q115" i="8"/>
  <c r="Q119" i="8"/>
  <c r="R112" i="8"/>
  <c r="Q121" i="8"/>
  <c r="Q120" i="8"/>
  <c r="M187" i="10"/>
  <c r="M224" i="10" s="1"/>
  <c r="M224" i="8"/>
  <c r="AP165" i="5"/>
  <c r="AP48" i="6" s="1"/>
  <c r="P128" i="9"/>
  <c r="N179" i="9"/>
  <c r="N187" i="9"/>
  <c r="N224" i="9" s="1"/>
  <c r="N200" i="9"/>
  <c r="K305" i="10"/>
  <c r="K273" i="10"/>
  <c r="O170" i="10"/>
  <c r="AR4" i="5"/>
  <c r="V6" i="5"/>
  <c r="U6" i="7"/>
  <c r="U6" i="6"/>
  <c r="P142" i="10"/>
  <c r="P140" i="10"/>
  <c r="P136" i="10"/>
  <c r="Q133" i="10"/>
  <c r="P141" i="10"/>
  <c r="P149" i="9"/>
  <c r="R192" i="10"/>
  <c r="L239" i="10"/>
  <c r="L225" i="10"/>
  <c r="AP169" i="5"/>
  <c r="AP52" i="6" s="1"/>
  <c r="M239" i="8"/>
  <c r="M225" i="8"/>
  <c r="Q121" i="9"/>
  <c r="Q119" i="9"/>
  <c r="Q115" i="9"/>
  <c r="Q120" i="9"/>
  <c r="R112" i="9"/>
  <c r="AW59" i="6"/>
  <c r="AP161" i="5"/>
  <c r="AP44" i="6" s="1"/>
  <c r="Q4" i="6"/>
  <c r="Q4" i="7"/>
  <c r="P4" i="5"/>
  <c r="AT48" i="7"/>
  <c r="X37" i="9" s="1"/>
  <c r="X37" i="10" s="1"/>
  <c r="AU44" i="7"/>
  <c r="AT49" i="7"/>
  <c r="X37" i="12" s="1"/>
  <c r="X37" i="13" s="1"/>
  <c r="L290" i="8"/>
  <c r="L238" i="8"/>
  <c r="L258" i="8"/>
  <c r="S185" i="9"/>
  <c r="AO170" i="5"/>
  <c r="AO53" i="6" s="1"/>
  <c r="AW75" i="6"/>
  <c r="AW65" i="6"/>
  <c r="AA184" i="12" s="1"/>
  <c r="AW63" i="6"/>
  <c r="AW64" i="6"/>
  <c r="AW37" i="6"/>
  <c r="AW76" i="6"/>
  <c r="Q136" i="8"/>
  <c r="R133" i="8"/>
  <c r="Q141" i="8"/>
  <c r="Q140" i="8"/>
  <c r="Q142" i="8"/>
  <c r="P107" i="8"/>
  <c r="AV45" i="7"/>
  <c r="AU51" i="7"/>
  <c r="Y37" i="11" s="1"/>
  <c r="AU50" i="7"/>
  <c r="Y37" i="8" s="1"/>
  <c r="AZ5" i="4" l="1"/>
  <c r="AY7" i="4"/>
  <c r="G226" i="10"/>
  <c r="G230" i="10" s="1"/>
  <c r="G231" i="10" s="1"/>
  <c r="G242" i="10" s="1"/>
  <c r="G243" i="10" s="1"/>
  <c r="AT4" i="7"/>
  <c r="AS260" i="7"/>
  <c r="AR261" i="7"/>
  <c r="U7" i="18"/>
  <c r="AR262" i="7"/>
  <c r="U8" i="18"/>
  <c r="Q33" i="18"/>
  <c r="AA184" i="8"/>
  <c r="Q36" i="18"/>
  <c r="AO46" i="6"/>
  <c r="AP163" i="5"/>
  <c r="AN55" i="6"/>
  <c r="R186" i="12"/>
  <c r="R186" i="13" s="1"/>
  <c r="AA184" i="15"/>
  <c r="AA184" i="14"/>
  <c r="S186" i="11"/>
  <c r="AM58" i="6"/>
  <c r="AM60" i="6" s="1"/>
  <c r="Q186" i="14"/>
  <c r="Q35" i="18" s="1"/>
  <c r="S186" i="9"/>
  <c r="R186" i="15"/>
  <c r="Q100" i="9"/>
  <c r="L258" i="10"/>
  <c r="P107" i="9"/>
  <c r="P176" i="9" s="1"/>
  <c r="P187" i="9" s="1"/>
  <c r="P224" i="9" s="1"/>
  <c r="L290" i="10"/>
  <c r="Q98" i="9"/>
  <c r="Q99" i="9"/>
  <c r="R91" i="9"/>
  <c r="R94" i="9" s="1"/>
  <c r="K304" i="10"/>
  <c r="R186" i="10"/>
  <c r="R34" i="18"/>
  <c r="U256" i="9"/>
  <c r="T288" i="10"/>
  <c r="V256" i="9"/>
  <c r="U222" i="10"/>
  <c r="U288" i="10" s="1"/>
  <c r="T12" i="18"/>
  <c r="V222" i="10"/>
  <c r="V256" i="10" s="1"/>
  <c r="U12" i="18"/>
  <c r="W222" i="9"/>
  <c r="W256" i="9" s="1"/>
  <c r="V11" i="18"/>
  <c r="G268" i="10"/>
  <c r="W292" i="8"/>
  <c r="U260" i="9"/>
  <c r="V260" i="12"/>
  <c r="T226" i="10"/>
  <c r="T260" i="10" s="1"/>
  <c r="V292" i="9"/>
  <c r="V260" i="9"/>
  <c r="O180" i="15"/>
  <c r="O237" i="15"/>
  <c r="O271" i="15" s="1"/>
  <c r="U260" i="13"/>
  <c r="U292" i="13"/>
  <c r="W260" i="14"/>
  <c r="W260" i="9"/>
  <c r="W292" i="9"/>
  <c r="X260" i="14"/>
  <c r="X292" i="14"/>
  <c r="W292" i="12"/>
  <c r="W260" i="12"/>
  <c r="X292" i="11"/>
  <c r="X260" i="11"/>
  <c r="X292" i="15"/>
  <c r="X260" i="15"/>
  <c r="U50" i="10"/>
  <c r="U226" i="10" s="1"/>
  <c r="V50" i="10"/>
  <c r="V226" i="10" s="1"/>
  <c r="V260" i="10" s="1"/>
  <c r="V260" i="13"/>
  <c r="M259" i="15"/>
  <c r="M264" i="15" s="1"/>
  <c r="M265" i="15" s="1"/>
  <c r="M276" i="15" s="1"/>
  <c r="M277" i="15" s="1"/>
  <c r="M259" i="14"/>
  <c r="M264" i="14" s="1"/>
  <c r="M265" i="14" s="1"/>
  <c r="M276" i="14" s="1"/>
  <c r="M277" i="14" s="1"/>
  <c r="M278" i="14" s="1"/>
  <c r="X292" i="8"/>
  <c r="X260" i="8"/>
  <c r="O181" i="15"/>
  <c r="N290" i="15"/>
  <c r="X45" i="12"/>
  <c r="X50" i="12" s="1"/>
  <c r="X226" i="12" s="1"/>
  <c r="X42" i="12"/>
  <c r="X222" i="12" s="1"/>
  <c r="X256" i="15"/>
  <c r="X288" i="15"/>
  <c r="X288" i="11"/>
  <c r="X256" i="11"/>
  <c r="W42" i="10"/>
  <c r="W45" i="10"/>
  <c r="W50" i="10" s="1"/>
  <c r="W226" i="10" s="1"/>
  <c r="X45" i="9"/>
  <c r="X50" i="9" s="1"/>
  <c r="X226" i="9" s="1"/>
  <c r="X42" i="9"/>
  <c r="W42" i="13"/>
  <c r="W222" i="13" s="1"/>
  <c r="W45" i="13"/>
  <c r="W50" i="13" s="1"/>
  <c r="W226" i="13" s="1"/>
  <c r="X288" i="8"/>
  <c r="X256" i="8"/>
  <c r="Y45" i="8"/>
  <c r="Y50" i="8" s="1"/>
  <c r="Y226" i="8" s="1"/>
  <c r="Y42" i="8"/>
  <c r="Y222" i="8" s="1"/>
  <c r="V288" i="13"/>
  <c r="V256" i="13"/>
  <c r="Y45" i="15"/>
  <c r="Y50" i="15" s="1"/>
  <c r="Y226" i="15" s="1"/>
  <c r="Y42" i="15"/>
  <c r="Y222" i="15" s="1"/>
  <c r="Y42" i="11"/>
  <c r="Y222" i="11" s="1"/>
  <c r="Y45" i="11"/>
  <c r="Y50" i="11" s="1"/>
  <c r="Y226" i="11" s="1"/>
  <c r="Y42" i="14"/>
  <c r="Y222" i="14" s="1"/>
  <c r="Y45" i="14"/>
  <c r="Y50" i="14" s="1"/>
  <c r="Y226" i="14" s="1"/>
  <c r="W256" i="12"/>
  <c r="W288" i="12"/>
  <c r="X256" i="14"/>
  <c r="X288" i="14"/>
  <c r="O237" i="13"/>
  <c r="O303" i="13" s="1"/>
  <c r="N239" i="14"/>
  <c r="N305" i="14" s="1"/>
  <c r="N225" i="15"/>
  <c r="N291" i="15" s="1"/>
  <c r="N238" i="15"/>
  <c r="N304" i="15" s="1"/>
  <c r="O200" i="14"/>
  <c r="O225" i="14" s="1"/>
  <c r="O223" i="13"/>
  <c r="O289" i="13" s="1"/>
  <c r="O187" i="14"/>
  <c r="O224" i="14" s="1"/>
  <c r="O258" i="14" s="1"/>
  <c r="O181" i="13"/>
  <c r="O200" i="15"/>
  <c r="O225" i="15" s="1"/>
  <c r="O187" i="15"/>
  <c r="O224" i="15" s="1"/>
  <c r="O290" i="15" s="1"/>
  <c r="O179" i="15"/>
  <c r="N238" i="14"/>
  <c r="N304" i="14" s="1"/>
  <c r="N290" i="14"/>
  <c r="O200" i="13"/>
  <c r="O225" i="13" s="1"/>
  <c r="M305" i="13"/>
  <c r="Q171" i="13"/>
  <c r="P177" i="13"/>
  <c r="P223" i="13" s="1"/>
  <c r="N225" i="13"/>
  <c r="N259" i="13" s="1"/>
  <c r="Q171" i="14"/>
  <c r="Q150" i="15"/>
  <c r="Q129" i="14"/>
  <c r="P177" i="14"/>
  <c r="P180" i="14" s="1"/>
  <c r="P177" i="15"/>
  <c r="P180" i="15" s="1"/>
  <c r="N257" i="13"/>
  <c r="N289" i="13"/>
  <c r="P176" i="15"/>
  <c r="P187" i="15" s="1"/>
  <c r="P224" i="15" s="1"/>
  <c r="P176" i="13"/>
  <c r="P179" i="13" s="1"/>
  <c r="Q129" i="15"/>
  <c r="Q108" i="14"/>
  <c r="Q108" i="15"/>
  <c r="P176" i="14"/>
  <c r="P200" i="14" s="1"/>
  <c r="P239" i="14" s="1"/>
  <c r="N271" i="13"/>
  <c r="N303" i="13"/>
  <c r="Q150" i="14"/>
  <c r="Q129" i="13"/>
  <c r="Q170" i="13"/>
  <c r="L278" i="15"/>
  <c r="Q108" i="13"/>
  <c r="Q175" i="14"/>
  <c r="Q170" i="14"/>
  <c r="R121" i="15"/>
  <c r="R119" i="15"/>
  <c r="S112" i="15"/>
  <c r="R120" i="15"/>
  <c r="R115" i="15"/>
  <c r="Q107" i="14"/>
  <c r="N271" i="15"/>
  <c r="N303" i="15"/>
  <c r="N291" i="14"/>
  <c r="N259" i="14"/>
  <c r="N289" i="14"/>
  <c r="N257" i="14"/>
  <c r="N305" i="13"/>
  <c r="N273" i="13"/>
  <c r="Q149" i="13"/>
  <c r="Q170" i="15"/>
  <c r="R136" i="14"/>
  <c r="R142" i="14"/>
  <c r="R140" i="14"/>
  <c r="S133" i="14"/>
  <c r="R141" i="14"/>
  <c r="R142" i="13"/>
  <c r="R141" i="13"/>
  <c r="R140" i="13"/>
  <c r="R136" i="13"/>
  <c r="S133" i="13"/>
  <c r="S154" i="15"/>
  <c r="R163" i="15"/>
  <c r="R161" i="15"/>
  <c r="R162" i="15"/>
  <c r="R157" i="15"/>
  <c r="Q175" i="13"/>
  <c r="Q149" i="14"/>
  <c r="O181" i="14"/>
  <c r="O237" i="14"/>
  <c r="O180" i="14"/>
  <c r="O223" i="14"/>
  <c r="N273" i="15"/>
  <c r="N305" i="15"/>
  <c r="R161" i="13"/>
  <c r="R163" i="13"/>
  <c r="R157" i="13"/>
  <c r="R162" i="13"/>
  <c r="S154" i="13"/>
  <c r="R94" i="15"/>
  <c r="R100" i="15"/>
  <c r="R99" i="15"/>
  <c r="S91" i="15"/>
  <c r="R98" i="15"/>
  <c r="O257" i="15"/>
  <c r="O289" i="15"/>
  <c r="Q150" i="13"/>
  <c r="R99" i="13"/>
  <c r="R98" i="13"/>
  <c r="R100" i="13"/>
  <c r="S91" i="13"/>
  <c r="R94" i="13"/>
  <c r="R115" i="13"/>
  <c r="S112" i="13"/>
  <c r="R119" i="13"/>
  <c r="R120" i="13"/>
  <c r="R121" i="13"/>
  <c r="N289" i="15"/>
  <c r="N257" i="15"/>
  <c r="Q175" i="15"/>
  <c r="S154" i="14"/>
  <c r="R161" i="14"/>
  <c r="R157" i="14"/>
  <c r="R163" i="14"/>
  <c r="R162" i="14"/>
  <c r="Q107" i="15"/>
  <c r="R121" i="14"/>
  <c r="R119" i="14"/>
  <c r="S112" i="14"/>
  <c r="R120" i="14"/>
  <c r="R115" i="14"/>
  <c r="R142" i="15"/>
  <c r="R136" i="15"/>
  <c r="R141" i="15"/>
  <c r="R140" i="15"/>
  <c r="S133" i="15"/>
  <c r="Q128" i="15"/>
  <c r="Q128" i="13"/>
  <c r="R100" i="14"/>
  <c r="R99" i="14"/>
  <c r="S91" i="14"/>
  <c r="R98" i="14"/>
  <c r="R94" i="14"/>
  <c r="Q171" i="15"/>
  <c r="N303" i="14"/>
  <c r="N271" i="14"/>
  <c r="Q107" i="13"/>
  <c r="Q128" i="14"/>
  <c r="Q149" i="15"/>
  <c r="J264" i="9"/>
  <c r="J265" i="9" s="1"/>
  <c r="J276" i="9" s="1"/>
  <c r="J277" i="9" s="1"/>
  <c r="J278" i="9" s="1"/>
  <c r="L278" i="11"/>
  <c r="L264" i="13"/>
  <c r="L265" i="13" s="1"/>
  <c r="L276" i="13" s="1"/>
  <c r="L277" i="13" s="1"/>
  <c r="K278" i="12"/>
  <c r="M264" i="13"/>
  <c r="M265" i="13" s="1"/>
  <c r="M276" i="13" s="1"/>
  <c r="M277" i="13" s="1"/>
  <c r="K278" i="13"/>
  <c r="M291" i="11"/>
  <c r="J277" i="13"/>
  <c r="J278" i="13" s="1"/>
  <c r="H277" i="13"/>
  <c r="H278" i="13" s="1"/>
  <c r="I277" i="13"/>
  <c r="I278" i="13" s="1"/>
  <c r="H277" i="12"/>
  <c r="H278" i="12" s="1"/>
  <c r="J277" i="12"/>
  <c r="J278" i="12" s="1"/>
  <c r="H277" i="14"/>
  <c r="H278" i="14" s="1"/>
  <c r="M290" i="13"/>
  <c r="J277" i="14"/>
  <c r="J278" i="14" s="1"/>
  <c r="I277" i="12"/>
  <c r="I278" i="12" s="1"/>
  <c r="K277" i="14"/>
  <c r="K278" i="14" s="1"/>
  <c r="M238" i="13"/>
  <c r="M272" i="13" s="1"/>
  <c r="L277" i="14"/>
  <c r="L278" i="14" s="1"/>
  <c r="I277" i="14"/>
  <c r="I278" i="14" s="1"/>
  <c r="M264" i="11"/>
  <c r="M265" i="11" s="1"/>
  <c r="M276" i="11" s="1"/>
  <c r="M277" i="11" s="1"/>
  <c r="O180" i="11"/>
  <c r="O223" i="11"/>
  <c r="O257" i="11" s="1"/>
  <c r="Q108" i="11"/>
  <c r="Q150" i="11"/>
  <c r="O181" i="11"/>
  <c r="P177" i="11"/>
  <c r="P180" i="11" s="1"/>
  <c r="N303" i="11"/>
  <c r="Q129" i="11"/>
  <c r="Q171" i="11"/>
  <c r="Q128" i="11"/>
  <c r="T185" i="15"/>
  <c r="N239" i="11"/>
  <c r="N225" i="11"/>
  <c r="Q107" i="11"/>
  <c r="N238" i="11"/>
  <c r="N290" i="11"/>
  <c r="N258" i="11"/>
  <c r="P176" i="11"/>
  <c r="P200" i="11" s="1"/>
  <c r="S185" i="14"/>
  <c r="R161" i="11"/>
  <c r="R162" i="11"/>
  <c r="R157" i="11"/>
  <c r="S154" i="11"/>
  <c r="R163" i="11"/>
  <c r="Q149" i="11"/>
  <c r="R100" i="11"/>
  <c r="R98" i="11"/>
  <c r="R99" i="11"/>
  <c r="S91" i="11"/>
  <c r="R94" i="11"/>
  <c r="Q170" i="11"/>
  <c r="O271" i="11"/>
  <c r="O303" i="11"/>
  <c r="R115" i="11"/>
  <c r="R119" i="11"/>
  <c r="R121" i="11"/>
  <c r="S112" i="11"/>
  <c r="R120" i="11"/>
  <c r="O179" i="11"/>
  <c r="O187" i="11"/>
  <c r="O224" i="11" s="1"/>
  <c r="O200" i="11"/>
  <c r="R140" i="11"/>
  <c r="S133" i="11"/>
  <c r="R142" i="11"/>
  <c r="R136" i="11"/>
  <c r="R141" i="11"/>
  <c r="Q175" i="11"/>
  <c r="M238" i="12"/>
  <c r="M272" i="12" s="1"/>
  <c r="M258" i="12"/>
  <c r="M264" i="12" s="1"/>
  <c r="M265" i="12" s="1"/>
  <c r="M276" i="12" s="1"/>
  <c r="M277" i="12" s="1"/>
  <c r="L237" i="10"/>
  <c r="L181" i="10"/>
  <c r="K257" i="10"/>
  <c r="K303" i="10"/>
  <c r="K271" i="10"/>
  <c r="L180" i="10"/>
  <c r="M177" i="10"/>
  <c r="M223" i="10" s="1"/>
  <c r="O144" i="10"/>
  <c r="N150" i="10"/>
  <c r="O165" i="10"/>
  <c r="N171" i="10"/>
  <c r="O102" i="10"/>
  <c r="N108" i="10"/>
  <c r="L289" i="10"/>
  <c r="L257" i="10"/>
  <c r="O200" i="12"/>
  <c r="O225" i="12" s="1"/>
  <c r="O165" i="9"/>
  <c r="N171" i="9"/>
  <c r="O187" i="12"/>
  <c r="O224" i="12" s="1"/>
  <c r="M177" i="9"/>
  <c r="O123" i="9"/>
  <c r="N129" i="9"/>
  <c r="O144" i="9"/>
  <c r="N150" i="9"/>
  <c r="K257" i="9"/>
  <c r="K264" i="9" s="1"/>
  <c r="K265" i="9" s="1"/>
  <c r="K276" i="9" s="1"/>
  <c r="K277" i="9" s="1"/>
  <c r="K289" i="9"/>
  <c r="O102" i="9"/>
  <c r="N108" i="9"/>
  <c r="K303" i="9"/>
  <c r="K271" i="9"/>
  <c r="L223" i="9"/>
  <c r="L181" i="9"/>
  <c r="L180" i="9"/>
  <c r="L237" i="9"/>
  <c r="N225" i="12"/>
  <c r="N259" i="12" s="1"/>
  <c r="O223" i="12"/>
  <c r="O257" i="12" s="1"/>
  <c r="O180" i="12"/>
  <c r="P170" i="8"/>
  <c r="P176" i="8" s="1"/>
  <c r="Q129" i="12"/>
  <c r="Q161" i="8"/>
  <c r="O128" i="10"/>
  <c r="O176" i="10" s="1"/>
  <c r="Q163" i="8"/>
  <c r="R154" i="8"/>
  <c r="S154" i="8" s="1"/>
  <c r="Q108" i="12"/>
  <c r="Q171" i="12"/>
  <c r="Q157" i="8"/>
  <c r="Q175" i="8" s="1"/>
  <c r="P177" i="12"/>
  <c r="P237" i="12" s="1"/>
  <c r="O181" i="12"/>
  <c r="N187" i="13"/>
  <c r="N224" i="13" s="1"/>
  <c r="N238" i="13" s="1"/>
  <c r="Q150" i="12"/>
  <c r="Q128" i="12"/>
  <c r="R142" i="12"/>
  <c r="R141" i="12"/>
  <c r="S133" i="12"/>
  <c r="R136" i="12"/>
  <c r="R140" i="12"/>
  <c r="L264" i="12"/>
  <c r="L265" i="12" s="1"/>
  <c r="L276" i="12" s="1"/>
  <c r="L277" i="12" s="1"/>
  <c r="R94" i="12"/>
  <c r="S91" i="12"/>
  <c r="R99" i="12"/>
  <c r="R98" i="12"/>
  <c r="R100" i="12"/>
  <c r="N289" i="12"/>
  <c r="N257" i="12"/>
  <c r="P176" i="12"/>
  <c r="N273" i="12"/>
  <c r="N305" i="12"/>
  <c r="T185" i="11"/>
  <c r="Q149" i="12"/>
  <c r="Q175" i="12"/>
  <c r="R162" i="12"/>
  <c r="R157" i="12"/>
  <c r="R163" i="12"/>
  <c r="R161" i="12"/>
  <c r="S154" i="12"/>
  <c r="L304" i="12"/>
  <c r="L272" i="12"/>
  <c r="L304" i="13"/>
  <c r="L272" i="13"/>
  <c r="Q107" i="12"/>
  <c r="N303" i="12"/>
  <c r="N271" i="12"/>
  <c r="R120" i="12"/>
  <c r="R121" i="12"/>
  <c r="S112" i="12"/>
  <c r="R115" i="12"/>
  <c r="R119" i="12"/>
  <c r="O303" i="12"/>
  <c r="O271" i="12"/>
  <c r="S185" i="12"/>
  <c r="N258" i="12"/>
  <c r="N290" i="12"/>
  <c r="N238" i="12"/>
  <c r="Q170" i="12"/>
  <c r="O200" i="8"/>
  <c r="O225" i="8" s="1"/>
  <c r="P115" i="10"/>
  <c r="P175" i="10" s="1"/>
  <c r="Q112" i="10"/>
  <c r="Q120" i="10" s="1"/>
  <c r="P120" i="10"/>
  <c r="P119" i="10"/>
  <c r="O129" i="10"/>
  <c r="AA184" i="9"/>
  <c r="K264" i="8"/>
  <c r="K265" i="8" s="1"/>
  <c r="K276" i="8" s="1"/>
  <c r="K277" i="8" s="1"/>
  <c r="I278" i="8"/>
  <c r="J278" i="8"/>
  <c r="H277" i="8"/>
  <c r="H278" i="8" s="1"/>
  <c r="O144" i="8"/>
  <c r="N150" i="8"/>
  <c r="N177" i="8" s="1"/>
  <c r="L271" i="8"/>
  <c r="L303" i="8"/>
  <c r="L257" i="8"/>
  <c r="L264" i="8" s="1"/>
  <c r="L265" i="8" s="1"/>
  <c r="L276" i="8" s="1"/>
  <c r="L277" i="8" s="1"/>
  <c r="L289" i="8"/>
  <c r="P123" i="8"/>
  <c r="O129" i="8"/>
  <c r="P102" i="8"/>
  <c r="O108" i="8"/>
  <c r="M223" i="8"/>
  <c r="M180" i="8"/>
  <c r="M181" i="8"/>
  <c r="M237" i="8"/>
  <c r="P165" i="8"/>
  <c r="O171" i="8"/>
  <c r="R292" i="10"/>
  <c r="R260" i="10"/>
  <c r="J260" i="10"/>
  <c r="J264" i="10" s="1"/>
  <c r="J265" i="10" s="1"/>
  <c r="J276" i="10" s="1"/>
  <c r="J292" i="10"/>
  <c r="I292" i="10"/>
  <c r="I260" i="10"/>
  <c r="I264" i="10" s="1"/>
  <c r="I265" i="10" s="1"/>
  <c r="I276" i="10" s="1"/>
  <c r="M260" i="10"/>
  <c r="M292" i="10"/>
  <c r="K292" i="10"/>
  <c r="K260" i="10"/>
  <c r="P292" i="10"/>
  <c r="P260" i="10"/>
  <c r="O292" i="10"/>
  <c r="O260" i="10"/>
  <c r="N292" i="10"/>
  <c r="N260" i="10"/>
  <c r="Q292" i="10"/>
  <c r="Q260" i="10"/>
  <c r="L260" i="10"/>
  <c r="L292" i="10"/>
  <c r="H260" i="10"/>
  <c r="H264" i="10" s="1"/>
  <c r="H265" i="10" s="1"/>
  <c r="H276" i="10" s="1"/>
  <c r="H292" i="10"/>
  <c r="S292" i="10"/>
  <c r="S260" i="10"/>
  <c r="M259" i="9"/>
  <c r="M304" i="9"/>
  <c r="O187" i="9"/>
  <c r="O224" i="9" s="1"/>
  <c r="O290" i="9" s="1"/>
  <c r="O179" i="9"/>
  <c r="O187" i="8"/>
  <c r="O224" i="8" s="1"/>
  <c r="O179" i="8"/>
  <c r="M239" i="10"/>
  <c r="M305" i="10" s="1"/>
  <c r="Q107" i="8"/>
  <c r="R94" i="8"/>
  <c r="S91" i="8"/>
  <c r="R99" i="8"/>
  <c r="R98" i="8"/>
  <c r="R100" i="8"/>
  <c r="AQ166" i="5"/>
  <c r="AQ49" i="6" s="1"/>
  <c r="R115" i="9"/>
  <c r="R120" i="9"/>
  <c r="R119" i="9"/>
  <c r="R121" i="9"/>
  <c r="S112" i="9"/>
  <c r="L291" i="10"/>
  <c r="L259" i="10"/>
  <c r="AP164" i="5"/>
  <c r="AP47" i="6" s="1"/>
  <c r="AP54" i="6" s="1"/>
  <c r="S186" i="8"/>
  <c r="AV53" i="7"/>
  <c r="Z37" i="15" s="1"/>
  <c r="AV52" i="7"/>
  <c r="Z37" i="14" s="1"/>
  <c r="AW46" i="7"/>
  <c r="AQ162" i="5"/>
  <c r="AQ45" i="6" s="1"/>
  <c r="R115" i="8"/>
  <c r="R119" i="8"/>
  <c r="S112" i="8"/>
  <c r="R121" i="8"/>
  <c r="R120" i="8"/>
  <c r="AP168" i="5"/>
  <c r="AP51" i="6" s="1"/>
  <c r="S192" i="10"/>
  <c r="Q128" i="8"/>
  <c r="AO167" i="5"/>
  <c r="AO50" i="6" s="1"/>
  <c r="M291" i="10"/>
  <c r="M259" i="10"/>
  <c r="AQ169" i="5"/>
  <c r="AQ52" i="6" s="1"/>
  <c r="V6" i="6"/>
  <c r="V6" i="7"/>
  <c r="W6" i="5"/>
  <c r="AP170" i="5"/>
  <c r="AP53" i="6" s="1"/>
  <c r="L272" i="10"/>
  <c r="L304" i="10"/>
  <c r="N239" i="8"/>
  <c r="N225" i="8"/>
  <c r="AQ161" i="5"/>
  <c r="AQ44" i="6" s="1"/>
  <c r="AW45" i="7"/>
  <c r="AV51" i="7"/>
  <c r="Z37" i="11" s="1"/>
  <c r="AV50" i="7"/>
  <c r="Z37" i="8" s="1"/>
  <c r="AQ165" i="5"/>
  <c r="AQ48" i="6" s="1"/>
  <c r="V5" i="6"/>
  <c r="V5" i="7"/>
  <c r="W5" i="5"/>
  <c r="T192" i="9"/>
  <c r="Q175" i="9"/>
  <c r="N187" i="10"/>
  <c r="N224" i="10" s="1"/>
  <c r="N224" i="8"/>
  <c r="Q162" i="10"/>
  <c r="Q157" i="10"/>
  <c r="R154" i="10"/>
  <c r="Q163" i="10"/>
  <c r="Q161" i="10"/>
  <c r="M290" i="10"/>
  <c r="M258" i="10"/>
  <c r="M238" i="10"/>
  <c r="Q149" i="8"/>
  <c r="L304" i="8"/>
  <c r="L272" i="8"/>
  <c r="AS12" i="4"/>
  <c r="AT10" i="4"/>
  <c r="P107" i="10"/>
  <c r="R163" i="9"/>
  <c r="R161" i="9"/>
  <c r="S154" i="9"/>
  <c r="R162" i="9"/>
  <c r="R157" i="9"/>
  <c r="Q136" i="10"/>
  <c r="Q141" i="10"/>
  <c r="Q140" i="10"/>
  <c r="Q142" i="10"/>
  <c r="R133" i="10"/>
  <c r="T185" i="8"/>
  <c r="AT54" i="7"/>
  <c r="Q128" i="9"/>
  <c r="P149" i="10"/>
  <c r="M305" i="8"/>
  <c r="M273" i="8"/>
  <c r="AS4" i="5"/>
  <c r="N239" i="9"/>
  <c r="N225" i="9"/>
  <c r="Q94" i="10"/>
  <c r="R91" i="10"/>
  <c r="Q100" i="10"/>
  <c r="Q98" i="10"/>
  <c r="Q99" i="10"/>
  <c r="N179" i="10"/>
  <c r="N200" i="10"/>
  <c r="O239" i="9"/>
  <c r="O225" i="9"/>
  <c r="Q170" i="9"/>
  <c r="P170" i="10"/>
  <c r="R142" i="9"/>
  <c r="R140" i="9"/>
  <c r="R141" i="9"/>
  <c r="S133" i="9"/>
  <c r="R136" i="9"/>
  <c r="R141" i="8"/>
  <c r="S133" i="8"/>
  <c r="R142" i="8"/>
  <c r="R136" i="8"/>
  <c r="R140" i="8"/>
  <c r="L273" i="10"/>
  <c r="L305" i="10"/>
  <c r="AV44" i="7"/>
  <c r="AU49" i="7"/>
  <c r="Y37" i="12" s="1"/>
  <c r="Y37" i="13" s="1"/>
  <c r="AU48" i="7"/>
  <c r="Y37" i="9" s="1"/>
  <c r="Y37" i="10" s="1"/>
  <c r="M259" i="8"/>
  <c r="M291" i="8"/>
  <c r="T185" i="9"/>
  <c r="P4" i="7"/>
  <c r="P4" i="6"/>
  <c r="O4" i="5"/>
  <c r="N258" i="9"/>
  <c r="N290" i="9"/>
  <c r="N238" i="9"/>
  <c r="M290" i="8"/>
  <c r="M238" i="8"/>
  <c r="M258" i="8"/>
  <c r="T192" i="8"/>
  <c r="Q149" i="9"/>
  <c r="AZ7" i="4" l="1"/>
  <c r="BA5" i="4"/>
  <c r="G244" i="10"/>
  <c r="G260" i="10"/>
  <c r="G292" i="10"/>
  <c r="AS261" i="7"/>
  <c r="V7" i="18"/>
  <c r="V8" i="18"/>
  <c r="AS262" i="7"/>
  <c r="AU4" i="7"/>
  <c r="AT260" i="7"/>
  <c r="AO55" i="6"/>
  <c r="S186" i="12"/>
  <c r="S186" i="13" s="1"/>
  <c r="R33" i="18"/>
  <c r="AP46" i="6"/>
  <c r="AQ163" i="5"/>
  <c r="S186" i="15"/>
  <c r="T186" i="11"/>
  <c r="T186" i="9"/>
  <c r="R36" i="18"/>
  <c r="AN58" i="6"/>
  <c r="AN60" i="6" s="1"/>
  <c r="R186" i="14"/>
  <c r="R35" i="18" s="1"/>
  <c r="Q107" i="9"/>
  <c r="Q176" i="9" s="1"/>
  <c r="Q200" i="9" s="1"/>
  <c r="R100" i="9"/>
  <c r="R98" i="9"/>
  <c r="R99" i="9"/>
  <c r="S91" i="9"/>
  <c r="S94" i="9" s="1"/>
  <c r="S186" i="10"/>
  <c r="S34" i="18"/>
  <c r="V12" i="18"/>
  <c r="U256" i="10"/>
  <c r="V288" i="10"/>
  <c r="T292" i="10"/>
  <c r="W288" i="9"/>
  <c r="W222" i="10"/>
  <c r="W256" i="10" s="1"/>
  <c r="X222" i="9"/>
  <c r="X256" i="9" s="1"/>
  <c r="W11" i="18"/>
  <c r="M278" i="15"/>
  <c r="O303" i="15"/>
  <c r="O271" i="13"/>
  <c r="N259" i="15"/>
  <c r="N264" i="15" s="1"/>
  <c r="N265" i="15" s="1"/>
  <c r="N276" i="15" s="1"/>
  <c r="N277" i="15" s="1"/>
  <c r="N273" i="14"/>
  <c r="V292" i="10"/>
  <c r="W292" i="10"/>
  <c r="W260" i="10"/>
  <c r="U292" i="10"/>
  <c r="U260" i="10"/>
  <c r="X260" i="9"/>
  <c r="X292" i="9"/>
  <c r="X260" i="12"/>
  <c r="X292" i="12"/>
  <c r="Y260" i="15"/>
  <c r="Y292" i="15"/>
  <c r="Y260" i="14"/>
  <c r="Y292" i="14"/>
  <c r="W260" i="13"/>
  <c r="W292" i="13"/>
  <c r="Y260" i="11"/>
  <c r="Y292" i="11"/>
  <c r="Y292" i="8"/>
  <c r="Y260" i="8"/>
  <c r="Y45" i="13"/>
  <c r="Y42" i="13"/>
  <c r="Y222" i="13" s="1"/>
  <c r="Y256" i="14"/>
  <c r="Y288" i="14"/>
  <c r="X45" i="10"/>
  <c r="X50" i="10" s="1"/>
  <c r="X226" i="10" s="1"/>
  <c r="X42" i="10"/>
  <c r="AU54" i="7"/>
  <c r="X42" i="13"/>
  <c r="X222" i="13" s="1"/>
  <c r="X45" i="13"/>
  <c r="X50" i="13" s="1"/>
  <c r="X226" i="13" s="1"/>
  <c r="Z45" i="11"/>
  <c r="Z50" i="11" s="1"/>
  <c r="Z226" i="11" s="1"/>
  <c r="Z42" i="11"/>
  <c r="Z222" i="11" s="1"/>
  <c r="Y288" i="11"/>
  <c r="Y256" i="11"/>
  <c r="Y288" i="8"/>
  <c r="Y256" i="8"/>
  <c r="W256" i="13"/>
  <c r="W288" i="13"/>
  <c r="Y45" i="12"/>
  <c r="Y50" i="12" s="1"/>
  <c r="Y226" i="12" s="1"/>
  <c r="Y42" i="12"/>
  <c r="Y222" i="12" s="1"/>
  <c r="Z42" i="14"/>
  <c r="Z222" i="14" s="1"/>
  <c r="Z45" i="14"/>
  <c r="Z50" i="14" s="1"/>
  <c r="Z226" i="14" s="1"/>
  <c r="X256" i="12"/>
  <c r="X288" i="12"/>
  <c r="Z45" i="8"/>
  <c r="Z50" i="8" s="1"/>
  <c r="Z226" i="8" s="1"/>
  <c r="Z42" i="8"/>
  <c r="Z222" i="8" s="1"/>
  <c r="Z42" i="15"/>
  <c r="Z222" i="15" s="1"/>
  <c r="Z45" i="15"/>
  <c r="Z50" i="15" s="1"/>
  <c r="Z226" i="15" s="1"/>
  <c r="Y288" i="15"/>
  <c r="Y256" i="15"/>
  <c r="O239" i="14"/>
  <c r="O305" i="14" s="1"/>
  <c r="N272" i="15"/>
  <c r="O290" i="14"/>
  <c r="O238" i="14"/>
  <c r="O304" i="14" s="1"/>
  <c r="O257" i="13"/>
  <c r="O239" i="13"/>
  <c r="O305" i="13" s="1"/>
  <c r="R171" i="14"/>
  <c r="O238" i="15"/>
  <c r="O272" i="15" s="1"/>
  <c r="P187" i="14"/>
  <c r="P224" i="14" s="1"/>
  <c r="P290" i="14" s="1"/>
  <c r="P179" i="14"/>
  <c r="O258" i="15"/>
  <c r="N291" i="13"/>
  <c r="O239" i="15"/>
  <c r="O273" i="15" s="1"/>
  <c r="P179" i="15"/>
  <c r="N272" i="14"/>
  <c r="P180" i="13"/>
  <c r="P237" i="13"/>
  <c r="P303" i="13" s="1"/>
  <c r="P181" i="14"/>
  <c r="P237" i="14"/>
  <c r="P271" i="14" s="1"/>
  <c r="Q177" i="14"/>
  <c r="Q180" i="14" s="1"/>
  <c r="R171" i="13"/>
  <c r="P223" i="15"/>
  <c r="P257" i="15" s="1"/>
  <c r="P237" i="15"/>
  <c r="P303" i="15" s="1"/>
  <c r="P223" i="14"/>
  <c r="P257" i="14" s="1"/>
  <c r="Q177" i="15"/>
  <c r="Q237" i="15" s="1"/>
  <c r="R129" i="13"/>
  <c r="R107" i="13"/>
  <c r="P181" i="15"/>
  <c r="P225" i="14"/>
  <c r="P259" i="14" s="1"/>
  <c r="P200" i="15"/>
  <c r="P225" i="15" s="1"/>
  <c r="R128" i="14"/>
  <c r="P181" i="13"/>
  <c r="N264" i="14"/>
  <c r="N265" i="14" s="1"/>
  <c r="N276" i="14" s="1"/>
  <c r="N277" i="14" s="1"/>
  <c r="P200" i="13"/>
  <c r="R108" i="15"/>
  <c r="R128" i="15"/>
  <c r="R170" i="14"/>
  <c r="R149" i="14"/>
  <c r="R108" i="14"/>
  <c r="Q176" i="15"/>
  <c r="Q179" i="15" s="1"/>
  <c r="Q177" i="13"/>
  <c r="Q180" i="13" s="1"/>
  <c r="R171" i="15"/>
  <c r="R149" i="13"/>
  <c r="R149" i="15"/>
  <c r="S115" i="13"/>
  <c r="S121" i="13"/>
  <c r="T112" i="13"/>
  <c r="S119" i="13"/>
  <c r="S120" i="13"/>
  <c r="P273" i="14"/>
  <c r="P305" i="14"/>
  <c r="R107" i="15"/>
  <c r="O289" i="14"/>
  <c r="O257" i="14"/>
  <c r="R150" i="13"/>
  <c r="S141" i="14"/>
  <c r="T133" i="14"/>
  <c r="S142" i="14"/>
  <c r="S140" i="14"/>
  <c r="S136" i="14"/>
  <c r="Q176" i="14"/>
  <c r="S115" i="15"/>
  <c r="T112" i="15"/>
  <c r="S120" i="15"/>
  <c r="S119" i="15"/>
  <c r="S121" i="15"/>
  <c r="S142" i="13"/>
  <c r="S140" i="13"/>
  <c r="S141" i="13"/>
  <c r="S136" i="13"/>
  <c r="T133" i="13"/>
  <c r="O303" i="14"/>
  <c r="O271" i="14"/>
  <c r="R170" i="15"/>
  <c r="R108" i="13"/>
  <c r="O291" i="15"/>
  <c r="O259" i="15"/>
  <c r="P258" i="15"/>
  <c r="P238" i="15"/>
  <c r="P290" i="15"/>
  <c r="R129" i="14"/>
  <c r="R175" i="14"/>
  <c r="O259" i="14"/>
  <c r="O291" i="14"/>
  <c r="R175" i="13"/>
  <c r="R175" i="15"/>
  <c r="S162" i="15"/>
  <c r="S157" i="15"/>
  <c r="T154" i="15"/>
  <c r="S161" i="15"/>
  <c r="S163" i="15"/>
  <c r="P257" i="13"/>
  <c r="P289" i="13"/>
  <c r="S100" i="15"/>
  <c r="S98" i="15"/>
  <c r="S94" i="15"/>
  <c r="S99" i="15"/>
  <c r="T91" i="15"/>
  <c r="Q176" i="13"/>
  <c r="Q179" i="13" s="1"/>
  <c r="R107" i="14"/>
  <c r="R150" i="15"/>
  <c r="S98" i="13"/>
  <c r="S99" i="13"/>
  <c r="S94" i="13"/>
  <c r="S100" i="13"/>
  <c r="T91" i="13"/>
  <c r="R170" i="13"/>
  <c r="R129" i="15"/>
  <c r="S161" i="14"/>
  <c r="S162" i="14"/>
  <c r="S157" i="14"/>
  <c r="S163" i="14"/>
  <c r="T154" i="14"/>
  <c r="S157" i="13"/>
  <c r="S163" i="13"/>
  <c r="T154" i="13"/>
  <c r="S162" i="13"/>
  <c r="S161" i="13"/>
  <c r="S100" i="14"/>
  <c r="S98" i="14"/>
  <c r="S94" i="14"/>
  <c r="S99" i="14"/>
  <c r="T91" i="14"/>
  <c r="S140" i="15"/>
  <c r="T133" i="15"/>
  <c r="S142" i="15"/>
  <c r="S136" i="15"/>
  <c r="S141" i="15"/>
  <c r="S120" i="14"/>
  <c r="S115" i="14"/>
  <c r="S119" i="14"/>
  <c r="S121" i="14"/>
  <c r="T112" i="14"/>
  <c r="R128" i="13"/>
  <c r="O259" i="13"/>
  <c r="O291" i="13"/>
  <c r="R150" i="14"/>
  <c r="L278" i="13"/>
  <c r="M278" i="13"/>
  <c r="M304" i="13"/>
  <c r="M278" i="11"/>
  <c r="O289" i="11"/>
  <c r="Q177" i="11"/>
  <c r="Q237" i="11" s="1"/>
  <c r="P181" i="11"/>
  <c r="P223" i="11"/>
  <c r="P289" i="11" s="1"/>
  <c r="P237" i="11"/>
  <c r="P303" i="11" s="1"/>
  <c r="R171" i="11"/>
  <c r="R150" i="11"/>
  <c r="R175" i="11"/>
  <c r="R128" i="11"/>
  <c r="P225" i="11"/>
  <c r="P239" i="11"/>
  <c r="T91" i="11"/>
  <c r="S99" i="11"/>
  <c r="S94" i="11"/>
  <c r="S100" i="11"/>
  <c r="S98" i="11"/>
  <c r="R107" i="11"/>
  <c r="S140" i="11"/>
  <c r="S142" i="11"/>
  <c r="S141" i="11"/>
  <c r="S136" i="11"/>
  <c r="T133" i="11"/>
  <c r="R129" i="11"/>
  <c r="N259" i="11"/>
  <c r="N264" i="11" s="1"/>
  <c r="N265" i="11" s="1"/>
  <c r="N276" i="11" s="1"/>
  <c r="N277" i="11" s="1"/>
  <c r="N291" i="11"/>
  <c r="R149" i="11"/>
  <c r="R170" i="11"/>
  <c r="N273" i="11"/>
  <c r="N305" i="11"/>
  <c r="S157" i="11"/>
  <c r="S163" i="11"/>
  <c r="S162" i="11"/>
  <c r="S161" i="11"/>
  <c r="T154" i="11"/>
  <c r="M304" i="12"/>
  <c r="O225" i="11"/>
  <c r="O239" i="11"/>
  <c r="S115" i="11"/>
  <c r="S120" i="11"/>
  <c r="T112" i="11"/>
  <c r="S119" i="11"/>
  <c r="S121" i="11"/>
  <c r="T185" i="14"/>
  <c r="N304" i="11"/>
  <c r="N272" i="11"/>
  <c r="U185" i="15"/>
  <c r="P179" i="11"/>
  <c r="P187" i="11"/>
  <c r="P224" i="11" s="1"/>
  <c r="O238" i="11"/>
  <c r="O258" i="11"/>
  <c r="O290" i="11"/>
  <c r="R108" i="11"/>
  <c r="Q176" i="11"/>
  <c r="K264" i="10"/>
  <c r="K265" i="10" s="1"/>
  <c r="K276" i="10" s="1"/>
  <c r="K277" i="10" s="1"/>
  <c r="K278" i="10" s="1"/>
  <c r="M237" i="10"/>
  <c r="M303" i="10" s="1"/>
  <c r="O187" i="13"/>
  <c r="O224" i="13" s="1"/>
  <c r="O290" i="13" s="1"/>
  <c r="L303" i="10"/>
  <c r="L271" i="10"/>
  <c r="M181" i="10"/>
  <c r="M180" i="10"/>
  <c r="N177" i="10"/>
  <c r="N237" i="10" s="1"/>
  <c r="N303" i="10" s="1"/>
  <c r="O289" i="12"/>
  <c r="M257" i="10"/>
  <c r="M264" i="10" s="1"/>
  <c r="M265" i="10" s="1"/>
  <c r="M276" i="10" s="1"/>
  <c r="M277" i="10" s="1"/>
  <c r="M289" i="10"/>
  <c r="P165" i="10"/>
  <c r="O171" i="10"/>
  <c r="O239" i="12"/>
  <c r="O305" i="12" s="1"/>
  <c r="P144" i="10"/>
  <c r="O150" i="10"/>
  <c r="P102" i="10"/>
  <c r="O108" i="10"/>
  <c r="Q170" i="8"/>
  <c r="Q176" i="8" s="1"/>
  <c r="N291" i="12"/>
  <c r="K278" i="9"/>
  <c r="L278" i="12"/>
  <c r="P123" i="9"/>
  <c r="O129" i="9"/>
  <c r="N177" i="9"/>
  <c r="M223" i="9"/>
  <c r="M181" i="9"/>
  <c r="M180" i="9"/>
  <c r="M237" i="9"/>
  <c r="P102" i="9"/>
  <c r="O108" i="9"/>
  <c r="Q177" i="12"/>
  <c r="Q180" i="12" s="1"/>
  <c r="L271" i="9"/>
  <c r="L303" i="9"/>
  <c r="P165" i="9"/>
  <c r="O171" i="9"/>
  <c r="R129" i="12"/>
  <c r="L289" i="9"/>
  <c r="L257" i="9"/>
  <c r="L264" i="9" s="1"/>
  <c r="L265" i="9" s="1"/>
  <c r="L276" i="9" s="1"/>
  <c r="L277" i="9" s="1"/>
  <c r="O150" i="9"/>
  <c r="P144" i="9"/>
  <c r="M278" i="12"/>
  <c r="N290" i="13"/>
  <c r="Q176" i="12"/>
  <c r="Q187" i="12" s="1"/>
  <c r="N258" i="13"/>
  <c r="N264" i="13" s="1"/>
  <c r="N265" i="13" s="1"/>
  <c r="N276" i="13" s="1"/>
  <c r="N277" i="13" s="1"/>
  <c r="R161" i="8"/>
  <c r="R163" i="8"/>
  <c r="R162" i="8"/>
  <c r="R157" i="8"/>
  <c r="R175" i="8" s="1"/>
  <c r="R170" i="12"/>
  <c r="R150" i="12"/>
  <c r="O239" i="8"/>
  <c r="O305" i="8" s="1"/>
  <c r="P223" i="12"/>
  <c r="P289" i="12" s="1"/>
  <c r="R107" i="12"/>
  <c r="P180" i="12"/>
  <c r="R175" i="12"/>
  <c r="O290" i="12"/>
  <c r="O238" i="12"/>
  <c r="O258" i="12"/>
  <c r="S94" i="12"/>
  <c r="T91" i="12"/>
  <c r="S99" i="12"/>
  <c r="S98" i="12"/>
  <c r="S100" i="12"/>
  <c r="S120" i="12"/>
  <c r="S121" i="12"/>
  <c r="S115" i="12"/>
  <c r="S119" i="12"/>
  <c r="T112" i="12"/>
  <c r="P179" i="12"/>
  <c r="P187" i="12"/>
  <c r="P200" i="12"/>
  <c r="R171" i="12"/>
  <c r="N304" i="13"/>
  <c r="N272" i="13"/>
  <c r="P271" i="12"/>
  <c r="P303" i="12"/>
  <c r="N304" i="12"/>
  <c r="N272" i="12"/>
  <c r="S136" i="12"/>
  <c r="T133" i="12"/>
  <c r="S140" i="12"/>
  <c r="S142" i="12"/>
  <c r="S141" i="12"/>
  <c r="U185" i="11"/>
  <c r="N264" i="12"/>
  <c r="N265" i="12" s="1"/>
  <c r="N276" i="12" s="1"/>
  <c r="N277" i="12" s="1"/>
  <c r="R149" i="12"/>
  <c r="O259" i="12"/>
  <c r="O291" i="12"/>
  <c r="T185" i="12"/>
  <c r="S163" i="12"/>
  <c r="S162" i="12"/>
  <c r="S157" i="12"/>
  <c r="S161" i="12"/>
  <c r="T154" i="12"/>
  <c r="R128" i="12"/>
  <c r="P181" i="12"/>
  <c r="R108" i="12"/>
  <c r="P129" i="10"/>
  <c r="Q121" i="10"/>
  <c r="P128" i="10"/>
  <c r="P176" i="10" s="1"/>
  <c r="P179" i="10" s="1"/>
  <c r="P200" i="8"/>
  <c r="P239" i="8" s="1"/>
  <c r="Q115" i="10"/>
  <c r="Q175" i="10" s="1"/>
  <c r="Q119" i="10"/>
  <c r="R112" i="10"/>
  <c r="R121" i="10" s="1"/>
  <c r="L264" i="10"/>
  <c r="L265" i="10" s="1"/>
  <c r="L276" i="10" s="1"/>
  <c r="L277" i="10" s="1"/>
  <c r="H277" i="10"/>
  <c r="H278" i="10" s="1"/>
  <c r="J277" i="10"/>
  <c r="J278" i="10" s="1"/>
  <c r="I277" i="10"/>
  <c r="I278" i="10" s="1"/>
  <c r="K278" i="8"/>
  <c r="L278" i="8"/>
  <c r="P144" i="8"/>
  <c r="O150" i="8"/>
  <c r="O177" i="8" s="1"/>
  <c r="M257" i="8"/>
  <c r="M264" i="8" s="1"/>
  <c r="M265" i="8" s="1"/>
  <c r="M276" i="8" s="1"/>
  <c r="M277" i="8" s="1"/>
  <c r="M289" i="8"/>
  <c r="Q102" i="8"/>
  <c r="P108" i="8"/>
  <c r="N223" i="8"/>
  <c r="N237" i="8"/>
  <c r="N180" i="8"/>
  <c r="N181" i="8"/>
  <c r="Q165" i="8"/>
  <c r="P171" i="8"/>
  <c r="M271" i="8"/>
  <c r="M303" i="8"/>
  <c r="Q123" i="8"/>
  <c r="P129" i="8"/>
  <c r="O187" i="10"/>
  <c r="O224" i="10" s="1"/>
  <c r="O290" i="10" s="1"/>
  <c r="P179" i="9"/>
  <c r="O258" i="9"/>
  <c r="O238" i="9"/>
  <c r="O304" i="9" s="1"/>
  <c r="M273" i="10"/>
  <c r="Q170" i="10"/>
  <c r="P200" i="9"/>
  <c r="P225" i="9" s="1"/>
  <c r="Q149" i="10"/>
  <c r="R149" i="8"/>
  <c r="AR161" i="5"/>
  <c r="AR44" i="6" s="1"/>
  <c r="P179" i="8"/>
  <c r="P187" i="8"/>
  <c r="O179" i="10"/>
  <c r="O200" i="10"/>
  <c r="R170" i="9"/>
  <c r="N305" i="8"/>
  <c r="N273" i="8"/>
  <c r="AQ168" i="5"/>
  <c r="AQ51" i="6" s="1"/>
  <c r="AW52" i="7"/>
  <c r="AA37" i="14" s="1"/>
  <c r="AW53" i="7"/>
  <c r="AA37" i="15" s="1"/>
  <c r="N259" i="9"/>
  <c r="N291" i="9"/>
  <c r="W5" i="7"/>
  <c r="X5" i="5"/>
  <c r="W5" i="6"/>
  <c r="AQ170" i="5"/>
  <c r="AQ53" i="6" s="1"/>
  <c r="S120" i="9"/>
  <c r="S119" i="9"/>
  <c r="S121" i="9"/>
  <c r="T112" i="9"/>
  <c r="S115" i="9"/>
  <c r="AR166" i="5"/>
  <c r="AR49" i="6" s="1"/>
  <c r="N304" i="9"/>
  <c r="N272" i="9"/>
  <c r="S162" i="9"/>
  <c r="T154" i="9"/>
  <c r="S163" i="9"/>
  <c r="S157" i="9"/>
  <c r="S161" i="9"/>
  <c r="S94" i="8"/>
  <c r="T91" i="8"/>
  <c r="S99" i="8"/>
  <c r="S98" i="8"/>
  <c r="S100" i="8"/>
  <c r="O259" i="9"/>
  <c r="O291" i="9"/>
  <c r="R157" i="10"/>
  <c r="S154" i="10"/>
  <c r="R163" i="10"/>
  <c r="R161" i="10"/>
  <c r="R162" i="10"/>
  <c r="AR165" i="5"/>
  <c r="AR48" i="6" s="1"/>
  <c r="AU10" i="4"/>
  <c r="AT12" i="4"/>
  <c r="S157" i="8"/>
  <c r="S163" i="8"/>
  <c r="S161" i="8"/>
  <c r="T154" i="8"/>
  <c r="S162" i="8"/>
  <c r="AR169" i="5"/>
  <c r="AR52" i="6" s="1"/>
  <c r="R175" i="9"/>
  <c r="S121" i="8"/>
  <c r="S119" i="8"/>
  <c r="T112" i="8"/>
  <c r="S120" i="8"/>
  <c r="S115" i="8"/>
  <c r="W6" i="6"/>
  <c r="W6" i="7"/>
  <c r="X6" i="5"/>
  <c r="U185" i="9"/>
  <c r="R149" i="9"/>
  <c r="R100" i="10"/>
  <c r="R98" i="10"/>
  <c r="R94" i="10"/>
  <c r="S91" i="10"/>
  <c r="R99" i="10"/>
  <c r="N291" i="8"/>
  <c r="N259" i="8"/>
  <c r="AQ164" i="5"/>
  <c r="AQ47" i="6" s="1"/>
  <c r="AQ54" i="6" s="1"/>
  <c r="T186" i="8"/>
  <c r="O305" i="9"/>
  <c r="O273" i="9"/>
  <c r="N239" i="10"/>
  <c r="N225" i="10"/>
  <c r="O4" i="6"/>
  <c r="N4" i="5"/>
  <c r="O4" i="7"/>
  <c r="T133" i="8"/>
  <c r="S142" i="8"/>
  <c r="S136" i="8"/>
  <c r="S141" i="8"/>
  <c r="S140" i="8"/>
  <c r="N273" i="9"/>
  <c r="N305" i="9"/>
  <c r="M304" i="8"/>
  <c r="M272" i="8"/>
  <c r="AT4" i="5"/>
  <c r="U185" i="8"/>
  <c r="R136" i="10"/>
  <c r="R141" i="10"/>
  <c r="R142" i="10"/>
  <c r="S133" i="10"/>
  <c r="R140" i="10"/>
  <c r="N290" i="8"/>
  <c r="N238" i="8"/>
  <c r="N258" i="8"/>
  <c r="AW50" i="7"/>
  <c r="AA37" i="8" s="1"/>
  <c r="AW51" i="7"/>
  <c r="AA37" i="11" s="1"/>
  <c r="R128" i="8"/>
  <c r="R107" i="8"/>
  <c r="O291" i="8"/>
  <c r="O259" i="8"/>
  <c r="U192" i="9"/>
  <c r="U192" i="8"/>
  <c r="AV49" i="7"/>
  <c r="Z37" i="12" s="1"/>
  <c r="Z37" i="13" s="1"/>
  <c r="AW44" i="7"/>
  <c r="AV48" i="7"/>
  <c r="Z37" i="9" s="1"/>
  <c r="Z37" i="10" s="1"/>
  <c r="S142" i="9"/>
  <c r="S140" i="9"/>
  <c r="S141" i="9"/>
  <c r="S136" i="9"/>
  <c r="T133" i="9"/>
  <c r="Q107" i="10"/>
  <c r="P290" i="9"/>
  <c r="P238" i="9"/>
  <c r="P258" i="9"/>
  <c r="M304" i="10"/>
  <c r="M272" i="10"/>
  <c r="N290" i="10"/>
  <c r="N258" i="10"/>
  <c r="N238" i="10"/>
  <c r="O290" i="8"/>
  <c r="O238" i="8"/>
  <c r="O258" i="8"/>
  <c r="AP167" i="5"/>
  <c r="AP50" i="6" s="1"/>
  <c r="T192" i="10"/>
  <c r="AR162" i="5"/>
  <c r="AR45" i="6" s="1"/>
  <c r="R128" i="9"/>
  <c r="BB5" i="4" l="1"/>
  <c r="BA7" i="4"/>
  <c r="AV4" i="7"/>
  <c r="AU260" i="7"/>
  <c r="W7" i="18"/>
  <c r="AT261" i="7"/>
  <c r="AT262" i="7"/>
  <c r="W8" i="18"/>
  <c r="S33" i="18"/>
  <c r="S36" i="18"/>
  <c r="AP55" i="6"/>
  <c r="T186" i="12"/>
  <c r="T33" i="18" s="1"/>
  <c r="AQ46" i="6"/>
  <c r="AR163" i="5"/>
  <c r="T186" i="15"/>
  <c r="U186" i="9"/>
  <c r="U186" i="11"/>
  <c r="AO58" i="6"/>
  <c r="AO60" i="6" s="1"/>
  <c r="S186" i="14"/>
  <c r="S35" i="18" s="1"/>
  <c r="S99" i="9"/>
  <c r="R107" i="9"/>
  <c r="R176" i="9" s="1"/>
  <c r="R200" i="9" s="1"/>
  <c r="S98" i="9"/>
  <c r="S100" i="9"/>
  <c r="T91" i="9"/>
  <c r="T94" i="9" s="1"/>
  <c r="T186" i="10"/>
  <c r="T34" i="18"/>
  <c r="W288" i="10"/>
  <c r="X288" i="9"/>
  <c r="X222" i="10"/>
  <c r="X288" i="10" s="1"/>
  <c r="W12" i="18"/>
  <c r="O305" i="15"/>
  <c r="Y260" i="12"/>
  <c r="Y292" i="12"/>
  <c r="Z292" i="11"/>
  <c r="Z260" i="11"/>
  <c r="X292" i="13"/>
  <c r="X260" i="13"/>
  <c r="Z292" i="14"/>
  <c r="Z260" i="14"/>
  <c r="X292" i="10"/>
  <c r="X260" i="10"/>
  <c r="Y50" i="13"/>
  <c r="Y226" i="13" s="1"/>
  <c r="Z260" i="15"/>
  <c r="Z292" i="15"/>
  <c r="O272" i="14"/>
  <c r="Z260" i="8"/>
  <c r="Z292" i="8"/>
  <c r="O273" i="14"/>
  <c r="AA45" i="14"/>
  <c r="AA50" i="14" s="1"/>
  <c r="AA226" i="14" s="1"/>
  <c r="AA42" i="14"/>
  <c r="AA222" i="14" s="1"/>
  <c r="Z256" i="8"/>
  <c r="Z288" i="8"/>
  <c r="Y288" i="12"/>
  <c r="Y256" i="12"/>
  <c r="Z256" i="11"/>
  <c r="Z288" i="11"/>
  <c r="AV54" i="7"/>
  <c r="AA45" i="11"/>
  <c r="AA50" i="11" s="1"/>
  <c r="AA226" i="11" s="1"/>
  <c r="AA42" i="11"/>
  <c r="AA222" i="11" s="1"/>
  <c r="Z45" i="13"/>
  <c r="Z50" i="13" s="1"/>
  <c r="Z226" i="13" s="1"/>
  <c r="Z42" i="13"/>
  <c r="Z222" i="13" s="1"/>
  <c r="AA45" i="8"/>
  <c r="AA50" i="8" s="1"/>
  <c r="AA226" i="8" s="1"/>
  <c r="AA42" i="8"/>
  <c r="AA222" i="8" s="1"/>
  <c r="X288" i="13"/>
  <c r="X256" i="13"/>
  <c r="Z42" i="12"/>
  <c r="Z222" i="12" s="1"/>
  <c r="Z45" i="12"/>
  <c r="Z50" i="12" s="1"/>
  <c r="Z226" i="12" s="1"/>
  <c r="Z256" i="14"/>
  <c r="Z288" i="14"/>
  <c r="Y42" i="9"/>
  <c r="Y45" i="9"/>
  <c r="Y50" i="9" s="1"/>
  <c r="Y226" i="9" s="1"/>
  <c r="Y256" i="13"/>
  <c r="Y288" i="13"/>
  <c r="AA45" i="15"/>
  <c r="AA50" i="15" s="1"/>
  <c r="AA226" i="15" s="1"/>
  <c r="AA42" i="15"/>
  <c r="AA222" i="15" s="1"/>
  <c r="Z288" i="15"/>
  <c r="Z256" i="15"/>
  <c r="P303" i="14"/>
  <c r="O273" i="13"/>
  <c r="O264" i="15"/>
  <c r="O265" i="15" s="1"/>
  <c r="O276" i="15" s="1"/>
  <c r="O277" i="15" s="1"/>
  <c r="O278" i="15" s="1"/>
  <c r="O304" i="15"/>
  <c r="P238" i="14"/>
  <c r="P304" i="14" s="1"/>
  <c r="P258" i="14"/>
  <c r="P264" i="14" s="1"/>
  <c r="P265" i="14" s="1"/>
  <c r="P276" i="14" s="1"/>
  <c r="P277" i="14" s="1"/>
  <c r="P271" i="15"/>
  <c r="Q200" i="13"/>
  <c r="Q239" i="13" s="1"/>
  <c r="P271" i="13"/>
  <c r="P289" i="15"/>
  <c r="P291" i="14"/>
  <c r="S129" i="15"/>
  <c r="R177" i="13"/>
  <c r="R180" i="13" s="1"/>
  <c r="N278" i="15"/>
  <c r="Q237" i="14"/>
  <c r="Q303" i="14" s="1"/>
  <c r="Q180" i="15"/>
  <c r="R176" i="13"/>
  <c r="R179" i="13" s="1"/>
  <c r="P289" i="14"/>
  <c r="Q223" i="14"/>
  <c r="Q289" i="14" s="1"/>
  <c r="Q223" i="15"/>
  <c r="Q289" i="15" s="1"/>
  <c r="Q200" i="15"/>
  <c r="Q225" i="15" s="1"/>
  <c r="Q181" i="14"/>
  <c r="N278" i="14"/>
  <c r="S108" i="13"/>
  <c r="R176" i="15"/>
  <c r="R200" i="15" s="1"/>
  <c r="P239" i="15"/>
  <c r="P305" i="15" s="1"/>
  <c r="S171" i="15"/>
  <c r="P239" i="13"/>
  <c r="P225" i="13"/>
  <c r="S170" i="13"/>
  <c r="R176" i="14"/>
  <c r="Q181" i="15"/>
  <c r="S170" i="14"/>
  <c r="S149" i="13"/>
  <c r="S128" i="15"/>
  <c r="S150" i="14"/>
  <c r="Q223" i="13"/>
  <c r="Q289" i="13" s="1"/>
  <c r="S129" i="14"/>
  <c r="Q187" i="15"/>
  <c r="Q224" i="15" s="1"/>
  <c r="Q238" i="15" s="1"/>
  <c r="Q237" i="13"/>
  <c r="Q271" i="13" s="1"/>
  <c r="S150" i="15"/>
  <c r="S107" i="14"/>
  <c r="R177" i="15"/>
  <c r="R223" i="15" s="1"/>
  <c r="O264" i="14"/>
  <c r="O265" i="14" s="1"/>
  <c r="O276" i="14" s="1"/>
  <c r="O277" i="14" s="1"/>
  <c r="S107" i="15"/>
  <c r="R177" i="14"/>
  <c r="R180" i="14" s="1"/>
  <c r="S150" i="13"/>
  <c r="T162" i="15"/>
  <c r="U154" i="15"/>
  <c r="T157" i="15"/>
  <c r="T163" i="15"/>
  <c r="T161" i="15"/>
  <c r="T115" i="15"/>
  <c r="T120" i="15"/>
  <c r="T121" i="15"/>
  <c r="T119" i="15"/>
  <c r="U112" i="15"/>
  <c r="S128" i="13"/>
  <c r="Q271" i="15"/>
  <c r="Q303" i="15"/>
  <c r="S175" i="14"/>
  <c r="U154" i="13"/>
  <c r="T162" i="13"/>
  <c r="T161" i="13"/>
  <c r="T163" i="13"/>
  <c r="T157" i="13"/>
  <c r="T100" i="13"/>
  <c r="T99" i="13"/>
  <c r="U91" i="13"/>
  <c r="T94" i="13"/>
  <c r="T98" i="13"/>
  <c r="Q179" i="14"/>
  <c r="Q187" i="14"/>
  <c r="Q224" i="14" s="1"/>
  <c r="Q200" i="14"/>
  <c r="U112" i="13"/>
  <c r="T115" i="13"/>
  <c r="T121" i="13"/>
  <c r="T120" i="13"/>
  <c r="T119" i="13"/>
  <c r="U133" i="13"/>
  <c r="T136" i="13"/>
  <c r="T142" i="13"/>
  <c r="T141" i="13"/>
  <c r="T140" i="13"/>
  <c r="U91" i="14"/>
  <c r="T94" i="14"/>
  <c r="T99" i="14"/>
  <c r="T100" i="14"/>
  <c r="T98" i="14"/>
  <c r="U112" i="14"/>
  <c r="T115" i="14"/>
  <c r="T120" i="14"/>
  <c r="T119" i="14"/>
  <c r="T121" i="14"/>
  <c r="S175" i="13"/>
  <c r="S108" i="15"/>
  <c r="P304" i="15"/>
  <c r="P272" i="15"/>
  <c r="T142" i="15"/>
  <c r="T140" i="15"/>
  <c r="T136" i="15"/>
  <c r="T141" i="15"/>
  <c r="U133" i="15"/>
  <c r="S171" i="14"/>
  <c r="U91" i="15"/>
  <c r="T99" i="15"/>
  <c r="T100" i="15"/>
  <c r="T94" i="15"/>
  <c r="T98" i="15"/>
  <c r="S149" i="14"/>
  <c r="P259" i="15"/>
  <c r="P264" i="15" s="1"/>
  <c r="P265" i="15" s="1"/>
  <c r="P276" i="15" s="1"/>
  <c r="P277" i="15" s="1"/>
  <c r="P291" i="15"/>
  <c r="Q181" i="13"/>
  <c r="S128" i="14"/>
  <c r="S149" i="15"/>
  <c r="T161" i="14"/>
  <c r="U154" i="14"/>
  <c r="T157" i="14"/>
  <c r="T163" i="14"/>
  <c r="T162" i="14"/>
  <c r="S107" i="13"/>
  <c r="S108" i="14"/>
  <c r="S171" i="13"/>
  <c r="S175" i="15"/>
  <c r="S170" i="15"/>
  <c r="T142" i="14"/>
  <c r="U133" i="14"/>
  <c r="T140" i="14"/>
  <c r="T136" i="14"/>
  <c r="T141" i="14"/>
  <c r="S129" i="13"/>
  <c r="Q223" i="11"/>
  <c r="Q257" i="11" s="1"/>
  <c r="P257" i="11"/>
  <c r="Q180" i="11"/>
  <c r="R177" i="11"/>
  <c r="R237" i="11" s="1"/>
  <c r="P271" i="11"/>
  <c r="S150" i="11"/>
  <c r="S128" i="11"/>
  <c r="S108" i="11"/>
  <c r="R176" i="11"/>
  <c r="R179" i="11" s="1"/>
  <c r="S171" i="11"/>
  <c r="S149" i="11"/>
  <c r="O304" i="11"/>
  <c r="O272" i="11"/>
  <c r="S129" i="11"/>
  <c r="T100" i="11"/>
  <c r="U91" i="11"/>
  <c r="T98" i="11"/>
  <c r="T94" i="11"/>
  <c r="T99" i="11"/>
  <c r="Q179" i="11"/>
  <c r="Q187" i="11"/>
  <c r="Q224" i="11" s="1"/>
  <c r="Q200" i="11"/>
  <c r="Q181" i="11"/>
  <c r="U185" i="14"/>
  <c r="T141" i="11"/>
  <c r="U133" i="11"/>
  <c r="T142" i="11"/>
  <c r="T136" i="11"/>
  <c r="T140" i="11"/>
  <c r="Q271" i="11"/>
  <c r="Q303" i="11"/>
  <c r="O259" i="11"/>
  <c r="O264" i="11" s="1"/>
  <c r="O265" i="11" s="1"/>
  <c r="O276" i="11" s="1"/>
  <c r="O277" i="11" s="1"/>
  <c r="O291" i="11"/>
  <c r="V185" i="15"/>
  <c r="T163" i="11"/>
  <c r="T162" i="11"/>
  <c r="T161" i="11"/>
  <c r="T157" i="11"/>
  <c r="U154" i="11"/>
  <c r="U112" i="11"/>
  <c r="T120" i="11"/>
  <c r="T121" i="11"/>
  <c r="T119" i="11"/>
  <c r="T115" i="11"/>
  <c r="S170" i="11"/>
  <c r="P273" i="11"/>
  <c r="P305" i="11"/>
  <c r="O305" i="11"/>
  <c r="O273" i="11"/>
  <c r="S175" i="11"/>
  <c r="P258" i="11"/>
  <c r="P238" i="11"/>
  <c r="P290" i="11"/>
  <c r="N278" i="11"/>
  <c r="S107" i="11"/>
  <c r="P259" i="11"/>
  <c r="P291" i="11"/>
  <c r="M271" i="10"/>
  <c r="M278" i="10" s="1"/>
  <c r="O238" i="13"/>
  <c r="O304" i="13" s="1"/>
  <c r="O273" i="12"/>
  <c r="O258" i="13"/>
  <c r="O264" i="13" s="1"/>
  <c r="O265" i="13" s="1"/>
  <c r="O276" i="13" s="1"/>
  <c r="O277" i="13" s="1"/>
  <c r="N223" i="10"/>
  <c r="N257" i="10" s="1"/>
  <c r="N180" i="10"/>
  <c r="N181" i="10"/>
  <c r="Q237" i="12"/>
  <c r="Q271" i="12" s="1"/>
  <c r="N278" i="13"/>
  <c r="N271" i="10"/>
  <c r="O177" i="10"/>
  <c r="O180" i="10" s="1"/>
  <c r="Q165" i="10"/>
  <c r="P171" i="10"/>
  <c r="Q102" i="10"/>
  <c r="P108" i="10"/>
  <c r="R170" i="8"/>
  <c r="R176" i="8" s="1"/>
  <c r="Q144" i="10"/>
  <c r="P150" i="10"/>
  <c r="Q223" i="12"/>
  <c r="Q289" i="12" s="1"/>
  <c r="Q165" i="9"/>
  <c r="P171" i="9"/>
  <c r="Q144" i="9"/>
  <c r="P150" i="9"/>
  <c r="M289" i="9"/>
  <c r="M257" i="9"/>
  <c r="M264" i="9" s="1"/>
  <c r="M265" i="9" s="1"/>
  <c r="M276" i="9" s="1"/>
  <c r="M277" i="9" s="1"/>
  <c r="M271" i="9"/>
  <c r="M303" i="9"/>
  <c r="L278" i="9"/>
  <c r="N223" i="9"/>
  <c r="N237" i="9"/>
  <c r="N180" i="9"/>
  <c r="N181" i="9"/>
  <c r="O177" i="9"/>
  <c r="P129" i="9"/>
  <c r="Q123" i="9"/>
  <c r="Q102" i="9"/>
  <c r="P108" i="9"/>
  <c r="Q200" i="12"/>
  <c r="Q239" i="12" s="1"/>
  <c r="Q179" i="12"/>
  <c r="P257" i="12"/>
  <c r="Q181" i="12"/>
  <c r="O273" i="8"/>
  <c r="S108" i="12"/>
  <c r="N278" i="12"/>
  <c r="R176" i="12"/>
  <c r="R179" i="12" s="1"/>
  <c r="S171" i="12"/>
  <c r="Q128" i="10"/>
  <c r="Q176" i="10" s="1"/>
  <c r="Q179" i="10" s="1"/>
  <c r="O264" i="12"/>
  <c r="O265" i="12" s="1"/>
  <c r="O276" i="12" s="1"/>
  <c r="O277" i="12" s="1"/>
  <c r="P225" i="8"/>
  <c r="P291" i="8" s="1"/>
  <c r="R177" i="12"/>
  <c r="R223" i="12" s="1"/>
  <c r="O304" i="12"/>
  <c r="O272" i="12"/>
  <c r="T115" i="12"/>
  <c r="U112" i="12"/>
  <c r="T120" i="12"/>
  <c r="T119" i="12"/>
  <c r="T121" i="12"/>
  <c r="Q224" i="12"/>
  <c r="T99" i="12"/>
  <c r="T98" i="12"/>
  <c r="T94" i="12"/>
  <c r="U91" i="12"/>
  <c r="T100" i="12"/>
  <c r="T136" i="12"/>
  <c r="U133" i="12"/>
  <c r="T141" i="12"/>
  <c r="T140" i="12"/>
  <c r="T142" i="12"/>
  <c r="S175" i="12"/>
  <c r="Q129" i="10"/>
  <c r="S128" i="12"/>
  <c r="P224" i="12"/>
  <c r="P187" i="13"/>
  <c r="P224" i="13" s="1"/>
  <c r="U185" i="12"/>
  <c r="V185" i="11"/>
  <c r="S149" i="12"/>
  <c r="T157" i="12"/>
  <c r="U154" i="12"/>
  <c r="T163" i="12"/>
  <c r="T161" i="12"/>
  <c r="T162" i="12"/>
  <c r="S129" i="12"/>
  <c r="S107" i="12"/>
  <c r="P225" i="12"/>
  <c r="P239" i="12"/>
  <c r="S170" i="12"/>
  <c r="S150" i="12"/>
  <c r="R120" i="10"/>
  <c r="R119" i="10"/>
  <c r="R115" i="10"/>
  <c r="R175" i="10" s="1"/>
  <c r="S112" i="10"/>
  <c r="S119" i="10" s="1"/>
  <c r="Q179" i="8"/>
  <c r="L278" i="10"/>
  <c r="M278" i="8"/>
  <c r="O238" i="10"/>
  <c r="O304" i="10" s="1"/>
  <c r="Q144" i="8"/>
  <c r="P150" i="8"/>
  <c r="P177" i="8" s="1"/>
  <c r="O237" i="8"/>
  <c r="O180" i="8"/>
  <c r="O181" i="8"/>
  <c r="O223" i="8"/>
  <c r="N271" i="8"/>
  <c r="N303" i="8"/>
  <c r="R123" i="8"/>
  <c r="Q129" i="8"/>
  <c r="R102" i="8"/>
  <c r="Q108" i="8"/>
  <c r="N257" i="8"/>
  <c r="N264" i="8" s="1"/>
  <c r="N265" i="8" s="1"/>
  <c r="N276" i="8" s="1"/>
  <c r="N277" i="8" s="1"/>
  <c r="N289" i="8"/>
  <c r="R165" i="8"/>
  <c r="Q171" i="8"/>
  <c r="O258" i="10"/>
  <c r="O272" i="9"/>
  <c r="P239" i="9"/>
  <c r="P273" i="9" s="1"/>
  <c r="Q187" i="8"/>
  <c r="Q224" i="8" s="1"/>
  <c r="Q200" i="8"/>
  <c r="Q225" i="8" s="1"/>
  <c r="P200" i="10"/>
  <c r="P239" i="10" s="1"/>
  <c r="S128" i="9"/>
  <c r="R149" i="10"/>
  <c r="S170" i="9"/>
  <c r="S128" i="8"/>
  <c r="AS169" i="5"/>
  <c r="AS52" i="6" s="1"/>
  <c r="U192" i="10"/>
  <c r="R170" i="10"/>
  <c r="AS161" i="5"/>
  <c r="AS44" i="6" s="1"/>
  <c r="P304" i="9"/>
  <c r="P272" i="9"/>
  <c r="V192" i="8"/>
  <c r="N304" i="8"/>
  <c r="N272" i="8"/>
  <c r="M4" i="5"/>
  <c r="N4" i="7"/>
  <c r="N4" i="6"/>
  <c r="S170" i="8"/>
  <c r="AS166" i="5"/>
  <c r="AS49" i="6" s="1"/>
  <c r="S175" i="9"/>
  <c r="AS165" i="5"/>
  <c r="AS48" i="6" s="1"/>
  <c r="X5" i="6"/>
  <c r="X5" i="7"/>
  <c r="Y5" i="5"/>
  <c r="AV10" i="4"/>
  <c r="AU12" i="4"/>
  <c r="AW49" i="7"/>
  <c r="AA37" i="12" s="1"/>
  <c r="AA37" i="13" s="1"/>
  <c r="AW48" i="7"/>
  <c r="AA37" i="9" s="1"/>
  <c r="AA37" i="10" s="1"/>
  <c r="Q239" i="9"/>
  <c r="Q225" i="9"/>
  <c r="V185" i="9"/>
  <c r="T157" i="8"/>
  <c r="U154" i="8"/>
  <c r="T163" i="8"/>
  <c r="T161" i="8"/>
  <c r="T162" i="8"/>
  <c r="S107" i="8"/>
  <c r="S149" i="8"/>
  <c r="AR164" i="5"/>
  <c r="AR47" i="6" s="1"/>
  <c r="AR54" i="6" s="1"/>
  <c r="U186" i="8"/>
  <c r="S99" i="10"/>
  <c r="S100" i="10"/>
  <c r="S98" i="10"/>
  <c r="S94" i="10"/>
  <c r="T91" i="10"/>
  <c r="S157" i="10"/>
  <c r="T154" i="10"/>
  <c r="S163" i="10"/>
  <c r="S161" i="10"/>
  <c r="S162" i="10"/>
  <c r="AR170" i="5"/>
  <c r="AR53" i="6" s="1"/>
  <c r="O239" i="10"/>
  <c r="O225" i="10"/>
  <c r="P305" i="8"/>
  <c r="P273" i="8"/>
  <c r="T141" i="8"/>
  <c r="T142" i="8"/>
  <c r="T136" i="8"/>
  <c r="U133" i="8"/>
  <c r="T140" i="8"/>
  <c r="AQ167" i="5"/>
  <c r="AQ50" i="6" s="1"/>
  <c r="N272" i="10"/>
  <c r="N304" i="10"/>
  <c r="S149" i="9"/>
  <c r="O304" i="8"/>
  <c r="O272" i="8"/>
  <c r="V185" i="8"/>
  <c r="AU4" i="5"/>
  <c r="N291" i="10"/>
  <c r="N259" i="10"/>
  <c r="P259" i="9"/>
  <c r="P291" i="9"/>
  <c r="T99" i="8"/>
  <c r="T98" i="8"/>
  <c r="T94" i="8"/>
  <c r="T100" i="8"/>
  <c r="U91" i="8"/>
  <c r="T162" i="9"/>
  <c r="T163" i="9"/>
  <c r="T157" i="9"/>
  <c r="T161" i="9"/>
  <c r="U154" i="9"/>
  <c r="T120" i="9"/>
  <c r="T119" i="9"/>
  <c r="T121" i="9"/>
  <c r="U112" i="9"/>
  <c r="T115" i="9"/>
  <c r="AR168" i="5"/>
  <c r="AR51" i="6" s="1"/>
  <c r="T142" i="9"/>
  <c r="T140" i="9"/>
  <c r="T141" i="9"/>
  <c r="T136" i="9"/>
  <c r="U133" i="9"/>
  <c r="S136" i="10"/>
  <c r="S141" i="10"/>
  <c r="S142" i="10"/>
  <c r="T133" i="10"/>
  <c r="S140" i="10"/>
  <c r="AS162" i="5"/>
  <c r="AS45" i="6" s="1"/>
  <c r="Q179" i="9"/>
  <c r="Q187" i="9"/>
  <c r="Q224" i="9" s="1"/>
  <c r="V192" i="9"/>
  <c r="N305" i="10"/>
  <c r="N273" i="10"/>
  <c r="R107" i="10"/>
  <c r="X6" i="7"/>
  <c r="X6" i="6"/>
  <c r="Y6" i="5"/>
  <c r="T121" i="8"/>
  <c r="T119" i="8"/>
  <c r="U112" i="8"/>
  <c r="T120" i="8"/>
  <c r="T115" i="8"/>
  <c r="S175" i="8"/>
  <c r="P187" i="10"/>
  <c r="P224" i="10" s="1"/>
  <c r="P224" i="8"/>
  <c r="BB7" i="4" l="1"/>
  <c r="BC5" i="4"/>
  <c r="AW4" i="7"/>
  <c r="AV260" i="7"/>
  <c r="X7" i="18"/>
  <c r="AU261" i="7"/>
  <c r="X8" i="18"/>
  <c r="AU262" i="7"/>
  <c r="T186" i="13"/>
  <c r="T36" i="18" s="1"/>
  <c r="AR46" i="6"/>
  <c r="AS163" i="5"/>
  <c r="AQ55" i="6"/>
  <c r="U186" i="12"/>
  <c r="U186" i="13" s="1"/>
  <c r="AP58" i="6"/>
  <c r="AP60" i="6" s="1"/>
  <c r="T186" i="14"/>
  <c r="T35" i="18" s="1"/>
  <c r="V186" i="9"/>
  <c r="U186" i="15"/>
  <c r="V186" i="11"/>
  <c r="S107" i="9"/>
  <c r="S176" i="9" s="1"/>
  <c r="S200" i="9" s="1"/>
  <c r="T98" i="9"/>
  <c r="U91" i="9"/>
  <c r="U99" i="9" s="1"/>
  <c r="T100" i="9"/>
  <c r="T99" i="9"/>
  <c r="U186" i="10"/>
  <c r="U34" i="18"/>
  <c r="X256" i="10"/>
  <c r="Y222" i="9"/>
  <c r="Y256" i="9" s="1"/>
  <c r="X11" i="18"/>
  <c r="P273" i="15"/>
  <c r="P278" i="15" s="1"/>
  <c r="AA260" i="15"/>
  <c r="AA292" i="15"/>
  <c r="Z292" i="12"/>
  <c r="Z260" i="12"/>
  <c r="AA292" i="11"/>
  <c r="AA260" i="11"/>
  <c r="Y292" i="9"/>
  <c r="Y260" i="9"/>
  <c r="AA260" i="14"/>
  <c r="AA292" i="14"/>
  <c r="Y292" i="13"/>
  <c r="Y260" i="13"/>
  <c r="Z292" i="13"/>
  <c r="Z260" i="13"/>
  <c r="AA292" i="8"/>
  <c r="AA260" i="8"/>
  <c r="AW54" i="7"/>
  <c r="AA45" i="12"/>
  <c r="AA50" i="12" s="1"/>
  <c r="AA226" i="12" s="1"/>
  <c r="AA42" i="12"/>
  <c r="AA222" i="12" s="1"/>
  <c r="Z288" i="12"/>
  <c r="Z256" i="12"/>
  <c r="AA256" i="11"/>
  <c r="AA288" i="11"/>
  <c r="Y42" i="10"/>
  <c r="Y45" i="10"/>
  <c r="Y50" i="10" s="1"/>
  <c r="Y226" i="10" s="1"/>
  <c r="Z45" i="9"/>
  <c r="Z50" i="9" s="1"/>
  <c r="Z226" i="9" s="1"/>
  <c r="Z42" i="9"/>
  <c r="AA288" i="8"/>
  <c r="AA256" i="8"/>
  <c r="AA288" i="14"/>
  <c r="AA256" i="14"/>
  <c r="AA288" i="15"/>
  <c r="AA256" i="15"/>
  <c r="Z288" i="13"/>
  <c r="Z256" i="13"/>
  <c r="P272" i="14"/>
  <c r="P278" i="14" s="1"/>
  <c r="Q225" i="13"/>
  <c r="Q259" i="13" s="1"/>
  <c r="R237" i="13"/>
  <c r="R303" i="13" s="1"/>
  <c r="R223" i="13"/>
  <c r="R257" i="13" s="1"/>
  <c r="R181" i="13"/>
  <c r="S177" i="13"/>
  <c r="S223" i="13" s="1"/>
  <c r="R179" i="15"/>
  <c r="Q257" i="14"/>
  <c r="R200" i="13"/>
  <c r="R239" i="13" s="1"/>
  <c r="Q271" i="14"/>
  <c r="T108" i="14"/>
  <c r="R187" i="15"/>
  <c r="R224" i="15" s="1"/>
  <c r="R258" i="15" s="1"/>
  <c r="T129" i="14"/>
  <c r="Q239" i="15"/>
  <c r="Q305" i="15" s="1"/>
  <c r="Q258" i="15"/>
  <c r="Q290" i="15"/>
  <c r="S176" i="13"/>
  <c r="S179" i="13" s="1"/>
  <c r="S177" i="15"/>
  <c r="S223" i="15" s="1"/>
  <c r="Q303" i="13"/>
  <c r="Q257" i="15"/>
  <c r="R237" i="14"/>
  <c r="R271" i="14" s="1"/>
  <c r="R223" i="14"/>
  <c r="R257" i="14" s="1"/>
  <c r="T108" i="13"/>
  <c r="T128" i="15"/>
  <c r="R181" i="14"/>
  <c r="R239" i="15"/>
  <c r="R305" i="15" s="1"/>
  <c r="R225" i="15"/>
  <c r="R291" i="15" s="1"/>
  <c r="P291" i="13"/>
  <c r="P259" i="13"/>
  <c r="T150" i="15"/>
  <c r="S176" i="14"/>
  <c r="S179" i="14" s="1"/>
  <c r="P273" i="13"/>
  <c r="P305" i="13"/>
  <c r="Q257" i="13"/>
  <c r="R187" i="14"/>
  <c r="R224" i="14" s="1"/>
  <c r="R258" i="14" s="1"/>
  <c r="T171" i="15"/>
  <c r="R200" i="14"/>
  <c r="R239" i="14" s="1"/>
  <c r="R273" i="14" s="1"/>
  <c r="R179" i="14"/>
  <c r="R181" i="15"/>
  <c r="T171" i="14"/>
  <c r="T150" i="13"/>
  <c r="R237" i="15"/>
  <c r="R271" i="15" s="1"/>
  <c r="T175" i="13"/>
  <c r="R180" i="15"/>
  <c r="T129" i="15"/>
  <c r="S177" i="14"/>
  <c r="S237" i="14" s="1"/>
  <c r="S176" i="15"/>
  <c r="S200" i="15" s="1"/>
  <c r="T128" i="14"/>
  <c r="T107" i="15"/>
  <c r="T149" i="13"/>
  <c r="T129" i="13"/>
  <c r="T171" i="13"/>
  <c r="O278" i="14"/>
  <c r="T149" i="14"/>
  <c r="T108" i="15"/>
  <c r="U136" i="15"/>
  <c r="U142" i="15"/>
  <c r="V133" i="15"/>
  <c r="U140" i="15"/>
  <c r="U141" i="15"/>
  <c r="T107" i="14"/>
  <c r="U94" i="13"/>
  <c r="V91" i="13"/>
  <c r="U99" i="13"/>
  <c r="U100" i="13"/>
  <c r="U98" i="13"/>
  <c r="V154" i="13"/>
  <c r="U157" i="13"/>
  <c r="U163" i="13"/>
  <c r="U161" i="13"/>
  <c r="U162" i="13"/>
  <c r="U157" i="15"/>
  <c r="U163" i="15"/>
  <c r="V154" i="15"/>
  <c r="U161" i="15"/>
  <c r="U162" i="15"/>
  <c r="V133" i="14"/>
  <c r="U142" i="14"/>
  <c r="U136" i="14"/>
  <c r="U140" i="14"/>
  <c r="U141" i="14"/>
  <c r="U120" i="13"/>
  <c r="V112" i="13"/>
  <c r="U121" i="13"/>
  <c r="U119" i="13"/>
  <c r="U115" i="13"/>
  <c r="Q304" i="15"/>
  <c r="Q272" i="15"/>
  <c r="T175" i="15"/>
  <c r="Q239" i="14"/>
  <c r="Q225" i="14"/>
  <c r="U121" i="15"/>
  <c r="U120" i="15"/>
  <c r="U119" i="15"/>
  <c r="V112" i="15"/>
  <c r="U115" i="15"/>
  <c r="T149" i="15"/>
  <c r="T175" i="14"/>
  <c r="Q258" i="14"/>
  <c r="Q238" i="14"/>
  <c r="Q290" i="14"/>
  <c r="U119" i="14"/>
  <c r="V112" i="14"/>
  <c r="U115" i="14"/>
  <c r="U121" i="14"/>
  <c r="U120" i="14"/>
  <c r="V91" i="14"/>
  <c r="U99" i="14"/>
  <c r="U98" i="14"/>
  <c r="U94" i="14"/>
  <c r="U100" i="14"/>
  <c r="T150" i="14"/>
  <c r="U162" i="14"/>
  <c r="U163" i="14"/>
  <c r="V154" i="14"/>
  <c r="U157" i="14"/>
  <c r="U161" i="14"/>
  <c r="U100" i="15"/>
  <c r="U98" i="15"/>
  <c r="V91" i="15"/>
  <c r="U99" i="15"/>
  <c r="U94" i="15"/>
  <c r="T128" i="13"/>
  <c r="T170" i="15"/>
  <c r="T170" i="14"/>
  <c r="Q291" i="15"/>
  <c r="Q259" i="15"/>
  <c r="Q305" i="13"/>
  <c r="Q273" i="13"/>
  <c r="V133" i="13"/>
  <c r="U140" i="13"/>
  <c r="U141" i="13"/>
  <c r="U142" i="13"/>
  <c r="U136" i="13"/>
  <c r="T107" i="13"/>
  <c r="T170" i="13"/>
  <c r="R257" i="15"/>
  <c r="R289" i="15"/>
  <c r="Q289" i="11"/>
  <c r="R223" i="11"/>
  <c r="R257" i="11" s="1"/>
  <c r="R180" i="11"/>
  <c r="R200" i="11"/>
  <c r="R239" i="11" s="1"/>
  <c r="R181" i="11"/>
  <c r="Q187" i="13"/>
  <c r="Q224" i="13" s="1"/>
  <c r="Q290" i="13" s="1"/>
  <c r="T171" i="11"/>
  <c r="R187" i="11"/>
  <c r="R224" i="11" s="1"/>
  <c r="R258" i="11" s="1"/>
  <c r="T149" i="11"/>
  <c r="T129" i="11"/>
  <c r="S176" i="11"/>
  <c r="S179" i="11" s="1"/>
  <c r="S177" i="11"/>
  <c r="S237" i="11" s="1"/>
  <c r="T170" i="11"/>
  <c r="Q225" i="11"/>
  <c r="Q239" i="11"/>
  <c r="V185" i="14"/>
  <c r="Q238" i="11"/>
  <c r="Q258" i="11"/>
  <c r="Q290" i="11"/>
  <c r="R303" i="11"/>
  <c r="R271" i="11"/>
  <c r="U157" i="11"/>
  <c r="U163" i="11"/>
  <c r="V154" i="11"/>
  <c r="U161" i="11"/>
  <c r="U162" i="11"/>
  <c r="T175" i="11"/>
  <c r="P264" i="11"/>
  <c r="P265" i="11" s="1"/>
  <c r="P276" i="11" s="1"/>
  <c r="P277" i="11" s="1"/>
  <c r="U119" i="11"/>
  <c r="U115" i="11"/>
  <c r="V112" i="11"/>
  <c r="U120" i="11"/>
  <c r="U121" i="11"/>
  <c r="U100" i="11"/>
  <c r="U94" i="11"/>
  <c r="V91" i="11"/>
  <c r="U99" i="11"/>
  <c r="U98" i="11"/>
  <c r="W185" i="15"/>
  <c r="O278" i="11"/>
  <c r="P272" i="11"/>
  <c r="P304" i="11"/>
  <c r="T107" i="11"/>
  <c r="V133" i="11"/>
  <c r="U142" i="11"/>
  <c r="U140" i="11"/>
  <c r="U141" i="11"/>
  <c r="U136" i="11"/>
  <c r="T128" i="11"/>
  <c r="T150" i="11"/>
  <c r="T108" i="11"/>
  <c r="O272" i="13"/>
  <c r="O278" i="13" s="1"/>
  <c r="Q225" i="12"/>
  <c r="Q291" i="12" s="1"/>
  <c r="Q257" i="12"/>
  <c r="N289" i="10"/>
  <c r="O181" i="10"/>
  <c r="O237" i="10"/>
  <c r="O303" i="10" s="1"/>
  <c r="O223" i="10"/>
  <c r="Q303" i="12"/>
  <c r="N264" i="10"/>
  <c r="N265" i="10" s="1"/>
  <c r="N276" i="10" s="1"/>
  <c r="N277" i="10" s="1"/>
  <c r="P177" i="10"/>
  <c r="P223" i="10" s="1"/>
  <c r="R102" i="10"/>
  <c r="Q108" i="10"/>
  <c r="R165" i="10"/>
  <c r="Q171" i="10"/>
  <c r="R144" i="10"/>
  <c r="Q150" i="10"/>
  <c r="M278" i="9"/>
  <c r="O223" i="9"/>
  <c r="O181" i="9"/>
  <c r="O180" i="9"/>
  <c r="O237" i="9"/>
  <c r="P177" i="9"/>
  <c r="N303" i="9"/>
  <c r="N271" i="9"/>
  <c r="R144" i="9"/>
  <c r="Q150" i="9"/>
  <c r="R102" i="9"/>
  <c r="Q108" i="9"/>
  <c r="N289" i="9"/>
  <c r="N257" i="9"/>
  <c r="N264" i="9" s="1"/>
  <c r="N265" i="9" s="1"/>
  <c r="N276" i="9" s="1"/>
  <c r="N277" i="9" s="1"/>
  <c r="R123" i="9"/>
  <c r="Q129" i="9"/>
  <c r="Q171" i="9"/>
  <c r="R165" i="9"/>
  <c r="R180" i="12"/>
  <c r="R200" i="12"/>
  <c r="R239" i="12" s="1"/>
  <c r="T112" i="10"/>
  <c r="T121" i="10" s="1"/>
  <c r="R187" i="12"/>
  <c r="R224" i="12" s="1"/>
  <c r="T150" i="12"/>
  <c r="O278" i="12"/>
  <c r="T171" i="12"/>
  <c r="R237" i="12"/>
  <c r="R303" i="12" s="1"/>
  <c r="R181" i="12"/>
  <c r="S120" i="10"/>
  <c r="S121" i="10"/>
  <c r="S177" i="12"/>
  <c r="S223" i="12" s="1"/>
  <c r="P259" i="8"/>
  <c r="T108" i="12"/>
  <c r="T128" i="12"/>
  <c r="R128" i="10"/>
  <c r="R176" i="10" s="1"/>
  <c r="R179" i="10" s="1"/>
  <c r="R129" i="10"/>
  <c r="T175" i="12"/>
  <c r="Q290" i="12"/>
  <c r="Q238" i="12"/>
  <c r="Q258" i="12"/>
  <c r="T149" i="12"/>
  <c r="T107" i="12"/>
  <c r="V185" i="12"/>
  <c r="U115" i="12"/>
  <c r="V112" i="12"/>
  <c r="U120" i="12"/>
  <c r="U119" i="12"/>
  <c r="U121" i="12"/>
  <c r="S176" i="12"/>
  <c r="U157" i="12"/>
  <c r="V154" i="12"/>
  <c r="U163" i="12"/>
  <c r="U161" i="12"/>
  <c r="U162" i="12"/>
  <c r="W185" i="11"/>
  <c r="P290" i="13"/>
  <c r="P258" i="13"/>
  <c r="P238" i="13"/>
  <c r="Q305" i="12"/>
  <c r="Q273" i="12"/>
  <c r="T170" i="12"/>
  <c r="P290" i="12"/>
  <c r="P258" i="12"/>
  <c r="P238" i="12"/>
  <c r="R289" i="12"/>
  <c r="R257" i="12"/>
  <c r="U141" i="12"/>
  <c r="V133" i="12"/>
  <c r="U140" i="12"/>
  <c r="U136" i="12"/>
  <c r="U142" i="12"/>
  <c r="P291" i="12"/>
  <c r="P259" i="12"/>
  <c r="U99" i="12"/>
  <c r="U98" i="12"/>
  <c r="U94" i="12"/>
  <c r="V91" i="12"/>
  <c r="U100" i="12"/>
  <c r="P305" i="12"/>
  <c r="P273" i="12"/>
  <c r="T129" i="12"/>
  <c r="S115" i="10"/>
  <c r="S175" i="10" s="1"/>
  <c r="O272" i="10"/>
  <c r="N278" i="8"/>
  <c r="P237" i="8"/>
  <c r="P180" i="8"/>
  <c r="P181" i="8"/>
  <c r="P223" i="8"/>
  <c r="O271" i="8"/>
  <c r="O303" i="8"/>
  <c r="O289" i="8"/>
  <c r="O257" i="8"/>
  <c r="O264" i="8" s="1"/>
  <c r="O265" i="8" s="1"/>
  <c r="O276" i="8" s="1"/>
  <c r="O277" i="8" s="1"/>
  <c r="R144" i="8"/>
  <c r="Q150" i="8"/>
  <c r="Q177" i="8" s="1"/>
  <c r="S123" i="8"/>
  <c r="R129" i="8"/>
  <c r="S102" i="8"/>
  <c r="R108" i="8"/>
  <c r="S165" i="8"/>
  <c r="R171" i="8"/>
  <c r="P305" i="9"/>
  <c r="Q239" i="8"/>
  <c r="Q305" i="8" s="1"/>
  <c r="R187" i="9"/>
  <c r="R224" i="9" s="1"/>
  <c r="R238" i="9" s="1"/>
  <c r="S107" i="10"/>
  <c r="R179" i="9"/>
  <c r="P225" i="10"/>
  <c r="P259" i="10" s="1"/>
  <c r="T175" i="8"/>
  <c r="T107" i="8"/>
  <c r="Q200" i="10"/>
  <c r="Q239" i="10" s="1"/>
  <c r="T170" i="8"/>
  <c r="T170" i="9"/>
  <c r="T141" i="10"/>
  <c r="T142" i="10"/>
  <c r="U133" i="10"/>
  <c r="T140" i="10"/>
  <c r="T136" i="10"/>
  <c r="AS168" i="5"/>
  <c r="AS51" i="6" s="1"/>
  <c r="U120" i="9"/>
  <c r="U121" i="9"/>
  <c r="V112" i="9"/>
  <c r="U119" i="9"/>
  <c r="U115" i="9"/>
  <c r="AT166" i="5"/>
  <c r="AT49" i="6" s="1"/>
  <c r="T157" i="10"/>
  <c r="U154" i="10"/>
  <c r="T163" i="10"/>
  <c r="T161" i="10"/>
  <c r="T162" i="10"/>
  <c r="AT165" i="5"/>
  <c r="AT48" i="6" s="1"/>
  <c r="T149" i="9"/>
  <c r="T149" i="8"/>
  <c r="P273" i="10"/>
  <c r="P305" i="10"/>
  <c r="U163" i="8"/>
  <c r="U161" i="8"/>
  <c r="U162" i="8"/>
  <c r="V154" i="8"/>
  <c r="U157" i="8"/>
  <c r="Y6" i="6"/>
  <c r="Y6" i="7"/>
  <c r="Z6" i="5"/>
  <c r="R179" i="8"/>
  <c r="R187" i="8"/>
  <c r="R200" i="8"/>
  <c r="AS164" i="5"/>
  <c r="AS47" i="6" s="1"/>
  <c r="AS54" i="6" s="1"/>
  <c r="V186" i="8"/>
  <c r="M4" i="7"/>
  <c r="M4" i="6"/>
  <c r="L4" i="5"/>
  <c r="P290" i="10"/>
  <c r="P258" i="10"/>
  <c r="P238" i="10"/>
  <c r="T128" i="8"/>
  <c r="AT162" i="5"/>
  <c r="AT45" i="6" s="1"/>
  <c r="U99" i="8"/>
  <c r="U100" i="8"/>
  <c r="V91" i="8"/>
  <c r="U94" i="8"/>
  <c r="U98" i="8"/>
  <c r="T94" i="10"/>
  <c r="U91" i="10"/>
  <c r="T99" i="10"/>
  <c r="T100" i="10"/>
  <c r="T98" i="10"/>
  <c r="Q291" i="8"/>
  <c r="Q259" i="8"/>
  <c r="Y5" i="7"/>
  <c r="Y5" i="6"/>
  <c r="Z5" i="5"/>
  <c r="V192" i="10"/>
  <c r="Q259" i="9"/>
  <c r="Q291" i="9"/>
  <c r="Q305" i="9"/>
  <c r="Q273" i="9"/>
  <c r="AT169" i="5"/>
  <c r="AT52" i="6" s="1"/>
  <c r="Q258" i="8"/>
  <c r="Q238" i="8"/>
  <c r="Q290" i="8"/>
  <c r="T128" i="9"/>
  <c r="P258" i="8"/>
  <c r="P290" i="8"/>
  <c r="P238" i="8"/>
  <c r="V112" i="8"/>
  <c r="U120" i="8"/>
  <c r="U119" i="8"/>
  <c r="U121" i="8"/>
  <c r="U115" i="8"/>
  <c r="AV4" i="5"/>
  <c r="U142" i="8"/>
  <c r="U140" i="8"/>
  <c r="U136" i="8"/>
  <c r="U141" i="8"/>
  <c r="V133" i="8"/>
  <c r="W185" i="8"/>
  <c r="S170" i="10"/>
  <c r="S176" i="8"/>
  <c r="W185" i="9"/>
  <c r="W192" i="8"/>
  <c r="W192" i="9"/>
  <c r="O305" i="10"/>
  <c r="O273" i="10"/>
  <c r="R239" i="9"/>
  <c r="R225" i="9"/>
  <c r="AR167" i="5"/>
  <c r="AR50" i="6" s="1"/>
  <c r="AS170" i="5"/>
  <c r="AS53" i="6" s="1"/>
  <c r="AW10" i="4"/>
  <c r="AW12" i="4" s="1"/>
  <c r="AV12" i="4"/>
  <c r="Q290" i="9"/>
  <c r="Q238" i="9"/>
  <c r="Q258" i="9"/>
  <c r="Q187" i="10"/>
  <c r="Q224" i="10" s="1"/>
  <c r="S149" i="10"/>
  <c r="U136" i="9"/>
  <c r="V133" i="9"/>
  <c r="U141" i="9"/>
  <c r="U140" i="9"/>
  <c r="U142" i="9"/>
  <c r="U162" i="9"/>
  <c r="U157" i="9"/>
  <c r="U161" i="9"/>
  <c r="U163" i="9"/>
  <c r="V154" i="9"/>
  <c r="O259" i="10"/>
  <c r="O291" i="10"/>
  <c r="T175" i="9"/>
  <c r="AT161" i="5"/>
  <c r="AT44" i="6" s="1"/>
  <c r="BC7" i="4" l="1"/>
  <c r="BD5" i="4"/>
  <c r="AX4" i="7"/>
  <c r="AY4" i="7" s="1"/>
  <c r="AZ4" i="7" s="1"/>
  <c r="BA4" i="7" s="1"/>
  <c r="BB4" i="7" s="1"/>
  <c r="BC4" i="7" s="1"/>
  <c r="BD4" i="7" s="1"/>
  <c r="BE4" i="7" s="1"/>
  <c r="BF4" i="7" s="1"/>
  <c r="BG4" i="7" s="1"/>
  <c r="BH4" i="7" s="1"/>
  <c r="BI4" i="7" s="1"/>
  <c r="BJ4" i="7" s="1"/>
  <c r="BK4" i="7" s="1"/>
  <c r="BL4" i="7" s="1"/>
  <c r="AW260" i="7"/>
  <c r="Y7" i="18"/>
  <c r="AV261" i="7"/>
  <c r="Y8" i="18"/>
  <c r="AV262" i="7"/>
  <c r="U33" i="18"/>
  <c r="AS46" i="6"/>
  <c r="AT163" i="5"/>
  <c r="AR55" i="6"/>
  <c r="V186" i="12"/>
  <c r="V33" i="18" s="1"/>
  <c r="V186" i="15"/>
  <c r="AQ58" i="6"/>
  <c r="AQ60" i="6" s="1"/>
  <c r="U186" i="14"/>
  <c r="U35" i="18" s="1"/>
  <c r="U36" i="18"/>
  <c r="W186" i="11"/>
  <c r="W186" i="9"/>
  <c r="U98" i="9"/>
  <c r="U94" i="9"/>
  <c r="U175" i="9" s="1"/>
  <c r="U100" i="9"/>
  <c r="V91" i="9"/>
  <c r="V94" i="9" s="1"/>
  <c r="T107" i="9"/>
  <c r="T176" i="9" s="1"/>
  <c r="T179" i="9" s="1"/>
  <c r="V186" i="10"/>
  <c r="V34" i="18"/>
  <c r="Y288" i="9"/>
  <c r="Y222" i="10"/>
  <c r="Y256" i="10" s="1"/>
  <c r="X12" i="18"/>
  <c r="Z222" i="9"/>
  <c r="Z256" i="9" s="1"/>
  <c r="Y11" i="18"/>
  <c r="Q291" i="13"/>
  <c r="R289" i="13"/>
  <c r="Z292" i="9"/>
  <c r="Z260" i="9"/>
  <c r="AA292" i="12"/>
  <c r="AA260" i="12"/>
  <c r="Y260" i="10"/>
  <c r="Y292" i="10"/>
  <c r="R271" i="13"/>
  <c r="AA256" i="12"/>
  <c r="AA288" i="12"/>
  <c r="AA42" i="13"/>
  <c r="AA222" i="13" s="1"/>
  <c r="AA45" i="13"/>
  <c r="AA50" i="13" s="1"/>
  <c r="AA226" i="13" s="1"/>
  <c r="AA45" i="9"/>
  <c r="AA50" i="9" s="1"/>
  <c r="AA226" i="9" s="1"/>
  <c r="AA42" i="9"/>
  <c r="Z45" i="10"/>
  <c r="Z50" i="10" s="1"/>
  <c r="Z226" i="10" s="1"/>
  <c r="Z42" i="10"/>
  <c r="S237" i="13"/>
  <c r="S303" i="13" s="1"/>
  <c r="S180" i="13"/>
  <c r="Q273" i="15"/>
  <c r="R225" i="13"/>
  <c r="R291" i="13" s="1"/>
  <c r="S180" i="15"/>
  <c r="R238" i="14"/>
  <c r="R272" i="14" s="1"/>
  <c r="R290" i="14"/>
  <c r="T176" i="15"/>
  <c r="T179" i="15" s="1"/>
  <c r="P264" i="13"/>
  <c r="P265" i="13" s="1"/>
  <c r="P276" i="13" s="1"/>
  <c r="P277" i="13" s="1"/>
  <c r="R238" i="15"/>
  <c r="R304" i="15" s="1"/>
  <c r="R290" i="15"/>
  <c r="R225" i="14"/>
  <c r="R291" i="14" s="1"/>
  <c r="U129" i="15"/>
  <c r="S200" i="14"/>
  <c r="S225" i="14" s="1"/>
  <c r="R259" i="15"/>
  <c r="R264" i="15" s="1"/>
  <c r="R265" i="15" s="1"/>
  <c r="R276" i="15" s="1"/>
  <c r="R277" i="15" s="1"/>
  <c r="R303" i="15"/>
  <c r="S200" i="13"/>
  <c r="S225" i="13" s="1"/>
  <c r="U171" i="13"/>
  <c r="S237" i="15"/>
  <c r="S303" i="15" s="1"/>
  <c r="S181" i="13"/>
  <c r="R273" i="15"/>
  <c r="Q264" i="15"/>
  <c r="Q265" i="15" s="1"/>
  <c r="Q276" i="15" s="1"/>
  <c r="Q277" i="15" s="1"/>
  <c r="T177" i="15"/>
  <c r="T180" i="15" s="1"/>
  <c r="S180" i="14"/>
  <c r="U150" i="14"/>
  <c r="S181" i="14"/>
  <c r="R289" i="14"/>
  <c r="S223" i="14"/>
  <c r="S289" i="14" s="1"/>
  <c r="R303" i="14"/>
  <c r="U108" i="14"/>
  <c r="R305" i="14"/>
  <c r="U128" i="15"/>
  <c r="T177" i="13"/>
  <c r="T180" i="13" s="1"/>
  <c r="S187" i="15"/>
  <c r="S224" i="15" s="1"/>
  <c r="S290" i="15" s="1"/>
  <c r="T177" i="14"/>
  <c r="T223" i="14" s="1"/>
  <c r="S181" i="15"/>
  <c r="S187" i="14"/>
  <c r="S224" i="14" s="1"/>
  <c r="S258" i="14" s="1"/>
  <c r="U108" i="13"/>
  <c r="S179" i="15"/>
  <c r="U128" i="13"/>
  <c r="U171" i="14"/>
  <c r="U171" i="15"/>
  <c r="T176" i="14"/>
  <c r="T179" i="14" s="1"/>
  <c r="U150" i="15"/>
  <c r="V142" i="14"/>
  <c r="V141" i="14"/>
  <c r="V140" i="14"/>
  <c r="V136" i="14"/>
  <c r="W133" i="14"/>
  <c r="V94" i="15"/>
  <c r="W91" i="15"/>
  <c r="V100" i="15"/>
  <c r="V99" i="15"/>
  <c r="V98" i="15"/>
  <c r="W154" i="14"/>
  <c r="V162" i="14"/>
  <c r="V157" i="14"/>
  <c r="V163" i="14"/>
  <c r="V161" i="14"/>
  <c r="Q273" i="14"/>
  <c r="Q305" i="14"/>
  <c r="U129" i="13"/>
  <c r="U107" i="13"/>
  <c r="U107" i="15"/>
  <c r="Q304" i="14"/>
  <c r="Q272" i="14"/>
  <c r="U149" i="13"/>
  <c r="U175" i="14"/>
  <c r="V119" i="14"/>
  <c r="V121" i="14"/>
  <c r="W112" i="14"/>
  <c r="V120" i="14"/>
  <c r="V115" i="14"/>
  <c r="U149" i="15"/>
  <c r="T176" i="13"/>
  <c r="V136" i="13"/>
  <c r="W133" i="13"/>
  <c r="V142" i="13"/>
  <c r="V141" i="13"/>
  <c r="V140" i="13"/>
  <c r="U107" i="14"/>
  <c r="U128" i="14"/>
  <c r="V121" i="15"/>
  <c r="V119" i="15"/>
  <c r="V115" i="15"/>
  <c r="W112" i="15"/>
  <c r="V120" i="15"/>
  <c r="U170" i="13"/>
  <c r="V98" i="13"/>
  <c r="W91" i="13"/>
  <c r="V94" i="13"/>
  <c r="V100" i="13"/>
  <c r="V99" i="13"/>
  <c r="V142" i="15"/>
  <c r="V136" i="15"/>
  <c r="W133" i="15"/>
  <c r="V141" i="15"/>
  <c r="V140" i="15"/>
  <c r="S303" i="14"/>
  <c r="S271" i="14"/>
  <c r="S257" i="13"/>
  <c r="S289" i="13"/>
  <c r="W112" i="13"/>
  <c r="V121" i="13"/>
  <c r="V119" i="13"/>
  <c r="V120" i="13"/>
  <c r="V115" i="13"/>
  <c r="U149" i="14"/>
  <c r="U175" i="13"/>
  <c r="U108" i="15"/>
  <c r="V94" i="14"/>
  <c r="V100" i="14"/>
  <c r="W91" i="14"/>
  <c r="V98" i="14"/>
  <c r="V99" i="14"/>
  <c r="R305" i="13"/>
  <c r="R273" i="13"/>
  <c r="U170" i="15"/>
  <c r="Q291" i="14"/>
  <c r="Q259" i="14"/>
  <c r="Q264" i="14" s="1"/>
  <c r="Q265" i="14" s="1"/>
  <c r="Q276" i="14" s="1"/>
  <c r="Q277" i="14" s="1"/>
  <c r="U150" i="13"/>
  <c r="U175" i="15"/>
  <c r="U170" i="14"/>
  <c r="U129" i="14"/>
  <c r="S257" i="15"/>
  <c r="S289" i="15"/>
  <c r="V163" i="15"/>
  <c r="V162" i="15"/>
  <c r="V157" i="15"/>
  <c r="V161" i="15"/>
  <c r="W154" i="15"/>
  <c r="V157" i="13"/>
  <c r="W154" i="13"/>
  <c r="V163" i="13"/>
  <c r="V162" i="13"/>
  <c r="V161" i="13"/>
  <c r="S239" i="15"/>
  <c r="S225" i="15"/>
  <c r="R225" i="11"/>
  <c r="R259" i="11" s="1"/>
  <c r="R264" i="11" s="1"/>
  <c r="R265" i="11" s="1"/>
  <c r="R276" i="11" s="1"/>
  <c r="R277" i="11" s="1"/>
  <c r="R289" i="11"/>
  <c r="Q258" i="13"/>
  <c r="Q264" i="13" s="1"/>
  <c r="Q265" i="13" s="1"/>
  <c r="Q276" i="13" s="1"/>
  <c r="Q277" i="13" s="1"/>
  <c r="Q238" i="13"/>
  <c r="Q304" i="13" s="1"/>
  <c r="R238" i="11"/>
  <c r="R304" i="11" s="1"/>
  <c r="R290" i="11"/>
  <c r="U171" i="11"/>
  <c r="U150" i="11"/>
  <c r="U128" i="11"/>
  <c r="S200" i="11"/>
  <c r="S239" i="11" s="1"/>
  <c r="U108" i="11"/>
  <c r="S180" i="11"/>
  <c r="T176" i="11"/>
  <c r="T179" i="11" s="1"/>
  <c r="S187" i="11"/>
  <c r="S224" i="11" s="1"/>
  <c r="S258" i="11" s="1"/>
  <c r="S223" i="11"/>
  <c r="S289" i="11" s="1"/>
  <c r="U175" i="11"/>
  <c r="S181" i="11"/>
  <c r="W154" i="11"/>
  <c r="V163" i="11"/>
  <c r="V157" i="11"/>
  <c r="V161" i="11"/>
  <c r="V162" i="11"/>
  <c r="X185" i="15"/>
  <c r="Q259" i="12"/>
  <c r="Q264" i="12" s="1"/>
  <c r="Q265" i="12" s="1"/>
  <c r="Q276" i="12" s="1"/>
  <c r="Q277" i="12" s="1"/>
  <c r="T177" i="11"/>
  <c r="P278" i="11"/>
  <c r="W185" i="14"/>
  <c r="V140" i="11"/>
  <c r="W133" i="11"/>
  <c r="V136" i="11"/>
  <c r="V142" i="11"/>
  <c r="V141" i="11"/>
  <c r="W91" i="11"/>
  <c r="V99" i="11"/>
  <c r="V98" i="11"/>
  <c r="V94" i="11"/>
  <c r="V100" i="11"/>
  <c r="Q272" i="11"/>
  <c r="Q304" i="11"/>
  <c r="U129" i="11"/>
  <c r="R273" i="11"/>
  <c r="R305" i="11"/>
  <c r="U149" i="11"/>
  <c r="U107" i="11"/>
  <c r="Q305" i="11"/>
  <c r="Q273" i="11"/>
  <c r="V115" i="11"/>
  <c r="W112" i="11"/>
  <c r="V121" i="11"/>
  <c r="V119" i="11"/>
  <c r="V120" i="11"/>
  <c r="U170" i="11"/>
  <c r="Q259" i="11"/>
  <c r="Q264" i="11" s="1"/>
  <c r="Q265" i="11" s="1"/>
  <c r="Q276" i="11" s="1"/>
  <c r="Q277" i="11" s="1"/>
  <c r="Q291" i="11"/>
  <c r="S303" i="11"/>
  <c r="S271" i="11"/>
  <c r="O271" i="10"/>
  <c r="P237" i="10"/>
  <c r="P303" i="10" s="1"/>
  <c r="N278" i="10"/>
  <c r="O289" i="10"/>
  <c r="O257" i="10"/>
  <c r="O264" i="10" s="1"/>
  <c r="O265" i="10" s="1"/>
  <c r="O276" i="10" s="1"/>
  <c r="Q177" i="10"/>
  <c r="Q180" i="10" s="1"/>
  <c r="P181" i="10"/>
  <c r="T115" i="10"/>
  <c r="T175" i="10" s="1"/>
  <c r="T119" i="10"/>
  <c r="P180" i="10"/>
  <c r="R225" i="12"/>
  <c r="R291" i="12" s="1"/>
  <c r="U112" i="10"/>
  <c r="U115" i="10" s="1"/>
  <c r="S165" i="10"/>
  <c r="R171" i="10"/>
  <c r="S102" i="10"/>
  <c r="R108" i="10"/>
  <c r="T120" i="10"/>
  <c r="S144" i="10"/>
  <c r="R150" i="10"/>
  <c r="P289" i="10"/>
  <c r="P257" i="10"/>
  <c r="P264" i="10" s="1"/>
  <c r="P265" i="10" s="1"/>
  <c r="P276" i="10" s="1"/>
  <c r="P277" i="10" s="1"/>
  <c r="R187" i="13"/>
  <c r="R224" i="13" s="1"/>
  <c r="R290" i="13" s="1"/>
  <c r="S144" i="9"/>
  <c r="R150" i="9"/>
  <c r="N278" i="9"/>
  <c r="R129" i="9"/>
  <c r="S123" i="9"/>
  <c r="P237" i="9"/>
  <c r="P180" i="9"/>
  <c r="P223" i="9"/>
  <c r="P181" i="9"/>
  <c r="O303" i="9"/>
  <c r="O271" i="9"/>
  <c r="Q177" i="9"/>
  <c r="S102" i="9"/>
  <c r="R108" i="9"/>
  <c r="S165" i="9"/>
  <c r="R171" i="9"/>
  <c r="O257" i="9"/>
  <c r="O264" i="9" s="1"/>
  <c r="O265" i="9" s="1"/>
  <c r="O276" i="9" s="1"/>
  <c r="O277" i="9" s="1"/>
  <c r="O289" i="9"/>
  <c r="R271" i="12"/>
  <c r="S128" i="10"/>
  <c r="S176" i="10" s="1"/>
  <c r="S179" i="10" s="1"/>
  <c r="S180" i="12"/>
  <c r="S237" i="12"/>
  <c r="S271" i="12" s="1"/>
  <c r="S129" i="10"/>
  <c r="S181" i="12"/>
  <c r="U108" i="12"/>
  <c r="U129" i="12"/>
  <c r="T176" i="12"/>
  <c r="T200" i="12" s="1"/>
  <c r="T177" i="12"/>
  <c r="T237" i="12" s="1"/>
  <c r="P264" i="12"/>
  <c r="P265" i="12" s="1"/>
  <c r="P276" i="12" s="1"/>
  <c r="P277" i="12" s="1"/>
  <c r="U171" i="12"/>
  <c r="R305" i="12"/>
  <c r="R273" i="12"/>
  <c r="V140" i="12"/>
  <c r="V136" i="12"/>
  <c r="V142" i="12"/>
  <c r="W133" i="12"/>
  <c r="V141" i="12"/>
  <c r="P304" i="13"/>
  <c r="P272" i="13"/>
  <c r="U170" i="12"/>
  <c r="V163" i="12"/>
  <c r="V161" i="12"/>
  <c r="V157" i="12"/>
  <c r="W154" i="12"/>
  <c r="V162" i="12"/>
  <c r="V121" i="12"/>
  <c r="V119" i="12"/>
  <c r="V115" i="12"/>
  <c r="V120" i="12"/>
  <c r="W112" i="12"/>
  <c r="R238" i="12"/>
  <c r="R290" i="12"/>
  <c r="R258" i="12"/>
  <c r="U149" i="12"/>
  <c r="V98" i="12"/>
  <c r="V94" i="12"/>
  <c r="W91" i="12"/>
  <c r="V100" i="12"/>
  <c r="V99" i="12"/>
  <c r="P272" i="12"/>
  <c r="P304" i="12"/>
  <c r="U128" i="12"/>
  <c r="U175" i="12"/>
  <c r="X185" i="11"/>
  <c r="S179" i="12"/>
  <c r="S187" i="12"/>
  <c r="W185" i="12"/>
  <c r="Q304" i="12"/>
  <c r="Q272" i="12"/>
  <c r="S257" i="12"/>
  <c r="S289" i="12"/>
  <c r="U107" i="12"/>
  <c r="U150" i="12"/>
  <c r="S200" i="12"/>
  <c r="S200" i="8"/>
  <c r="S225" i="8" s="1"/>
  <c r="O278" i="8"/>
  <c r="P289" i="8"/>
  <c r="P257" i="8"/>
  <c r="P264" i="8" s="1"/>
  <c r="P265" i="8" s="1"/>
  <c r="P276" i="8" s="1"/>
  <c r="P277" i="8" s="1"/>
  <c r="S144" i="8"/>
  <c r="R150" i="8"/>
  <c r="R177" i="8" s="1"/>
  <c r="P271" i="8"/>
  <c r="P303" i="8"/>
  <c r="T165" i="8"/>
  <c r="S171" i="8"/>
  <c r="T102" i="8"/>
  <c r="S108" i="8"/>
  <c r="T123" i="8"/>
  <c r="S129" i="8"/>
  <c r="Q223" i="8"/>
  <c r="Q237" i="8"/>
  <c r="Q181" i="8"/>
  <c r="Q180" i="8"/>
  <c r="T107" i="10"/>
  <c r="Q273" i="8"/>
  <c r="S187" i="9"/>
  <c r="S224" i="9" s="1"/>
  <c r="S290" i="9" s="1"/>
  <c r="R258" i="9"/>
  <c r="Q225" i="10"/>
  <c r="Q291" i="10" s="1"/>
  <c r="R290" i="9"/>
  <c r="S179" i="9"/>
  <c r="U107" i="8"/>
  <c r="P291" i="10"/>
  <c r="U175" i="8"/>
  <c r="U149" i="8"/>
  <c r="T176" i="8"/>
  <c r="U163" i="10"/>
  <c r="U161" i="10"/>
  <c r="V154" i="10"/>
  <c r="U162" i="10"/>
  <c r="U157" i="10"/>
  <c r="L4" i="7"/>
  <c r="L4" i="6"/>
  <c r="K4" i="5"/>
  <c r="V136" i="9"/>
  <c r="W133" i="9"/>
  <c r="V141" i="9"/>
  <c r="V140" i="9"/>
  <c r="V142" i="9"/>
  <c r="P272" i="8"/>
  <c r="P304" i="8"/>
  <c r="AT170" i="5"/>
  <c r="AT53" i="6" s="1"/>
  <c r="U142" i="10"/>
  <c r="U140" i="10"/>
  <c r="V133" i="10"/>
  <c r="U141" i="10"/>
  <c r="U136" i="10"/>
  <c r="V100" i="8"/>
  <c r="V98" i="8"/>
  <c r="W91" i="8"/>
  <c r="V94" i="8"/>
  <c r="V99" i="8"/>
  <c r="W192" i="10"/>
  <c r="S239" i="9"/>
  <c r="S225" i="9"/>
  <c r="R224" i="8"/>
  <c r="R187" i="10"/>
  <c r="R224" i="10" s="1"/>
  <c r="U170" i="8"/>
  <c r="X185" i="9"/>
  <c r="V142" i="8"/>
  <c r="V140" i="8"/>
  <c r="V141" i="8"/>
  <c r="W133" i="8"/>
  <c r="V136" i="8"/>
  <c r="T170" i="10"/>
  <c r="Q272" i="8"/>
  <c r="Q304" i="8"/>
  <c r="V162" i="9"/>
  <c r="V157" i="9"/>
  <c r="W154" i="9"/>
  <c r="V161" i="9"/>
  <c r="V163" i="9"/>
  <c r="AS167" i="5"/>
  <c r="AS50" i="6" s="1"/>
  <c r="X192" i="8"/>
  <c r="U170" i="9"/>
  <c r="AW4" i="5"/>
  <c r="AU169" i="5"/>
  <c r="AU52" i="6" s="1"/>
  <c r="AU166" i="5"/>
  <c r="AU49" i="6" s="1"/>
  <c r="Q304" i="9"/>
  <c r="Q272" i="9"/>
  <c r="R291" i="9"/>
  <c r="R259" i="9"/>
  <c r="Z5" i="6"/>
  <c r="Z5" i="7"/>
  <c r="AA5" i="5"/>
  <c r="R272" i="9"/>
  <c r="R304" i="9"/>
  <c r="AT164" i="5"/>
  <c r="AT47" i="6" s="1"/>
  <c r="AT54" i="6" s="1"/>
  <c r="W186" i="8"/>
  <c r="Z6" i="7"/>
  <c r="AA6" i="5"/>
  <c r="Z6" i="6"/>
  <c r="V115" i="9"/>
  <c r="W112" i="9"/>
  <c r="V121" i="9"/>
  <c r="V120" i="9"/>
  <c r="V119" i="9"/>
  <c r="AU161" i="5"/>
  <c r="AU44" i="6" s="1"/>
  <c r="V120" i="8"/>
  <c r="V119" i="8"/>
  <c r="V121" i="8"/>
  <c r="W112" i="8"/>
  <c r="V115" i="8"/>
  <c r="P304" i="10"/>
  <c r="P272" i="10"/>
  <c r="V162" i="8"/>
  <c r="V157" i="8"/>
  <c r="V161" i="8"/>
  <c r="V163" i="8"/>
  <c r="W154" i="8"/>
  <c r="U98" i="10"/>
  <c r="U99" i="10"/>
  <c r="U100" i="10"/>
  <c r="V91" i="10"/>
  <c r="U94" i="10"/>
  <c r="AU165" i="5"/>
  <c r="AU48" i="6" s="1"/>
  <c r="Q290" i="10"/>
  <c r="Q258" i="10"/>
  <c r="Q238" i="10"/>
  <c r="Q305" i="10"/>
  <c r="Q273" i="10"/>
  <c r="W186" i="15"/>
  <c r="AT168" i="5"/>
  <c r="AT51" i="6" s="1"/>
  <c r="X192" i="9"/>
  <c r="U149" i="9"/>
  <c r="R305" i="9"/>
  <c r="R273" i="9"/>
  <c r="S179" i="8"/>
  <c r="S187" i="8"/>
  <c r="X185" i="8"/>
  <c r="U128" i="8"/>
  <c r="R200" i="10"/>
  <c r="AU162" i="5"/>
  <c r="AU45" i="6" s="1"/>
  <c r="R225" i="8"/>
  <c r="R239" i="8"/>
  <c r="U128" i="9"/>
  <c r="T149" i="10"/>
  <c r="BD7" i="4" l="1"/>
  <c r="BE5" i="4"/>
  <c r="Z7" i="18"/>
  <c r="AA7" i="18" s="1"/>
  <c r="D7" i="18" s="1"/>
  <c r="AW261" i="7"/>
  <c r="AW262" i="7"/>
  <c r="Z8" i="18"/>
  <c r="AA8" i="18" s="1"/>
  <c r="D8" i="18" s="1"/>
  <c r="V186" i="13"/>
  <c r="V36" i="18" s="1"/>
  <c r="AT46" i="6"/>
  <c r="AU163" i="5"/>
  <c r="AS55" i="6"/>
  <c r="W186" i="12"/>
  <c r="W33" i="18" s="1"/>
  <c r="AR58" i="6"/>
  <c r="AR60" i="6" s="1"/>
  <c r="V186" i="14"/>
  <c r="V35" i="18" s="1"/>
  <c r="X186" i="9"/>
  <c r="X186" i="11"/>
  <c r="U107" i="9"/>
  <c r="U176" i="9" s="1"/>
  <c r="U179" i="9" s="1"/>
  <c r="V98" i="9"/>
  <c r="V100" i="9"/>
  <c r="W91" i="9"/>
  <c r="W99" i="9" s="1"/>
  <c r="V99" i="9"/>
  <c r="W186" i="10"/>
  <c r="W34" i="18"/>
  <c r="Z288" i="9"/>
  <c r="Y288" i="10"/>
  <c r="Z222" i="10"/>
  <c r="Z256" i="10" s="1"/>
  <c r="Y12" i="18"/>
  <c r="AA222" i="9"/>
  <c r="AA288" i="9" s="1"/>
  <c r="Z11" i="18"/>
  <c r="AA11" i="18" s="1"/>
  <c r="D11" i="18" s="1"/>
  <c r="R259" i="13"/>
  <c r="AA292" i="9"/>
  <c r="AA260" i="9"/>
  <c r="AA292" i="13"/>
  <c r="AA260" i="13"/>
  <c r="Z292" i="10"/>
  <c r="Z260" i="10"/>
  <c r="S271" i="13"/>
  <c r="AA288" i="13"/>
  <c r="AA256" i="13"/>
  <c r="T237" i="13"/>
  <c r="T303" i="13" s="1"/>
  <c r="P278" i="13"/>
  <c r="AA45" i="10"/>
  <c r="AA50" i="10" s="1"/>
  <c r="AA226" i="10" s="1"/>
  <c r="AA42" i="10"/>
  <c r="R304" i="14"/>
  <c r="T200" i="15"/>
  <c r="T239" i="15" s="1"/>
  <c r="T273" i="15" s="1"/>
  <c r="T223" i="13"/>
  <c r="T257" i="13" s="1"/>
  <c r="T181" i="13"/>
  <c r="S238" i="15"/>
  <c r="S304" i="15" s="1"/>
  <c r="R272" i="15"/>
  <c r="R278" i="15" s="1"/>
  <c r="T187" i="15"/>
  <c r="T224" i="15" s="1"/>
  <c r="T258" i="15" s="1"/>
  <c r="S239" i="14"/>
  <c r="S305" i="14" s="1"/>
  <c r="R259" i="14"/>
  <c r="R264" i="14" s="1"/>
  <c r="R265" i="14" s="1"/>
  <c r="R276" i="14" s="1"/>
  <c r="R277" i="14" s="1"/>
  <c r="S271" i="15"/>
  <c r="V108" i="14"/>
  <c r="S239" i="13"/>
  <c r="S273" i="13" s="1"/>
  <c r="T223" i="15"/>
  <c r="T257" i="15" s="1"/>
  <c r="T237" i="15"/>
  <c r="T303" i="15" s="1"/>
  <c r="T181" i="15"/>
  <c r="Q278" i="15"/>
  <c r="S258" i="15"/>
  <c r="S257" i="14"/>
  <c r="U177" i="14"/>
  <c r="U180" i="14" s="1"/>
  <c r="S238" i="14"/>
  <c r="S272" i="14" s="1"/>
  <c r="T180" i="14"/>
  <c r="S290" i="14"/>
  <c r="V149" i="13"/>
  <c r="T181" i="14"/>
  <c r="V128" i="14"/>
  <c r="V129" i="15"/>
  <c r="T237" i="14"/>
  <c r="T271" i="14" s="1"/>
  <c r="U177" i="13"/>
  <c r="U223" i="13" s="1"/>
  <c r="V150" i="15"/>
  <c r="V108" i="15"/>
  <c r="V108" i="13"/>
  <c r="V171" i="15"/>
  <c r="V175" i="15"/>
  <c r="V171" i="13"/>
  <c r="U177" i="15"/>
  <c r="U237" i="15" s="1"/>
  <c r="V128" i="13"/>
  <c r="T187" i="14"/>
  <c r="T224" i="14" s="1"/>
  <c r="T258" i="14" s="1"/>
  <c r="T200" i="14"/>
  <c r="T225" i="14" s="1"/>
  <c r="W121" i="15"/>
  <c r="W120" i="15"/>
  <c r="W115" i="15"/>
  <c r="X112" i="15"/>
  <c r="W119" i="15"/>
  <c r="S291" i="15"/>
  <c r="S259" i="15"/>
  <c r="V175" i="14"/>
  <c r="U176" i="14"/>
  <c r="X112" i="14"/>
  <c r="W120" i="14"/>
  <c r="W119" i="14"/>
  <c r="W121" i="14"/>
  <c r="W115" i="14"/>
  <c r="V170" i="14"/>
  <c r="V149" i="14"/>
  <c r="S305" i="15"/>
  <c r="S273" i="15"/>
  <c r="V150" i="13"/>
  <c r="W94" i="15"/>
  <c r="X91" i="15"/>
  <c r="W99" i="15"/>
  <c r="W100" i="15"/>
  <c r="W98" i="15"/>
  <c r="W163" i="13"/>
  <c r="X154" i="13"/>
  <c r="W161" i="13"/>
  <c r="W162" i="13"/>
  <c r="W157" i="13"/>
  <c r="S291" i="14"/>
  <c r="S259" i="14"/>
  <c r="W115" i="13"/>
  <c r="X112" i="13"/>
  <c r="W119" i="13"/>
  <c r="W121" i="13"/>
  <c r="W120" i="13"/>
  <c r="S291" i="13"/>
  <c r="S259" i="13"/>
  <c r="V149" i="15"/>
  <c r="V175" i="13"/>
  <c r="V128" i="15"/>
  <c r="U176" i="15"/>
  <c r="W163" i="14"/>
  <c r="W161" i="14"/>
  <c r="W162" i="14"/>
  <c r="X154" i="14"/>
  <c r="W157" i="14"/>
  <c r="Q278" i="14"/>
  <c r="W157" i="15"/>
  <c r="W162" i="15"/>
  <c r="X154" i="15"/>
  <c r="W163" i="15"/>
  <c r="W161" i="15"/>
  <c r="V107" i="14"/>
  <c r="W99" i="13"/>
  <c r="W100" i="13"/>
  <c r="W94" i="13"/>
  <c r="W98" i="13"/>
  <c r="X91" i="13"/>
  <c r="W141" i="13"/>
  <c r="X133" i="13"/>
  <c r="W142" i="13"/>
  <c r="W140" i="13"/>
  <c r="W136" i="13"/>
  <c r="V129" i="14"/>
  <c r="V150" i="14"/>
  <c r="T257" i="14"/>
  <c r="T289" i="14"/>
  <c r="V170" i="15"/>
  <c r="W99" i="14"/>
  <c r="W100" i="14"/>
  <c r="W98" i="14"/>
  <c r="W94" i="14"/>
  <c r="X91" i="14"/>
  <c r="W136" i="15"/>
  <c r="X133" i="15"/>
  <c r="W141" i="15"/>
  <c r="W142" i="15"/>
  <c r="W140" i="15"/>
  <c r="V107" i="13"/>
  <c r="V107" i="15"/>
  <c r="W140" i="14"/>
  <c r="W136" i="14"/>
  <c r="W142" i="14"/>
  <c r="X133" i="14"/>
  <c r="W141" i="14"/>
  <c r="V170" i="13"/>
  <c r="V129" i="13"/>
  <c r="T179" i="13"/>
  <c r="T200" i="13"/>
  <c r="U176" i="13"/>
  <c r="U179" i="13" s="1"/>
  <c r="V171" i="14"/>
  <c r="R291" i="11"/>
  <c r="Q272" i="13"/>
  <c r="Q278" i="13" s="1"/>
  <c r="R272" i="11"/>
  <c r="R278" i="11" s="1"/>
  <c r="V129" i="11"/>
  <c r="U177" i="11"/>
  <c r="U223" i="11" s="1"/>
  <c r="P271" i="10"/>
  <c r="P278" i="10" s="1"/>
  <c r="S290" i="11"/>
  <c r="U176" i="11"/>
  <c r="U200" i="11" s="1"/>
  <c r="S238" i="11"/>
  <c r="S304" i="11" s="1"/>
  <c r="V108" i="11"/>
  <c r="S225" i="11"/>
  <c r="S291" i="11" s="1"/>
  <c r="V171" i="11"/>
  <c r="T187" i="11"/>
  <c r="T224" i="11" s="1"/>
  <c r="T290" i="11" s="1"/>
  <c r="T200" i="11"/>
  <c r="T239" i="11" s="1"/>
  <c r="S257" i="11"/>
  <c r="S305" i="11"/>
  <c r="S273" i="11"/>
  <c r="V175" i="11"/>
  <c r="W142" i="11"/>
  <c r="W140" i="11"/>
  <c r="W141" i="11"/>
  <c r="X133" i="11"/>
  <c r="W136" i="11"/>
  <c r="V107" i="11"/>
  <c r="V170" i="11"/>
  <c r="W120" i="11"/>
  <c r="X112" i="11"/>
  <c r="W121" i="11"/>
  <c r="W119" i="11"/>
  <c r="W115" i="11"/>
  <c r="W99" i="11"/>
  <c r="W98" i="11"/>
  <c r="X91" i="11"/>
  <c r="W100" i="11"/>
  <c r="W94" i="11"/>
  <c r="Y185" i="15"/>
  <c r="X154" i="11"/>
  <c r="W161" i="11"/>
  <c r="W157" i="11"/>
  <c r="W163" i="11"/>
  <c r="W162" i="11"/>
  <c r="Q278" i="11"/>
  <c r="T181" i="11"/>
  <c r="T237" i="11"/>
  <c r="T180" i="11"/>
  <c r="T223" i="11"/>
  <c r="V128" i="11"/>
  <c r="V149" i="11"/>
  <c r="X185" i="14"/>
  <c r="V150" i="11"/>
  <c r="T128" i="10"/>
  <c r="T176" i="10" s="1"/>
  <c r="T179" i="10" s="1"/>
  <c r="Q181" i="10"/>
  <c r="O277" i="10"/>
  <c r="O278" i="10" s="1"/>
  <c r="R259" i="12"/>
  <c r="R264" i="12" s="1"/>
  <c r="R265" i="12" s="1"/>
  <c r="R276" i="12" s="1"/>
  <c r="R277" i="12" s="1"/>
  <c r="Q223" i="10"/>
  <c r="Q289" i="10" s="1"/>
  <c r="Q237" i="10"/>
  <c r="Q303" i="10" s="1"/>
  <c r="S239" i="8"/>
  <c r="S273" i="8" s="1"/>
  <c r="T129" i="10"/>
  <c r="R177" i="10"/>
  <c r="R223" i="10" s="1"/>
  <c r="U119" i="10"/>
  <c r="O278" i="9"/>
  <c r="U120" i="10"/>
  <c r="U121" i="10"/>
  <c r="V112" i="10"/>
  <c r="V115" i="10" s="1"/>
  <c r="R258" i="13"/>
  <c r="T165" i="10"/>
  <c r="S171" i="10"/>
  <c r="R238" i="13"/>
  <c r="R272" i="13" s="1"/>
  <c r="T144" i="10"/>
  <c r="S150" i="10"/>
  <c r="T102" i="10"/>
  <c r="S108" i="10"/>
  <c r="R177" i="9"/>
  <c r="Q278" i="12"/>
  <c r="P257" i="9"/>
  <c r="P264" i="9" s="1"/>
  <c r="P265" i="9" s="1"/>
  <c r="P276" i="9" s="1"/>
  <c r="P277" i="9" s="1"/>
  <c r="P289" i="9"/>
  <c r="T165" i="9"/>
  <c r="S171" i="9"/>
  <c r="P303" i="9"/>
  <c r="P271" i="9"/>
  <c r="T102" i="9"/>
  <c r="S108" i="9"/>
  <c r="S129" i="9"/>
  <c r="T123" i="9"/>
  <c r="Q180" i="9"/>
  <c r="Q181" i="9"/>
  <c r="Q223" i="9"/>
  <c r="Q237" i="9"/>
  <c r="T144" i="9"/>
  <c r="S150" i="9"/>
  <c r="V129" i="12"/>
  <c r="V108" i="12"/>
  <c r="V150" i="12"/>
  <c r="U177" i="12"/>
  <c r="U237" i="12" s="1"/>
  <c r="P278" i="12"/>
  <c r="S303" i="12"/>
  <c r="V171" i="12"/>
  <c r="T180" i="12"/>
  <c r="T239" i="12"/>
  <c r="T273" i="12" s="1"/>
  <c r="T225" i="12"/>
  <c r="T291" i="12" s="1"/>
  <c r="T223" i="12"/>
  <c r="T289" i="12" s="1"/>
  <c r="T187" i="12"/>
  <c r="T181" i="12"/>
  <c r="T179" i="12"/>
  <c r="S224" i="12"/>
  <c r="S187" i="13"/>
  <c r="S224" i="13" s="1"/>
  <c r="W121" i="12"/>
  <c r="W119" i="12"/>
  <c r="X112" i="12"/>
  <c r="W120" i="12"/>
  <c r="W115" i="12"/>
  <c r="W161" i="12"/>
  <c r="W163" i="12"/>
  <c r="X154" i="12"/>
  <c r="W162" i="12"/>
  <c r="W157" i="12"/>
  <c r="V149" i="12"/>
  <c r="U176" i="12"/>
  <c r="U200" i="12" s="1"/>
  <c r="Y185" i="11"/>
  <c r="W100" i="12"/>
  <c r="W99" i="12"/>
  <c r="W98" i="12"/>
  <c r="X91" i="12"/>
  <c r="W94" i="12"/>
  <c r="T271" i="12"/>
  <c r="T303" i="12"/>
  <c r="V175" i="12"/>
  <c r="R272" i="12"/>
  <c r="R304" i="12"/>
  <c r="V170" i="12"/>
  <c r="V128" i="12"/>
  <c r="X185" i="12"/>
  <c r="S225" i="12"/>
  <c r="S239" i="12"/>
  <c r="V107" i="12"/>
  <c r="W140" i="12"/>
  <c r="X133" i="12"/>
  <c r="W142" i="12"/>
  <c r="W141" i="12"/>
  <c r="W136" i="12"/>
  <c r="T187" i="8"/>
  <c r="T224" i="8" s="1"/>
  <c r="R180" i="8"/>
  <c r="R223" i="8"/>
  <c r="R237" i="8"/>
  <c r="R181" i="8"/>
  <c r="P278" i="8"/>
  <c r="T144" i="8"/>
  <c r="S150" i="8"/>
  <c r="S177" i="8" s="1"/>
  <c r="Q257" i="8"/>
  <c r="Q264" i="8" s="1"/>
  <c r="Q265" i="8" s="1"/>
  <c r="Q276" i="8" s="1"/>
  <c r="Q277" i="8" s="1"/>
  <c r="Q289" i="8"/>
  <c r="U123" i="8"/>
  <c r="T129" i="8"/>
  <c r="U102" i="8"/>
  <c r="T108" i="8"/>
  <c r="Q303" i="8"/>
  <c r="Q271" i="8"/>
  <c r="U165" i="8"/>
  <c r="T171" i="8"/>
  <c r="Q259" i="10"/>
  <c r="S258" i="9"/>
  <c r="S238" i="9"/>
  <c r="S272" i="9" s="1"/>
  <c r="T187" i="9"/>
  <c r="T224" i="9" s="1"/>
  <c r="T258" i="9" s="1"/>
  <c r="T200" i="9"/>
  <c r="T239" i="9" s="1"/>
  <c r="T179" i="8"/>
  <c r="T200" i="8"/>
  <c r="T225" i="8" s="1"/>
  <c r="S200" i="10"/>
  <c r="S225" i="10" s="1"/>
  <c r="U176" i="8"/>
  <c r="U149" i="10"/>
  <c r="V107" i="8"/>
  <c r="U175" i="10"/>
  <c r="V170" i="9"/>
  <c r="Y192" i="9"/>
  <c r="X192" i="10"/>
  <c r="W100" i="8"/>
  <c r="W98" i="8"/>
  <c r="X91" i="8"/>
  <c r="W99" i="8"/>
  <c r="W94" i="8"/>
  <c r="AV162" i="5"/>
  <c r="AV45" i="6" s="1"/>
  <c r="V162" i="10"/>
  <c r="W154" i="10"/>
  <c r="V163" i="10"/>
  <c r="V157" i="10"/>
  <c r="V161" i="10"/>
  <c r="R239" i="10"/>
  <c r="R225" i="10"/>
  <c r="AU168" i="5"/>
  <c r="AU51" i="6" s="1"/>
  <c r="W162" i="8"/>
  <c r="W157" i="8"/>
  <c r="W161" i="8"/>
  <c r="X154" i="8"/>
  <c r="W163" i="8"/>
  <c r="W120" i="8"/>
  <c r="W121" i="8"/>
  <c r="W115" i="8"/>
  <c r="X112" i="8"/>
  <c r="W119" i="8"/>
  <c r="W115" i="9"/>
  <c r="X112" i="9"/>
  <c r="W121" i="9"/>
  <c r="W120" i="9"/>
  <c r="W119" i="9"/>
  <c r="AU164" i="5"/>
  <c r="AU47" i="6" s="1"/>
  <c r="AU54" i="6" s="1"/>
  <c r="X186" i="8"/>
  <c r="V175" i="9"/>
  <c r="AX4" i="5"/>
  <c r="W142" i="8"/>
  <c r="W140" i="8"/>
  <c r="W141" i="8"/>
  <c r="X133" i="8"/>
  <c r="W136" i="8"/>
  <c r="U170" i="10"/>
  <c r="Q304" i="10"/>
  <c r="Q272" i="10"/>
  <c r="V170" i="8"/>
  <c r="V128" i="8"/>
  <c r="AV166" i="5"/>
  <c r="AV49" i="6" s="1"/>
  <c r="W157" i="9"/>
  <c r="X154" i="9"/>
  <c r="W163" i="9"/>
  <c r="W161" i="9"/>
  <c r="W162" i="9"/>
  <c r="R290" i="10"/>
  <c r="R238" i="10"/>
  <c r="R258" i="10"/>
  <c r="V149" i="9"/>
  <c r="Y185" i="8"/>
  <c r="S187" i="10"/>
  <c r="S224" i="10" s="1"/>
  <c r="S224" i="8"/>
  <c r="R259" i="8"/>
  <c r="R291" i="8"/>
  <c r="S259" i="8"/>
  <c r="S291" i="8"/>
  <c r="AV165" i="5"/>
  <c r="AV48" i="6" s="1"/>
  <c r="AV161" i="5"/>
  <c r="AV44" i="6" s="1"/>
  <c r="Y192" i="8"/>
  <c r="V149" i="8"/>
  <c r="R258" i="8"/>
  <c r="R238" i="8"/>
  <c r="R290" i="8"/>
  <c r="K4" i="7"/>
  <c r="J4" i="5"/>
  <c r="K4" i="6"/>
  <c r="U107" i="10"/>
  <c r="V128" i="9"/>
  <c r="AA5" i="7"/>
  <c r="AB5" i="5"/>
  <c r="AA5" i="6"/>
  <c r="AT167" i="5"/>
  <c r="AT50" i="6" s="1"/>
  <c r="S291" i="9"/>
  <c r="S259" i="9"/>
  <c r="AU170" i="5"/>
  <c r="AU53" i="6" s="1"/>
  <c r="AV169" i="5"/>
  <c r="AV52" i="6" s="1"/>
  <c r="R305" i="8"/>
  <c r="R273" i="8"/>
  <c r="V99" i="10"/>
  <c r="V94" i="10"/>
  <c r="V100" i="10"/>
  <c r="W91" i="10"/>
  <c r="V98" i="10"/>
  <c r="AA6" i="7"/>
  <c r="AB6" i="5"/>
  <c r="AA6" i="6"/>
  <c r="Y185" i="9"/>
  <c r="S305" i="9"/>
  <c r="S273" i="9"/>
  <c r="V175" i="8"/>
  <c r="V142" i="10"/>
  <c r="V140" i="10"/>
  <c r="W133" i="10"/>
  <c r="V141" i="10"/>
  <c r="V136" i="10"/>
  <c r="W136" i="9"/>
  <c r="X133" i="9"/>
  <c r="W141" i="9"/>
  <c r="W142" i="9"/>
  <c r="W140" i="9"/>
  <c r="BF5" i="4" l="1"/>
  <c r="BE7" i="4"/>
  <c r="AU46" i="6"/>
  <c r="AV163" i="5"/>
  <c r="AT55" i="6"/>
  <c r="X186" i="12"/>
  <c r="X186" i="13" s="1"/>
  <c r="W186" i="13"/>
  <c r="W36" i="18" s="1"/>
  <c r="Y186" i="9"/>
  <c r="AS58" i="6"/>
  <c r="AS60" i="6" s="1"/>
  <c r="W186" i="14"/>
  <c r="W35" i="18" s="1"/>
  <c r="Y186" i="11"/>
  <c r="X186" i="15"/>
  <c r="W98" i="9"/>
  <c r="W100" i="9"/>
  <c r="W94" i="9"/>
  <c r="W175" i="9" s="1"/>
  <c r="V107" i="9"/>
  <c r="V176" i="9" s="1"/>
  <c r="V200" i="9" s="1"/>
  <c r="X91" i="9"/>
  <c r="X100" i="9" s="1"/>
  <c r="X186" i="10"/>
  <c r="X34" i="18"/>
  <c r="AA256" i="9"/>
  <c r="Z288" i="10"/>
  <c r="AA222" i="10"/>
  <c r="AA288" i="10" s="1"/>
  <c r="Z12" i="18"/>
  <c r="AA12" i="18" s="1"/>
  <c r="D12" i="18" s="1"/>
  <c r="R264" i="13"/>
  <c r="R265" i="13" s="1"/>
  <c r="R276" i="13" s="1"/>
  <c r="R277" i="13" s="1"/>
  <c r="AA292" i="10"/>
  <c r="AA260" i="10"/>
  <c r="S272" i="15"/>
  <c r="T289" i="13"/>
  <c r="T305" i="15"/>
  <c r="T271" i="13"/>
  <c r="T290" i="15"/>
  <c r="T238" i="15"/>
  <c r="T272" i="15" s="1"/>
  <c r="T225" i="15"/>
  <c r="T259" i="15" s="1"/>
  <c r="T264" i="15" s="1"/>
  <c r="T265" i="15" s="1"/>
  <c r="T276" i="15" s="1"/>
  <c r="T277" i="15" s="1"/>
  <c r="S273" i="14"/>
  <c r="W108" i="13"/>
  <c r="R278" i="14"/>
  <c r="T289" i="15"/>
  <c r="S305" i="13"/>
  <c r="U237" i="14"/>
  <c r="U271" i="14" s="1"/>
  <c r="T271" i="15"/>
  <c r="U181" i="14"/>
  <c r="S264" i="15"/>
  <c r="S265" i="15" s="1"/>
  <c r="S276" i="15" s="1"/>
  <c r="S277" i="15" s="1"/>
  <c r="U237" i="13"/>
  <c r="U271" i="13" s="1"/>
  <c r="U180" i="13"/>
  <c r="U223" i="14"/>
  <c r="U289" i="14" s="1"/>
  <c r="S304" i="14"/>
  <c r="T303" i="14"/>
  <c r="V177" i="13"/>
  <c r="V223" i="13" s="1"/>
  <c r="V177" i="15"/>
  <c r="V180" i="15" s="1"/>
  <c r="T290" i="14"/>
  <c r="S264" i="14"/>
  <c r="S265" i="14" s="1"/>
  <c r="S276" i="14" s="1"/>
  <c r="S277" i="14" s="1"/>
  <c r="W175" i="15"/>
  <c r="W107" i="15"/>
  <c r="T239" i="14"/>
  <c r="T273" i="14" s="1"/>
  <c r="W171" i="15"/>
  <c r="U200" i="14"/>
  <c r="U239" i="14" s="1"/>
  <c r="V177" i="14"/>
  <c r="V237" i="14" s="1"/>
  <c r="V176" i="13"/>
  <c r="V179" i="13" s="1"/>
  <c r="W149" i="14"/>
  <c r="W150" i="15"/>
  <c r="T238" i="14"/>
  <c r="T304" i="14" s="1"/>
  <c r="W128" i="14"/>
  <c r="V176" i="15"/>
  <c r="V200" i="15" s="1"/>
  <c r="V239" i="15" s="1"/>
  <c r="W150" i="13"/>
  <c r="W171" i="14"/>
  <c r="U180" i="15"/>
  <c r="U223" i="15"/>
  <c r="U257" i="15" s="1"/>
  <c r="W170" i="15"/>
  <c r="W129" i="14"/>
  <c r="U181" i="13"/>
  <c r="W129" i="15"/>
  <c r="W175" i="14"/>
  <c r="X98" i="13"/>
  <c r="X94" i="13"/>
  <c r="Y91" i="13"/>
  <c r="X99" i="13"/>
  <c r="X100" i="13"/>
  <c r="U200" i="15"/>
  <c r="U179" i="15"/>
  <c r="U187" i="15"/>
  <c r="U224" i="15" s="1"/>
  <c r="W170" i="13"/>
  <c r="W149" i="15"/>
  <c r="W107" i="14"/>
  <c r="W107" i="13"/>
  <c r="W128" i="13"/>
  <c r="X161" i="13"/>
  <c r="X157" i="13"/>
  <c r="X162" i="13"/>
  <c r="X163" i="13"/>
  <c r="Y154" i="13"/>
  <c r="X98" i="15"/>
  <c r="X99" i="15"/>
  <c r="X94" i="15"/>
  <c r="Y91" i="15"/>
  <c r="X100" i="15"/>
  <c r="W175" i="13"/>
  <c r="X162" i="15"/>
  <c r="X157" i="15"/>
  <c r="Y154" i="15"/>
  <c r="X163" i="15"/>
  <c r="X161" i="15"/>
  <c r="X119" i="13"/>
  <c r="X115" i="13"/>
  <c r="X120" i="13"/>
  <c r="X121" i="13"/>
  <c r="Y112" i="13"/>
  <c r="Y112" i="15"/>
  <c r="X120" i="15"/>
  <c r="X121" i="15"/>
  <c r="X119" i="15"/>
  <c r="X115" i="15"/>
  <c r="W150" i="14"/>
  <c r="W149" i="13"/>
  <c r="W108" i="15"/>
  <c r="X136" i="15"/>
  <c r="X141" i="15"/>
  <c r="X142" i="15"/>
  <c r="Y133" i="15"/>
  <c r="X140" i="15"/>
  <c r="X157" i="14"/>
  <c r="X162" i="14"/>
  <c r="X163" i="14"/>
  <c r="X161" i="14"/>
  <c r="Y154" i="14"/>
  <c r="U181" i="15"/>
  <c r="X120" i="14"/>
  <c r="Y112" i="14"/>
  <c r="X115" i="14"/>
  <c r="X121" i="14"/>
  <c r="X119" i="14"/>
  <c r="Y91" i="14"/>
  <c r="X100" i="14"/>
  <c r="X99" i="14"/>
  <c r="X98" i="14"/>
  <c r="X94" i="14"/>
  <c r="U303" i="15"/>
  <c r="U271" i="15"/>
  <c r="X142" i="14"/>
  <c r="Y133" i="14"/>
  <c r="X140" i="14"/>
  <c r="X136" i="14"/>
  <c r="X141" i="14"/>
  <c r="X140" i="13"/>
  <c r="X136" i="13"/>
  <c r="X142" i="13"/>
  <c r="X141" i="13"/>
  <c r="Y133" i="13"/>
  <c r="U200" i="13"/>
  <c r="W171" i="13"/>
  <c r="U179" i="14"/>
  <c r="U187" i="14"/>
  <c r="U224" i="14" s="1"/>
  <c r="U289" i="13"/>
  <c r="U257" i="13"/>
  <c r="T239" i="13"/>
  <c r="T225" i="13"/>
  <c r="T259" i="14"/>
  <c r="T264" i="14" s="1"/>
  <c r="T265" i="14" s="1"/>
  <c r="T276" i="14" s="1"/>
  <c r="T277" i="14" s="1"/>
  <c r="T291" i="14"/>
  <c r="W108" i="14"/>
  <c r="V176" i="14"/>
  <c r="W170" i="14"/>
  <c r="W129" i="13"/>
  <c r="W128" i="15"/>
  <c r="T225" i="11"/>
  <c r="T291" i="11" s="1"/>
  <c r="T238" i="11"/>
  <c r="T272" i="11" s="1"/>
  <c r="T258" i="11"/>
  <c r="U237" i="11"/>
  <c r="U303" i="11" s="1"/>
  <c r="T187" i="13"/>
  <c r="T224" i="13" s="1"/>
  <c r="T290" i="13" s="1"/>
  <c r="U180" i="11"/>
  <c r="S259" i="11"/>
  <c r="S264" i="11" s="1"/>
  <c r="S265" i="11" s="1"/>
  <c r="S276" i="11" s="1"/>
  <c r="S277" i="11" s="1"/>
  <c r="U179" i="11"/>
  <c r="U239" i="11"/>
  <c r="U273" i="11" s="1"/>
  <c r="U225" i="11"/>
  <c r="U291" i="11" s="1"/>
  <c r="U187" i="11"/>
  <c r="U224" i="11" s="1"/>
  <c r="U258" i="11" s="1"/>
  <c r="U181" i="11"/>
  <c r="S272" i="11"/>
  <c r="W108" i="11"/>
  <c r="V177" i="11"/>
  <c r="V223" i="11" s="1"/>
  <c r="W129" i="11"/>
  <c r="T303" i="11"/>
  <c r="T271" i="11"/>
  <c r="X162" i="11"/>
  <c r="X157" i="11"/>
  <c r="X163" i="11"/>
  <c r="X161" i="11"/>
  <c r="Y154" i="11"/>
  <c r="V176" i="11"/>
  <c r="U289" i="11"/>
  <c r="U257" i="11"/>
  <c r="W128" i="11"/>
  <c r="X140" i="11"/>
  <c r="X142" i="11"/>
  <c r="Y133" i="11"/>
  <c r="X136" i="11"/>
  <c r="X141" i="11"/>
  <c r="W170" i="11"/>
  <c r="Z185" i="15"/>
  <c r="W107" i="11"/>
  <c r="Y185" i="14"/>
  <c r="T257" i="11"/>
  <c r="T289" i="11"/>
  <c r="T305" i="11"/>
  <c r="T273" i="11"/>
  <c r="W175" i="11"/>
  <c r="W149" i="11"/>
  <c r="X98" i="11"/>
  <c r="X100" i="11"/>
  <c r="Y91" i="11"/>
  <c r="X99" i="11"/>
  <c r="X94" i="11"/>
  <c r="W171" i="11"/>
  <c r="X121" i="11"/>
  <c r="X119" i="11"/>
  <c r="X120" i="11"/>
  <c r="X115" i="11"/>
  <c r="Y112" i="11"/>
  <c r="W150" i="11"/>
  <c r="Q257" i="10"/>
  <c r="Q264" i="10" s="1"/>
  <c r="Q265" i="10" s="1"/>
  <c r="Q276" i="10" s="1"/>
  <c r="Q277" i="10" s="1"/>
  <c r="R237" i="10"/>
  <c r="S305" i="8"/>
  <c r="V119" i="10"/>
  <c r="Q271" i="10"/>
  <c r="R180" i="10"/>
  <c r="R181" i="10"/>
  <c r="U129" i="10"/>
  <c r="V120" i="10"/>
  <c r="R304" i="13"/>
  <c r="U128" i="10"/>
  <c r="U176" i="10" s="1"/>
  <c r="V121" i="10"/>
  <c r="T259" i="12"/>
  <c r="W112" i="10"/>
  <c r="W115" i="10" s="1"/>
  <c r="S177" i="10"/>
  <c r="S237" i="10" s="1"/>
  <c r="U102" i="10"/>
  <c r="T108" i="10"/>
  <c r="U165" i="10"/>
  <c r="T171" i="10"/>
  <c r="U144" i="10"/>
  <c r="T150" i="10"/>
  <c r="R289" i="10"/>
  <c r="R257" i="10"/>
  <c r="T224" i="12"/>
  <c r="T290" i="12" s="1"/>
  <c r="V177" i="12"/>
  <c r="V223" i="12" s="1"/>
  <c r="V289" i="12" s="1"/>
  <c r="S177" i="9"/>
  <c r="S237" i="9" s="1"/>
  <c r="S271" i="9" s="1"/>
  <c r="R278" i="12"/>
  <c r="P278" i="9"/>
  <c r="R223" i="9"/>
  <c r="R237" i="9"/>
  <c r="R181" i="9"/>
  <c r="R180" i="9"/>
  <c r="U144" i="9"/>
  <c r="T150" i="9"/>
  <c r="U102" i="9"/>
  <c r="T108" i="9"/>
  <c r="Q271" i="9"/>
  <c r="Q303" i="9"/>
  <c r="Q289" i="9"/>
  <c r="Q257" i="9"/>
  <c r="Q264" i="9" s="1"/>
  <c r="Q265" i="9" s="1"/>
  <c r="Q276" i="9" s="1"/>
  <c r="Q277" i="9" s="1"/>
  <c r="U165" i="9"/>
  <c r="T171" i="9"/>
  <c r="U123" i="9"/>
  <c r="T129" i="9"/>
  <c r="T257" i="12"/>
  <c r="W171" i="12"/>
  <c r="T305" i="12"/>
  <c r="U223" i="12"/>
  <c r="U257" i="12" s="1"/>
  <c r="U180" i="12"/>
  <c r="W107" i="12"/>
  <c r="V176" i="12"/>
  <c r="V179" i="12" s="1"/>
  <c r="U225" i="12"/>
  <c r="U239" i="12"/>
  <c r="Y185" i="12"/>
  <c r="S238" i="13"/>
  <c r="S290" i="13"/>
  <c r="S258" i="13"/>
  <c r="S264" i="13" s="1"/>
  <c r="S265" i="13" s="1"/>
  <c r="S276" i="13" s="1"/>
  <c r="S277" i="13" s="1"/>
  <c r="S238" i="12"/>
  <c r="S258" i="12"/>
  <c r="S290" i="12"/>
  <c r="W128" i="12"/>
  <c r="U179" i="12"/>
  <c r="U187" i="12"/>
  <c r="X142" i="12"/>
  <c r="X140" i="12"/>
  <c r="Y133" i="12"/>
  <c r="X136" i="12"/>
  <c r="X141" i="12"/>
  <c r="S305" i="12"/>
  <c r="S273" i="12"/>
  <c r="Y154" i="12"/>
  <c r="X163" i="12"/>
  <c r="X162" i="12"/>
  <c r="X161" i="12"/>
  <c r="X157" i="12"/>
  <c r="U271" i="12"/>
  <c r="U303" i="12"/>
  <c r="W108" i="12"/>
  <c r="W149" i="12"/>
  <c r="S259" i="12"/>
  <c r="S291" i="12"/>
  <c r="U181" i="12"/>
  <c r="W175" i="12"/>
  <c r="Z185" i="11"/>
  <c r="W129" i="12"/>
  <c r="Y112" i="12"/>
  <c r="X119" i="12"/>
  <c r="X121" i="12"/>
  <c r="X120" i="12"/>
  <c r="X115" i="12"/>
  <c r="W150" i="12"/>
  <c r="X100" i="12"/>
  <c r="X98" i="12"/>
  <c r="X99" i="12"/>
  <c r="X94" i="12"/>
  <c r="Y91" i="12"/>
  <c r="W170" i="12"/>
  <c r="U187" i="8"/>
  <c r="U224" i="8" s="1"/>
  <c r="Q278" i="8"/>
  <c r="S180" i="8"/>
  <c r="S223" i="8"/>
  <c r="S237" i="8"/>
  <c r="S181" i="8"/>
  <c r="R303" i="8"/>
  <c r="R271" i="8"/>
  <c r="R289" i="8"/>
  <c r="R257" i="8"/>
  <c r="R264" i="8" s="1"/>
  <c r="R265" i="8" s="1"/>
  <c r="R276" i="8" s="1"/>
  <c r="R277" i="8" s="1"/>
  <c r="U144" i="8"/>
  <c r="T150" i="8"/>
  <c r="T177" i="8" s="1"/>
  <c r="V102" i="8"/>
  <c r="U108" i="8"/>
  <c r="V165" i="8"/>
  <c r="U171" i="8"/>
  <c r="V123" i="8"/>
  <c r="U129" i="8"/>
  <c r="S239" i="10"/>
  <c r="S305" i="10" s="1"/>
  <c r="T239" i="8"/>
  <c r="T305" i="8" s="1"/>
  <c r="S304" i="9"/>
  <c r="T290" i="9"/>
  <c r="T238" i="9"/>
  <c r="T304" i="9" s="1"/>
  <c r="T225" i="9"/>
  <c r="T291" i="9" s="1"/>
  <c r="T187" i="10"/>
  <c r="T224" i="10" s="1"/>
  <c r="T258" i="10" s="1"/>
  <c r="U187" i="9"/>
  <c r="U224" i="9" s="1"/>
  <c r="U258" i="9" s="1"/>
  <c r="U200" i="9"/>
  <c r="U225" i="9" s="1"/>
  <c r="U200" i="8"/>
  <c r="U239" i="8" s="1"/>
  <c r="U179" i="8"/>
  <c r="V149" i="10"/>
  <c r="V170" i="10"/>
  <c r="W149" i="8"/>
  <c r="V176" i="8"/>
  <c r="T200" i="10"/>
  <c r="T225" i="10" s="1"/>
  <c r="W170" i="9"/>
  <c r="V107" i="10"/>
  <c r="W170" i="8"/>
  <c r="W100" i="10"/>
  <c r="W98" i="10"/>
  <c r="W94" i="10"/>
  <c r="W99" i="10"/>
  <c r="X91" i="10"/>
  <c r="AB5" i="7"/>
  <c r="AC5" i="7" s="1"/>
  <c r="AD5" i="7" s="1"/>
  <c r="AE5" i="7" s="1"/>
  <c r="AF5" i="7" s="1"/>
  <c r="AG5" i="7" s="1"/>
  <c r="AH5" i="7" s="1"/>
  <c r="AI5" i="7" s="1"/>
  <c r="AJ5" i="7" s="1"/>
  <c r="AK5" i="7" s="1"/>
  <c r="AL5" i="7" s="1"/>
  <c r="AM5" i="7" s="1"/>
  <c r="AC5" i="5"/>
  <c r="AB5" i="6"/>
  <c r="AC5" i="6" s="1"/>
  <c r="AD5" i="6" s="1"/>
  <c r="AE5" i="6" s="1"/>
  <c r="AF5" i="6" s="1"/>
  <c r="AG5" i="6" s="1"/>
  <c r="AH5" i="6" s="1"/>
  <c r="AI5" i="6" s="1"/>
  <c r="AJ5" i="6" s="1"/>
  <c r="AK5" i="6" s="1"/>
  <c r="AL5" i="6" s="1"/>
  <c r="AM5" i="6" s="1"/>
  <c r="J4" i="7"/>
  <c r="I4" i="5"/>
  <c r="J4" i="6"/>
  <c r="AV164" i="5"/>
  <c r="AV47" i="6" s="1"/>
  <c r="AV54" i="6" s="1"/>
  <c r="Y186" i="8"/>
  <c r="X141" i="9"/>
  <c r="X136" i="9"/>
  <c r="X142" i="9"/>
  <c r="Y133" i="9"/>
  <c r="X140" i="9"/>
  <c r="AB6" i="7"/>
  <c r="AC6" i="7" s="1"/>
  <c r="AD6" i="7" s="1"/>
  <c r="AE6" i="7" s="1"/>
  <c r="AF6" i="7" s="1"/>
  <c r="AG6" i="7" s="1"/>
  <c r="AH6" i="7" s="1"/>
  <c r="AI6" i="7" s="1"/>
  <c r="AJ6" i="7" s="1"/>
  <c r="AK6" i="7" s="1"/>
  <c r="AL6" i="7" s="1"/>
  <c r="AM6" i="7" s="1"/>
  <c r="AN6" i="7" s="1"/>
  <c r="AO6" i="7" s="1"/>
  <c r="AP6" i="7" s="1"/>
  <c r="AQ6" i="7" s="1"/>
  <c r="AR6" i="7" s="1"/>
  <c r="AS6" i="7" s="1"/>
  <c r="AT6" i="7" s="1"/>
  <c r="AU6" i="7" s="1"/>
  <c r="AV6" i="7" s="1"/>
  <c r="AW6" i="7" s="1"/>
  <c r="AX6" i="7" s="1"/>
  <c r="AY6" i="7" s="1"/>
  <c r="AZ6" i="7" s="1"/>
  <c r="BA6" i="7" s="1"/>
  <c r="BB6" i="7" s="1"/>
  <c r="BC6" i="7" s="1"/>
  <c r="BD6" i="7" s="1"/>
  <c r="BE6" i="7" s="1"/>
  <c r="BF6" i="7" s="1"/>
  <c r="BG6" i="7" s="1"/>
  <c r="BH6" i="7" s="1"/>
  <c r="BI6" i="7" s="1"/>
  <c r="BJ6" i="7" s="1"/>
  <c r="BK6" i="7" s="1"/>
  <c r="BL6" i="7" s="1"/>
  <c r="AC6" i="5"/>
  <c r="AB6" i="6"/>
  <c r="AC6" i="6" s="1"/>
  <c r="AD6" i="6" s="1"/>
  <c r="AE6" i="6" s="1"/>
  <c r="AF6" i="6" s="1"/>
  <c r="AG6" i="6" s="1"/>
  <c r="AH6" i="6" s="1"/>
  <c r="AI6" i="6" s="1"/>
  <c r="AJ6" i="6" s="1"/>
  <c r="AK6" i="6" s="1"/>
  <c r="AL6" i="6" s="1"/>
  <c r="AM6" i="6" s="1"/>
  <c r="AN6" i="6" s="1"/>
  <c r="AO6" i="6" s="1"/>
  <c r="AP6" i="6" s="1"/>
  <c r="AQ6" i="6" s="1"/>
  <c r="AR6" i="6" s="1"/>
  <c r="AS6" i="6" s="1"/>
  <c r="AT6" i="6" s="1"/>
  <c r="AU6" i="6" s="1"/>
  <c r="AV6" i="6" s="1"/>
  <c r="AW6" i="6" s="1"/>
  <c r="AX6" i="6" s="1"/>
  <c r="AY6" i="6" s="1"/>
  <c r="AZ6" i="6" s="1"/>
  <c r="BA6" i="6" s="1"/>
  <c r="BB6" i="6" s="1"/>
  <c r="BC6" i="6" s="1"/>
  <c r="BD6" i="6" s="1"/>
  <c r="BE6" i="6" s="1"/>
  <c r="BF6" i="6" s="1"/>
  <c r="BG6" i="6" s="1"/>
  <c r="BH6" i="6" s="1"/>
  <c r="BI6" i="6" s="1"/>
  <c r="BJ6" i="6" s="1"/>
  <c r="BK6" i="6" s="1"/>
  <c r="BL6" i="6" s="1"/>
  <c r="AU167" i="5"/>
  <c r="AU50" i="6" s="1"/>
  <c r="AW161" i="5"/>
  <c r="AW44" i="6" s="1"/>
  <c r="AW165" i="5"/>
  <c r="AW48" i="6" s="1"/>
  <c r="W128" i="9"/>
  <c r="X120" i="8"/>
  <c r="X121" i="8"/>
  <c r="X115" i="8"/>
  <c r="X119" i="8"/>
  <c r="Y112" i="8"/>
  <c r="V175" i="10"/>
  <c r="AW169" i="5"/>
  <c r="AW52" i="6" s="1"/>
  <c r="Y192" i="10"/>
  <c r="Z192" i="8"/>
  <c r="AY4" i="5"/>
  <c r="R291" i="10"/>
  <c r="R259" i="10"/>
  <c r="AW162" i="5"/>
  <c r="AW45" i="6" s="1"/>
  <c r="Z185" i="9"/>
  <c r="R305" i="10"/>
  <c r="R273" i="10"/>
  <c r="W175" i="8"/>
  <c r="X157" i="9"/>
  <c r="Y154" i="9"/>
  <c r="X163" i="9"/>
  <c r="X161" i="9"/>
  <c r="X162" i="9"/>
  <c r="W162" i="10"/>
  <c r="X154" i="10"/>
  <c r="W163" i="10"/>
  <c r="W157" i="10"/>
  <c r="W161" i="10"/>
  <c r="AV170" i="5"/>
  <c r="AV53" i="6" s="1"/>
  <c r="W149" i="9"/>
  <c r="W142" i="10"/>
  <c r="W140" i="10"/>
  <c r="W141" i="10"/>
  <c r="W136" i="10"/>
  <c r="X133" i="10"/>
  <c r="R304" i="10"/>
  <c r="R272" i="10"/>
  <c r="X121" i="9"/>
  <c r="X119" i="9"/>
  <c r="Y112" i="9"/>
  <c r="X115" i="9"/>
  <c r="X120" i="9"/>
  <c r="R272" i="8"/>
  <c r="R304" i="8"/>
  <c r="S290" i="8"/>
  <c r="S258" i="8"/>
  <c r="S238" i="8"/>
  <c r="AW166" i="5"/>
  <c r="AW49" i="6" s="1"/>
  <c r="T290" i="8"/>
  <c r="T238" i="8"/>
  <c r="T258" i="8"/>
  <c r="X142" i="8"/>
  <c r="X136" i="8"/>
  <c r="Y133" i="8"/>
  <c r="X140" i="8"/>
  <c r="X141" i="8"/>
  <c r="X162" i="8"/>
  <c r="X161" i="8"/>
  <c r="X157" i="8"/>
  <c r="Y154" i="8"/>
  <c r="X163" i="8"/>
  <c r="T259" i="8"/>
  <c r="T291" i="8"/>
  <c r="X100" i="8"/>
  <c r="X98" i="8"/>
  <c r="X94" i="8"/>
  <c r="Y91" i="8"/>
  <c r="X99" i="8"/>
  <c r="Z192" i="9"/>
  <c r="T273" i="9"/>
  <c r="T305" i="9"/>
  <c r="S290" i="10"/>
  <c r="S258" i="10"/>
  <c r="S238" i="10"/>
  <c r="Z185" i="8"/>
  <c r="W128" i="8"/>
  <c r="AV168" i="5"/>
  <c r="AV51" i="6" s="1"/>
  <c r="W107" i="8"/>
  <c r="S291" i="10"/>
  <c r="S259" i="10"/>
  <c r="BG5" i="4" l="1"/>
  <c r="BF7" i="4"/>
  <c r="X33" i="18"/>
  <c r="X36" i="18"/>
  <c r="AV46" i="6"/>
  <c r="AW163" i="5"/>
  <c r="AU55" i="6"/>
  <c r="Y186" i="12"/>
  <c r="Y186" i="13" s="1"/>
  <c r="AM7" i="6"/>
  <c r="AN5" i="6"/>
  <c r="Y186" i="15"/>
  <c r="Z186" i="9"/>
  <c r="AT58" i="6"/>
  <c r="AT60" i="6" s="1"/>
  <c r="X186" i="14"/>
  <c r="X35" i="18" s="1"/>
  <c r="Z186" i="11"/>
  <c r="W107" i="9"/>
  <c r="W176" i="9" s="1"/>
  <c r="W179" i="9" s="1"/>
  <c r="X99" i="9"/>
  <c r="Y91" i="9"/>
  <c r="Y94" i="9" s="1"/>
  <c r="X94" i="9"/>
  <c r="X175" i="9" s="1"/>
  <c r="X98" i="9"/>
  <c r="Y186" i="10"/>
  <c r="Y34" i="18"/>
  <c r="AA256" i="10"/>
  <c r="R278" i="13"/>
  <c r="AM7" i="7"/>
  <c r="P6" i="18" s="1"/>
  <c r="AN5" i="7"/>
  <c r="T304" i="15"/>
  <c r="T291" i="15"/>
  <c r="U257" i="14"/>
  <c r="U289" i="15"/>
  <c r="U303" i="14"/>
  <c r="V223" i="14"/>
  <c r="V257" i="14" s="1"/>
  <c r="U303" i="13"/>
  <c r="X171" i="14"/>
  <c r="S278" i="15"/>
  <c r="V181" i="15"/>
  <c r="V237" i="13"/>
  <c r="V303" i="13" s="1"/>
  <c r="V223" i="15"/>
  <c r="V257" i="15" s="1"/>
  <c r="V180" i="14"/>
  <c r="S278" i="14"/>
  <c r="V180" i="13"/>
  <c r="V181" i="13"/>
  <c r="T305" i="14"/>
  <c r="V225" i="15"/>
  <c r="V291" i="15" s="1"/>
  <c r="U225" i="14"/>
  <c r="U259" i="14" s="1"/>
  <c r="V187" i="15"/>
  <c r="V224" i="15" s="1"/>
  <c r="V238" i="15" s="1"/>
  <c r="V237" i="15"/>
  <c r="V303" i="15" s="1"/>
  <c r="X129" i="14"/>
  <c r="V179" i="15"/>
  <c r="T278" i="15"/>
  <c r="W176" i="15"/>
  <c r="W200" i="15" s="1"/>
  <c r="X128" i="14"/>
  <c r="T272" i="14"/>
  <c r="T278" i="14" s="1"/>
  <c r="X108" i="14"/>
  <c r="W177" i="15"/>
  <c r="W180" i="15" s="1"/>
  <c r="V200" i="13"/>
  <c r="V239" i="13" s="1"/>
  <c r="X149" i="15"/>
  <c r="X150" i="14"/>
  <c r="X149" i="13"/>
  <c r="X170" i="13"/>
  <c r="X171" i="15"/>
  <c r="X107" i="15"/>
  <c r="X170" i="14"/>
  <c r="X129" i="15"/>
  <c r="X128" i="13"/>
  <c r="W177" i="13"/>
  <c r="W223" i="13" s="1"/>
  <c r="U258" i="14"/>
  <c r="U290" i="14"/>
  <c r="U238" i="14"/>
  <c r="Z133" i="14"/>
  <c r="Y141" i="14"/>
  <c r="Y142" i="14"/>
  <c r="Y140" i="14"/>
  <c r="Y136" i="14"/>
  <c r="X175" i="15"/>
  <c r="Y98" i="14"/>
  <c r="Z91" i="14"/>
  <c r="Y94" i="14"/>
  <c r="Y99" i="14"/>
  <c r="Y100" i="14"/>
  <c r="X150" i="15"/>
  <c r="Y119" i="15"/>
  <c r="Y120" i="15"/>
  <c r="Y121" i="15"/>
  <c r="Y115" i="15"/>
  <c r="Z112" i="15"/>
  <c r="U305" i="14"/>
  <c r="U273" i="14"/>
  <c r="T305" i="13"/>
  <c r="T273" i="13"/>
  <c r="U239" i="13"/>
  <c r="U225" i="13"/>
  <c r="Y142" i="15"/>
  <c r="Y141" i="15"/>
  <c r="Y136" i="15"/>
  <c r="Y140" i="15"/>
  <c r="Z133" i="15"/>
  <c r="V305" i="15"/>
  <c r="V273" i="15"/>
  <c r="X175" i="13"/>
  <c r="V289" i="13"/>
  <c r="V257" i="13"/>
  <c r="X150" i="13"/>
  <c r="Y157" i="14"/>
  <c r="Y162" i="14"/>
  <c r="Y163" i="14"/>
  <c r="Z154" i="14"/>
  <c r="Y161" i="14"/>
  <c r="U258" i="15"/>
  <c r="U290" i="15"/>
  <c r="U238" i="15"/>
  <c r="X107" i="13"/>
  <c r="T291" i="13"/>
  <c r="T259" i="13"/>
  <c r="Y140" i="13"/>
  <c r="Y136" i="13"/>
  <c r="Y141" i="13"/>
  <c r="Y142" i="13"/>
  <c r="Z133" i="13"/>
  <c r="X175" i="14"/>
  <c r="X129" i="13"/>
  <c r="X170" i="15"/>
  <c r="X108" i="15"/>
  <c r="X171" i="13"/>
  <c r="V200" i="14"/>
  <c r="V179" i="14"/>
  <c r="V187" i="14"/>
  <c r="V224" i="14" s="1"/>
  <c r="X107" i="14"/>
  <c r="Z112" i="14"/>
  <c r="Y121" i="14"/>
  <c r="Y115" i="14"/>
  <c r="Y119" i="14"/>
  <c r="Y120" i="14"/>
  <c r="X128" i="15"/>
  <c r="Y121" i="13"/>
  <c r="Y119" i="13"/>
  <c r="Y115" i="13"/>
  <c r="Z112" i="13"/>
  <c r="Y120" i="13"/>
  <c r="Z154" i="13"/>
  <c r="Y161" i="13"/>
  <c r="Y157" i="13"/>
  <c r="Y162" i="13"/>
  <c r="Y163" i="13"/>
  <c r="W176" i="13"/>
  <c r="W179" i="13" s="1"/>
  <c r="U239" i="15"/>
  <c r="U225" i="15"/>
  <c r="V303" i="14"/>
  <c r="V271" i="14"/>
  <c r="Y94" i="13"/>
  <c r="Z91" i="13"/>
  <c r="Y98" i="13"/>
  <c r="Y100" i="13"/>
  <c r="Y99" i="13"/>
  <c r="W177" i="14"/>
  <c r="X149" i="14"/>
  <c r="Z154" i="15"/>
  <c r="Y161" i="15"/>
  <c r="Y157" i="15"/>
  <c r="Y163" i="15"/>
  <c r="Y162" i="15"/>
  <c r="Y98" i="15"/>
  <c r="Y100" i="15"/>
  <c r="Y94" i="15"/>
  <c r="Z91" i="15"/>
  <c r="Y99" i="15"/>
  <c r="W176" i="14"/>
  <c r="W200" i="14" s="1"/>
  <c r="X108" i="13"/>
  <c r="V181" i="14"/>
  <c r="T258" i="13"/>
  <c r="T304" i="11"/>
  <c r="T259" i="11"/>
  <c r="T264" i="11" s="1"/>
  <c r="T265" i="11" s="1"/>
  <c r="T276" i="11" s="1"/>
  <c r="T277" i="11" s="1"/>
  <c r="T238" i="13"/>
  <c r="T304" i="13" s="1"/>
  <c r="U259" i="11"/>
  <c r="U264" i="11" s="1"/>
  <c r="U265" i="11" s="1"/>
  <c r="U276" i="11" s="1"/>
  <c r="U277" i="11" s="1"/>
  <c r="U305" i="11"/>
  <c r="U290" i="11"/>
  <c r="U271" i="11"/>
  <c r="V180" i="11"/>
  <c r="W177" i="11"/>
  <c r="W223" i="11" s="1"/>
  <c r="V237" i="11"/>
  <c r="V303" i="11" s="1"/>
  <c r="X108" i="11"/>
  <c r="U238" i="11"/>
  <c r="U304" i="11" s="1"/>
  <c r="W176" i="11"/>
  <c r="X170" i="11"/>
  <c r="S278" i="11"/>
  <c r="Z185" i="14"/>
  <c r="X175" i="11"/>
  <c r="X128" i="11"/>
  <c r="X107" i="11"/>
  <c r="AA185" i="15"/>
  <c r="X149" i="11"/>
  <c r="X129" i="11"/>
  <c r="V200" i="11"/>
  <c r="V179" i="11"/>
  <c r="V187" i="11"/>
  <c r="V224" i="11" s="1"/>
  <c r="V289" i="11"/>
  <c r="V257" i="11"/>
  <c r="Y162" i="11"/>
  <c r="Y163" i="11"/>
  <c r="Y157" i="11"/>
  <c r="Z154" i="11"/>
  <c r="Y161" i="11"/>
  <c r="Y136" i="11"/>
  <c r="Y142" i="11"/>
  <c r="Y141" i="11"/>
  <c r="Z133" i="11"/>
  <c r="Y140" i="11"/>
  <c r="Y99" i="11"/>
  <c r="Y94" i="11"/>
  <c r="Y98" i="11"/>
  <c r="Z91" i="11"/>
  <c r="Y100" i="11"/>
  <c r="Y120" i="11"/>
  <c r="Y119" i="11"/>
  <c r="Z112" i="11"/>
  <c r="Y121" i="11"/>
  <c r="Y115" i="11"/>
  <c r="X150" i="11"/>
  <c r="X171" i="11"/>
  <c r="V181" i="11"/>
  <c r="V128" i="10"/>
  <c r="V176" i="10" s="1"/>
  <c r="V179" i="10" s="1"/>
  <c r="Q278" i="10"/>
  <c r="R271" i="10"/>
  <c r="R303" i="10"/>
  <c r="R264" i="10"/>
  <c r="R265" i="10" s="1"/>
  <c r="R276" i="10" s="1"/>
  <c r="R277" i="10" s="1"/>
  <c r="W119" i="10"/>
  <c r="W121" i="10"/>
  <c r="V129" i="10"/>
  <c r="V237" i="12"/>
  <c r="V271" i="12" s="1"/>
  <c r="S223" i="10"/>
  <c r="S257" i="10" s="1"/>
  <c r="S264" i="10" s="1"/>
  <c r="S265" i="10" s="1"/>
  <c r="S276" i="10" s="1"/>
  <c r="S277" i="10" s="1"/>
  <c r="S303" i="10"/>
  <c r="S271" i="10"/>
  <c r="W120" i="10"/>
  <c r="S180" i="10"/>
  <c r="X112" i="10"/>
  <c r="X121" i="10" s="1"/>
  <c r="T238" i="12"/>
  <c r="T304" i="12" s="1"/>
  <c r="S181" i="10"/>
  <c r="T258" i="12"/>
  <c r="T264" i="12" s="1"/>
  <c r="T265" i="12" s="1"/>
  <c r="T276" i="12" s="1"/>
  <c r="T277" i="12" s="1"/>
  <c r="T177" i="10"/>
  <c r="V165" i="10"/>
  <c r="U171" i="10"/>
  <c r="V102" i="10"/>
  <c r="U108" i="10"/>
  <c r="S303" i="9"/>
  <c r="V257" i="12"/>
  <c r="S223" i="9"/>
  <c r="S181" i="9"/>
  <c r="Q278" i="9"/>
  <c r="V144" i="10"/>
  <c r="U150" i="10"/>
  <c r="R257" i="9"/>
  <c r="R264" i="9" s="1"/>
  <c r="R265" i="9" s="1"/>
  <c r="R276" i="9" s="1"/>
  <c r="R277" i="9" s="1"/>
  <c r="R289" i="9"/>
  <c r="R303" i="9"/>
  <c r="R271" i="9"/>
  <c r="V180" i="12"/>
  <c r="S180" i="9"/>
  <c r="V123" i="9"/>
  <c r="U129" i="9"/>
  <c r="T177" i="9"/>
  <c r="V165" i="9"/>
  <c r="U171" i="9"/>
  <c r="V102" i="9"/>
  <c r="U108" i="9"/>
  <c r="U150" i="9"/>
  <c r="V144" i="9"/>
  <c r="U289" i="12"/>
  <c r="V181" i="12"/>
  <c r="X129" i="12"/>
  <c r="W176" i="12"/>
  <c r="W200" i="12" s="1"/>
  <c r="W225" i="12" s="1"/>
  <c r="V200" i="12"/>
  <c r="V225" i="12" s="1"/>
  <c r="V187" i="12"/>
  <c r="V224" i="12" s="1"/>
  <c r="X170" i="12"/>
  <c r="X149" i="12"/>
  <c r="X175" i="12"/>
  <c r="X107" i="12"/>
  <c r="X171" i="12"/>
  <c r="Y142" i="12"/>
  <c r="Y140" i="12"/>
  <c r="Y136" i="12"/>
  <c r="Y141" i="12"/>
  <c r="Z133" i="12"/>
  <c r="AA185" i="11"/>
  <c r="Y162" i="12"/>
  <c r="Z154" i="12"/>
  <c r="Y163" i="12"/>
  <c r="Y161" i="12"/>
  <c r="Y157" i="12"/>
  <c r="Z185" i="12"/>
  <c r="Y120" i="12"/>
  <c r="Y119" i="12"/>
  <c r="Y115" i="12"/>
  <c r="Z112" i="12"/>
  <c r="Y121" i="12"/>
  <c r="X108" i="12"/>
  <c r="S264" i="12"/>
  <c r="S265" i="12" s="1"/>
  <c r="S276" i="12" s="1"/>
  <c r="S277" i="12" s="1"/>
  <c r="S272" i="13"/>
  <c r="S278" i="13" s="1"/>
  <c r="S304" i="13"/>
  <c r="U273" i="12"/>
  <c r="U305" i="12"/>
  <c r="U224" i="12"/>
  <c r="U187" i="13"/>
  <c r="U224" i="13" s="1"/>
  <c r="Y100" i="12"/>
  <c r="Y98" i="12"/>
  <c r="Z91" i="12"/>
  <c r="Y99" i="12"/>
  <c r="Y94" i="12"/>
  <c r="X128" i="12"/>
  <c r="W177" i="12"/>
  <c r="X150" i="12"/>
  <c r="S272" i="12"/>
  <c r="S304" i="12"/>
  <c r="U291" i="12"/>
  <c r="U259" i="12"/>
  <c r="V200" i="8"/>
  <c r="V239" i="8" s="1"/>
  <c r="R278" i="8"/>
  <c r="T237" i="8"/>
  <c r="T181" i="8"/>
  <c r="T223" i="8"/>
  <c r="T257" i="8" s="1"/>
  <c r="T264" i="8" s="1"/>
  <c r="T265" i="8" s="1"/>
  <c r="T276" i="8" s="1"/>
  <c r="T277" i="8" s="1"/>
  <c r="T180" i="8"/>
  <c r="S303" i="8"/>
  <c r="S271" i="8"/>
  <c r="V144" i="8"/>
  <c r="U150" i="8"/>
  <c r="U177" i="8" s="1"/>
  <c r="S257" i="8"/>
  <c r="S264" i="8" s="1"/>
  <c r="S265" i="8" s="1"/>
  <c r="S276" i="8" s="1"/>
  <c r="S277" i="8" s="1"/>
  <c r="S289" i="8"/>
  <c r="W165" i="8"/>
  <c r="V171" i="8"/>
  <c r="W123" i="8"/>
  <c r="V129" i="8"/>
  <c r="W102" i="8"/>
  <c r="V108" i="8"/>
  <c r="S273" i="10"/>
  <c r="T272" i="9"/>
  <c r="T273" i="8"/>
  <c r="U290" i="9"/>
  <c r="T259" i="9"/>
  <c r="U238" i="9"/>
  <c r="U272" i="9" s="1"/>
  <c r="U187" i="10"/>
  <c r="U224" i="10" s="1"/>
  <c r="U238" i="10" s="1"/>
  <c r="T290" i="10"/>
  <c r="T238" i="10"/>
  <c r="T272" i="10" s="1"/>
  <c r="V179" i="8"/>
  <c r="U225" i="8"/>
  <c r="U291" i="8" s="1"/>
  <c r="U239" i="9"/>
  <c r="U273" i="9" s="1"/>
  <c r="T239" i="10"/>
  <c r="T305" i="10" s="1"/>
  <c r="V187" i="8"/>
  <c r="W176" i="8"/>
  <c r="X149" i="8"/>
  <c r="X175" i="8"/>
  <c r="V225" i="9"/>
  <c r="V239" i="9"/>
  <c r="Y136" i="8"/>
  <c r="Z133" i="8"/>
  <c r="Y141" i="8"/>
  <c r="Y140" i="8"/>
  <c r="Y142" i="8"/>
  <c r="AD5" i="5"/>
  <c r="X107" i="8"/>
  <c r="Y157" i="9"/>
  <c r="Z154" i="9"/>
  <c r="Y163" i="9"/>
  <c r="Y161" i="9"/>
  <c r="Y162" i="9"/>
  <c r="Z192" i="10"/>
  <c r="X149" i="9"/>
  <c r="Y100" i="8"/>
  <c r="Y98" i="8"/>
  <c r="Y94" i="8"/>
  <c r="Z91" i="8"/>
  <c r="Y99" i="8"/>
  <c r="U179" i="10"/>
  <c r="U200" i="10"/>
  <c r="X162" i="10"/>
  <c r="X163" i="10"/>
  <c r="X157" i="10"/>
  <c r="Y154" i="10"/>
  <c r="X161" i="10"/>
  <c r="AX162" i="5"/>
  <c r="X100" i="10"/>
  <c r="X98" i="10"/>
  <c r="X94" i="10"/>
  <c r="X99" i="10"/>
  <c r="Y91" i="10"/>
  <c r="S304" i="8"/>
  <c r="S272" i="8"/>
  <c r="AX165" i="5"/>
  <c r="Y136" i="9"/>
  <c r="Y142" i="9"/>
  <c r="Z133" i="9"/>
  <c r="Y140" i="9"/>
  <c r="Y141" i="9"/>
  <c r="AW164" i="5"/>
  <c r="AW47" i="6" s="1"/>
  <c r="AW54" i="6" s="1"/>
  <c r="Z186" i="8"/>
  <c r="AW168" i="5"/>
  <c r="AW51" i="6" s="1"/>
  <c r="S304" i="10"/>
  <c r="S272" i="10"/>
  <c r="T304" i="8"/>
  <c r="T272" i="8"/>
  <c r="AW170" i="5"/>
  <c r="AW53" i="6" s="1"/>
  <c r="T291" i="10"/>
  <c r="T259" i="10"/>
  <c r="W175" i="10"/>
  <c r="AA185" i="9"/>
  <c r="AV167" i="5"/>
  <c r="AV50" i="6" s="1"/>
  <c r="V179" i="9"/>
  <c r="V187" i="9"/>
  <c r="V224" i="9" s="1"/>
  <c r="AX169" i="5"/>
  <c r="U290" i="8"/>
  <c r="U238" i="8"/>
  <c r="U258" i="8"/>
  <c r="X170" i="8"/>
  <c r="AX166" i="5"/>
  <c r="AA192" i="9"/>
  <c r="Y121" i="9"/>
  <c r="Y119" i="9"/>
  <c r="Z112" i="9"/>
  <c r="Y115" i="9"/>
  <c r="Y120" i="9"/>
  <c r="X142" i="10"/>
  <c r="X140" i="10"/>
  <c r="X136" i="10"/>
  <c r="Y133" i="10"/>
  <c r="X141" i="10"/>
  <c r="AA192" i="8"/>
  <c r="U291" i="9"/>
  <c r="U259" i="9"/>
  <c r="Y115" i="8"/>
  <c r="Y119" i="8"/>
  <c r="Y121" i="8"/>
  <c r="Z112" i="8"/>
  <c r="Y120" i="8"/>
  <c r="AX161" i="5"/>
  <c r="W107" i="10"/>
  <c r="Y162" i="8"/>
  <c r="Y157" i="8"/>
  <c r="Z154" i="8"/>
  <c r="Y161" i="8"/>
  <c r="Y163" i="8"/>
  <c r="W149" i="10"/>
  <c r="AA185" i="8"/>
  <c r="U305" i="8"/>
  <c r="U273" i="8"/>
  <c r="X128" i="9"/>
  <c r="W170" i="10"/>
  <c r="X170" i="9"/>
  <c r="AZ4" i="5"/>
  <c r="X128" i="8"/>
  <c r="AD6" i="5"/>
  <c r="BH5" i="4" l="1"/>
  <c r="BG7" i="4"/>
  <c r="Y33" i="18"/>
  <c r="AW46" i="6"/>
  <c r="AX163" i="5"/>
  <c r="AY163" i="5" s="1"/>
  <c r="AZ163" i="5" s="1"/>
  <c r="AV55" i="6"/>
  <c r="Z186" i="12"/>
  <c r="Z33" i="18" s="1"/>
  <c r="AO5" i="6"/>
  <c r="AN7" i="6"/>
  <c r="Q1" i="11"/>
  <c r="Q1" i="14"/>
  <c r="Q1" i="12"/>
  <c r="Q1" i="15"/>
  <c r="Q1" i="13"/>
  <c r="Y36" i="18"/>
  <c r="AU58" i="6"/>
  <c r="AU60" i="6" s="1"/>
  <c r="Y186" i="14"/>
  <c r="Y35" i="18" s="1"/>
  <c r="AA186" i="9"/>
  <c r="AA186" i="11"/>
  <c r="Z186" i="15"/>
  <c r="Y98" i="9"/>
  <c r="Y100" i="9"/>
  <c r="Z91" i="9"/>
  <c r="Z94" i="9" s="1"/>
  <c r="Y99" i="9"/>
  <c r="X107" i="9"/>
  <c r="X176" i="9" s="1"/>
  <c r="X187" i="9" s="1"/>
  <c r="X224" i="9" s="1"/>
  <c r="Z186" i="10"/>
  <c r="Z34" i="18"/>
  <c r="AA34" i="18" s="1"/>
  <c r="D34" i="18" s="1"/>
  <c r="V289" i="14"/>
  <c r="AN7" i="7"/>
  <c r="Q6" i="18" s="1"/>
  <c r="AO5" i="7"/>
  <c r="V271" i="13"/>
  <c r="U291" i="14"/>
  <c r="V259" i="15"/>
  <c r="V289" i="15"/>
  <c r="V225" i="13"/>
  <c r="V291" i="13" s="1"/>
  <c r="W187" i="15"/>
  <c r="W224" i="15" s="1"/>
  <c r="W238" i="15" s="1"/>
  <c r="V290" i="15"/>
  <c r="W179" i="15"/>
  <c r="Y149" i="15"/>
  <c r="V258" i="15"/>
  <c r="Y171" i="15"/>
  <c r="W223" i="15"/>
  <c r="W257" i="15" s="1"/>
  <c r="T264" i="13"/>
  <c r="T265" i="13" s="1"/>
  <c r="T276" i="13" s="1"/>
  <c r="T277" i="13" s="1"/>
  <c r="Y108" i="15"/>
  <c r="W181" i="15"/>
  <c r="X177" i="14"/>
  <c r="X180" i="14" s="1"/>
  <c r="Y108" i="13"/>
  <c r="W237" i="15"/>
  <c r="W303" i="15" s="1"/>
  <c r="V271" i="15"/>
  <c r="W237" i="13"/>
  <c r="W303" i="13" s="1"/>
  <c r="W180" i="13"/>
  <c r="Y129" i="15"/>
  <c r="Y150" i="14"/>
  <c r="Y107" i="14"/>
  <c r="X177" i="15"/>
  <c r="X237" i="15" s="1"/>
  <c r="U264" i="14"/>
  <c r="U265" i="14" s="1"/>
  <c r="U276" i="14" s="1"/>
  <c r="U277" i="14" s="1"/>
  <c r="W181" i="13"/>
  <c r="X177" i="13"/>
  <c r="X223" i="13" s="1"/>
  <c r="W200" i="13"/>
  <c r="W239" i="13" s="1"/>
  <c r="X176" i="15"/>
  <c r="X187" i="15" s="1"/>
  <c r="X224" i="15" s="1"/>
  <c r="Y170" i="14"/>
  <c r="Y129" i="14"/>
  <c r="X176" i="13"/>
  <c r="W179" i="14"/>
  <c r="W187" i="14"/>
  <c r="W224" i="14" s="1"/>
  <c r="Y175" i="13"/>
  <c r="Y128" i="13"/>
  <c r="AA112" i="14"/>
  <c r="Z115" i="14"/>
  <c r="Z121" i="14"/>
  <c r="Z119" i="14"/>
  <c r="Z120" i="14"/>
  <c r="AA154" i="14"/>
  <c r="Z163" i="14"/>
  <c r="Z162" i="14"/>
  <c r="Z161" i="14"/>
  <c r="Z157" i="14"/>
  <c r="X176" i="14"/>
  <c r="U304" i="15"/>
  <c r="U272" i="15"/>
  <c r="AA112" i="15"/>
  <c r="Z119" i="15"/>
  <c r="Z120" i="15"/>
  <c r="Z121" i="15"/>
  <c r="Z115" i="15"/>
  <c r="W239" i="15"/>
  <c r="W225" i="15"/>
  <c r="Z140" i="14"/>
  <c r="Z136" i="14"/>
  <c r="Z142" i="14"/>
  <c r="Z141" i="14"/>
  <c r="AA133" i="14"/>
  <c r="Z141" i="15"/>
  <c r="Z142" i="15"/>
  <c r="Z136" i="15"/>
  <c r="Z140" i="15"/>
  <c r="AA133" i="15"/>
  <c r="W180" i="14"/>
  <c r="W181" i="14"/>
  <c r="W237" i="14"/>
  <c r="W223" i="14"/>
  <c r="Y170" i="13"/>
  <c r="V258" i="14"/>
  <c r="V290" i="14"/>
  <c r="V238" i="14"/>
  <c r="Y149" i="13"/>
  <c r="Y108" i="14"/>
  <c r="U272" i="14"/>
  <c r="U304" i="14"/>
  <c r="W289" i="13"/>
  <c r="W257" i="13"/>
  <c r="Z99" i="13"/>
  <c r="AA91" i="13"/>
  <c r="Z98" i="13"/>
  <c r="Z94" i="13"/>
  <c r="Z100" i="13"/>
  <c r="Z99" i="15"/>
  <c r="Z94" i="15"/>
  <c r="AA91" i="15"/>
  <c r="Z98" i="15"/>
  <c r="Z100" i="15"/>
  <c r="Y170" i="15"/>
  <c r="U259" i="15"/>
  <c r="U264" i="15" s="1"/>
  <c r="U265" i="15" s="1"/>
  <c r="U276" i="15" s="1"/>
  <c r="U277" i="15" s="1"/>
  <c r="U291" i="15"/>
  <c r="Z157" i="13"/>
  <c r="Z163" i="13"/>
  <c r="Z161" i="13"/>
  <c r="AA154" i="13"/>
  <c r="Z162" i="13"/>
  <c r="Y175" i="15"/>
  <c r="Z163" i="15"/>
  <c r="Z162" i="15"/>
  <c r="Z161" i="15"/>
  <c r="Z157" i="15"/>
  <c r="AA154" i="15"/>
  <c r="U273" i="15"/>
  <c r="U305" i="15"/>
  <c r="Y129" i="13"/>
  <c r="V225" i="14"/>
  <c r="V239" i="14"/>
  <c r="U291" i="13"/>
  <c r="U259" i="13"/>
  <c r="W239" i="14"/>
  <c r="W225" i="14"/>
  <c r="Y128" i="14"/>
  <c r="Y150" i="13"/>
  <c r="V273" i="13"/>
  <c r="V305" i="13"/>
  <c r="U305" i="13"/>
  <c r="U273" i="13"/>
  <c r="V272" i="15"/>
  <c r="V304" i="15"/>
  <c r="Y128" i="15"/>
  <c r="Y175" i="14"/>
  <c r="Y107" i="15"/>
  <c r="Y107" i="13"/>
  <c r="Y171" i="13"/>
  <c r="Z119" i="13"/>
  <c r="Z121" i="13"/>
  <c r="Z120" i="13"/>
  <c r="Z115" i="13"/>
  <c r="AA112" i="13"/>
  <c r="Z141" i="13"/>
  <c r="Z140" i="13"/>
  <c r="Z136" i="13"/>
  <c r="Z142" i="13"/>
  <c r="AA133" i="13"/>
  <c r="Y171" i="14"/>
  <c r="Y150" i="15"/>
  <c r="Z100" i="14"/>
  <c r="AA91" i="14"/>
  <c r="Z98" i="14"/>
  <c r="Z94" i="14"/>
  <c r="Z99" i="14"/>
  <c r="Y149" i="14"/>
  <c r="T272" i="13"/>
  <c r="V271" i="11"/>
  <c r="U272" i="11"/>
  <c r="U278" i="11" s="1"/>
  <c r="T278" i="11"/>
  <c r="W181" i="11"/>
  <c r="W237" i="11"/>
  <c r="W271" i="11" s="1"/>
  <c r="W180" i="11"/>
  <c r="W200" i="11"/>
  <c r="W239" i="11" s="1"/>
  <c r="W179" i="11"/>
  <c r="Y129" i="11"/>
  <c r="Y108" i="11"/>
  <c r="W187" i="11"/>
  <c r="W224" i="11" s="1"/>
  <c r="W258" i="11" s="1"/>
  <c r="X177" i="11"/>
  <c r="X223" i="11" s="1"/>
  <c r="Y170" i="11"/>
  <c r="Y150" i="11"/>
  <c r="Y171" i="11"/>
  <c r="Y128" i="11"/>
  <c r="X176" i="11"/>
  <c r="Z136" i="11"/>
  <c r="Z142" i="11"/>
  <c r="Z141" i="11"/>
  <c r="AA133" i="11"/>
  <c r="Z140" i="11"/>
  <c r="Z157" i="11"/>
  <c r="AA154" i="11"/>
  <c r="Z163" i="11"/>
  <c r="Z162" i="11"/>
  <c r="Z161" i="11"/>
  <c r="Z120" i="11"/>
  <c r="Z119" i="11"/>
  <c r="Z121" i="11"/>
  <c r="AA112" i="11"/>
  <c r="Z115" i="11"/>
  <c r="V239" i="11"/>
  <c r="V225" i="11"/>
  <c r="W289" i="11"/>
  <c r="W257" i="11"/>
  <c r="Z98" i="11"/>
  <c r="Z94" i="11"/>
  <c r="Z100" i="11"/>
  <c r="AA91" i="11"/>
  <c r="Z99" i="11"/>
  <c r="V258" i="11"/>
  <c r="V290" i="11"/>
  <c r="V238" i="11"/>
  <c r="Y107" i="11"/>
  <c r="AA185" i="14"/>
  <c r="Y175" i="11"/>
  <c r="Y149" i="11"/>
  <c r="X120" i="10"/>
  <c r="Y112" i="10"/>
  <c r="Y120" i="10" s="1"/>
  <c r="R278" i="10"/>
  <c r="X115" i="10"/>
  <c r="X175" i="10" s="1"/>
  <c r="X119" i="10"/>
  <c r="W187" i="12"/>
  <c r="W224" i="12" s="1"/>
  <c r="W129" i="10"/>
  <c r="S289" i="10"/>
  <c r="W128" i="10"/>
  <c r="W176" i="10" s="1"/>
  <c r="W200" i="10" s="1"/>
  <c r="V303" i="12"/>
  <c r="T272" i="12"/>
  <c r="T278" i="12" s="1"/>
  <c r="U177" i="10"/>
  <c r="V239" i="12"/>
  <c r="V273" i="12" s="1"/>
  <c r="W102" i="10"/>
  <c r="V108" i="10"/>
  <c r="W144" i="10"/>
  <c r="V150" i="10"/>
  <c r="R278" i="9"/>
  <c r="W165" i="10"/>
  <c r="V171" i="10"/>
  <c r="S289" i="9"/>
  <c r="S257" i="9"/>
  <c r="S264" i="9" s="1"/>
  <c r="S265" i="9" s="1"/>
  <c r="S276" i="9" s="1"/>
  <c r="T223" i="10"/>
  <c r="T237" i="10"/>
  <c r="T181" i="10"/>
  <c r="T180" i="10"/>
  <c r="U177" i="9"/>
  <c r="W102" i="9"/>
  <c r="V108" i="9"/>
  <c r="W165" i="9"/>
  <c r="V171" i="9"/>
  <c r="T181" i="9"/>
  <c r="T180" i="9"/>
  <c r="T237" i="9"/>
  <c r="T223" i="9"/>
  <c r="V150" i="9"/>
  <c r="W144" i="9"/>
  <c r="W123" i="9"/>
  <c r="V129" i="9"/>
  <c r="V187" i="13"/>
  <c r="V224" i="13" s="1"/>
  <c r="V258" i="13" s="1"/>
  <c r="Y108" i="12"/>
  <c r="W179" i="12"/>
  <c r="X177" i="12"/>
  <c r="X180" i="12" s="1"/>
  <c r="W239" i="12"/>
  <c r="W273" i="12" s="1"/>
  <c r="X176" i="12"/>
  <c r="X179" i="12" s="1"/>
  <c r="Y149" i="12"/>
  <c r="S278" i="12"/>
  <c r="Z120" i="12"/>
  <c r="Z119" i="12"/>
  <c r="Z115" i="12"/>
  <c r="Z121" i="12"/>
  <c r="AA112" i="12"/>
  <c r="U258" i="13"/>
  <c r="U290" i="13"/>
  <c r="U238" i="13"/>
  <c r="Z94" i="12"/>
  <c r="AA91" i="12"/>
  <c r="Z100" i="12"/>
  <c r="Z98" i="12"/>
  <c r="Z99" i="12"/>
  <c r="Y170" i="12"/>
  <c r="V258" i="12"/>
  <c r="V290" i="12"/>
  <c r="V238" i="12"/>
  <c r="V291" i="12"/>
  <c r="V259" i="12"/>
  <c r="U238" i="12"/>
  <c r="U258" i="12"/>
  <c r="U264" i="12" s="1"/>
  <c r="U265" i="12" s="1"/>
  <c r="U276" i="12" s="1"/>
  <c r="U277" i="12" s="1"/>
  <c r="U290" i="12"/>
  <c r="Y128" i="12"/>
  <c r="Y175" i="12"/>
  <c r="W237" i="12"/>
  <c r="W180" i="12"/>
  <c r="W181" i="12"/>
  <c r="W223" i="12"/>
  <c r="Y107" i="12"/>
  <c r="Z162" i="12"/>
  <c r="AA154" i="12"/>
  <c r="Z161" i="12"/>
  <c r="Z157" i="12"/>
  <c r="Z163" i="12"/>
  <c r="Z141" i="12"/>
  <c r="Z140" i="12"/>
  <c r="Z142" i="12"/>
  <c r="AA133" i="12"/>
  <c r="Z136" i="12"/>
  <c r="AA185" i="12"/>
  <c r="Y129" i="12"/>
  <c r="Y171" i="12"/>
  <c r="Y150" i="12"/>
  <c r="W259" i="12"/>
  <c r="W291" i="12"/>
  <c r="V225" i="8"/>
  <c r="V291" i="8" s="1"/>
  <c r="W187" i="8"/>
  <c r="W224" i="8" s="1"/>
  <c r="S278" i="10"/>
  <c r="T289" i="8"/>
  <c r="W144" i="8"/>
  <c r="V150" i="8"/>
  <c r="V177" i="8" s="1"/>
  <c r="V223" i="8" s="1"/>
  <c r="S278" i="8"/>
  <c r="T271" i="8"/>
  <c r="T278" i="8" s="1"/>
  <c r="T303" i="8"/>
  <c r="X102" i="8"/>
  <c r="W108" i="8"/>
  <c r="U223" i="8"/>
  <c r="U181" i="8"/>
  <c r="U180" i="8"/>
  <c r="U237" i="8"/>
  <c r="X123" i="8"/>
  <c r="W129" i="8"/>
  <c r="X165" i="8"/>
  <c r="W171" i="8"/>
  <c r="U304" i="9"/>
  <c r="U290" i="10"/>
  <c r="U258" i="10"/>
  <c r="U259" i="8"/>
  <c r="T304" i="10"/>
  <c r="V187" i="10"/>
  <c r="V224" i="10" s="1"/>
  <c r="V290" i="10" s="1"/>
  <c r="U305" i="9"/>
  <c r="W200" i="8"/>
  <c r="W239" i="8" s="1"/>
  <c r="T273" i="10"/>
  <c r="V224" i="8"/>
  <c r="V238" i="8" s="1"/>
  <c r="W179" i="8"/>
  <c r="V200" i="10"/>
  <c r="V225" i="10" s="1"/>
  <c r="Y175" i="9"/>
  <c r="X107" i="10"/>
  <c r="W200" i="9"/>
  <c r="W225" i="9" s="1"/>
  <c r="Y170" i="8"/>
  <c r="Y149" i="8"/>
  <c r="W187" i="9"/>
  <c r="W224" i="9" s="1"/>
  <c r="W290" i="9" s="1"/>
  <c r="U304" i="8"/>
  <c r="U272" i="8"/>
  <c r="Z142" i="9"/>
  <c r="Z140" i="9"/>
  <c r="AA133" i="9"/>
  <c r="Z141" i="9"/>
  <c r="Z136" i="9"/>
  <c r="Z163" i="9"/>
  <c r="Z161" i="9"/>
  <c r="Z157" i="9"/>
  <c r="AA154" i="9"/>
  <c r="Z162" i="9"/>
  <c r="Y128" i="8"/>
  <c r="U239" i="10"/>
  <c r="U225" i="10"/>
  <c r="Z94" i="8"/>
  <c r="AA91" i="8"/>
  <c r="Z99" i="8"/>
  <c r="Z100" i="8"/>
  <c r="Z98" i="8"/>
  <c r="AY169" i="5"/>
  <c r="Y175" i="8"/>
  <c r="X176" i="8"/>
  <c r="Z157" i="8"/>
  <c r="AA154" i="8"/>
  <c r="Z163" i="8"/>
  <c r="Z161" i="8"/>
  <c r="Z162" i="8"/>
  <c r="AY161" i="5"/>
  <c r="AE5" i="5"/>
  <c r="BA163" i="5"/>
  <c r="Y128" i="9"/>
  <c r="AY162" i="5"/>
  <c r="V305" i="8"/>
  <c r="V273" i="8"/>
  <c r="AA112" i="9"/>
  <c r="Z115" i="9"/>
  <c r="Z120" i="9"/>
  <c r="Z121" i="9"/>
  <c r="Z119" i="9"/>
  <c r="V258" i="9"/>
  <c r="V290" i="9"/>
  <c r="V238" i="9"/>
  <c r="Y136" i="10"/>
  <c r="Z133" i="10"/>
  <c r="Y141" i="10"/>
  <c r="Y142" i="10"/>
  <c r="Y140" i="10"/>
  <c r="AY166" i="5"/>
  <c r="AX168" i="5"/>
  <c r="AX164" i="5"/>
  <c r="AA186" i="8"/>
  <c r="AY165" i="5"/>
  <c r="Y94" i="10"/>
  <c r="Z91" i="10"/>
  <c r="Y99" i="10"/>
  <c r="Y100" i="10"/>
  <c r="Y98" i="10"/>
  <c r="X170" i="10"/>
  <c r="AA192" i="10"/>
  <c r="Y170" i="9"/>
  <c r="Z141" i="8"/>
  <c r="Z140" i="8"/>
  <c r="AA133" i="8"/>
  <c r="Z142" i="8"/>
  <c r="Z136" i="8"/>
  <c r="U304" i="10"/>
  <c r="U272" i="10"/>
  <c r="Y107" i="8"/>
  <c r="BA4" i="5"/>
  <c r="Z115" i="8"/>
  <c r="AA112" i="8"/>
  <c r="Z119" i="8"/>
  <c r="Z120" i="8"/>
  <c r="Z121" i="8"/>
  <c r="Y162" i="10"/>
  <c r="Y157" i="10"/>
  <c r="Z154" i="10"/>
  <c r="Y161" i="10"/>
  <c r="Y163" i="10"/>
  <c r="V273" i="9"/>
  <c r="V305" i="9"/>
  <c r="AW167" i="5"/>
  <c r="AW50" i="6" s="1"/>
  <c r="AE6" i="5"/>
  <c r="X149" i="10"/>
  <c r="AX170" i="5"/>
  <c r="Y149" i="9"/>
  <c r="V259" i="9"/>
  <c r="V291" i="9"/>
  <c r="BH7" i="4" l="1"/>
  <c r="BI5" i="4"/>
  <c r="AA33" i="18"/>
  <c r="D33" i="18" s="1"/>
  <c r="Z186" i="13"/>
  <c r="Z36" i="18" s="1"/>
  <c r="AA36" i="18" s="1"/>
  <c r="D36" i="18" s="1"/>
  <c r="AW55" i="6"/>
  <c r="AA186" i="12"/>
  <c r="AA186" i="13" s="1"/>
  <c r="R1" i="14"/>
  <c r="R1" i="12"/>
  <c r="R1" i="13"/>
  <c r="R1" i="11"/>
  <c r="R1" i="15"/>
  <c r="AO7" i="6"/>
  <c r="AP5" i="6"/>
  <c r="AA186" i="10"/>
  <c r="AA186" i="15"/>
  <c r="AV58" i="6"/>
  <c r="AV60" i="6" s="1"/>
  <c r="Z186" i="14"/>
  <c r="Z35" i="18" s="1"/>
  <c r="AA35" i="18" s="1"/>
  <c r="Z98" i="9"/>
  <c r="Z99" i="9"/>
  <c r="AA91" i="9"/>
  <c r="Y107" i="9"/>
  <c r="Y176" i="9" s="1"/>
  <c r="Y187" i="9" s="1"/>
  <c r="Y224" i="9" s="1"/>
  <c r="Z100" i="9"/>
  <c r="U264" i="13"/>
  <c r="U265" i="13" s="1"/>
  <c r="U276" i="13" s="1"/>
  <c r="U277" i="13" s="1"/>
  <c r="Y115" i="10"/>
  <c r="Y175" i="10" s="1"/>
  <c r="W289" i="15"/>
  <c r="V259" i="13"/>
  <c r="V264" i="13" s="1"/>
  <c r="V265" i="13" s="1"/>
  <c r="V276" i="13" s="1"/>
  <c r="V277" i="13" s="1"/>
  <c r="AO7" i="7"/>
  <c r="R6" i="18" s="1"/>
  <c r="AP5" i="7"/>
  <c r="W290" i="15"/>
  <c r="W258" i="15"/>
  <c r="Z171" i="15"/>
  <c r="V264" i="15"/>
  <c r="V265" i="15" s="1"/>
  <c r="V276" i="15" s="1"/>
  <c r="V277" i="15" s="1"/>
  <c r="Y177" i="15"/>
  <c r="Y237" i="15" s="1"/>
  <c r="W271" i="13"/>
  <c r="T278" i="13"/>
  <c r="W271" i="15"/>
  <c r="Z175" i="14"/>
  <c r="X180" i="13"/>
  <c r="X237" i="13"/>
  <c r="X271" i="13" s="1"/>
  <c r="W225" i="13"/>
  <c r="W259" i="13" s="1"/>
  <c r="X223" i="14"/>
  <c r="X200" i="15"/>
  <c r="X225" i="15" s="1"/>
  <c r="Y177" i="13"/>
  <c r="Y180" i="13" s="1"/>
  <c r="X237" i="14"/>
  <c r="Z108" i="14"/>
  <c r="Z149" i="15"/>
  <c r="X179" i="15"/>
  <c r="X181" i="13"/>
  <c r="Z108" i="13"/>
  <c r="Z149" i="14"/>
  <c r="X200" i="13"/>
  <c r="X239" i="13" s="1"/>
  <c r="Z171" i="13"/>
  <c r="X181" i="15"/>
  <c r="Z108" i="15"/>
  <c r="X180" i="15"/>
  <c r="U278" i="14"/>
  <c r="X223" i="15"/>
  <c r="X289" i="15" s="1"/>
  <c r="Z150" i="13"/>
  <c r="X179" i="13"/>
  <c r="Y176" i="14"/>
  <c r="Y200" i="14" s="1"/>
  <c r="Z128" i="15"/>
  <c r="W305" i="13"/>
  <c r="W273" i="13"/>
  <c r="Z175" i="15"/>
  <c r="AA140" i="15"/>
  <c r="AA136" i="15"/>
  <c r="AA141" i="15"/>
  <c r="AA142" i="15"/>
  <c r="X271" i="15"/>
  <c r="X303" i="15"/>
  <c r="AA140" i="13"/>
  <c r="AA142" i="13"/>
  <c r="AA136" i="13"/>
  <c r="AA141" i="13"/>
  <c r="X179" i="14"/>
  <c r="X187" i="14"/>
  <c r="X224" i="14" s="1"/>
  <c r="X181" i="14"/>
  <c r="Z170" i="14"/>
  <c r="Z128" i="14"/>
  <c r="AA121" i="15"/>
  <c r="AA119" i="15"/>
  <c r="AA120" i="15"/>
  <c r="AA115" i="15"/>
  <c r="Z107" i="14"/>
  <c r="Z128" i="13"/>
  <c r="AA157" i="15"/>
  <c r="AA163" i="15"/>
  <c r="AA161" i="15"/>
  <c r="AA162" i="15"/>
  <c r="W304" i="15"/>
  <c r="W272" i="15"/>
  <c r="W289" i="14"/>
  <c r="W257" i="14"/>
  <c r="W259" i="15"/>
  <c r="W291" i="15"/>
  <c r="U278" i="15"/>
  <c r="AA98" i="14"/>
  <c r="AA99" i="14"/>
  <c r="AA100" i="14"/>
  <c r="AA94" i="14"/>
  <c r="Z149" i="13"/>
  <c r="X200" i="14"/>
  <c r="AA161" i="13"/>
  <c r="AA163" i="13"/>
  <c r="AA162" i="13"/>
  <c r="AA157" i="13"/>
  <c r="Z175" i="13"/>
  <c r="Y177" i="14"/>
  <c r="W271" i="14"/>
  <c r="W303" i="14"/>
  <c r="W273" i="15"/>
  <c r="W305" i="15"/>
  <c r="AA161" i="14"/>
  <c r="AA162" i="14"/>
  <c r="AA157" i="14"/>
  <c r="AA163" i="14"/>
  <c r="AA119" i="14"/>
  <c r="AA120" i="14"/>
  <c r="AA115" i="14"/>
  <c r="AA121" i="14"/>
  <c r="X257" i="13"/>
  <c r="X289" i="13"/>
  <c r="Y176" i="13"/>
  <c r="Y179" i="13" s="1"/>
  <c r="W291" i="14"/>
  <c r="W259" i="14"/>
  <c r="V273" i="14"/>
  <c r="V305" i="14"/>
  <c r="Z170" i="15"/>
  <c r="Z170" i="13"/>
  <c r="Z107" i="13"/>
  <c r="Z150" i="14"/>
  <c r="Z129" i="15"/>
  <c r="Z129" i="13"/>
  <c r="Y176" i="15"/>
  <c r="Y200" i="15" s="1"/>
  <c r="W305" i="14"/>
  <c r="W273" i="14"/>
  <c r="V259" i="14"/>
  <c r="V264" i="14" s="1"/>
  <c r="V265" i="14" s="1"/>
  <c r="V276" i="14" s="1"/>
  <c r="V277" i="14" s="1"/>
  <c r="V291" i="14"/>
  <c r="Z107" i="15"/>
  <c r="AA94" i="13"/>
  <c r="AA99" i="13"/>
  <c r="AA100" i="13"/>
  <c r="AA98" i="13"/>
  <c r="AA141" i="14"/>
  <c r="AA140" i="14"/>
  <c r="AA142" i="14"/>
  <c r="AA136" i="14"/>
  <c r="X258" i="15"/>
  <c r="X238" i="15"/>
  <c r="X290" i="15"/>
  <c r="AA115" i="13"/>
  <c r="AA121" i="13"/>
  <c r="AA119" i="13"/>
  <c r="AA120" i="13"/>
  <c r="AA99" i="15"/>
  <c r="AA100" i="15"/>
  <c r="AA94" i="15"/>
  <c r="AA98" i="15"/>
  <c r="V304" i="14"/>
  <c r="V272" i="14"/>
  <c r="Z150" i="15"/>
  <c r="Z171" i="14"/>
  <c r="Z129" i="14"/>
  <c r="W258" i="14"/>
  <c r="W290" i="14"/>
  <c r="W238" i="14"/>
  <c r="W238" i="11"/>
  <c r="W272" i="11" s="1"/>
  <c r="Z112" i="10"/>
  <c r="Z121" i="10" s="1"/>
  <c r="Y121" i="10"/>
  <c r="Y119" i="10"/>
  <c r="W225" i="11"/>
  <c r="W291" i="11" s="1"/>
  <c r="W290" i="11"/>
  <c r="AB238" i="15"/>
  <c r="Y177" i="11"/>
  <c r="Y180" i="11" s="1"/>
  <c r="W303" i="11"/>
  <c r="X180" i="11"/>
  <c r="Z129" i="11"/>
  <c r="X181" i="11"/>
  <c r="X237" i="11"/>
  <c r="X303" i="11" s="1"/>
  <c r="Z107" i="11"/>
  <c r="Z150" i="11"/>
  <c r="Y176" i="11"/>
  <c r="Z175" i="11"/>
  <c r="Z128" i="11"/>
  <c r="Z170" i="11"/>
  <c r="AA141" i="11"/>
  <c r="AA140" i="11"/>
  <c r="AA136" i="11"/>
  <c r="AA142" i="11"/>
  <c r="X289" i="11"/>
  <c r="X257" i="11"/>
  <c r="Z108" i="11"/>
  <c r="W273" i="11"/>
  <c r="W305" i="11"/>
  <c r="X200" i="11"/>
  <c r="V304" i="11"/>
  <c r="V272" i="11"/>
  <c r="V259" i="11"/>
  <c r="V264" i="11" s="1"/>
  <c r="V265" i="11" s="1"/>
  <c r="V276" i="11" s="1"/>
  <c r="V277" i="11" s="1"/>
  <c r="V291" i="11"/>
  <c r="V273" i="11"/>
  <c r="V305" i="11"/>
  <c r="AA163" i="11"/>
  <c r="AA162" i="11"/>
  <c r="AA157" i="11"/>
  <c r="AA161" i="11"/>
  <c r="AA94" i="11"/>
  <c r="AA98" i="11"/>
  <c r="AA99" i="11"/>
  <c r="AA100" i="11"/>
  <c r="AA119" i="11"/>
  <c r="AA121" i="11"/>
  <c r="AA120" i="11"/>
  <c r="AA115" i="11"/>
  <c r="X179" i="11"/>
  <c r="X187" i="11"/>
  <c r="X224" i="11" s="1"/>
  <c r="Z171" i="11"/>
  <c r="Z149" i="11"/>
  <c r="X129" i="10"/>
  <c r="X128" i="10"/>
  <c r="X176" i="10" s="1"/>
  <c r="X179" i="10" s="1"/>
  <c r="W305" i="12"/>
  <c r="W187" i="13"/>
  <c r="W224" i="13" s="1"/>
  <c r="W290" i="13" s="1"/>
  <c r="V305" i="12"/>
  <c r="T303" i="10"/>
  <c r="T271" i="10"/>
  <c r="X144" i="10"/>
  <c r="W150" i="10"/>
  <c r="T289" i="10"/>
  <c r="T257" i="10"/>
  <c r="T264" i="10" s="1"/>
  <c r="T265" i="10" s="1"/>
  <c r="T276" i="10" s="1"/>
  <c r="T277" i="10" s="1"/>
  <c r="S277" i="9"/>
  <c r="S278" i="9" s="1"/>
  <c r="V177" i="10"/>
  <c r="X102" i="10"/>
  <c r="W108" i="10"/>
  <c r="X165" i="10"/>
  <c r="W171" i="10"/>
  <c r="U237" i="10"/>
  <c r="U223" i="10"/>
  <c r="U180" i="10"/>
  <c r="U181" i="10"/>
  <c r="V238" i="13"/>
  <c r="V304" i="13" s="1"/>
  <c r="T271" i="9"/>
  <c r="T303" i="9"/>
  <c r="V290" i="13"/>
  <c r="X123" i="9"/>
  <c r="W129" i="9"/>
  <c r="X165" i="9"/>
  <c r="W171" i="9"/>
  <c r="X144" i="9"/>
  <c r="W150" i="9"/>
  <c r="V177" i="9"/>
  <c r="X102" i="9"/>
  <c r="W108" i="9"/>
  <c r="T257" i="9"/>
  <c r="T264" i="9" s="1"/>
  <c r="T265" i="9" s="1"/>
  <c r="T276" i="9" s="1"/>
  <c r="T277" i="9" s="1"/>
  <c r="T289" i="9"/>
  <c r="U223" i="9"/>
  <c r="U180" i="9"/>
  <c r="U181" i="9"/>
  <c r="U237" i="9"/>
  <c r="X223" i="12"/>
  <c r="X257" i="12" s="1"/>
  <c r="Z171" i="12"/>
  <c r="X237" i="12"/>
  <c r="X271" i="12" s="1"/>
  <c r="X187" i="12"/>
  <c r="X224" i="12" s="1"/>
  <c r="X200" i="12"/>
  <c r="X239" i="12" s="1"/>
  <c r="X181" i="12"/>
  <c r="Z128" i="12"/>
  <c r="Z170" i="12"/>
  <c r="Z107" i="12"/>
  <c r="Z149" i="12"/>
  <c r="V264" i="12"/>
  <c r="V265" i="12" s="1"/>
  <c r="V276" i="12" s="1"/>
  <c r="V277" i="12" s="1"/>
  <c r="Y177" i="12"/>
  <c r="Y223" i="12" s="1"/>
  <c r="W303" i="12"/>
  <c r="W271" i="12"/>
  <c r="W290" i="12"/>
  <c r="W258" i="12"/>
  <c r="W238" i="12"/>
  <c r="V272" i="12"/>
  <c r="V304" i="12"/>
  <c r="AA94" i="12"/>
  <c r="AA98" i="12"/>
  <c r="AA100" i="12"/>
  <c r="AA99" i="12"/>
  <c r="AA161" i="12"/>
  <c r="AA157" i="12"/>
  <c r="AA162" i="12"/>
  <c r="AA163" i="12"/>
  <c r="U304" i="12"/>
  <c r="U272" i="12"/>
  <c r="U278" i="12" s="1"/>
  <c r="Z175" i="12"/>
  <c r="U272" i="13"/>
  <c r="U304" i="13"/>
  <c r="AA136" i="12"/>
  <c r="AA142" i="12"/>
  <c r="AA141" i="12"/>
  <c r="AA140" i="12"/>
  <c r="Z150" i="12"/>
  <c r="Z129" i="12"/>
  <c r="Y176" i="12"/>
  <c r="Y200" i="12" s="1"/>
  <c r="AA120" i="12"/>
  <c r="AA121" i="12"/>
  <c r="AA119" i="12"/>
  <c r="AA115" i="12"/>
  <c r="W257" i="12"/>
  <c r="W289" i="12"/>
  <c r="Z108" i="12"/>
  <c r="V259" i="8"/>
  <c r="V289" i="8"/>
  <c r="V237" i="8"/>
  <c r="V303" i="8" s="1"/>
  <c r="V257" i="8"/>
  <c r="V181" i="8"/>
  <c r="V180" i="8"/>
  <c r="X144" i="8"/>
  <c r="W150" i="8"/>
  <c r="W177" i="8" s="1"/>
  <c r="U271" i="8"/>
  <c r="U303" i="8"/>
  <c r="Y165" i="8"/>
  <c r="X171" i="8"/>
  <c r="U289" i="8"/>
  <c r="U257" i="8"/>
  <c r="U264" i="8" s="1"/>
  <c r="U265" i="8" s="1"/>
  <c r="U276" i="8" s="1"/>
  <c r="U277" i="8" s="1"/>
  <c r="Y123" i="8"/>
  <c r="X129" i="8"/>
  <c r="Y102" i="8"/>
  <c r="X108" i="8"/>
  <c r="V290" i="8"/>
  <c r="W225" i="8"/>
  <c r="W291" i="8" s="1"/>
  <c r="V238" i="10"/>
  <c r="V304" i="10" s="1"/>
  <c r="V258" i="10"/>
  <c r="V239" i="10"/>
  <c r="V273" i="10" s="1"/>
  <c r="X179" i="9"/>
  <c r="V258" i="8"/>
  <c r="Z128" i="9"/>
  <c r="X200" i="9"/>
  <c r="X239" i="9" s="1"/>
  <c r="Z107" i="8"/>
  <c r="W238" i="9"/>
  <c r="W304" i="9" s="1"/>
  <c r="W258" i="9"/>
  <c r="W179" i="10"/>
  <c r="W239" i="9"/>
  <c r="W273" i="9" s="1"/>
  <c r="W187" i="10"/>
  <c r="W224" i="10" s="1"/>
  <c r="W258" i="10" s="1"/>
  <c r="Y149" i="10"/>
  <c r="W239" i="10"/>
  <c r="W305" i="10" s="1"/>
  <c r="W225" i="10"/>
  <c r="W291" i="10" s="1"/>
  <c r="Y107" i="10"/>
  <c r="Z128" i="8"/>
  <c r="V304" i="8"/>
  <c r="V272" i="8"/>
  <c r="BB163" i="5"/>
  <c r="Z170" i="8"/>
  <c r="U273" i="10"/>
  <c r="U305" i="10"/>
  <c r="AY170" i="5"/>
  <c r="AF6" i="5"/>
  <c r="Y170" i="10"/>
  <c r="Z175" i="9"/>
  <c r="Y176" i="8"/>
  <c r="AY164" i="5"/>
  <c r="V304" i="9"/>
  <c r="V272" i="9"/>
  <c r="AF5" i="5"/>
  <c r="AZ169" i="5"/>
  <c r="AZ165" i="5"/>
  <c r="AZ166" i="5"/>
  <c r="AY168" i="5"/>
  <c r="AA142" i="9"/>
  <c r="AA140" i="9"/>
  <c r="AA141" i="9"/>
  <c r="AA136" i="9"/>
  <c r="AX167" i="5"/>
  <c r="Z157" i="10"/>
  <c r="AA154" i="10"/>
  <c r="Z163" i="10"/>
  <c r="Z161" i="10"/>
  <c r="Z162" i="10"/>
  <c r="Z100" i="10"/>
  <c r="Z98" i="10"/>
  <c r="Z94" i="10"/>
  <c r="AA91" i="10"/>
  <c r="Z99" i="10"/>
  <c r="Z136" i="10"/>
  <c r="AA133" i="10"/>
  <c r="Z141" i="10"/>
  <c r="Z140" i="10"/>
  <c r="Z142" i="10"/>
  <c r="AA157" i="8"/>
  <c r="AA163" i="8"/>
  <c r="AA161" i="8"/>
  <c r="AA162" i="8"/>
  <c r="AA94" i="8"/>
  <c r="AA99" i="8"/>
  <c r="AA100" i="8"/>
  <c r="AA98" i="8"/>
  <c r="Z149" i="9"/>
  <c r="AA121" i="8"/>
  <c r="AA119" i="8"/>
  <c r="AA115" i="8"/>
  <c r="AA120" i="8"/>
  <c r="BB4" i="5"/>
  <c r="AZ162" i="5"/>
  <c r="X179" i="8"/>
  <c r="X187" i="8"/>
  <c r="X200" i="8"/>
  <c r="U259" i="10"/>
  <c r="U291" i="10"/>
  <c r="AA141" i="8"/>
  <c r="AA136" i="8"/>
  <c r="AA142" i="8"/>
  <c r="AA140" i="8"/>
  <c r="W238" i="8"/>
  <c r="W290" i="8"/>
  <c r="W258" i="8"/>
  <c r="Z149" i="8"/>
  <c r="AA115" i="9"/>
  <c r="AA120" i="9"/>
  <c r="AA119" i="9"/>
  <c r="AA121" i="9"/>
  <c r="V291" i="10"/>
  <c r="V259" i="10"/>
  <c r="Z175" i="8"/>
  <c r="AA162" i="9"/>
  <c r="AA157" i="9"/>
  <c r="AA161" i="9"/>
  <c r="AA30" i="18" s="1"/>
  <c r="D30" i="18" s="1"/>
  <c r="AA163" i="9"/>
  <c r="W259" i="9"/>
  <c r="W291" i="9"/>
  <c r="W305" i="8"/>
  <c r="W273" i="8"/>
  <c r="X290" i="9"/>
  <c r="X238" i="9"/>
  <c r="X258" i="9"/>
  <c r="AZ161" i="5"/>
  <c r="Z170" i="9"/>
  <c r="BI7" i="4" l="1"/>
  <c r="BJ5" i="4"/>
  <c r="AQ5" i="6"/>
  <c r="AP7" i="6"/>
  <c r="S1" i="14"/>
  <c r="S1" i="12"/>
  <c r="S1" i="11"/>
  <c r="S1" i="13"/>
  <c r="S1" i="15"/>
  <c r="AA98" i="9"/>
  <c r="AW58" i="6"/>
  <c r="AW60" i="6" s="1"/>
  <c r="AA186" i="14"/>
  <c r="D35" i="18" s="1"/>
  <c r="AA99" i="9"/>
  <c r="AA94" i="9"/>
  <c r="AA175" i="9" s="1"/>
  <c r="AA100" i="9"/>
  <c r="Z107" i="9"/>
  <c r="Z176" i="9" s="1"/>
  <c r="Z200" i="9" s="1"/>
  <c r="AA29" i="18"/>
  <c r="D29" i="18" s="1"/>
  <c r="U278" i="13"/>
  <c r="W264" i="15"/>
  <c r="W265" i="15" s="1"/>
  <c r="W276" i="15" s="1"/>
  <c r="W277" i="15" s="1"/>
  <c r="Y180" i="15"/>
  <c r="V278" i="15"/>
  <c r="AP7" i="7"/>
  <c r="S6" i="18" s="1"/>
  <c r="AQ5" i="7"/>
  <c r="Y223" i="15"/>
  <c r="Y257" i="15" s="1"/>
  <c r="Y223" i="13"/>
  <c r="Y257" i="13" s="1"/>
  <c r="Y237" i="13"/>
  <c r="Y303" i="13" s="1"/>
  <c r="X225" i="13"/>
  <c r="X291" i="13" s="1"/>
  <c r="Z177" i="13"/>
  <c r="Z180" i="13" s="1"/>
  <c r="AA150" i="13"/>
  <c r="X303" i="13"/>
  <c r="W291" i="13"/>
  <c r="X239" i="15"/>
  <c r="X273" i="15" s="1"/>
  <c r="Y179" i="14"/>
  <c r="X257" i="15"/>
  <c r="AA129" i="13"/>
  <c r="X303" i="14"/>
  <c r="X271" i="14"/>
  <c r="X257" i="14"/>
  <c r="X289" i="14"/>
  <c r="Y187" i="14"/>
  <c r="Y224" i="14" s="1"/>
  <c r="Y258" i="14" s="1"/>
  <c r="AA175" i="13"/>
  <c r="AA107" i="14"/>
  <c r="Y181" i="15"/>
  <c r="Z177" i="15"/>
  <c r="Z237" i="15" s="1"/>
  <c r="AA150" i="14"/>
  <c r="AA129" i="15"/>
  <c r="AA150" i="15"/>
  <c r="AA171" i="15"/>
  <c r="Z177" i="14"/>
  <c r="Z223" i="14" s="1"/>
  <c r="AA170" i="14"/>
  <c r="AA108" i="15"/>
  <c r="AA175" i="15"/>
  <c r="AA107" i="13"/>
  <c r="Z176" i="13"/>
  <c r="Z179" i="13" s="1"/>
  <c r="X273" i="13"/>
  <c r="X305" i="13"/>
  <c r="Y239" i="15"/>
  <c r="Y225" i="15"/>
  <c r="Y303" i="15"/>
  <c r="Y271" i="15"/>
  <c r="Y179" i="15"/>
  <c r="Y187" i="15"/>
  <c r="Y224" i="15" s="1"/>
  <c r="AA128" i="14"/>
  <c r="AA170" i="13"/>
  <c r="Z176" i="14"/>
  <c r="W272" i="14"/>
  <c r="W304" i="14"/>
  <c r="V278" i="14"/>
  <c r="Z176" i="15"/>
  <c r="Y181" i="13"/>
  <c r="AA171" i="14"/>
  <c r="X225" i="14"/>
  <c r="X239" i="14"/>
  <c r="AA128" i="13"/>
  <c r="X304" i="15"/>
  <c r="X272" i="15"/>
  <c r="AA149" i="14"/>
  <c r="Y223" i="14"/>
  <c r="Y180" i="14"/>
  <c r="Y181" i="14"/>
  <c r="Y237" i="14"/>
  <c r="X290" i="14"/>
  <c r="X238" i="14"/>
  <c r="X258" i="14"/>
  <c r="AA149" i="15"/>
  <c r="W264" i="14"/>
  <c r="W265" i="14" s="1"/>
  <c r="W276" i="14" s="1"/>
  <c r="W277" i="14" s="1"/>
  <c r="X259" i="15"/>
  <c r="X291" i="15"/>
  <c r="AA108" i="14"/>
  <c r="AA149" i="13"/>
  <c r="Y225" i="14"/>
  <c r="Y239" i="14"/>
  <c r="AA107" i="15"/>
  <c r="Y200" i="13"/>
  <c r="AA108" i="13"/>
  <c r="AA129" i="14"/>
  <c r="AA171" i="13"/>
  <c r="AA175" i="14"/>
  <c r="AA170" i="15"/>
  <c r="AA128" i="15"/>
  <c r="Z119" i="10"/>
  <c r="Y128" i="10"/>
  <c r="Y176" i="10" s="1"/>
  <c r="Y179" i="10" s="1"/>
  <c r="Y129" i="10"/>
  <c r="Z115" i="10"/>
  <c r="Z175" i="10" s="1"/>
  <c r="AA112" i="10"/>
  <c r="AA120" i="10" s="1"/>
  <c r="Z120" i="10"/>
  <c r="W304" i="11"/>
  <c r="W259" i="11"/>
  <c r="W264" i="11" s="1"/>
  <c r="W265" i="11" s="1"/>
  <c r="W276" i="11" s="1"/>
  <c r="W277" i="11" s="1"/>
  <c r="AB272" i="15"/>
  <c r="AB304" i="15"/>
  <c r="Y237" i="11"/>
  <c r="Y271" i="11" s="1"/>
  <c r="X271" i="11"/>
  <c r="Y223" i="11"/>
  <c r="Y257" i="11" s="1"/>
  <c r="W258" i="13"/>
  <c r="W264" i="13" s="1"/>
  <c r="W265" i="13" s="1"/>
  <c r="W276" i="13" s="1"/>
  <c r="W277" i="13" s="1"/>
  <c r="AA108" i="11"/>
  <c r="Y181" i="11"/>
  <c r="AA150" i="11"/>
  <c r="AA128" i="11"/>
  <c r="Z176" i="11"/>
  <c r="Z179" i="11" s="1"/>
  <c r="AA170" i="11"/>
  <c r="V278" i="11"/>
  <c r="Z177" i="11"/>
  <c r="X290" i="11"/>
  <c r="X258" i="11"/>
  <c r="X238" i="11"/>
  <c r="Y179" i="11"/>
  <c r="Y187" i="11"/>
  <c r="Y224" i="11" s="1"/>
  <c r="X239" i="11"/>
  <c r="X225" i="11"/>
  <c r="AA129" i="11"/>
  <c r="AA107" i="11"/>
  <c r="Y200" i="11"/>
  <c r="W238" i="13"/>
  <c r="W272" i="13" s="1"/>
  <c r="AA175" i="11"/>
  <c r="AA171" i="11"/>
  <c r="AA149" i="11"/>
  <c r="V272" i="13"/>
  <c r="V278" i="13" s="1"/>
  <c r="X187" i="13"/>
  <c r="X224" i="13" s="1"/>
  <c r="X258" i="13" s="1"/>
  <c r="U289" i="10"/>
  <c r="U257" i="10"/>
  <c r="U264" i="10" s="1"/>
  <c r="U265" i="10" s="1"/>
  <c r="U276" i="10" s="1"/>
  <c r="U277" i="10" s="1"/>
  <c r="U303" i="10"/>
  <c r="U271" i="10"/>
  <c r="Y165" i="10"/>
  <c r="X171" i="10"/>
  <c r="W177" i="10"/>
  <c r="Y102" i="10"/>
  <c r="X108" i="10"/>
  <c r="Y144" i="10"/>
  <c r="X150" i="10"/>
  <c r="T278" i="10"/>
  <c r="V180" i="10"/>
  <c r="V223" i="10"/>
  <c r="V237" i="10"/>
  <c r="V181" i="10"/>
  <c r="T278" i="9"/>
  <c r="X303" i="12"/>
  <c r="U257" i="9"/>
  <c r="U264" i="9" s="1"/>
  <c r="U265" i="9" s="1"/>
  <c r="U276" i="9" s="1"/>
  <c r="U277" i="9" s="1"/>
  <c r="U289" i="9"/>
  <c r="Y165" i="9"/>
  <c r="X171" i="9"/>
  <c r="Y144" i="9"/>
  <c r="X150" i="9"/>
  <c r="W177" i="9"/>
  <c r="Y123" i="9"/>
  <c r="X129" i="9"/>
  <c r="Y102" i="9"/>
  <c r="X108" i="9"/>
  <c r="X225" i="12"/>
  <c r="X259" i="12" s="1"/>
  <c r="X289" i="12"/>
  <c r="U303" i="9"/>
  <c r="U271" i="9"/>
  <c r="V237" i="9"/>
  <c r="V181" i="9"/>
  <c r="V180" i="9"/>
  <c r="V223" i="9"/>
  <c r="W264" i="12"/>
  <c r="W265" i="12" s="1"/>
  <c r="W276" i="12" s="1"/>
  <c r="W277" i="12" s="1"/>
  <c r="Y237" i="12"/>
  <c r="Y271" i="12" s="1"/>
  <c r="AA175" i="12"/>
  <c r="Y180" i="12"/>
  <c r="AA108" i="12"/>
  <c r="AA171" i="12"/>
  <c r="AA150" i="12"/>
  <c r="AA129" i="12"/>
  <c r="Z176" i="12"/>
  <c r="Z187" i="12" s="1"/>
  <c r="Z224" i="12" s="1"/>
  <c r="X273" i="12"/>
  <c r="X305" i="12"/>
  <c r="Y239" i="12"/>
  <c r="Y225" i="12"/>
  <c r="Y179" i="12"/>
  <c r="Y187" i="12"/>
  <c r="V278" i="12"/>
  <c r="W272" i="12"/>
  <c r="W304" i="12"/>
  <c r="Y181" i="12"/>
  <c r="AA170" i="12"/>
  <c r="X290" i="12"/>
  <c r="X258" i="12"/>
  <c r="X238" i="12"/>
  <c r="AA149" i="12"/>
  <c r="Y257" i="12"/>
  <c r="Y289" i="12"/>
  <c r="Z177" i="12"/>
  <c r="AA128" i="12"/>
  <c r="AA107" i="12"/>
  <c r="Y200" i="8"/>
  <c r="Y239" i="8" s="1"/>
  <c r="U278" i="8"/>
  <c r="V271" i="8"/>
  <c r="V264" i="8"/>
  <c r="V265" i="8" s="1"/>
  <c r="V276" i="8" s="1"/>
  <c r="Y144" i="8"/>
  <c r="X150" i="8"/>
  <c r="X177" i="8" s="1"/>
  <c r="Z102" i="8"/>
  <c r="Y108" i="8"/>
  <c r="Z123" i="8"/>
  <c r="Y129" i="8"/>
  <c r="Z165" i="8"/>
  <c r="Y171" i="8"/>
  <c r="W237" i="8"/>
  <c r="W181" i="8"/>
  <c r="W180" i="8"/>
  <c r="W223" i="8"/>
  <c r="W259" i="8"/>
  <c r="V272" i="10"/>
  <c r="V305" i="10"/>
  <c r="W290" i="10"/>
  <c r="W272" i="9"/>
  <c r="Z176" i="8"/>
  <c r="X225" i="9"/>
  <c r="X259" i="9" s="1"/>
  <c r="X200" i="10"/>
  <c r="X225" i="10" s="1"/>
  <c r="W305" i="9"/>
  <c r="W273" i="10"/>
  <c r="W259" i="10"/>
  <c r="W238" i="10"/>
  <c r="W304" i="10" s="1"/>
  <c r="AA107" i="8"/>
  <c r="Y179" i="9"/>
  <c r="AA170" i="9"/>
  <c r="AA149" i="9"/>
  <c r="Y200" i="9"/>
  <c r="Y225" i="9" s="1"/>
  <c r="BC163" i="5"/>
  <c r="Z170" i="10"/>
  <c r="Y290" i="9"/>
  <c r="Y238" i="9"/>
  <c r="Y258" i="9"/>
  <c r="AZ164" i="5"/>
  <c r="AZ168" i="5"/>
  <c r="BA165" i="5"/>
  <c r="Y179" i="8"/>
  <c r="Y187" i="8"/>
  <c r="AG6" i="5"/>
  <c r="BA162" i="5"/>
  <c r="BC4" i="5"/>
  <c r="AA136" i="10"/>
  <c r="AA141" i="10"/>
  <c r="AA140" i="10"/>
  <c r="AA142" i="10"/>
  <c r="X239" i="8"/>
  <c r="X225" i="8"/>
  <c r="AA99" i="10"/>
  <c r="AA94" i="10"/>
  <c r="AA100" i="10"/>
  <c r="AA98" i="10"/>
  <c r="AA157" i="10"/>
  <c r="AA163" i="10"/>
  <c r="AA161" i="10"/>
  <c r="AA162" i="10"/>
  <c r="AG5" i="5"/>
  <c r="BA166" i="5"/>
  <c r="X304" i="9"/>
  <c r="X272" i="9"/>
  <c r="X305" i="9"/>
  <c r="X273" i="9"/>
  <c r="AA128" i="8"/>
  <c r="AA175" i="8"/>
  <c r="BA169" i="5"/>
  <c r="AZ170" i="5"/>
  <c r="AA170" i="8"/>
  <c r="AA128" i="9"/>
  <c r="W304" i="8"/>
  <c r="W272" i="8"/>
  <c r="X187" i="10"/>
  <c r="X224" i="10" s="1"/>
  <c r="X224" i="8"/>
  <c r="BA161" i="5"/>
  <c r="AA149" i="8"/>
  <c r="Z149" i="10"/>
  <c r="Z107" i="10"/>
  <c r="AY167" i="5"/>
  <c r="BJ7" i="4" l="1"/>
  <c r="BK5" i="4"/>
  <c r="T1" i="15"/>
  <c r="T1" i="14"/>
  <c r="T1" i="13"/>
  <c r="T1" i="12"/>
  <c r="T1" i="11"/>
  <c r="AR5" i="6"/>
  <c r="AQ7" i="6"/>
  <c r="AA107" i="9"/>
  <c r="AA176" i="9" s="1"/>
  <c r="W278" i="15"/>
  <c r="Y289" i="15"/>
  <c r="Y271" i="13"/>
  <c r="AR5" i="7"/>
  <c r="AQ7" i="7"/>
  <c r="T6" i="18" s="1"/>
  <c r="X259" i="13"/>
  <c r="X264" i="13" s="1"/>
  <c r="X265" i="13" s="1"/>
  <c r="X276" i="13" s="1"/>
  <c r="X277" i="13" s="1"/>
  <c r="Z181" i="15"/>
  <c r="Z237" i="13"/>
  <c r="Z271" i="13" s="1"/>
  <c r="Z223" i="13"/>
  <c r="Z289" i="13" s="1"/>
  <c r="Y289" i="13"/>
  <c r="X305" i="15"/>
  <c r="Y290" i="14"/>
  <c r="Y238" i="14"/>
  <c r="Y272" i="14" s="1"/>
  <c r="X264" i="15"/>
  <c r="X265" i="15" s="1"/>
  <c r="X276" i="15" s="1"/>
  <c r="X277" i="15" s="1"/>
  <c r="Z223" i="15"/>
  <c r="Z257" i="15" s="1"/>
  <c r="Z180" i="14"/>
  <c r="Z180" i="15"/>
  <c r="Z237" i="14"/>
  <c r="Z303" i="14" s="1"/>
  <c r="AA176" i="14"/>
  <c r="AA187" i="14" s="1"/>
  <c r="AA224" i="14" s="1"/>
  <c r="Z200" i="13"/>
  <c r="Z239" i="13" s="1"/>
  <c r="AA177" i="15"/>
  <c r="AA180" i="15" s="1"/>
  <c r="AA177" i="14"/>
  <c r="AA223" i="14" s="1"/>
  <c r="AA176" i="15"/>
  <c r="AA176" i="13"/>
  <c r="AA179" i="13" s="1"/>
  <c r="Z181" i="13"/>
  <c r="Y305" i="15"/>
  <c r="Y273" i="15"/>
  <c r="X259" i="14"/>
  <c r="X264" i="14" s="1"/>
  <c r="X265" i="14" s="1"/>
  <c r="X276" i="14" s="1"/>
  <c r="X277" i="14" s="1"/>
  <c r="X291" i="14"/>
  <c r="Z271" i="15"/>
  <c r="Z303" i="15"/>
  <c r="Y289" i="14"/>
  <c r="Y257" i="14"/>
  <c r="AA177" i="13"/>
  <c r="Y290" i="15"/>
  <c r="Y238" i="15"/>
  <c r="Y258" i="15"/>
  <c r="X305" i="14"/>
  <c r="X273" i="14"/>
  <c r="Y225" i="13"/>
  <c r="Y239" i="13"/>
  <c r="X304" i="14"/>
  <c r="X272" i="14"/>
  <c r="Z200" i="15"/>
  <c r="Z179" i="15"/>
  <c r="Z187" i="15"/>
  <c r="Z224" i="15" s="1"/>
  <c r="Z179" i="14"/>
  <c r="Z187" i="14"/>
  <c r="Z224" i="14" s="1"/>
  <c r="Z200" i="14"/>
  <c r="Y273" i="14"/>
  <c r="Y305" i="14"/>
  <c r="Y271" i="14"/>
  <c r="Y303" i="14"/>
  <c r="Z181" i="14"/>
  <c r="Y291" i="14"/>
  <c r="Y259" i="14"/>
  <c r="W278" i="14"/>
  <c r="Y291" i="15"/>
  <c r="Y259" i="15"/>
  <c r="Z289" i="14"/>
  <c r="Z257" i="14"/>
  <c r="AA121" i="10"/>
  <c r="Z128" i="10"/>
  <c r="Z176" i="10" s="1"/>
  <c r="Z200" i="10" s="1"/>
  <c r="Z129" i="10"/>
  <c r="W278" i="11"/>
  <c r="AA119" i="10"/>
  <c r="AA115" i="10"/>
  <c r="AA175" i="10" s="1"/>
  <c r="W278" i="13"/>
  <c r="Y289" i="11"/>
  <c r="Z187" i="11"/>
  <c r="Z224" i="11" s="1"/>
  <c r="Z290" i="11" s="1"/>
  <c r="Z200" i="11"/>
  <c r="Z239" i="11" s="1"/>
  <c r="Y303" i="11"/>
  <c r="AA177" i="11"/>
  <c r="AA237" i="11" s="1"/>
  <c r="W304" i="13"/>
  <c r="X238" i="13"/>
  <c r="X304" i="13" s="1"/>
  <c r="X291" i="11"/>
  <c r="X259" i="11"/>
  <c r="X264" i="11" s="1"/>
  <c r="X265" i="11" s="1"/>
  <c r="X276" i="11" s="1"/>
  <c r="X277" i="11" s="1"/>
  <c r="AA176" i="11"/>
  <c r="X272" i="11"/>
  <c r="X304" i="11"/>
  <c r="X290" i="13"/>
  <c r="Y239" i="11"/>
  <c r="Y225" i="11"/>
  <c r="X273" i="11"/>
  <c r="X305" i="11"/>
  <c r="Y290" i="11"/>
  <c r="Y238" i="11"/>
  <c r="Y258" i="11"/>
  <c r="Z181" i="11"/>
  <c r="Z180" i="11"/>
  <c r="Z237" i="11"/>
  <c r="Z223" i="11"/>
  <c r="U278" i="10"/>
  <c r="V303" i="10"/>
  <c r="V271" i="10"/>
  <c r="Z165" i="10"/>
  <c r="Y171" i="10"/>
  <c r="W237" i="10"/>
  <c r="W181" i="10"/>
  <c r="W180" i="10"/>
  <c r="W223" i="10"/>
  <c r="Z144" i="10"/>
  <c r="Y150" i="10"/>
  <c r="Z102" i="10"/>
  <c r="Y108" i="10"/>
  <c r="V289" i="10"/>
  <c r="V257" i="10"/>
  <c r="V264" i="10" s="1"/>
  <c r="V265" i="10" s="1"/>
  <c r="V276" i="10" s="1"/>
  <c r="V277" i="10" s="1"/>
  <c r="Y303" i="12"/>
  <c r="X177" i="10"/>
  <c r="X291" i="12"/>
  <c r="U278" i="9"/>
  <c r="W237" i="9"/>
  <c r="W180" i="9"/>
  <c r="W223" i="9"/>
  <c r="W181" i="9"/>
  <c r="Z123" i="9"/>
  <c r="Y129" i="9"/>
  <c r="Z144" i="9"/>
  <c r="Y150" i="9"/>
  <c r="V271" i="9"/>
  <c r="V303" i="9"/>
  <c r="V257" i="9"/>
  <c r="V264" i="9" s="1"/>
  <c r="V265" i="9" s="1"/>
  <c r="V276" i="9" s="1"/>
  <c r="V277" i="9" s="1"/>
  <c r="V289" i="9"/>
  <c r="X177" i="9"/>
  <c r="Z165" i="9"/>
  <c r="Y171" i="9"/>
  <c r="Z102" i="9"/>
  <c r="Y108" i="9"/>
  <c r="W278" i="12"/>
  <c r="AA177" i="12"/>
  <c r="AA237" i="12" s="1"/>
  <c r="AB237" i="12" s="1"/>
  <c r="X264" i="12"/>
  <c r="X265" i="12" s="1"/>
  <c r="X276" i="12" s="1"/>
  <c r="X277" i="12" s="1"/>
  <c r="Z200" i="12"/>
  <c r="Z179" i="12"/>
  <c r="Z237" i="12"/>
  <c r="Z180" i="12"/>
  <c r="Z181" i="12"/>
  <c r="Z223" i="12"/>
  <c r="Y259" i="12"/>
  <c r="Y291" i="12"/>
  <c r="Y224" i="12"/>
  <c r="Y187" i="13"/>
  <c r="Y224" i="13" s="1"/>
  <c r="X304" i="12"/>
  <c r="X272" i="12"/>
  <c r="Y305" i="12"/>
  <c r="Y273" i="12"/>
  <c r="AA176" i="12"/>
  <c r="Z238" i="12"/>
  <c r="Z290" i="12"/>
  <c r="Z258" i="12"/>
  <c r="Y225" i="8"/>
  <c r="Y291" i="8" s="1"/>
  <c r="Z187" i="8"/>
  <c r="Z224" i="8" s="1"/>
  <c r="V277" i="8"/>
  <c r="X181" i="8"/>
  <c r="X180" i="8"/>
  <c r="X237" i="8"/>
  <c r="X303" i="8" s="1"/>
  <c r="X223" i="8"/>
  <c r="Z144" i="8"/>
  <c r="Y150" i="8"/>
  <c r="Y177" i="8" s="1"/>
  <c r="W257" i="8"/>
  <c r="W264" i="8" s="1"/>
  <c r="W265" i="8" s="1"/>
  <c r="W276" i="8" s="1"/>
  <c r="W277" i="8" s="1"/>
  <c r="W289" i="8"/>
  <c r="AA165" i="8"/>
  <c r="AA171" i="8" s="1"/>
  <c r="Z171" i="8"/>
  <c r="AA123" i="8"/>
  <c r="AA129" i="8" s="1"/>
  <c r="Z129" i="8"/>
  <c r="W271" i="8"/>
  <c r="W303" i="8"/>
  <c r="AA102" i="8"/>
  <c r="AA108" i="8" s="1"/>
  <c r="Z108" i="8"/>
  <c r="X239" i="10"/>
  <c r="X273" i="10" s="1"/>
  <c r="Z200" i="8"/>
  <c r="Z239" i="8" s="1"/>
  <c r="Z273" i="8" s="1"/>
  <c r="Z179" i="8"/>
  <c r="X291" i="9"/>
  <c r="Y239" i="9"/>
  <c r="Y305" i="9" s="1"/>
  <c r="AA176" i="8"/>
  <c r="W272" i="10"/>
  <c r="Y200" i="10"/>
  <c r="Y225" i="10" s="1"/>
  <c r="AA107" i="10"/>
  <c r="X291" i="8"/>
  <c r="X259" i="8"/>
  <c r="BD4" i="5"/>
  <c r="AH6" i="5"/>
  <c r="BB161" i="5"/>
  <c r="X291" i="10"/>
  <c r="X259" i="10"/>
  <c r="X290" i="10"/>
  <c r="X258" i="10"/>
  <c r="X238" i="10"/>
  <c r="Y187" i="10"/>
  <c r="Y224" i="10" s="1"/>
  <c r="Y224" i="8"/>
  <c r="X258" i="8"/>
  <c r="X238" i="8"/>
  <c r="X290" i="8"/>
  <c r="Z239" i="9"/>
  <c r="Z225" i="9"/>
  <c r="BB166" i="5"/>
  <c r="BB162" i="5"/>
  <c r="Y273" i="8"/>
  <c r="Y305" i="8"/>
  <c r="BD163" i="5"/>
  <c r="Z179" i="9"/>
  <c r="Z187" i="9"/>
  <c r="Z224" i="9" s="1"/>
  <c r="X305" i="8"/>
  <c r="X273" i="8"/>
  <c r="Y304" i="9"/>
  <c r="Y272" i="9"/>
  <c r="BA170" i="5"/>
  <c r="Y259" i="9"/>
  <c r="Y291" i="9"/>
  <c r="BB169" i="5"/>
  <c r="AH5" i="5"/>
  <c r="AA170" i="10"/>
  <c r="AZ167" i="5"/>
  <c r="AA149" i="10"/>
  <c r="BB165" i="5"/>
  <c r="BA168" i="5"/>
  <c r="BA164" i="5"/>
  <c r="BK7" i="4" l="1"/>
  <c r="BL5" i="4"/>
  <c r="BL7" i="4" s="1"/>
  <c r="U1" i="13"/>
  <c r="U1" i="11"/>
  <c r="U1" i="12"/>
  <c r="U1" i="15"/>
  <c r="U1" i="14"/>
  <c r="AR7" i="6"/>
  <c r="AS5" i="6"/>
  <c r="AS5" i="7"/>
  <c r="AR7" i="7"/>
  <c r="U6" i="18" s="1"/>
  <c r="Z303" i="13"/>
  <c r="Z257" i="13"/>
  <c r="Y304" i="14"/>
  <c r="AA237" i="14"/>
  <c r="AA303" i="14" s="1"/>
  <c r="AB303" i="14" s="1"/>
  <c r="Z289" i="15"/>
  <c r="Z271" i="14"/>
  <c r="X278" i="15"/>
  <c r="Z225" i="13"/>
  <c r="Z259" i="13" s="1"/>
  <c r="AA181" i="15"/>
  <c r="AA200" i="14"/>
  <c r="AA225" i="14" s="1"/>
  <c r="AA179" i="14"/>
  <c r="AA179" i="15"/>
  <c r="AA200" i="15"/>
  <c r="AA239" i="15" s="1"/>
  <c r="AA181" i="14"/>
  <c r="AA187" i="15"/>
  <c r="AA224" i="15" s="1"/>
  <c r="AA290" i="15" s="1"/>
  <c r="AA180" i="14"/>
  <c r="AA200" i="13"/>
  <c r="AA225" i="13" s="1"/>
  <c r="AA237" i="15"/>
  <c r="AA223" i="15"/>
  <c r="Y264" i="14"/>
  <c r="Y265" i="14" s="1"/>
  <c r="Y276" i="14" s="1"/>
  <c r="Y277" i="14" s="1"/>
  <c r="X278" i="14"/>
  <c r="Y304" i="15"/>
  <c r="Y272" i="15"/>
  <c r="Y259" i="13"/>
  <c r="Y291" i="13"/>
  <c r="Z273" i="13"/>
  <c r="Z305" i="13"/>
  <c r="Z225" i="14"/>
  <c r="Z239" i="14"/>
  <c r="AA257" i="14"/>
  <c r="AA289" i="14"/>
  <c r="Z225" i="15"/>
  <c r="Z239" i="15"/>
  <c r="Z238" i="14"/>
  <c r="Z290" i="14"/>
  <c r="Z258" i="14"/>
  <c r="AA180" i="13"/>
  <c r="AA237" i="13"/>
  <c r="AA181" i="13"/>
  <c r="AA223" i="13"/>
  <c r="Y264" i="15"/>
  <c r="Y265" i="15" s="1"/>
  <c r="Y276" i="15" s="1"/>
  <c r="Y277" i="15" s="1"/>
  <c r="Z290" i="15"/>
  <c r="Z238" i="15"/>
  <c r="Z258" i="15"/>
  <c r="AA290" i="14"/>
  <c r="AA238" i="14"/>
  <c r="AA258" i="14"/>
  <c r="Y273" i="13"/>
  <c r="Y305" i="13"/>
  <c r="AA129" i="10"/>
  <c r="AA128" i="10"/>
  <c r="AA176" i="10" s="1"/>
  <c r="AA179" i="10" s="1"/>
  <c r="Z238" i="11"/>
  <c r="Z304" i="11" s="1"/>
  <c r="Z225" i="11"/>
  <c r="Z291" i="11" s="1"/>
  <c r="AA223" i="11"/>
  <c r="AA289" i="11" s="1"/>
  <c r="AA180" i="11"/>
  <c r="X272" i="13"/>
  <c r="X278" i="13" s="1"/>
  <c r="Z258" i="11"/>
  <c r="Z187" i="13"/>
  <c r="Z224" i="13" s="1"/>
  <c r="Z238" i="13" s="1"/>
  <c r="Z272" i="13" s="1"/>
  <c r="Z273" i="11"/>
  <c r="Z305" i="11"/>
  <c r="Y304" i="11"/>
  <c r="Y272" i="11"/>
  <c r="AB237" i="11"/>
  <c r="AA303" i="11"/>
  <c r="AB303" i="11" s="1"/>
  <c r="AA271" i="11"/>
  <c r="Z289" i="11"/>
  <c r="Z257" i="11"/>
  <c r="AA179" i="11"/>
  <c r="AA187" i="11"/>
  <c r="AA224" i="11" s="1"/>
  <c r="Z303" i="11"/>
  <c r="Z271" i="11"/>
  <c r="X278" i="11"/>
  <c r="AA200" i="11"/>
  <c r="Y291" i="11"/>
  <c r="Y259" i="11"/>
  <c r="Y264" i="11" s="1"/>
  <c r="Y265" i="11" s="1"/>
  <c r="Y276" i="11" s="1"/>
  <c r="Y277" i="11" s="1"/>
  <c r="AA181" i="11"/>
  <c r="Y305" i="11"/>
  <c r="Y273" i="11"/>
  <c r="V278" i="9"/>
  <c r="Y177" i="10"/>
  <c r="V278" i="10"/>
  <c r="X237" i="10"/>
  <c r="X181" i="10"/>
  <c r="X223" i="10"/>
  <c r="X180" i="10"/>
  <c r="W289" i="10"/>
  <c r="W257" i="10"/>
  <c r="W264" i="10" s="1"/>
  <c r="W265" i="10" s="1"/>
  <c r="W276" i="10" s="1"/>
  <c r="W277" i="10" s="1"/>
  <c r="W303" i="10"/>
  <c r="W271" i="10"/>
  <c r="AA223" i="12"/>
  <c r="AA289" i="12" s="1"/>
  <c r="AA102" i="10"/>
  <c r="AA108" i="10" s="1"/>
  <c r="Z108" i="10"/>
  <c r="AA165" i="10"/>
  <c r="AA171" i="10" s="1"/>
  <c r="Z171" i="10"/>
  <c r="AA144" i="10"/>
  <c r="AA150" i="10" s="1"/>
  <c r="Z150" i="10"/>
  <c r="AA180" i="12"/>
  <c r="AA144" i="9"/>
  <c r="AA150" i="9" s="1"/>
  <c r="Z150" i="9"/>
  <c r="AA165" i="9"/>
  <c r="AA171" i="9" s="1"/>
  <c r="Z171" i="9"/>
  <c r="X237" i="9"/>
  <c r="X223" i="9"/>
  <c r="X180" i="9"/>
  <c r="X181" i="9"/>
  <c r="Z129" i="9"/>
  <c r="AA123" i="9"/>
  <c r="AA129" i="9" s="1"/>
  <c r="W257" i="9"/>
  <c r="W264" i="9" s="1"/>
  <c r="W265" i="9" s="1"/>
  <c r="W276" i="9" s="1"/>
  <c r="W277" i="9" s="1"/>
  <c r="W289" i="9"/>
  <c r="AA102" i="9"/>
  <c r="Z108" i="9"/>
  <c r="Y177" i="9"/>
  <c r="W303" i="9"/>
  <c r="W271" i="9"/>
  <c r="X278" i="12"/>
  <c r="Z239" i="12"/>
  <c r="Z225" i="12"/>
  <c r="Z272" i="12"/>
  <c r="Z304" i="12"/>
  <c r="AA179" i="12"/>
  <c r="AA187" i="12"/>
  <c r="AA200" i="12"/>
  <c r="Z303" i="12"/>
  <c r="Z271" i="12"/>
  <c r="Y290" i="12"/>
  <c r="Y258" i="12"/>
  <c r="Y264" i="12" s="1"/>
  <c r="Y265" i="12" s="1"/>
  <c r="Y276" i="12" s="1"/>
  <c r="Y277" i="12" s="1"/>
  <c r="Y238" i="12"/>
  <c r="Z289" i="12"/>
  <c r="Z257" i="12"/>
  <c r="Y259" i="8"/>
  <c r="AA181" i="12"/>
  <c r="AA303" i="12"/>
  <c r="AB303" i="12" s="1"/>
  <c r="AA271" i="12"/>
  <c r="AB271" i="12" s="1"/>
  <c r="Y290" i="13"/>
  <c r="Y238" i="13"/>
  <c r="Y258" i="13"/>
  <c r="AA179" i="8"/>
  <c r="W278" i="8"/>
  <c r="V278" i="8"/>
  <c r="X257" i="8"/>
  <c r="X264" i="8" s="1"/>
  <c r="X265" i="8" s="1"/>
  <c r="X276" i="8" s="1"/>
  <c r="X277" i="8" s="1"/>
  <c r="X271" i="8"/>
  <c r="X289" i="8"/>
  <c r="AA144" i="8"/>
  <c r="AA150" i="8" s="1"/>
  <c r="AA177" i="8" s="1"/>
  <c r="Z150" i="8"/>
  <c r="Z177" i="8" s="1"/>
  <c r="Y180" i="8"/>
  <c r="Y223" i="8"/>
  <c r="Y237" i="8"/>
  <c r="Y181" i="8"/>
  <c r="X305" i="10"/>
  <c r="Y273" i="9"/>
  <c r="Z305" i="8"/>
  <c r="Z225" i="8"/>
  <c r="Z291" i="8" s="1"/>
  <c r="Y239" i="10"/>
  <c r="Y305" i="10" s="1"/>
  <c r="AA200" i="8"/>
  <c r="AA225" i="8" s="1"/>
  <c r="AA187" i="8"/>
  <c r="AA224" i="8" s="1"/>
  <c r="Z179" i="10"/>
  <c r="Z239" i="10"/>
  <c r="Z273" i="10" s="1"/>
  <c r="Z225" i="10"/>
  <c r="Z291" i="10" s="1"/>
  <c r="AA200" i="9"/>
  <c r="AA225" i="9" s="1"/>
  <c r="Z305" i="9"/>
  <c r="Z273" i="9"/>
  <c r="Y258" i="8"/>
  <c r="Y238" i="8"/>
  <c r="Y290" i="8"/>
  <c r="AI6" i="5"/>
  <c r="BB170" i="5"/>
  <c r="BE163" i="5"/>
  <c r="BB164" i="5"/>
  <c r="BB168" i="5"/>
  <c r="BC161" i="5"/>
  <c r="BE4" i="5"/>
  <c r="AI5" i="5"/>
  <c r="X304" i="8"/>
  <c r="X272" i="8"/>
  <c r="BA167" i="5"/>
  <c r="BC162" i="5"/>
  <c r="BC166" i="5"/>
  <c r="Y291" i="10"/>
  <c r="Y259" i="10"/>
  <c r="Z238" i="9"/>
  <c r="Z258" i="9"/>
  <c r="Z290" i="9"/>
  <c r="Z238" i="8"/>
  <c r="Z290" i="8"/>
  <c r="Z258" i="8"/>
  <c r="Z291" i="9"/>
  <c r="Z259" i="9"/>
  <c r="Y290" i="10"/>
  <c r="Y258" i="10"/>
  <c r="Y238" i="10"/>
  <c r="BC165" i="5"/>
  <c r="BC169" i="5"/>
  <c r="AA179" i="9"/>
  <c r="AA187" i="9"/>
  <c r="AA224" i="9" s="1"/>
  <c r="Z187" i="10"/>
  <c r="Z224" i="10" s="1"/>
  <c r="X304" i="10"/>
  <c r="X272" i="10"/>
  <c r="AS7" i="6" l="1"/>
  <c r="AT5" i="6"/>
  <c r="V1" i="13"/>
  <c r="V1" i="11"/>
  <c r="V1" i="15"/>
  <c r="V1" i="14"/>
  <c r="V1" i="12"/>
  <c r="AA108" i="9"/>
  <c r="AA177" i="9" s="1"/>
  <c r="AA223" i="9" s="1"/>
  <c r="AA257" i="9" s="1"/>
  <c r="AA27" i="18"/>
  <c r="D27" i="18" s="1"/>
  <c r="AA271" i="14"/>
  <c r="AB271" i="14" s="1"/>
  <c r="AB237" i="14"/>
  <c r="AT5" i="7"/>
  <c r="AS7" i="7"/>
  <c r="V6" i="18" s="1"/>
  <c r="AA239" i="13"/>
  <c r="AB239" i="13" s="1"/>
  <c r="Z291" i="13"/>
  <c r="AA239" i="14"/>
  <c r="AB239" i="14" s="1"/>
  <c r="AA258" i="15"/>
  <c r="AA238" i="15"/>
  <c r="AA272" i="15" s="1"/>
  <c r="Y264" i="13"/>
  <c r="Y265" i="13" s="1"/>
  <c r="Y276" i="13" s="1"/>
  <c r="Y277" i="13" s="1"/>
  <c r="AA225" i="15"/>
  <c r="AA259" i="15" s="1"/>
  <c r="AA289" i="15"/>
  <c r="AA257" i="15"/>
  <c r="AA303" i="15"/>
  <c r="AB303" i="15" s="1"/>
  <c r="AA271" i="15"/>
  <c r="AB271" i="15" s="1"/>
  <c r="AB237" i="15"/>
  <c r="Y278" i="14"/>
  <c r="AA289" i="13"/>
  <c r="AA257" i="13"/>
  <c r="Z305" i="14"/>
  <c r="Z273" i="14"/>
  <c r="Z304" i="14"/>
  <c r="Z272" i="14"/>
  <c r="Z259" i="14"/>
  <c r="Z264" i="14" s="1"/>
  <c r="Z265" i="14" s="1"/>
  <c r="Z276" i="14" s="1"/>
  <c r="Z277" i="14" s="1"/>
  <c r="Z291" i="14"/>
  <c r="AA291" i="13"/>
  <c r="AA259" i="13"/>
  <c r="Z305" i="15"/>
  <c r="Z273" i="15"/>
  <c r="AA305" i="15"/>
  <c r="AB305" i="15" s="1"/>
  <c r="AA273" i="15"/>
  <c r="AB273" i="15" s="1"/>
  <c r="AB239" i="15"/>
  <c r="Z291" i="15"/>
  <c r="Z259" i="15"/>
  <c r="Z264" i="15" s="1"/>
  <c r="Z265" i="15" s="1"/>
  <c r="Z276" i="15" s="1"/>
  <c r="Z277" i="15" s="1"/>
  <c r="AB238" i="14"/>
  <c r="AA304" i="14"/>
  <c r="AB304" i="14" s="1"/>
  <c r="AA272" i="14"/>
  <c r="AB272" i="14" s="1"/>
  <c r="Z272" i="15"/>
  <c r="Z304" i="15"/>
  <c r="Y278" i="15"/>
  <c r="AA259" i="14"/>
  <c r="AA264" i="14" s="1"/>
  <c r="AA265" i="14" s="1"/>
  <c r="AA276" i="14" s="1"/>
  <c r="AA291" i="14"/>
  <c r="AA303" i="13"/>
  <c r="AB303" i="13" s="1"/>
  <c r="AA271" i="13"/>
  <c r="AB271" i="13" s="1"/>
  <c r="AB237" i="13"/>
  <c r="Z272" i="11"/>
  <c r="Z259" i="11"/>
  <c r="Z264" i="11" s="1"/>
  <c r="Z265" i="11" s="1"/>
  <c r="Z276" i="11" s="1"/>
  <c r="Z277" i="11" s="1"/>
  <c r="Z258" i="13"/>
  <c r="Z264" i="13" s="1"/>
  <c r="Z265" i="13" s="1"/>
  <c r="Z276" i="13" s="1"/>
  <c r="Z277" i="13" s="1"/>
  <c r="Z304" i="13"/>
  <c r="AA257" i="11"/>
  <c r="Z290" i="13"/>
  <c r="AA290" i="11"/>
  <c r="AA258" i="11"/>
  <c r="AA238" i="11"/>
  <c r="AB271" i="11"/>
  <c r="AA257" i="12"/>
  <c r="AA239" i="11"/>
  <c r="AA225" i="11"/>
  <c r="Y278" i="11"/>
  <c r="Z177" i="9"/>
  <c r="Z223" i="9" s="1"/>
  <c r="Z257" i="9" s="1"/>
  <c r="Z264" i="9" s="1"/>
  <c r="Z265" i="9" s="1"/>
  <c r="Z276" i="9" s="1"/>
  <c r="Z277" i="9" s="1"/>
  <c r="AA177" i="10"/>
  <c r="AA223" i="10" s="1"/>
  <c r="AA289" i="10" s="1"/>
  <c r="Y181" i="10"/>
  <c r="Y223" i="10"/>
  <c r="Y180" i="10"/>
  <c r="Y237" i="10"/>
  <c r="W278" i="10"/>
  <c r="Z177" i="10"/>
  <c r="X289" i="10"/>
  <c r="X257" i="10"/>
  <c r="X264" i="10" s="1"/>
  <c r="X265" i="10" s="1"/>
  <c r="X276" i="10" s="1"/>
  <c r="X277" i="10" s="1"/>
  <c r="X271" i="10"/>
  <c r="X303" i="10"/>
  <c r="X289" i="9"/>
  <c r="X257" i="9"/>
  <c r="X264" i="9" s="1"/>
  <c r="X265" i="9" s="1"/>
  <c r="X276" i="9" s="1"/>
  <c r="X277" i="9" s="1"/>
  <c r="X303" i="9"/>
  <c r="X271" i="9"/>
  <c r="Y237" i="9"/>
  <c r="Y180" i="9"/>
  <c r="Y181" i="9"/>
  <c r="Y223" i="9"/>
  <c r="W278" i="9"/>
  <c r="Z259" i="12"/>
  <c r="Z264" i="12" s="1"/>
  <c r="Z265" i="12" s="1"/>
  <c r="Z276" i="12" s="1"/>
  <c r="Z291" i="12"/>
  <c r="Z305" i="12"/>
  <c r="Z273" i="12"/>
  <c r="Y304" i="13"/>
  <c r="Y272" i="13"/>
  <c r="AA239" i="12"/>
  <c r="AB239" i="12" s="1"/>
  <c r="AA225" i="12"/>
  <c r="AA224" i="12"/>
  <c r="AA187" i="13"/>
  <c r="AA224" i="13" s="1"/>
  <c r="Y304" i="12"/>
  <c r="Y272" i="12"/>
  <c r="Y278" i="12" s="1"/>
  <c r="X278" i="8"/>
  <c r="Z237" i="8"/>
  <c r="Z180" i="8"/>
  <c r="Z181" i="8"/>
  <c r="Z223" i="8"/>
  <c r="AA237" i="8"/>
  <c r="AA181" i="8"/>
  <c r="AA223" i="8"/>
  <c r="AA180" i="8"/>
  <c r="Y303" i="8"/>
  <c r="Y271" i="8"/>
  <c r="Y289" i="8"/>
  <c r="Y257" i="8"/>
  <c r="Y264" i="8" s="1"/>
  <c r="Y265" i="8" s="1"/>
  <c r="Y276" i="8" s="1"/>
  <c r="Y277" i="8" s="1"/>
  <c r="Z259" i="8"/>
  <c r="AA239" i="8"/>
  <c r="AA273" i="8" s="1"/>
  <c r="AB273" i="8" s="1"/>
  <c r="Y273" i="10"/>
  <c r="AA239" i="9"/>
  <c r="AA305" i="9" s="1"/>
  <c r="AB305" i="9" s="1"/>
  <c r="Z305" i="10"/>
  <c r="AA200" i="10"/>
  <c r="AA239" i="10" s="1"/>
  <c r="Z259" i="10"/>
  <c r="BC164" i="5"/>
  <c r="BD165" i="5"/>
  <c r="Z238" i="10"/>
  <c r="Z290" i="10"/>
  <c r="Z258" i="10"/>
  <c r="AA290" i="8"/>
  <c r="AA258" i="8"/>
  <c r="AA238" i="8"/>
  <c r="AB238" i="8" s="1"/>
  <c r="BC168" i="5"/>
  <c r="BD169" i="5"/>
  <c r="BD166" i="5"/>
  <c r="BF163" i="5"/>
  <c r="AA187" i="10"/>
  <c r="AA224" i="10" s="1"/>
  <c r="BD162" i="5"/>
  <c r="BB167" i="5"/>
  <c r="AA259" i="8"/>
  <c r="AA291" i="8"/>
  <c r="AJ6" i="5"/>
  <c r="BD161" i="5"/>
  <c r="Y304" i="8"/>
  <c r="Y272" i="8"/>
  <c r="AA258" i="9"/>
  <c r="AA238" i="9"/>
  <c r="AB238" i="9" s="1"/>
  <c r="AA290" i="9"/>
  <c r="BC170" i="5"/>
  <c r="Z272" i="8"/>
  <c r="Z304" i="8"/>
  <c r="Z272" i="9"/>
  <c r="Z304" i="9"/>
  <c r="AA291" i="9"/>
  <c r="AA259" i="9"/>
  <c r="AJ5" i="5"/>
  <c r="BF4" i="5"/>
  <c r="Y304" i="10"/>
  <c r="Y272" i="10"/>
  <c r="AT7" i="6" l="1"/>
  <c r="AU5" i="6"/>
  <c r="W1" i="11"/>
  <c r="W1" i="14"/>
  <c r="W1" i="15"/>
  <c r="W1" i="12"/>
  <c r="W1" i="13"/>
  <c r="AA305" i="14"/>
  <c r="AB305" i="14" s="1"/>
  <c r="AA273" i="14"/>
  <c r="AB273" i="14" s="1"/>
  <c r="AA305" i="13"/>
  <c r="AB305" i="13" s="1"/>
  <c r="AA273" i="13"/>
  <c r="AB273" i="13" s="1"/>
  <c r="AT7" i="7"/>
  <c r="W6" i="18" s="1"/>
  <c r="AU5" i="7"/>
  <c r="Y278" i="13"/>
  <c r="AA304" i="15"/>
  <c r="AA291" i="15"/>
  <c r="AA264" i="15"/>
  <c r="AA265" i="15" s="1"/>
  <c r="AA276" i="15" s="1"/>
  <c r="AA277" i="15" s="1"/>
  <c r="AB277" i="15" s="1"/>
  <c r="AA277" i="14"/>
  <c r="AB277" i="14" s="1"/>
  <c r="AB276" i="14"/>
  <c r="Z278" i="15"/>
  <c r="Z278" i="14"/>
  <c r="Z278" i="13"/>
  <c r="Z278" i="11"/>
  <c r="AA273" i="11"/>
  <c r="AB273" i="11" s="1"/>
  <c r="AA305" i="11"/>
  <c r="AB305" i="11" s="1"/>
  <c r="AB239" i="11"/>
  <c r="AB238" i="11"/>
  <c r="AA304" i="11"/>
  <c r="AB304" i="11" s="1"/>
  <c r="AA272" i="11"/>
  <c r="AA259" i="11"/>
  <c r="AA264" i="11" s="1"/>
  <c r="AA265" i="11" s="1"/>
  <c r="AA276" i="11" s="1"/>
  <c r="AA291" i="11"/>
  <c r="AA180" i="10"/>
  <c r="AA257" i="10"/>
  <c r="AA237" i="10"/>
  <c r="AA271" i="10" s="1"/>
  <c r="AB271" i="10" s="1"/>
  <c r="Z180" i="9"/>
  <c r="Z289" i="9"/>
  <c r="AA181" i="10"/>
  <c r="Z237" i="9"/>
  <c r="Z271" i="9" s="1"/>
  <c r="Z278" i="9" s="1"/>
  <c r="Z181" i="9"/>
  <c r="AA180" i="9"/>
  <c r="AA237" i="9"/>
  <c r="AA181" i="9"/>
  <c r="AA289" i="9"/>
  <c r="Y271" i="10"/>
  <c r="Y303" i="10"/>
  <c r="X278" i="10"/>
  <c r="Y289" i="10"/>
  <c r="Y257" i="10"/>
  <c r="Y264" i="10" s="1"/>
  <c r="Y265" i="10" s="1"/>
  <c r="Y276" i="10" s="1"/>
  <c r="Y277" i="10" s="1"/>
  <c r="X278" i="9"/>
  <c r="Z237" i="10"/>
  <c r="Z223" i="10"/>
  <c r="Z180" i="10"/>
  <c r="Z181" i="10"/>
  <c r="Y271" i="9"/>
  <c r="Y303" i="9"/>
  <c r="Y289" i="9"/>
  <c r="Y257" i="9"/>
  <c r="Y264" i="9" s="1"/>
  <c r="Y265" i="9" s="1"/>
  <c r="Y276" i="9" s="1"/>
  <c r="Y277" i="9" s="1"/>
  <c r="Z277" i="12"/>
  <c r="Z278" i="12" s="1"/>
  <c r="AA259" i="12"/>
  <c r="AA291" i="12"/>
  <c r="AA238" i="13"/>
  <c r="AB238" i="13" s="1"/>
  <c r="AA258" i="13"/>
  <c r="AA264" i="13" s="1"/>
  <c r="AA265" i="13" s="1"/>
  <c r="AA276" i="13" s="1"/>
  <c r="AA290" i="13"/>
  <c r="AA290" i="12"/>
  <c r="AA238" i="12"/>
  <c r="AB238" i="12" s="1"/>
  <c r="AA258" i="12"/>
  <c r="AA305" i="12"/>
  <c r="AB305" i="12" s="1"/>
  <c r="AA273" i="12"/>
  <c r="AB273" i="12" s="1"/>
  <c r="AA264" i="9"/>
  <c r="AA265" i="9" s="1"/>
  <c r="AA276" i="9" s="1"/>
  <c r="AA277" i="9" s="1"/>
  <c r="AB277" i="9" s="1"/>
  <c r="Y278" i="8"/>
  <c r="AA257" i="8"/>
  <c r="AA264" i="8" s="1"/>
  <c r="AA265" i="8" s="1"/>
  <c r="AA276" i="8" s="1"/>
  <c r="AA303" i="8"/>
  <c r="AB303" i="8" s="1"/>
  <c r="AA271" i="8"/>
  <c r="AB271" i="8" s="1"/>
  <c r="AB237" i="8"/>
  <c r="Z289" i="8"/>
  <c r="Z257" i="8"/>
  <c r="Z264" i="8" s="1"/>
  <c r="Z265" i="8" s="1"/>
  <c r="Z276" i="8" s="1"/>
  <c r="Z277" i="8" s="1"/>
  <c r="AA289" i="8"/>
  <c r="Z303" i="8"/>
  <c r="Z271" i="8"/>
  <c r="AB239" i="8"/>
  <c r="AA305" i="8"/>
  <c r="AB305" i="8" s="1"/>
  <c r="AB239" i="9"/>
  <c r="AA273" i="9"/>
  <c r="AB273" i="9" s="1"/>
  <c r="AA225" i="10"/>
  <c r="AA259" i="10" s="1"/>
  <c r="AA290" i="10"/>
  <c r="AA258" i="10"/>
  <c r="AA238" i="10"/>
  <c r="AB238" i="10" s="1"/>
  <c r="BE166" i="5"/>
  <c r="BD168" i="5"/>
  <c r="BD164" i="5"/>
  <c r="BE169" i="5"/>
  <c r="AK5" i="5"/>
  <c r="BC167" i="5"/>
  <c r="AA304" i="9"/>
  <c r="AA272" i="9"/>
  <c r="BE161" i="5"/>
  <c r="Z304" i="10"/>
  <c r="Z272" i="10"/>
  <c r="AK6" i="5"/>
  <c r="BG163" i="5"/>
  <c r="AA304" i="8"/>
  <c r="AB304" i="8" s="1"/>
  <c r="AA272" i="8"/>
  <c r="AB272" i="8" s="1"/>
  <c r="BG4" i="5"/>
  <c r="BD170" i="5"/>
  <c r="BE162" i="5"/>
  <c r="AA305" i="10"/>
  <c r="AB305" i="10" s="1"/>
  <c r="AA273" i="10"/>
  <c r="AB273" i="10" s="1"/>
  <c r="AB239" i="10"/>
  <c r="BE165" i="5"/>
  <c r="AU7" i="6" l="1"/>
  <c r="AV5" i="6"/>
  <c r="X1" i="15"/>
  <c r="X1" i="11"/>
  <c r="X1" i="14"/>
  <c r="X1" i="12"/>
  <c r="X1" i="13"/>
  <c r="AB276" i="15"/>
  <c r="AB278" i="15" s="1"/>
  <c r="AU7" i="7"/>
  <c r="X6" i="18" s="1"/>
  <c r="AV5" i="7"/>
  <c r="AB278" i="14"/>
  <c r="AA278" i="14"/>
  <c r="AA278" i="15"/>
  <c r="AB237" i="10"/>
  <c r="AA277" i="11"/>
  <c r="AB277" i="11" s="1"/>
  <c r="AB276" i="11"/>
  <c r="AA303" i="10"/>
  <c r="AB303" i="10" s="1"/>
  <c r="AB272" i="11"/>
  <c r="Z303" i="9"/>
  <c r="AA271" i="9"/>
  <c r="AB271" i="9" s="1"/>
  <c r="AA303" i="9"/>
  <c r="AB303" i="9" s="1"/>
  <c r="AB237" i="9"/>
  <c r="Y278" i="10"/>
  <c r="Z257" i="10"/>
  <c r="Z264" i="10" s="1"/>
  <c r="Z265" i="10" s="1"/>
  <c r="Z276" i="10" s="1"/>
  <c r="Z277" i="10" s="1"/>
  <c r="Z289" i="10"/>
  <c r="Z303" i="10"/>
  <c r="Z271" i="10"/>
  <c r="Y278" i="9"/>
  <c r="AA264" i="12"/>
  <c r="AA265" i="12" s="1"/>
  <c r="AA276" i="12" s="1"/>
  <c r="AA277" i="13"/>
  <c r="AB277" i="13" s="1"/>
  <c r="AB276" i="13"/>
  <c r="AA272" i="13"/>
  <c r="AA304" i="13"/>
  <c r="AA272" i="12"/>
  <c r="AA304" i="12"/>
  <c r="AB304" i="12" s="1"/>
  <c r="AA264" i="10"/>
  <c r="AA265" i="10" s="1"/>
  <c r="AA276" i="10" s="1"/>
  <c r="AA277" i="10" s="1"/>
  <c r="AB277" i="10" s="1"/>
  <c r="AB276" i="9"/>
  <c r="AB272" i="9"/>
  <c r="AB304" i="9"/>
  <c r="Z278" i="8"/>
  <c r="AA277" i="8"/>
  <c r="AB277" i="8" s="1"/>
  <c r="AB276" i="8"/>
  <c r="AA291" i="10"/>
  <c r="BH4" i="5"/>
  <c r="BH163" i="5"/>
  <c r="BF162" i="5"/>
  <c r="AL5" i="5"/>
  <c r="BF166" i="5"/>
  <c r="AL6" i="5"/>
  <c r="AA304" i="10"/>
  <c r="AA272" i="10"/>
  <c r="BF165" i="5"/>
  <c r="BE170" i="5"/>
  <c r="BF161" i="5"/>
  <c r="BD167" i="5"/>
  <c r="BE164" i="5"/>
  <c r="BF169" i="5"/>
  <c r="BE168" i="5"/>
  <c r="AW5" i="6" l="1"/>
  <c r="AV7" i="6"/>
  <c r="Y1" i="15"/>
  <c r="Y1" i="14"/>
  <c r="Y1" i="12"/>
  <c r="Y1" i="11"/>
  <c r="Y1" i="13"/>
  <c r="AV7" i="7"/>
  <c r="Y6" i="18" s="1"/>
  <c r="AW5" i="7"/>
  <c r="AA278" i="11"/>
  <c r="AB278" i="11"/>
  <c r="AA278" i="9"/>
  <c r="Z278" i="10"/>
  <c r="AB272" i="12"/>
  <c r="AA277" i="12"/>
  <c r="AB277" i="12" s="1"/>
  <c r="AB276" i="12"/>
  <c r="AA278" i="13"/>
  <c r="AB272" i="13"/>
  <c r="AB278" i="13" s="1"/>
  <c r="AB304" i="13"/>
  <c r="AB278" i="9"/>
  <c r="AB276" i="10"/>
  <c r="AA278" i="10"/>
  <c r="AB272" i="10"/>
  <c r="AB304" i="10"/>
  <c r="AB278" i="8"/>
  <c r="AA278" i="8"/>
  <c r="BF170" i="5"/>
  <c r="AM5" i="5"/>
  <c r="AM6" i="5"/>
  <c r="BI4" i="5"/>
  <c r="BG161" i="5"/>
  <c r="BG165" i="5"/>
  <c r="BE167" i="5"/>
  <c r="BF168" i="5"/>
  <c r="BG162" i="5"/>
  <c r="BG169" i="5"/>
  <c r="BF164" i="5"/>
  <c r="BG166" i="5"/>
  <c r="BI163" i="5"/>
  <c r="Z1" i="14" l="1"/>
  <c r="Z1" i="12"/>
  <c r="Z1" i="13"/>
  <c r="Z1" i="11"/>
  <c r="Z1" i="15"/>
  <c r="AW7" i="6"/>
  <c r="AX5" i="6"/>
  <c r="AX5" i="7"/>
  <c r="AW7" i="7"/>
  <c r="Z6" i="18" s="1"/>
  <c r="AB278" i="12"/>
  <c r="AA278" i="12"/>
  <c r="AB278" i="10"/>
  <c r="BJ4" i="5"/>
  <c r="BJ163" i="5"/>
  <c r="BH162" i="5"/>
  <c r="BH165" i="5"/>
  <c r="AM7" i="5"/>
  <c r="AN5" i="5"/>
  <c r="BG168" i="5"/>
  <c r="BH166" i="5"/>
  <c r="BH161" i="5"/>
  <c r="AN6" i="5"/>
  <c r="BF167" i="5"/>
  <c r="BG170" i="5"/>
  <c r="BG164" i="5"/>
  <c r="BH169" i="5"/>
  <c r="AA1" i="14" l="1"/>
  <c r="AA1" i="12"/>
  <c r="AA1" i="13"/>
  <c r="AA1" i="11"/>
  <c r="AA1" i="15"/>
  <c r="AY5" i="6"/>
  <c r="AX7" i="6"/>
  <c r="AX7" i="7"/>
  <c r="AY5" i="7"/>
  <c r="BI169" i="5"/>
  <c r="AO5" i="5"/>
  <c r="AN7" i="5"/>
  <c r="BI166" i="5"/>
  <c r="BK4" i="5"/>
  <c r="BI162" i="5"/>
  <c r="AO6" i="5"/>
  <c r="BH168" i="5"/>
  <c r="BI165" i="5"/>
  <c r="BG167" i="5"/>
  <c r="BH164" i="5"/>
  <c r="BI161" i="5"/>
  <c r="BK163" i="5"/>
  <c r="BH170" i="5"/>
  <c r="AY7" i="6" l="1"/>
  <c r="AZ5" i="6"/>
  <c r="AY7" i="7"/>
  <c r="AZ5" i="7"/>
  <c r="AP5" i="5"/>
  <c r="AO7" i="5"/>
  <c r="BJ169" i="5"/>
  <c r="BI164" i="5"/>
  <c r="Q1" i="10"/>
  <c r="Q1" i="9"/>
  <c r="Q1" i="8"/>
  <c r="BH167" i="5"/>
  <c r="AP6" i="5"/>
  <c r="BI168" i="5"/>
  <c r="BJ161" i="5"/>
  <c r="BL4" i="5"/>
  <c r="BJ166" i="5"/>
  <c r="BI170" i="5"/>
  <c r="BL163" i="5"/>
  <c r="BJ165" i="5"/>
  <c r="BJ162" i="5"/>
  <c r="AZ7" i="6" l="1"/>
  <c r="BA5" i="6"/>
  <c r="BA5" i="7"/>
  <c r="AZ7" i="7"/>
  <c r="BJ170" i="5"/>
  <c r="BI167" i="5"/>
  <c r="BK162" i="5"/>
  <c r="R1" i="10"/>
  <c r="R1" i="8"/>
  <c r="R1" i="9"/>
  <c r="BK161" i="5"/>
  <c r="AQ5" i="5"/>
  <c r="AP7" i="5"/>
  <c r="BM163" i="5"/>
  <c r="BJ164" i="5"/>
  <c r="BK169" i="5"/>
  <c r="BJ168" i="5"/>
  <c r="BK165" i="5"/>
  <c r="BK166" i="5"/>
  <c r="AQ6" i="5"/>
  <c r="BA7" i="6" l="1"/>
  <c r="BB5" i="6"/>
  <c r="BB5" i="7"/>
  <c r="BA7" i="7"/>
  <c r="AQ7" i="5"/>
  <c r="AR5" i="5"/>
  <c r="S1" i="10"/>
  <c r="S1" i="9"/>
  <c r="S1" i="8"/>
  <c r="BL169" i="5"/>
  <c r="BL166" i="5"/>
  <c r="BK164" i="5"/>
  <c r="BL161" i="5"/>
  <c r="BJ167" i="5"/>
  <c r="BL162" i="5"/>
  <c r="AR6" i="5"/>
  <c r="BL165" i="5"/>
  <c r="BK170" i="5"/>
  <c r="BK168" i="5"/>
  <c r="BB7" i="6" l="1"/>
  <c r="BC5" i="6"/>
  <c r="BC5" i="7"/>
  <c r="BB7" i="7"/>
  <c r="BL168" i="5"/>
  <c r="BL164" i="5"/>
  <c r="BL170" i="5"/>
  <c r="BM162" i="5"/>
  <c r="BM166" i="5"/>
  <c r="BM169" i="5"/>
  <c r="BK167" i="5"/>
  <c r="AR7" i="5"/>
  <c r="AS5" i="5"/>
  <c r="BM165" i="5"/>
  <c r="AS6" i="5"/>
  <c r="BM161" i="5"/>
  <c r="T1" i="9"/>
  <c r="T1" i="10"/>
  <c r="T1" i="8"/>
  <c r="BC7" i="6" l="1"/>
  <c r="BD5" i="6"/>
  <c r="BD5" i="7"/>
  <c r="BC7" i="7"/>
  <c r="U1" i="9"/>
  <c r="U1" i="10"/>
  <c r="U1" i="8"/>
  <c r="BM170" i="5"/>
  <c r="BM164" i="5"/>
  <c r="BM168" i="5"/>
  <c r="AT5" i="5"/>
  <c r="AS7" i="5"/>
  <c r="AT6" i="5"/>
  <c r="BL167" i="5"/>
  <c r="BD7" i="6" l="1"/>
  <c r="BE5" i="6"/>
  <c r="BD7" i="7"/>
  <c r="BE5" i="7"/>
  <c r="AT7" i="5"/>
  <c r="AU5" i="5"/>
  <c r="AU6" i="5"/>
  <c r="AB60" i="6"/>
  <c r="BM167" i="5"/>
  <c r="V1" i="9"/>
  <c r="V1" i="10"/>
  <c r="V1" i="8"/>
  <c r="BE7" i="6" l="1"/>
  <c r="BF5" i="6"/>
  <c r="BF5" i="7"/>
  <c r="BE7" i="7"/>
  <c r="W1" i="10"/>
  <c r="W1" i="9"/>
  <c r="W1" i="8"/>
  <c r="AU7" i="5"/>
  <c r="AV5" i="5"/>
  <c r="AV6" i="5"/>
  <c r="BF7" i="6" l="1"/>
  <c r="BG5" i="6"/>
  <c r="BG5" i="7"/>
  <c r="BF7" i="7"/>
  <c r="X1" i="10"/>
  <c r="X1" i="9"/>
  <c r="X1" i="8"/>
  <c r="AV7" i="5"/>
  <c r="AW5" i="5"/>
  <c r="AW6" i="5"/>
  <c r="BG7" i="6" l="1"/>
  <c r="BH5" i="6"/>
  <c r="BG7" i="7"/>
  <c r="BH5" i="7"/>
  <c r="AW7" i="5"/>
  <c r="AX5" i="5"/>
  <c r="AX6" i="5"/>
  <c r="Y1" i="10"/>
  <c r="Y1" i="9"/>
  <c r="Y1" i="8"/>
  <c r="BI5" i="6" l="1"/>
  <c r="BH7" i="6"/>
  <c r="BI5" i="7"/>
  <c r="BH7" i="7"/>
  <c r="AX7" i="5"/>
  <c r="AY5" i="5"/>
  <c r="Z1" i="10"/>
  <c r="Z1" i="9"/>
  <c r="Z1" i="8"/>
  <c r="AY6" i="5"/>
  <c r="BI7" i="6" l="1"/>
  <c r="BJ5" i="6"/>
  <c r="BI7" i="7"/>
  <c r="BJ5" i="7"/>
  <c r="AA1" i="10"/>
  <c r="AA1" i="9"/>
  <c r="AA1" i="8"/>
  <c r="AZ6" i="5"/>
  <c r="AY7" i="5"/>
  <c r="AZ5" i="5"/>
  <c r="BK5" i="6" l="1"/>
  <c r="BJ7" i="6"/>
  <c r="BJ7" i="7"/>
  <c r="BK5" i="7"/>
  <c r="BA6" i="5"/>
  <c r="AZ7" i="5"/>
  <c r="BA5" i="5"/>
  <c r="BK7" i="6" l="1"/>
  <c r="BL5" i="6"/>
  <c r="BL7" i="6" s="1"/>
  <c r="BK7" i="7"/>
  <c r="BL5" i="7"/>
  <c r="BL7" i="7" s="1"/>
  <c r="BB5" i="5"/>
  <c r="BA7" i="5"/>
  <c r="BB6" i="5"/>
  <c r="BC6" i="5" l="1"/>
  <c r="BC5" i="5"/>
  <c r="BB7" i="5"/>
  <c r="BD5" i="5" l="1"/>
  <c r="BC7" i="5"/>
  <c r="BD6" i="5"/>
  <c r="BE5" i="5" l="1"/>
  <c r="BD7" i="5"/>
  <c r="BE6" i="5"/>
  <c r="BE7" i="5" l="1"/>
  <c r="BF5" i="5"/>
  <c r="BF6" i="5"/>
  <c r="BG6" i="5" l="1"/>
  <c r="BF7" i="5"/>
  <c r="BG5" i="5"/>
  <c r="BG7" i="5" l="1"/>
  <c r="BH5" i="5"/>
  <c r="BH6" i="5"/>
  <c r="BI6" i="5" l="1"/>
  <c r="BH7" i="5"/>
  <c r="BI5" i="5"/>
  <c r="BI7" i="5" l="1"/>
  <c r="BJ5" i="5"/>
  <c r="BJ6" i="5"/>
  <c r="BK6" i="5" l="1"/>
  <c r="BK5" i="5"/>
  <c r="BJ7" i="5"/>
  <c r="BL5" i="5" l="1"/>
  <c r="BK7" i="5"/>
  <c r="BL6" i="5"/>
  <c r="BL7" i="5" l="1"/>
  <c r="F14" i="3"/>
  <c r="F15" i="3"/>
  <c r="F16" i="3"/>
  <c r="F17" i="3"/>
  <c r="F18" i="3"/>
  <c r="F19" i="3"/>
  <c r="F20" i="3"/>
  <c r="F21" i="3"/>
  <c r="G36" i="3"/>
  <c r="H36" i="3"/>
  <c r="I36" i="3"/>
  <c r="J36" i="3"/>
  <c r="K36" i="3"/>
  <c r="L36" i="3"/>
  <c r="M36" i="3"/>
  <c r="N36" i="3"/>
  <c r="O36" i="3"/>
  <c r="P36" i="3"/>
  <c r="Q36" i="3"/>
  <c r="R36" i="3"/>
  <c r="S36" i="3"/>
  <c r="T36" i="3"/>
  <c r="U36" i="3"/>
  <c r="V36" i="3"/>
  <c r="W36" i="3"/>
  <c r="X36" i="3"/>
  <c r="Y36" i="3"/>
  <c r="Z36" i="3"/>
  <c r="G37" i="3"/>
  <c r="H37" i="3"/>
  <c r="I37" i="3"/>
  <c r="J37" i="3"/>
  <c r="K37" i="3"/>
  <c r="L37" i="3"/>
  <c r="M37" i="3"/>
  <c r="N37" i="3"/>
  <c r="O37" i="3"/>
  <c r="P37" i="3"/>
  <c r="Q37" i="3"/>
  <c r="R37" i="3"/>
  <c r="S37" i="3"/>
  <c r="T37" i="3"/>
  <c r="U37" i="3"/>
  <c r="V37" i="3"/>
  <c r="W37" i="3"/>
  <c r="X37" i="3"/>
  <c r="Y37" i="3"/>
  <c r="Z37" i="3"/>
  <c r="G38" i="3"/>
  <c r="H38" i="3"/>
  <c r="I38" i="3"/>
  <c r="J38" i="3"/>
  <c r="K38" i="3"/>
  <c r="L38" i="3"/>
  <c r="M38" i="3"/>
  <c r="N38" i="3"/>
  <c r="O38" i="3"/>
  <c r="P38" i="3"/>
  <c r="Q38" i="3"/>
  <c r="R38" i="3"/>
  <c r="S38" i="3"/>
  <c r="T38" i="3"/>
  <c r="U38" i="3"/>
  <c r="V38" i="3"/>
  <c r="W38" i="3"/>
  <c r="X38" i="3"/>
  <c r="Y38" i="3"/>
  <c r="Z38" i="3"/>
  <c r="G39" i="3"/>
  <c r="H39" i="3"/>
  <c r="I39" i="3"/>
  <c r="J39" i="3"/>
  <c r="K39" i="3"/>
  <c r="L39" i="3"/>
  <c r="M39" i="3"/>
  <c r="N39" i="3"/>
  <c r="O39" i="3"/>
  <c r="P39" i="3"/>
  <c r="Q39" i="3"/>
  <c r="R39" i="3"/>
  <c r="S39" i="3"/>
  <c r="T39" i="3"/>
  <c r="U39" i="3"/>
  <c r="V39" i="3"/>
  <c r="W39" i="3"/>
  <c r="X39" i="3"/>
  <c r="Y39" i="3"/>
  <c r="Z39" i="3"/>
  <c r="G40" i="3"/>
  <c r="H40" i="3"/>
  <c r="I40" i="3"/>
  <c r="J40" i="3"/>
  <c r="K40" i="3"/>
  <c r="L40" i="3"/>
  <c r="M40" i="3"/>
  <c r="N40" i="3"/>
  <c r="O40" i="3"/>
  <c r="P40" i="3"/>
  <c r="Q40" i="3"/>
  <c r="R40" i="3"/>
  <c r="S40" i="3"/>
  <c r="T40" i="3"/>
  <c r="U40" i="3"/>
  <c r="V40" i="3"/>
  <c r="W40" i="3"/>
  <c r="X40" i="3"/>
  <c r="Y40" i="3"/>
  <c r="Z40" i="3"/>
  <c r="G41" i="3"/>
  <c r="H41" i="3"/>
  <c r="I41" i="3"/>
  <c r="J41" i="3"/>
  <c r="K41" i="3"/>
  <c r="L41" i="3"/>
  <c r="M41" i="3"/>
  <c r="N41" i="3"/>
  <c r="O41" i="3"/>
  <c r="P41" i="3"/>
  <c r="Q41" i="3"/>
  <c r="R41" i="3"/>
  <c r="S41" i="3"/>
  <c r="T41" i="3"/>
  <c r="U41" i="3"/>
  <c r="V41" i="3"/>
  <c r="W41" i="3"/>
  <c r="X41" i="3"/>
  <c r="Y41" i="3"/>
  <c r="Z41" i="3"/>
  <c r="G42" i="3"/>
  <c r="H42" i="3"/>
  <c r="I42" i="3"/>
  <c r="J42" i="3"/>
  <c r="K42" i="3"/>
  <c r="L42" i="3"/>
  <c r="M42" i="3"/>
  <c r="N42" i="3"/>
  <c r="O42" i="3"/>
  <c r="P42" i="3"/>
  <c r="Q42" i="3"/>
  <c r="R42" i="3"/>
  <c r="S42" i="3"/>
  <c r="T42" i="3"/>
  <c r="U42" i="3"/>
  <c r="V42" i="3"/>
  <c r="W42" i="3"/>
  <c r="X42" i="3"/>
  <c r="Y42" i="3"/>
  <c r="Z42" i="3"/>
  <c r="G43" i="3"/>
  <c r="H43" i="3"/>
  <c r="I43" i="3"/>
  <c r="J43" i="3"/>
  <c r="K43" i="3"/>
  <c r="L43" i="3"/>
  <c r="M43" i="3"/>
  <c r="N43" i="3"/>
  <c r="O43" i="3"/>
  <c r="P43" i="3"/>
  <c r="Q43" i="3"/>
  <c r="R43" i="3"/>
  <c r="S43" i="3"/>
  <c r="T43" i="3"/>
  <c r="U43" i="3"/>
  <c r="V43" i="3"/>
  <c r="W43" i="3"/>
  <c r="X43" i="3"/>
  <c r="Y43" i="3"/>
  <c r="Z43" i="3"/>
  <c r="G45" i="3"/>
  <c r="H45" i="3"/>
  <c r="I45" i="3"/>
  <c r="J45" i="3"/>
  <c r="K45" i="3"/>
  <c r="L45" i="3"/>
  <c r="M45" i="3"/>
  <c r="N45" i="3"/>
  <c r="O45" i="3"/>
  <c r="P45" i="3"/>
  <c r="Q45" i="3"/>
  <c r="R45" i="3"/>
  <c r="S45" i="3"/>
  <c r="T45" i="3"/>
  <c r="U45" i="3"/>
  <c r="V45" i="3"/>
  <c r="W45" i="3"/>
  <c r="X45" i="3"/>
  <c r="Y45" i="3"/>
  <c r="Z45" i="3"/>
  <c r="G46" i="3"/>
  <c r="H46" i="3"/>
  <c r="I46" i="3"/>
  <c r="J46" i="3"/>
  <c r="K46" i="3"/>
  <c r="L46" i="3"/>
  <c r="M46" i="3"/>
  <c r="N46" i="3"/>
  <c r="O46" i="3"/>
  <c r="P46" i="3"/>
  <c r="Q46" i="3"/>
  <c r="R46" i="3"/>
  <c r="S46" i="3"/>
  <c r="T46" i="3"/>
  <c r="U46" i="3"/>
  <c r="V46" i="3"/>
  <c r="W46" i="3"/>
  <c r="X46" i="3"/>
  <c r="Y46" i="3"/>
  <c r="Z46" i="3"/>
  <c r="F1" i="13"/>
  <c r="G218" i="13"/>
  <c r="H218" i="13"/>
  <c r="I218" i="13"/>
  <c r="J218" i="13"/>
  <c r="K218" i="13"/>
  <c r="L218" i="13"/>
  <c r="M218" i="13"/>
  <c r="N218" i="13"/>
  <c r="O218" i="13"/>
  <c r="P218" i="13"/>
  <c r="Q218" i="13"/>
  <c r="R218" i="13"/>
  <c r="S218" i="13"/>
  <c r="T218" i="13"/>
  <c r="U218" i="13"/>
  <c r="V218" i="13"/>
  <c r="W218" i="13"/>
  <c r="X218" i="13"/>
  <c r="Y218" i="13"/>
  <c r="Z218" i="13"/>
  <c r="AA218" i="13"/>
  <c r="H219" i="13"/>
  <c r="I219" i="13"/>
  <c r="J219" i="13"/>
  <c r="K219" i="13"/>
  <c r="L219" i="13"/>
  <c r="M219" i="13"/>
  <c r="N219" i="13"/>
  <c r="O219" i="13"/>
  <c r="P219" i="13"/>
  <c r="Q219" i="13"/>
  <c r="R219" i="13"/>
  <c r="S219" i="13"/>
  <c r="T219" i="13"/>
  <c r="U219" i="13"/>
  <c r="V219" i="13"/>
  <c r="W219" i="13"/>
  <c r="X219" i="13"/>
  <c r="Y219" i="13"/>
  <c r="Z219" i="13"/>
  <c r="AA219" i="13"/>
  <c r="H228" i="13"/>
  <c r="I228" i="13"/>
  <c r="J228" i="13"/>
  <c r="K228" i="13"/>
  <c r="L228" i="13"/>
  <c r="M228" i="13"/>
  <c r="N228" i="13"/>
  <c r="O228" i="13"/>
  <c r="P228" i="13"/>
  <c r="Q228" i="13"/>
  <c r="R228" i="13"/>
  <c r="S228" i="13"/>
  <c r="T228" i="13"/>
  <c r="U228" i="13"/>
  <c r="V228" i="13"/>
  <c r="W228" i="13"/>
  <c r="X228" i="13"/>
  <c r="Y228" i="13"/>
  <c r="Z228" i="13"/>
  <c r="AA228" i="13"/>
  <c r="H230" i="13"/>
  <c r="I230" i="13"/>
  <c r="J230" i="13"/>
  <c r="K230" i="13"/>
  <c r="L230" i="13"/>
  <c r="M230" i="13"/>
  <c r="N230" i="13"/>
  <c r="O230" i="13"/>
  <c r="P230" i="13"/>
  <c r="Q230" i="13"/>
  <c r="R230" i="13"/>
  <c r="S230" i="13"/>
  <c r="T230" i="13"/>
  <c r="U230" i="13"/>
  <c r="V230" i="13"/>
  <c r="W230" i="13"/>
  <c r="X230" i="13"/>
  <c r="Y230" i="13"/>
  <c r="Z230" i="13"/>
  <c r="AA230" i="13"/>
  <c r="H231" i="13"/>
  <c r="I231" i="13"/>
  <c r="J231" i="13"/>
  <c r="K231" i="13"/>
  <c r="L231" i="13"/>
  <c r="M231" i="13"/>
  <c r="N231" i="13"/>
  <c r="O231" i="13"/>
  <c r="P231" i="13"/>
  <c r="Q231" i="13"/>
  <c r="R231" i="13"/>
  <c r="S231" i="13"/>
  <c r="T231" i="13"/>
  <c r="U231" i="13"/>
  <c r="V231" i="13"/>
  <c r="W231" i="13"/>
  <c r="X231" i="13"/>
  <c r="Y231" i="13"/>
  <c r="Z231" i="13"/>
  <c r="AA231" i="13"/>
  <c r="H242" i="13"/>
  <c r="I242" i="13"/>
  <c r="J242" i="13"/>
  <c r="K242" i="13"/>
  <c r="L242" i="13"/>
  <c r="M242" i="13"/>
  <c r="N242" i="13"/>
  <c r="O242" i="13"/>
  <c r="P242" i="13"/>
  <c r="Q242" i="13"/>
  <c r="R242" i="13"/>
  <c r="S242" i="13"/>
  <c r="T242" i="13"/>
  <c r="U242" i="13"/>
  <c r="V242" i="13"/>
  <c r="W242" i="13"/>
  <c r="X242" i="13"/>
  <c r="Y242" i="13"/>
  <c r="Z242" i="13"/>
  <c r="AA242" i="13"/>
  <c r="AB242" i="13"/>
  <c r="H243" i="13"/>
  <c r="I243" i="13"/>
  <c r="J243" i="13"/>
  <c r="K243" i="13"/>
  <c r="L243" i="13"/>
  <c r="M243" i="13"/>
  <c r="N243" i="13"/>
  <c r="O243" i="13"/>
  <c r="P243" i="13"/>
  <c r="Q243" i="13"/>
  <c r="R243" i="13"/>
  <c r="S243" i="13"/>
  <c r="T243" i="13"/>
  <c r="U243" i="13"/>
  <c r="V243" i="13"/>
  <c r="W243" i="13"/>
  <c r="X243" i="13"/>
  <c r="Y243" i="13"/>
  <c r="Z243" i="13"/>
  <c r="AA243" i="13"/>
  <c r="AB243" i="13"/>
  <c r="H244" i="13"/>
  <c r="I244" i="13"/>
  <c r="J244" i="13"/>
  <c r="K244" i="13"/>
  <c r="L244" i="13"/>
  <c r="M244" i="13"/>
  <c r="N244" i="13"/>
  <c r="O244" i="13"/>
  <c r="P244" i="13"/>
  <c r="Q244" i="13"/>
  <c r="R244" i="13"/>
  <c r="S244" i="13"/>
  <c r="T244" i="13"/>
  <c r="U244" i="13"/>
  <c r="V244" i="13"/>
  <c r="W244" i="13"/>
  <c r="X244" i="13"/>
  <c r="Y244" i="13"/>
  <c r="Z244" i="13"/>
  <c r="AA244" i="13"/>
  <c r="AB244" i="13"/>
  <c r="G245" i="13"/>
  <c r="H247" i="13"/>
  <c r="I247" i="13"/>
  <c r="J247" i="13"/>
  <c r="K247" i="13"/>
  <c r="L247" i="13"/>
  <c r="M247" i="13"/>
  <c r="N247" i="13"/>
  <c r="O247" i="13"/>
  <c r="P247" i="13"/>
  <c r="Q247" i="13"/>
  <c r="R247" i="13"/>
  <c r="S247" i="13"/>
  <c r="T247" i="13"/>
  <c r="U247" i="13"/>
  <c r="V247" i="13"/>
  <c r="W247" i="13"/>
  <c r="X247" i="13"/>
  <c r="Y247" i="13"/>
  <c r="Z247" i="13"/>
  <c r="AA247" i="13"/>
  <c r="G248" i="13"/>
  <c r="G249" i="13"/>
  <c r="G253" i="13"/>
  <c r="G262" i="13"/>
  <c r="G264" i="13"/>
  <c r="G265" i="13"/>
  <c r="G276" i="13"/>
  <c r="G277" i="13"/>
  <c r="G278" i="13"/>
  <c r="G279" i="13"/>
  <c r="G280" i="13"/>
  <c r="G284" i="13"/>
  <c r="H284" i="13"/>
  <c r="I284" i="13"/>
  <c r="J284" i="13"/>
  <c r="K284" i="13"/>
  <c r="L284" i="13"/>
  <c r="M284" i="13"/>
  <c r="N284" i="13"/>
  <c r="O284" i="13"/>
  <c r="P284" i="13"/>
  <c r="Q284" i="13"/>
  <c r="R284" i="13"/>
  <c r="S284" i="13"/>
  <c r="T284" i="13"/>
  <c r="U284" i="13"/>
  <c r="V284" i="13"/>
  <c r="W284" i="13"/>
  <c r="X284" i="13"/>
  <c r="Y284" i="13"/>
  <c r="Z284" i="13"/>
  <c r="AA284" i="13"/>
  <c r="G285" i="13"/>
  <c r="H285" i="13"/>
  <c r="I285" i="13"/>
  <c r="J285" i="13"/>
  <c r="K285" i="13"/>
  <c r="L285" i="13"/>
  <c r="M285" i="13"/>
  <c r="N285" i="13"/>
  <c r="O285" i="13"/>
  <c r="P285" i="13"/>
  <c r="Q285" i="13"/>
  <c r="R285" i="13"/>
  <c r="S285" i="13"/>
  <c r="T285" i="13"/>
  <c r="U285" i="13"/>
  <c r="V285" i="13"/>
  <c r="W285" i="13"/>
  <c r="X285" i="13"/>
  <c r="Y285" i="13"/>
  <c r="Z285" i="13"/>
  <c r="AA285" i="13"/>
  <c r="G294" i="13"/>
  <c r="H294" i="13"/>
  <c r="I294" i="13"/>
  <c r="J294" i="13"/>
  <c r="K294" i="13"/>
  <c r="L294" i="13"/>
  <c r="M294" i="13"/>
  <c r="N294" i="13"/>
  <c r="O294" i="13"/>
  <c r="P294" i="13"/>
  <c r="Q294" i="13"/>
  <c r="R294" i="13"/>
  <c r="S294" i="13"/>
  <c r="T294" i="13"/>
  <c r="U294" i="13"/>
  <c r="V294" i="13"/>
  <c r="W294" i="13"/>
  <c r="X294" i="13"/>
  <c r="Y294" i="13"/>
  <c r="Z294" i="13"/>
  <c r="AA294" i="13"/>
  <c r="G296" i="13"/>
  <c r="H296" i="13"/>
  <c r="I296" i="13"/>
  <c r="J296" i="13"/>
  <c r="K296" i="13"/>
  <c r="L296" i="13"/>
  <c r="M296" i="13"/>
  <c r="N296" i="13"/>
  <c r="O296" i="13"/>
  <c r="P296" i="13"/>
  <c r="Q296" i="13"/>
  <c r="R296" i="13"/>
  <c r="S296" i="13"/>
  <c r="T296" i="13"/>
  <c r="U296" i="13"/>
  <c r="V296" i="13"/>
  <c r="W296" i="13"/>
  <c r="X296" i="13"/>
  <c r="Y296" i="13"/>
  <c r="Z296" i="13"/>
  <c r="AA296" i="13"/>
  <c r="G297" i="13"/>
  <c r="H297" i="13"/>
  <c r="I297" i="13"/>
  <c r="J297" i="13"/>
  <c r="K297" i="13"/>
  <c r="L297" i="13"/>
  <c r="M297" i="13"/>
  <c r="N297" i="13"/>
  <c r="O297" i="13"/>
  <c r="P297" i="13"/>
  <c r="Q297" i="13"/>
  <c r="R297" i="13"/>
  <c r="S297" i="13"/>
  <c r="T297" i="13"/>
  <c r="U297" i="13"/>
  <c r="V297" i="13"/>
  <c r="W297" i="13"/>
  <c r="X297" i="13"/>
  <c r="Y297" i="13"/>
  <c r="Z297" i="13"/>
  <c r="AA297" i="13"/>
  <c r="G308" i="13"/>
  <c r="H308" i="13"/>
  <c r="I308" i="13"/>
  <c r="J308" i="13"/>
  <c r="K308" i="13"/>
  <c r="L308" i="13"/>
  <c r="M308" i="13"/>
  <c r="N308" i="13"/>
  <c r="O308" i="13"/>
  <c r="P308" i="13"/>
  <c r="Q308" i="13"/>
  <c r="R308" i="13"/>
  <c r="S308" i="13"/>
  <c r="T308" i="13"/>
  <c r="U308" i="13"/>
  <c r="V308" i="13"/>
  <c r="W308" i="13"/>
  <c r="X308" i="13"/>
  <c r="Y308" i="13"/>
  <c r="Z308" i="13"/>
  <c r="AA308" i="13"/>
  <c r="AB308" i="13"/>
  <c r="G309" i="13"/>
  <c r="H309" i="13"/>
  <c r="I309" i="13"/>
  <c r="J309" i="13"/>
  <c r="K309" i="13"/>
  <c r="L309" i="13"/>
  <c r="M309" i="13"/>
  <c r="N309" i="13"/>
  <c r="O309" i="13"/>
  <c r="P309" i="13"/>
  <c r="Q309" i="13"/>
  <c r="R309" i="13"/>
  <c r="S309" i="13"/>
  <c r="T309" i="13"/>
  <c r="U309" i="13"/>
  <c r="V309" i="13"/>
  <c r="W309" i="13"/>
  <c r="X309" i="13"/>
  <c r="Y309" i="13"/>
  <c r="Z309" i="13"/>
  <c r="AA309" i="13"/>
  <c r="AB309" i="13"/>
  <c r="G310" i="13"/>
  <c r="H310" i="13"/>
  <c r="I310" i="13"/>
  <c r="J310" i="13"/>
  <c r="K310" i="13"/>
  <c r="L310" i="13"/>
  <c r="M310" i="13"/>
  <c r="N310" i="13"/>
  <c r="O310" i="13"/>
  <c r="P310" i="13"/>
  <c r="Q310" i="13"/>
  <c r="R310" i="13"/>
  <c r="S310" i="13"/>
  <c r="T310" i="13"/>
  <c r="U310" i="13"/>
  <c r="V310" i="13"/>
  <c r="W310" i="13"/>
  <c r="X310" i="13"/>
  <c r="Y310" i="13"/>
  <c r="Z310" i="13"/>
  <c r="AA310" i="13"/>
  <c r="AB310" i="13"/>
  <c r="G311" i="13"/>
  <c r="G313" i="13"/>
  <c r="H313" i="13"/>
  <c r="I313" i="13"/>
  <c r="J313" i="13"/>
  <c r="K313" i="13"/>
  <c r="L313" i="13"/>
  <c r="M313" i="13"/>
  <c r="N313" i="13"/>
  <c r="O313" i="13"/>
  <c r="P313" i="13"/>
  <c r="Q313" i="13"/>
  <c r="R313" i="13"/>
  <c r="S313" i="13"/>
  <c r="T313" i="13"/>
  <c r="U313" i="13"/>
  <c r="V313" i="13"/>
  <c r="W313" i="13"/>
  <c r="X313" i="13"/>
  <c r="Y313" i="13"/>
  <c r="Z313" i="13"/>
  <c r="AA313" i="13"/>
  <c r="G314" i="13"/>
  <c r="G315" i="13"/>
  <c r="F1" i="15"/>
  <c r="G218" i="15"/>
  <c r="H218" i="15"/>
  <c r="I218" i="15"/>
  <c r="J218" i="15"/>
  <c r="K218" i="15"/>
  <c r="L218" i="15"/>
  <c r="M218" i="15"/>
  <c r="N218" i="15"/>
  <c r="O218" i="15"/>
  <c r="P218" i="15"/>
  <c r="Q218" i="15"/>
  <c r="R218" i="15"/>
  <c r="S218" i="15"/>
  <c r="T218" i="15"/>
  <c r="U218" i="15"/>
  <c r="V218" i="15"/>
  <c r="W218" i="15"/>
  <c r="X218" i="15"/>
  <c r="Y218" i="15"/>
  <c r="Z218" i="15"/>
  <c r="AA218" i="15"/>
  <c r="H219" i="15"/>
  <c r="I219" i="15"/>
  <c r="J219" i="15"/>
  <c r="K219" i="15"/>
  <c r="L219" i="15"/>
  <c r="M219" i="15"/>
  <c r="N219" i="15"/>
  <c r="O219" i="15"/>
  <c r="P219" i="15"/>
  <c r="Q219" i="15"/>
  <c r="R219" i="15"/>
  <c r="S219" i="15"/>
  <c r="T219" i="15"/>
  <c r="U219" i="15"/>
  <c r="V219" i="15"/>
  <c r="W219" i="15"/>
  <c r="X219" i="15"/>
  <c r="Y219" i="15"/>
  <c r="Z219" i="15"/>
  <c r="AA219" i="15"/>
  <c r="H228" i="15"/>
  <c r="I228" i="15"/>
  <c r="J228" i="15"/>
  <c r="K228" i="15"/>
  <c r="L228" i="15"/>
  <c r="M228" i="15"/>
  <c r="N228" i="15"/>
  <c r="O228" i="15"/>
  <c r="P228" i="15"/>
  <c r="Q228" i="15"/>
  <c r="R228" i="15"/>
  <c r="S228" i="15"/>
  <c r="T228" i="15"/>
  <c r="U228" i="15"/>
  <c r="V228" i="15"/>
  <c r="W228" i="15"/>
  <c r="X228" i="15"/>
  <c r="Y228" i="15"/>
  <c r="Z228" i="15"/>
  <c r="AA228" i="15"/>
  <c r="H230" i="15"/>
  <c r="I230" i="15"/>
  <c r="J230" i="15"/>
  <c r="K230" i="15"/>
  <c r="L230" i="15"/>
  <c r="M230" i="15"/>
  <c r="N230" i="15"/>
  <c r="O230" i="15"/>
  <c r="P230" i="15"/>
  <c r="Q230" i="15"/>
  <c r="R230" i="15"/>
  <c r="S230" i="15"/>
  <c r="T230" i="15"/>
  <c r="U230" i="15"/>
  <c r="V230" i="15"/>
  <c r="W230" i="15"/>
  <c r="X230" i="15"/>
  <c r="Y230" i="15"/>
  <c r="Z230" i="15"/>
  <c r="AA230" i="15"/>
  <c r="H231" i="15"/>
  <c r="I231" i="15"/>
  <c r="J231" i="15"/>
  <c r="K231" i="15"/>
  <c r="L231" i="15"/>
  <c r="M231" i="15"/>
  <c r="N231" i="15"/>
  <c r="O231" i="15"/>
  <c r="P231" i="15"/>
  <c r="Q231" i="15"/>
  <c r="R231" i="15"/>
  <c r="S231" i="15"/>
  <c r="T231" i="15"/>
  <c r="U231" i="15"/>
  <c r="V231" i="15"/>
  <c r="W231" i="15"/>
  <c r="X231" i="15"/>
  <c r="Y231" i="15"/>
  <c r="Z231" i="15"/>
  <c r="AA231" i="15"/>
  <c r="H242" i="15"/>
  <c r="I242" i="15"/>
  <c r="J242" i="15"/>
  <c r="K242" i="15"/>
  <c r="L242" i="15"/>
  <c r="M242" i="15"/>
  <c r="N242" i="15"/>
  <c r="O242" i="15"/>
  <c r="P242" i="15"/>
  <c r="Q242" i="15"/>
  <c r="R242" i="15"/>
  <c r="S242" i="15"/>
  <c r="T242" i="15"/>
  <c r="U242" i="15"/>
  <c r="V242" i="15"/>
  <c r="W242" i="15"/>
  <c r="X242" i="15"/>
  <c r="Y242" i="15"/>
  <c r="Z242" i="15"/>
  <c r="AA242" i="15"/>
  <c r="AB242" i="15"/>
  <c r="H243" i="15"/>
  <c r="I243" i="15"/>
  <c r="J243" i="15"/>
  <c r="K243" i="15"/>
  <c r="L243" i="15"/>
  <c r="M243" i="15"/>
  <c r="N243" i="15"/>
  <c r="O243" i="15"/>
  <c r="P243" i="15"/>
  <c r="Q243" i="15"/>
  <c r="R243" i="15"/>
  <c r="S243" i="15"/>
  <c r="T243" i="15"/>
  <c r="U243" i="15"/>
  <c r="V243" i="15"/>
  <c r="W243" i="15"/>
  <c r="X243" i="15"/>
  <c r="Y243" i="15"/>
  <c r="Z243" i="15"/>
  <c r="AA243" i="15"/>
  <c r="AB243" i="15"/>
  <c r="H244" i="15"/>
  <c r="I244" i="15"/>
  <c r="J244" i="15"/>
  <c r="K244" i="15"/>
  <c r="L244" i="15"/>
  <c r="M244" i="15"/>
  <c r="N244" i="15"/>
  <c r="O244" i="15"/>
  <c r="P244" i="15"/>
  <c r="Q244" i="15"/>
  <c r="R244" i="15"/>
  <c r="S244" i="15"/>
  <c r="T244" i="15"/>
  <c r="U244" i="15"/>
  <c r="V244" i="15"/>
  <c r="W244" i="15"/>
  <c r="X244" i="15"/>
  <c r="Y244" i="15"/>
  <c r="Z244" i="15"/>
  <c r="AA244" i="15"/>
  <c r="AB244" i="15"/>
  <c r="G245" i="15"/>
  <c r="H247" i="15"/>
  <c r="I247" i="15"/>
  <c r="J247" i="15"/>
  <c r="K247" i="15"/>
  <c r="L247" i="15"/>
  <c r="M247" i="15"/>
  <c r="N247" i="15"/>
  <c r="O247" i="15"/>
  <c r="P247" i="15"/>
  <c r="Q247" i="15"/>
  <c r="R247" i="15"/>
  <c r="S247" i="15"/>
  <c r="T247" i="15"/>
  <c r="U247" i="15"/>
  <c r="V247" i="15"/>
  <c r="W247" i="15"/>
  <c r="X247" i="15"/>
  <c r="Y247" i="15"/>
  <c r="Z247" i="15"/>
  <c r="AA247" i="15"/>
  <c r="G248" i="15"/>
  <c r="G249" i="15"/>
  <c r="G253" i="15"/>
  <c r="G262" i="15"/>
  <c r="G264" i="15"/>
  <c r="G265" i="15"/>
  <c r="G276" i="15"/>
  <c r="G277" i="15"/>
  <c r="G278" i="15"/>
  <c r="G279" i="15"/>
  <c r="G280" i="15"/>
  <c r="G284" i="15"/>
  <c r="H284" i="15"/>
  <c r="I284" i="15"/>
  <c r="J284" i="15"/>
  <c r="K284" i="15"/>
  <c r="L284" i="15"/>
  <c r="M284" i="15"/>
  <c r="N284" i="15"/>
  <c r="O284" i="15"/>
  <c r="P284" i="15"/>
  <c r="Q284" i="15"/>
  <c r="R284" i="15"/>
  <c r="S284" i="15"/>
  <c r="T284" i="15"/>
  <c r="U284" i="15"/>
  <c r="V284" i="15"/>
  <c r="W284" i="15"/>
  <c r="X284" i="15"/>
  <c r="Y284" i="15"/>
  <c r="Z284" i="15"/>
  <c r="AA284" i="15"/>
  <c r="G285" i="15"/>
  <c r="H285" i="15"/>
  <c r="I285" i="15"/>
  <c r="J285" i="15"/>
  <c r="K285" i="15"/>
  <c r="L285" i="15"/>
  <c r="M285" i="15"/>
  <c r="N285" i="15"/>
  <c r="O285" i="15"/>
  <c r="P285" i="15"/>
  <c r="Q285" i="15"/>
  <c r="R285" i="15"/>
  <c r="S285" i="15"/>
  <c r="T285" i="15"/>
  <c r="U285" i="15"/>
  <c r="V285" i="15"/>
  <c r="W285" i="15"/>
  <c r="X285" i="15"/>
  <c r="Y285" i="15"/>
  <c r="Z285" i="15"/>
  <c r="AA285" i="15"/>
  <c r="G294" i="15"/>
  <c r="H294" i="15"/>
  <c r="I294" i="15"/>
  <c r="J294" i="15"/>
  <c r="K294" i="15"/>
  <c r="L294" i="15"/>
  <c r="M294" i="15"/>
  <c r="N294" i="15"/>
  <c r="O294" i="15"/>
  <c r="P294" i="15"/>
  <c r="Q294" i="15"/>
  <c r="R294" i="15"/>
  <c r="S294" i="15"/>
  <c r="T294" i="15"/>
  <c r="U294" i="15"/>
  <c r="V294" i="15"/>
  <c r="W294" i="15"/>
  <c r="X294" i="15"/>
  <c r="Y294" i="15"/>
  <c r="Z294" i="15"/>
  <c r="AA294" i="15"/>
  <c r="G296" i="15"/>
  <c r="H296" i="15"/>
  <c r="I296" i="15"/>
  <c r="J296" i="15"/>
  <c r="K296" i="15"/>
  <c r="L296" i="15"/>
  <c r="M296" i="15"/>
  <c r="N296" i="15"/>
  <c r="O296" i="15"/>
  <c r="P296" i="15"/>
  <c r="Q296" i="15"/>
  <c r="R296" i="15"/>
  <c r="S296" i="15"/>
  <c r="T296" i="15"/>
  <c r="U296" i="15"/>
  <c r="V296" i="15"/>
  <c r="W296" i="15"/>
  <c r="X296" i="15"/>
  <c r="Y296" i="15"/>
  <c r="Z296" i="15"/>
  <c r="AA296" i="15"/>
  <c r="G297" i="15"/>
  <c r="H297" i="15"/>
  <c r="I297" i="15"/>
  <c r="J297" i="15"/>
  <c r="K297" i="15"/>
  <c r="L297" i="15"/>
  <c r="M297" i="15"/>
  <c r="N297" i="15"/>
  <c r="O297" i="15"/>
  <c r="P297" i="15"/>
  <c r="Q297" i="15"/>
  <c r="R297" i="15"/>
  <c r="S297" i="15"/>
  <c r="T297" i="15"/>
  <c r="U297" i="15"/>
  <c r="V297" i="15"/>
  <c r="W297" i="15"/>
  <c r="X297" i="15"/>
  <c r="Y297" i="15"/>
  <c r="Z297" i="15"/>
  <c r="AA297" i="15"/>
  <c r="G308" i="15"/>
  <c r="H308" i="15"/>
  <c r="I308" i="15"/>
  <c r="J308" i="15"/>
  <c r="K308" i="15"/>
  <c r="L308" i="15"/>
  <c r="M308" i="15"/>
  <c r="N308" i="15"/>
  <c r="O308" i="15"/>
  <c r="P308" i="15"/>
  <c r="Q308" i="15"/>
  <c r="R308" i="15"/>
  <c r="S308" i="15"/>
  <c r="T308" i="15"/>
  <c r="U308" i="15"/>
  <c r="V308" i="15"/>
  <c r="W308" i="15"/>
  <c r="X308" i="15"/>
  <c r="Y308" i="15"/>
  <c r="Z308" i="15"/>
  <c r="AA308" i="15"/>
  <c r="AB308" i="15"/>
  <c r="G309" i="15"/>
  <c r="H309" i="15"/>
  <c r="I309" i="15"/>
  <c r="J309" i="15"/>
  <c r="K309" i="15"/>
  <c r="L309" i="15"/>
  <c r="M309" i="15"/>
  <c r="N309" i="15"/>
  <c r="O309" i="15"/>
  <c r="P309" i="15"/>
  <c r="Q309" i="15"/>
  <c r="R309" i="15"/>
  <c r="S309" i="15"/>
  <c r="T309" i="15"/>
  <c r="U309" i="15"/>
  <c r="V309" i="15"/>
  <c r="W309" i="15"/>
  <c r="X309" i="15"/>
  <c r="Y309" i="15"/>
  <c r="Z309" i="15"/>
  <c r="AA309" i="15"/>
  <c r="AB309" i="15"/>
  <c r="G310" i="15"/>
  <c r="H310" i="15"/>
  <c r="I310" i="15"/>
  <c r="J310" i="15"/>
  <c r="K310" i="15"/>
  <c r="L310" i="15"/>
  <c r="M310" i="15"/>
  <c r="N310" i="15"/>
  <c r="O310" i="15"/>
  <c r="P310" i="15"/>
  <c r="Q310" i="15"/>
  <c r="R310" i="15"/>
  <c r="S310" i="15"/>
  <c r="T310" i="15"/>
  <c r="U310" i="15"/>
  <c r="V310" i="15"/>
  <c r="W310" i="15"/>
  <c r="X310" i="15"/>
  <c r="Y310" i="15"/>
  <c r="Z310" i="15"/>
  <c r="AA310" i="15"/>
  <c r="AB310" i="15"/>
  <c r="G311" i="15"/>
  <c r="G313" i="15"/>
  <c r="H313" i="15"/>
  <c r="I313" i="15"/>
  <c r="J313" i="15"/>
  <c r="K313" i="15"/>
  <c r="L313" i="15"/>
  <c r="M313" i="15"/>
  <c r="N313" i="15"/>
  <c r="O313" i="15"/>
  <c r="P313" i="15"/>
  <c r="Q313" i="15"/>
  <c r="R313" i="15"/>
  <c r="S313" i="15"/>
  <c r="T313" i="15"/>
  <c r="U313" i="15"/>
  <c r="V313" i="15"/>
  <c r="W313" i="15"/>
  <c r="X313" i="15"/>
  <c r="Y313" i="15"/>
  <c r="Z313" i="15"/>
  <c r="AA313" i="15"/>
  <c r="G314" i="15"/>
  <c r="G315" i="15"/>
  <c r="F1" i="11"/>
  <c r="G218" i="11"/>
  <c r="H218" i="11"/>
  <c r="I218" i="11"/>
  <c r="J218" i="11"/>
  <c r="K218" i="11"/>
  <c r="L218" i="11"/>
  <c r="M218" i="11"/>
  <c r="N218" i="11"/>
  <c r="O218" i="11"/>
  <c r="P218" i="11"/>
  <c r="Q218" i="11"/>
  <c r="R218" i="11"/>
  <c r="S218" i="11"/>
  <c r="T218" i="11"/>
  <c r="U218" i="11"/>
  <c r="V218" i="11"/>
  <c r="W218" i="11"/>
  <c r="X218" i="11"/>
  <c r="Y218" i="11"/>
  <c r="Z218" i="11"/>
  <c r="AA218" i="11"/>
  <c r="H219" i="11"/>
  <c r="I219" i="11"/>
  <c r="J219" i="11"/>
  <c r="K219" i="11"/>
  <c r="L219" i="11"/>
  <c r="M219" i="11"/>
  <c r="N219" i="11"/>
  <c r="O219" i="11"/>
  <c r="P219" i="11"/>
  <c r="Q219" i="11"/>
  <c r="R219" i="11"/>
  <c r="S219" i="11"/>
  <c r="T219" i="11"/>
  <c r="U219" i="11"/>
  <c r="V219" i="11"/>
  <c r="W219" i="11"/>
  <c r="X219" i="11"/>
  <c r="Y219" i="11"/>
  <c r="Z219" i="11"/>
  <c r="AA219" i="11"/>
  <c r="H228" i="11"/>
  <c r="I228" i="11"/>
  <c r="J228" i="11"/>
  <c r="K228" i="11"/>
  <c r="L228" i="11"/>
  <c r="M228" i="11"/>
  <c r="N228" i="11"/>
  <c r="O228" i="11"/>
  <c r="P228" i="11"/>
  <c r="Q228" i="11"/>
  <c r="R228" i="11"/>
  <c r="S228" i="11"/>
  <c r="T228" i="11"/>
  <c r="U228" i="11"/>
  <c r="V228" i="11"/>
  <c r="W228" i="11"/>
  <c r="X228" i="11"/>
  <c r="Y228" i="11"/>
  <c r="Z228" i="11"/>
  <c r="AA228" i="11"/>
  <c r="H230" i="11"/>
  <c r="I230" i="11"/>
  <c r="J230" i="11"/>
  <c r="K230" i="11"/>
  <c r="L230" i="11"/>
  <c r="M230" i="11"/>
  <c r="N230" i="11"/>
  <c r="O230" i="11"/>
  <c r="P230" i="11"/>
  <c r="Q230" i="11"/>
  <c r="R230" i="11"/>
  <c r="S230" i="11"/>
  <c r="T230" i="11"/>
  <c r="U230" i="11"/>
  <c r="V230" i="11"/>
  <c r="W230" i="11"/>
  <c r="X230" i="11"/>
  <c r="Y230" i="11"/>
  <c r="Z230" i="11"/>
  <c r="AA230" i="11"/>
  <c r="H231" i="11"/>
  <c r="I231" i="11"/>
  <c r="J231" i="11"/>
  <c r="K231" i="11"/>
  <c r="L231" i="11"/>
  <c r="M231" i="11"/>
  <c r="N231" i="11"/>
  <c r="O231" i="11"/>
  <c r="P231" i="11"/>
  <c r="Q231" i="11"/>
  <c r="R231" i="11"/>
  <c r="S231" i="11"/>
  <c r="T231" i="11"/>
  <c r="U231" i="11"/>
  <c r="V231" i="11"/>
  <c r="W231" i="11"/>
  <c r="X231" i="11"/>
  <c r="Y231" i="11"/>
  <c r="Z231" i="11"/>
  <c r="AA231" i="11"/>
  <c r="H242" i="11"/>
  <c r="I242" i="11"/>
  <c r="J242" i="11"/>
  <c r="K242" i="11"/>
  <c r="L242" i="11"/>
  <c r="M242" i="11"/>
  <c r="N242" i="11"/>
  <c r="O242" i="11"/>
  <c r="P242" i="11"/>
  <c r="Q242" i="11"/>
  <c r="R242" i="11"/>
  <c r="S242" i="11"/>
  <c r="T242" i="11"/>
  <c r="U242" i="11"/>
  <c r="V242" i="11"/>
  <c r="W242" i="11"/>
  <c r="X242" i="11"/>
  <c r="Y242" i="11"/>
  <c r="Z242" i="11"/>
  <c r="AA242" i="11"/>
  <c r="AB242" i="11"/>
  <c r="H243" i="11"/>
  <c r="I243" i="11"/>
  <c r="J243" i="11"/>
  <c r="K243" i="11"/>
  <c r="L243" i="11"/>
  <c r="M243" i="11"/>
  <c r="N243" i="11"/>
  <c r="O243" i="11"/>
  <c r="P243" i="11"/>
  <c r="Q243" i="11"/>
  <c r="R243" i="11"/>
  <c r="S243" i="11"/>
  <c r="T243" i="11"/>
  <c r="U243" i="11"/>
  <c r="V243" i="11"/>
  <c r="W243" i="11"/>
  <c r="X243" i="11"/>
  <c r="Y243" i="11"/>
  <c r="Z243" i="11"/>
  <c r="AA243" i="11"/>
  <c r="AB243" i="11"/>
  <c r="H244" i="11"/>
  <c r="I244" i="11"/>
  <c r="J244" i="11"/>
  <c r="K244" i="11"/>
  <c r="L244" i="11"/>
  <c r="M244" i="11"/>
  <c r="N244" i="11"/>
  <c r="O244" i="11"/>
  <c r="P244" i="11"/>
  <c r="Q244" i="11"/>
  <c r="R244" i="11"/>
  <c r="S244" i="11"/>
  <c r="T244" i="11"/>
  <c r="U244" i="11"/>
  <c r="V244" i="11"/>
  <c r="W244" i="11"/>
  <c r="X244" i="11"/>
  <c r="Y244" i="11"/>
  <c r="Z244" i="11"/>
  <c r="AA244" i="11"/>
  <c r="AB244" i="11"/>
  <c r="G245" i="11"/>
  <c r="H247" i="11"/>
  <c r="I247" i="11"/>
  <c r="J247" i="11"/>
  <c r="K247" i="11"/>
  <c r="L247" i="11"/>
  <c r="M247" i="11"/>
  <c r="N247" i="11"/>
  <c r="O247" i="11"/>
  <c r="P247" i="11"/>
  <c r="Q247" i="11"/>
  <c r="R247" i="11"/>
  <c r="S247" i="11"/>
  <c r="T247" i="11"/>
  <c r="U247" i="11"/>
  <c r="V247" i="11"/>
  <c r="W247" i="11"/>
  <c r="X247" i="11"/>
  <c r="Y247" i="11"/>
  <c r="Z247" i="11"/>
  <c r="AA247" i="11"/>
  <c r="G248" i="11"/>
  <c r="G249" i="11"/>
  <c r="G253" i="11"/>
  <c r="G262" i="11"/>
  <c r="G264" i="11"/>
  <c r="G265" i="11"/>
  <c r="G276" i="11"/>
  <c r="G277" i="11"/>
  <c r="G278" i="11"/>
  <c r="G279" i="11"/>
  <c r="G280" i="11"/>
  <c r="G284" i="11"/>
  <c r="H284" i="11"/>
  <c r="I284" i="11"/>
  <c r="J284" i="11"/>
  <c r="K284" i="11"/>
  <c r="L284" i="11"/>
  <c r="M284" i="11"/>
  <c r="N284" i="11"/>
  <c r="O284" i="11"/>
  <c r="P284" i="11"/>
  <c r="Q284" i="11"/>
  <c r="R284" i="11"/>
  <c r="S284" i="11"/>
  <c r="T284" i="11"/>
  <c r="U284" i="11"/>
  <c r="V284" i="11"/>
  <c r="W284" i="11"/>
  <c r="X284" i="11"/>
  <c r="Y284" i="11"/>
  <c r="Z284" i="11"/>
  <c r="AA284" i="11"/>
  <c r="G285" i="11"/>
  <c r="H285" i="11"/>
  <c r="I285" i="11"/>
  <c r="J285" i="11"/>
  <c r="K285" i="11"/>
  <c r="L285" i="11"/>
  <c r="M285" i="11"/>
  <c r="N285" i="11"/>
  <c r="O285" i="11"/>
  <c r="P285" i="11"/>
  <c r="Q285" i="11"/>
  <c r="R285" i="11"/>
  <c r="S285" i="11"/>
  <c r="T285" i="11"/>
  <c r="U285" i="11"/>
  <c r="V285" i="11"/>
  <c r="W285" i="11"/>
  <c r="X285" i="11"/>
  <c r="Y285" i="11"/>
  <c r="Z285" i="11"/>
  <c r="AA285" i="11"/>
  <c r="G294" i="11"/>
  <c r="H294" i="11"/>
  <c r="I294" i="11"/>
  <c r="J294" i="11"/>
  <c r="K294" i="11"/>
  <c r="L294" i="11"/>
  <c r="M294" i="11"/>
  <c r="N294" i="11"/>
  <c r="O294" i="11"/>
  <c r="P294" i="11"/>
  <c r="Q294" i="11"/>
  <c r="R294" i="11"/>
  <c r="S294" i="11"/>
  <c r="T294" i="11"/>
  <c r="U294" i="11"/>
  <c r="V294" i="11"/>
  <c r="W294" i="11"/>
  <c r="X294" i="11"/>
  <c r="Y294" i="11"/>
  <c r="Z294" i="11"/>
  <c r="AA294" i="11"/>
  <c r="G296" i="11"/>
  <c r="H296" i="11"/>
  <c r="I296" i="11"/>
  <c r="J296" i="11"/>
  <c r="K296" i="11"/>
  <c r="L296" i="11"/>
  <c r="M296" i="11"/>
  <c r="N296" i="11"/>
  <c r="O296" i="11"/>
  <c r="P296" i="11"/>
  <c r="Q296" i="11"/>
  <c r="R296" i="11"/>
  <c r="S296" i="11"/>
  <c r="T296" i="11"/>
  <c r="U296" i="11"/>
  <c r="V296" i="11"/>
  <c r="W296" i="11"/>
  <c r="X296" i="11"/>
  <c r="Y296" i="11"/>
  <c r="Z296" i="11"/>
  <c r="AA296" i="11"/>
  <c r="G297" i="11"/>
  <c r="H297" i="11"/>
  <c r="I297" i="11"/>
  <c r="J297" i="11"/>
  <c r="K297" i="11"/>
  <c r="L297" i="11"/>
  <c r="M297" i="11"/>
  <c r="N297" i="11"/>
  <c r="O297" i="11"/>
  <c r="P297" i="11"/>
  <c r="Q297" i="11"/>
  <c r="R297" i="11"/>
  <c r="S297" i="11"/>
  <c r="T297" i="11"/>
  <c r="U297" i="11"/>
  <c r="V297" i="11"/>
  <c r="W297" i="11"/>
  <c r="X297" i="11"/>
  <c r="Y297" i="11"/>
  <c r="Z297" i="11"/>
  <c r="AA297" i="11"/>
  <c r="G308" i="11"/>
  <c r="H308" i="11"/>
  <c r="I308" i="11"/>
  <c r="J308" i="11"/>
  <c r="K308" i="11"/>
  <c r="L308" i="11"/>
  <c r="M308" i="11"/>
  <c r="N308" i="11"/>
  <c r="O308" i="11"/>
  <c r="P308" i="11"/>
  <c r="Q308" i="11"/>
  <c r="R308" i="11"/>
  <c r="S308" i="11"/>
  <c r="T308" i="11"/>
  <c r="U308" i="11"/>
  <c r="V308" i="11"/>
  <c r="W308" i="11"/>
  <c r="X308" i="11"/>
  <c r="Y308" i="11"/>
  <c r="Z308" i="11"/>
  <c r="AA308" i="11"/>
  <c r="AB308" i="11"/>
  <c r="G309" i="11"/>
  <c r="H309" i="11"/>
  <c r="I309" i="11"/>
  <c r="J309" i="11"/>
  <c r="K309" i="11"/>
  <c r="L309" i="11"/>
  <c r="M309" i="11"/>
  <c r="N309" i="11"/>
  <c r="O309" i="11"/>
  <c r="P309" i="11"/>
  <c r="Q309" i="11"/>
  <c r="R309" i="11"/>
  <c r="S309" i="11"/>
  <c r="T309" i="11"/>
  <c r="U309" i="11"/>
  <c r="V309" i="11"/>
  <c r="W309" i="11"/>
  <c r="X309" i="11"/>
  <c r="Y309" i="11"/>
  <c r="Z309" i="11"/>
  <c r="AA309" i="11"/>
  <c r="AB309" i="11"/>
  <c r="G310" i="11"/>
  <c r="H310" i="11"/>
  <c r="I310" i="11"/>
  <c r="J310" i="11"/>
  <c r="K310" i="11"/>
  <c r="L310" i="11"/>
  <c r="M310" i="11"/>
  <c r="N310" i="11"/>
  <c r="O310" i="11"/>
  <c r="P310" i="11"/>
  <c r="Q310" i="11"/>
  <c r="R310" i="11"/>
  <c r="S310" i="11"/>
  <c r="T310" i="11"/>
  <c r="U310" i="11"/>
  <c r="V310" i="11"/>
  <c r="W310" i="11"/>
  <c r="X310" i="11"/>
  <c r="Y310" i="11"/>
  <c r="Z310" i="11"/>
  <c r="AA310" i="11"/>
  <c r="AB310" i="11"/>
  <c r="G311" i="11"/>
  <c r="G313" i="11"/>
  <c r="H313" i="11"/>
  <c r="I313" i="11"/>
  <c r="J313" i="11"/>
  <c r="K313" i="11"/>
  <c r="L313" i="11"/>
  <c r="M313" i="11"/>
  <c r="N313" i="11"/>
  <c r="O313" i="11"/>
  <c r="P313" i="11"/>
  <c r="Q313" i="11"/>
  <c r="R313" i="11"/>
  <c r="S313" i="11"/>
  <c r="T313" i="11"/>
  <c r="U313" i="11"/>
  <c r="V313" i="11"/>
  <c r="W313" i="11"/>
  <c r="X313" i="11"/>
  <c r="Y313" i="11"/>
  <c r="Z313" i="11"/>
  <c r="AA313" i="11"/>
  <c r="G314" i="11"/>
  <c r="G315" i="11"/>
  <c r="F1" i="12"/>
  <c r="G218" i="12"/>
  <c r="H218" i="12"/>
  <c r="I218" i="12"/>
  <c r="J218" i="12"/>
  <c r="K218" i="12"/>
  <c r="L218" i="12"/>
  <c r="M218" i="12"/>
  <c r="N218" i="12"/>
  <c r="O218" i="12"/>
  <c r="P218" i="12"/>
  <c r="Q218" i="12"/>
  <c r="R218" i="12"/>
  <c r="S218" i="12"/>
  <c r="T218" i="12"/>
  <c r="U218" i="12"/>
  <c r="V218" i="12"/>
  <c r="W218" i="12"/>
  <c r="X218" i="12"/>
  <c r="Y218" i="12"/>
  <c r="Z218" i="12"/>
  <c r="AA218" i="12"/>
  <c r="H219" i="12"/>
  <c r="I219" i="12"/>
  <c r="J219" i="12"/>
  <c r="K219" i="12"/>
  <c r="L219" i="12"/>
  <c r="M219" i="12"/>
  <c r="N219" i="12"/>
  <c r="O219" i="12"/>
  <c r="P219" i="12"/>
  <c r="Q219" i="12"/>
  <c r="R219" i="12"/>
  <c r="S219" i="12"/>
  <c r="T219" i="12"/>
  <c r="U219" i="12"/>
  <c r="V219" i="12"/>
  <c r="W219" i="12"/>
  <c r="X219" i="12"/>
  <c r="Y219" i="12"/>
  <c r="Z219" i="12"/>
  <c r="AA219" i="12"/>
  <c r="H228" i="12"/>
  <c r="I228" i="12"/>
  <c r="J228" i="12"/>
  <c r="K228" i="12"/>
  <c r="L228" i="12"/>
  <c r="M228" i="12"/>
  <c r="N228" i="12"/>
  <c r="O228" i="12"/>
  <c r="P228" i="12"/>
  <c r="Q228" i="12"/>
  <c r="R228" i="12"/>
  <c r="S228" i="12"/>
  <c r="T228" i="12"/>
  <c r="U228" i="12"/>
  <c r="V228" i="12"/>
  <c r="W228" i="12"/>
  <c r="X228" i="12"/>
  <c r="Y228" i="12"/>
  <c r="Z228" i="12"/>
  <c r="AA228" i="12"/>
  <c r="H230" i="12"/>
  <c r="I230" i="12"/>
  <c r="J230" i="12"/>
  <c r="K230" i="12"/>
  <c r="L230" i="12"/>
  <c r="M230" i="12"/>
  <c r="N230" i="12"/>
  <c r="O230" i="12"/>
  <c r="P230" i="12"/>
  <c r="Q230" i="12"/>
  <c r="R230" i="12"/>
  <c r="S230" i="12"/>
  <c r="T230" i="12"/>
  <c r="U230" i="12"/>
  <c r="V230" i="12"/>
  <c r="W230" i="12"/>
  <c r="X230" i="12"/>
  <c r="Y230" i="12"/>
  <c r="Z230" i="12"/>
  <c r="AA230" i="12"/>
  <c r="H231" i="12"/>
  <c r="I231" i="12"/>
  <c r="J231" i="12"/>
  <c r="K231" i="12"/>
  <c r="L231" i="12"/>
  <c r="M231" i="12"/>
  <c r="N231" i="12"/>
  <c r="O231" i="12"/>
  <c r="P231" i="12"/>
  <c r="Q231" i="12"/>
  <c r="R231" i="12"/>
  <c r="S231" i="12"/>
  <c r="T231" i="12"/>
  <c r="U231" i="12"/>
  <c r="V231" i="12"/>
  <c r="W231" i="12"/>
  <c r="X231" i="12"/>
  <c r="Y231" i="12"/>
  <c r="Z231" i="12"/>
  <c r="AA231" i="12"/>
  <c r="H242" i="12"/>
  <c r="I242" i="12"/>
  <c r="J242" i="12"/>
  <c r="K242" i="12"/>
  <c r="L242" i="12"/>
  <c r="M242" i="12"/>
  <c r="N242" i="12"/>
  <c r="O242" i="12"/>
  <c r="P242" i="12"/>
  <c r="Q242" i="12"/>
  <c r="R242" i="12"/>
  <c r="S242" i="12"/>
  <c r="T242" i="12"/>
  <c r="U242" i="12"/>
  <c r="V242" i="12"/>
  <c r="W242" i="12"/>
  <c r="X242" i="12"/>
  <c r="Y242" i="12"/>
  <c r="Z242" i="12"/>
  <c r="AA242" i="12"/>
  <c r="AB242" i="12"/>
  <c r="H243" i="12"/>
  <c r="I243" i="12"/>
  <c r="J243" i="12"/>
  <c r="K243" i="12"/>
  <c r="L243" i="12"/>
  <c r="M243" i="12"/>
  <c r="N243" i="12"/>
  <c r="O243" i="12"/>
  <c r="P243" i="12"/>
  <c r="Q243" i="12"/>
  <c r="R243" i="12"/>
  <c r="S243" i="12"/>
  <c r="T243" i="12"/>
  <c r="U243" i="12"/>
  <c r="V243" i="12"/>
  <c r="W243" i="12"/>
  <c r="X243" i="12"/>
  <c r="Y243" i="12"/>
  <c r="Z243" i="12"/>
  <c r="AA243" i="12"/>
  <c r="AB243" i="12"/>
  <c r="H244" i="12"/>
  <c r="I244" i="12"/>
  <c r="J244" i="12"/>
  <c r="K244" i="12"/>
  <c r="L244" i="12"/>
  <c r="M244" i="12"/>
  <c r="N244" i="12"/>
  <c r="O244" i="12"/>
  <c r="P244" i="12"/>
  <c r="Q244" i="12"/>
  <c r="R244" i="12"/>
  <c r="S244" i="12"/>
  <c r="T244" i="12"/>
  <c r="U244" i="12"/>
  <c r="V244" i="12"/>
  <c r="W244" i="12"/>
  <c r="X244" i="12"/>
  <c r="Y244" i="12"/>
  <c r="Z244" i="12"/>
  <c r="AA244" i="12"/>
  <c r="AB244" i="12"/>
  <c r="G245" i="12"/>
  <c r="H247" i="12"/>
  <c r="I247" i="12"/>
  <c r="J247" i="12"/>
  <c r="K247" i="12"/>
  <c r="L247" i="12"/>
  <c r="M247" i="12"/>
  <c r="N247" i="12"/>
  <c r="O247" i="12"/>
  <c r="P247" i="12"/>
  <c r="Q247" i="12"/>
  <c r="R247" i="12"/>
  <c r="S247" i="12"/>
  <c r="T247" i="12"/>
  <c r="U247" i="12"/>
  <c r="V247" i="12"/>
  <c r="W247" i="12"/>
  <c r="X247" i="12"/>
  <c r="Y247" i="12"/>
  <c r="Z247" i="12"/>
  <c r="AA247" i="12"/>
  <c r="G248" i="12"/>
  <c r="G249" i="12"/>
  <c r="G253" i="12"/>
  <c r="G262" i="12"/>
  <c r="G264" i="12"/>
  <c r="G265" i="12"/>
  <c r="G276" i="12"/>
  <c r="G277" i="12"/>
  <c r="G278" i="12"/>
  <c r="G279" i="12"/>
  <c r="G280" i="12"/>
  <c r="G284" i="12"/>
  <c r="H284" i="12"/>
  <c r="I284" i="12"/>
  <c r="J284" i="12"/>
  <c r="K284" i="12"/>
  <c r="L284" i="12"/>
  <c r="M284" i="12"/>
  <c r="N284" i="12"/>
  <c r="O284" i="12"/>
  <c r="P284" i="12"/>
  <c r="Q284" i="12"/>
  <c r="R284" i="12"/>
  <c r="S284" i="12"/>
  <c r="T284" i="12"/>
  <c r="U284" i="12"/>
  <c r="V284" i="12"/>
  <c r="W284" i="12"/>
  <c r="X284" i="12"/>
  <c r="Y284" i="12"/>
  <c r="Z284" i="12"/>
  <c r="AA284" i="12"/>
  <c r="G285" i="12"/>
  <c r="H285" i="12"/>
  <c r="I285" i="12"/>
  <c r="J285" i="12"/>
  <c r="K285" i="12"/>
  <c r="L285" i="12"/>
  <c r="M285" i="12"/>
  <c r="N285" i="12"/>
  <c r="O285" i="12"/>
  <c r="P285" i="12"/>
  <c r="Q285" i="12"/>
  <c r="R285" i="12"/>
  <c r="S285" i="12"/>
  <c r="T285" i="12"/>
  <c r="U285" i="12"/>
  <c r="V285" i="12"/>
  <c r="W285" i="12"/>
  <c r="X285" i="12"/>
  <c r="Y285" i="12"/>
  <c r="Z285" i="12"/>
  <c r="AA285" i="12"/>
  <c r="G294" i="12"/>
  <c r="H294" i="12"/>
  <c r="I294" i="12"/>
  <c r="J294" i="12"/>
  <c r="K294" i="12"/>
  <c r="L294" i="12"/>
  <c r="M294" i="12"/>
  <c r="N294" i="12"/>
  <c r="O294" i="12"/>
  <c r="P294" i="12"/>
  <c r="Q294" i="12"/>
  <c r="R294" i="12"/>
  <c r="S294" i="12"/>
  <c r="T294" i="12"/>
  <c r="U294" i="12"/>
  <c r="V294" i="12"/>
  <c r="W294" i="12"/>
  <c r="X294" i="12"/>
  <c r="Y294" i="12"/>
  <c r="Z294" i="12"/>
  <c r="AA294" i="12"/>
  <c r="G296" i="12"/>
  <c r="H296" i="12"/>
  <c r="I296" i="12"/>
  <c r="J296" i="12"/>
  <c r="K296" i="12"/>
  <c r="L296" i="12"/>
  <c r="M296" i="12"/>
  <c r="N296" i="12"/>
  <c r="O296" i="12"/>
  <c r="P296" i="12"/>
  <c r="Q296" i="12"/>
  <c r="R296" i="12"/>
  <c r="S296" i="12"/>
  <c r="T296" i="12"/>
  <c r="U296" i="12"/>
  <c r="V296" i="12"/>
  <c r="W296" i="12"/>
  <c r="X296" i="12"/>
  <c r="Y296" i="12"/>
  <c r="Z296" i="12"/>
  <c r="AA296" i="12"/>
  <c r="G297" i="12"/>
  <c r="H297" i="12"/>
  <c r="I297" i="12"/>
  <c r="J297" i="12"/>
  <c r="K297" i="12"/>
  <c r="L297" i="12"/>
  <c r="M297" i="12"/>
  <c r="N297" i="12"/>
  <c r="O297" i="12"/>
  <c r="P297" i="12"/>
  <c r="Q297" i="12"/>
  <c r="R297" i="12"/>
  <c r="S297" i="12"/>
  <c r="T297" i="12"/>
  <c r="U297" i="12"/>
  <c r="V297" i="12"/>
  <c r="W297" i="12"/>
  <c r="X297" i="12"/>
  <c r="Y297" i="12"/>
  <c r="Z297" i="12"/>
  <c r="AA297" i="12"/>
  <c r="G308" i="12"/>
  <c r="H308" i="12"/>
  <c r="I308" i="12"/>
  <c r="J308" i="12"/>
  <c r="K308" i="12"/>
  <c r="L308" i="12"/>
  <c r="M308" i="12"/>
  <c r="N308" i="12"/>
  <c r="O308" i="12"/>
  <c r="P308" i="12"/>
  <c r="Q308" i="12"/>
  <c r="R308" i="12"/>
  <c r="S308" i="12"/>
  <c r="T308" i="12"/>
  <c r="U308" i="12"/>
  <c r="V308" i="12"/>
  <c r="W308" i="12"/>
  <c r="X308" i="12"/>
  <c r="Y308" i="12"/>
  <c r="Z308" i="12"/>
  <c r="AA308" i="12"/>
  <c r="AB308" i="12"/>
  <c r="G309" i="12"/>
  <c r="H309" i="12"/>
  <c r="I309" i="12"/>
  <c r="J309" i="12"/>
  <c r="K309" i="12"/>
  <c r="L309" i="12"/>
  <c r="M309" i="12"/>
  <c r="N309" i="12"/>
  <c r="O309" i="12"/>
  <c r="P309" i="12"/>
  <c r="Q309" i="12"/>
  <c r="R309" i="12"/>
  <c r="S309" i="12"/>
  <c r="T309" i="12"/>
  <c r="U309" i="12"/>
  <c r="V309" i="12"/>
  <c r="W309" i="12"/>
  <c r="X309" i="12"/>
  <c r="Y309" i="12"/>
  <c r="Z309" i="12"/>
  <c r="AA309" i="12"/>
  <c r="AB309" i="12"/>
  <c r="G310" i="12"/>
  <c r="H310" i="12"/>
  <c r="I310" i="12"/>
  <c r="J310" i="12"/>
  <c r="K310" i="12"/>
  <c r="L310" i="12"/>
  <c r="M310" i="12"/>
  <c r="N310" i="12"/>
  <c r="O310" i="12"/>
  <c r="P310" i="12"/>
  <c r="Q310" i="12"/>
  <c r="R310" i="12"/>
  <c r="S310" i="12"/>
  <c r="T310" i="12"/>
  <c r="U310" i="12"/>
  <c r="V310" i="12"/>
  <c r="W310" i="12"/>
  <c r="X310" i="12"/>
  <c r="Y310" i="12"/>
  <c r="Z310" i="12"/>
  <c r="AA310" i="12"/>
  <c r="AB310" i="12"/>
  <c r="G311" i="12"/>
  <c r="G313" i="12"/>
  <c r="H313" i="12"/>
  <c r="I313" i="12"/>
  <c r="J313" i="12"/>
  <c r="K313" i="12"/>
  <c r="L313" i="12"/>
  <c r="M313" i="12"/>
  <c r="N313" i="12"/>
  <c r="O313" i="12"/>
  <c r="P313" i="12"/>
  <c r="Q313" i="12"/>
  <c r="R313" i="12"/>
  <c r="S313" i="12"/>
  <c r="T313" i="12"/>
  <c r="U313" i="12"/>
  <c r="V313" i="12"/>
  <c r="W313" i="12"/>
  <c r="X313" i="12"/>
  <c r="Y313" i="12"/>
  <c r="Z313" i="12"/>
  <c r="AA313" i="12"/>
  <c r="G314" i="12"/>
  <c r="G315" i="12"/>
  <c r="F1" i="10"/>
  <c r="G218" i="10"/>
  <c r="H218" i="10"/>
  <c r="I218" i="10"/>
  <c r="J218" i="10"/>
  <c r="K218" i="10"/>
  <c r="L218" i="10"/>
  <c r="M218" i="10"/>
  <c r="N218" i="10"/>
  <c r="O218" i="10"/>
  <c r="P218" i="10"/>
  <c r="Q218" i="10"/>
  <c r="R218" i="10"/>
  <c r="S218" i="10"/>
  <c r="T218" i="10"/>
  <c r="U218" i="10"/>
  <c r="V218" i="10"/>
  <c r="W218" i="10"/>
  <c r="X218" i="10"/>
  <c r="Y218" i="10"/>
  <c r="Z218" i="10"/>
  <c r="AA218" i="10"/>
  <c r="H219" i="10"/>
  <c r="I219" i="10"/>
  <c r="J219" i="10"/>
  <c r="K219" i="10"/>
  <c r="L219" i="10"/>
  <c r="M219" i="10"/>
  <c r="N219" i="10"/>
  <c r="O219" i="10"/>
  <c r="P219" i="10"/>
  <c r="Q219" i="10"/>
  <c r="R219" i="10"/>
  <c r="S219" i="10"/>
  <c r="T219" i="10"/>
  <c r="U219" i="10"/>
  <c r="V219" i="10"/>
  <c r="W219" i="10"/>
  <c r="X219" i="10"/>
  <c r="Y219" i="10"/>
  <c r="Z219" i="10"/>
  <c r="AA219" i="10"/>
  <c r="H228" i="10"/>
  <c r="I228" i="10"/>
  <c r="J228" i="10"/>
  <c r="K228" i="10"/>
  <c r="L228" i="10"/>
  <c r="M228" i="10"/>
  <c r="N228" i="10"/>
  <c r="O228" i="10"/>
  <c r="P228" i="10"/>
  <c r="Q228" i="10"/>
  <c r="R228" i="10"/>
  <c r="S228" i="10"/>
  <c r="T228" i="10"/>
  <c r="U228" i="10"/>
  <c r="V228" i="10"/>
  <c r="W228" i="10"/>
  <c r="X228" i="10"/>
  <c r="Y228" i="10"/>
  <c r="Z228" i="10"/>
  <c r="AA228" i="10"/>
  <c r="H230" i="10"/>
  <c r="I230" i="10"/>
  <c r="J230" i="10"/>
  <c r="K230" i="10"/>
  <c r="L230" i="10"/>
  <c r="M230" i="10"/>
  <c r="N230" i="10"/>
  <c r="O230" i="10"/>
  <c r="P230" i="10"/>
  <c r="Q230" i="10"/>
  <c r="R230" i="10"/>
  <c r="S230" i="10"/>
  <c r="T230" i="10"/>
  <c r="U230" i="10"/>
  <c r="V230" i="10"/>
  <c r="W230" i="10"/>
  <c r="X230" i="10"/>
  <c r="Y230" i="10"/>
  <c r="Z230" i="10"/>
  <c r="AA230" i="10"/>
  <c r="H231" i="10"/>
  <c r="I231" i="10"/>
  <c r="J231" i="10"/>
  <c r="K231" i="10"/>
  <c r="L231" i="10"/>
  <c r="M231" i="10"/>
  <c r="N231" i="10"/>
  <c r="O231" i="10"/>
  <c r="P231" i="10"/>
  <c r="Q231" i="10"/>
  <c r="R231" i="10"/>
  <c r="S231" i="10"/>
  <c r="T231" i="10"/>
  <c r="U231" i="10"/>
  <c r="V231" i="10"/>
  <c r="W231" i="10"/>
  <c r="X231" i="10"/>
  <c r="Y231" i="10"/>
  <c r="Z231" i="10"/>
  <c r="AA231" i="10"/>
  <c r="H242" i="10"/>
  <c r="I242" i="10"/>
  <c r="J242" i="10"/>
  <c r="K242" i="10"/>
  <c r="L242" i="10"/>
  <c r="M242" i="10"/>
  <c r="N242" i="10"/>
  <c r="O242" i="10"/>
  <c r="P242" i="10"/>
  <c r="Q242" i="10"/>
  <c r="R242" i="10"/>
  <c r="S242" i="10"/>
  <c r="T242" i="10"/>
  <c r="U242" i="10"/>
  <c r="V242" i="10"/>
  <c r="W242" i="10"/>
  <c r="X242" i="10"/>
  <c r="Y242" i="10"/>
  <c r="Z242" i="10"/>
  <c r="AA242" i="10"/>
  <c r="AB242" i="10"/>
  <c r="H243" i="10"/>
  <c r="I243" i="10"/>
  <c r="J243" i="10"/>
  <c r="K243" i="10"/>
  <c r="L243" i="10"/>
  <c r="M243" i="10"/>
  <c r="N243" i="10"/>
  <c r="O243" i="10"/>
  <c r="P243" i="10"/>
  <c r="Q243" i="10"/>
  <c r="R243" i="10"/>
  <c r="S243" i="10"/>
  <c r="T243" i="10"/>
  <c r="U243" i="10"/>
  <c r="V243" i="10"/>
  <c r="W243" i="10"/>
  <c r="X243" i="10"/>
  <c r="Y243" i="10"/>
  <c r="Z243" i="10"/>
  <c r="AA243" i="10"/>
  <c r="AB243" i="10"/>
  <c r="H244" i="10"/>
  <c r="I244" i="10"/>
  <c r="J244" i="10"/>
  <c r="K244" i="10"/>
  <c r="L244" i="10"/>
  <c r="M244" i="10"/>
  <c r="N244" i="10"/>
  <c r="O244" i="10"/>
  <c r="P244" i="10"/>
  <c r="Q244" i="10"/>
  <c r="R244" i="10"/>
  <c r="S244" i="10"/>
  <c r="T244" i="10"/>
  <c r="U244" i="10"/>
  <c r="V244" i="10"/>
  <c r="W244" i="10"/>
  <c r="X244" i="10"/>
  <c r="Y244" i="10"/>
  <c r="Z244" i="10"/>
  <c r="AA244" i="10"/>
  <c r="AB244" i="10"/>
  <c r="G245" i="10"/>
  <c r="H247" i="10"/>
  <c r="I247" i="10"/>
  <c r="J247" i="10"/>
  <c r="K247" i="10"/>
  <c r="L247" i="10"/>
  <c r="M247" i="10"/>
  <c r="N247" i="10"/>
  <c r="O247" i="10"/>
  <c r="P247" i="10"/>
  <c r="Q247" i="10"/>
  <c r="R247" i="10"/>
  <c r="S247" i="10"/>
  <c r="T247" i="10"/>
  <c r="U247" i="10"/>
  <c r="V247" i="10"/>
  <c r="W247" i="10"/>
  <c r="X247" i="10"/>
  <c r="Y247" i="10"/>
  <c r="Z247" i="10"/>
  <c r="AA247" i="10"/>
  <c r="G248" i="10"/>
  <c r="G249" i="10"/>
  <c r="G253" i="10"/>
  <c r="G262" i="10"/>
  <c r="G264" i="10"/>
  <c r="G265" i="10"/>
  <c r="G276" i="10"/>
  <c r="G277" i="10"/>
  <c r="G278" i="10"/>
  <c r="G279" i="10"/>
  <c r="G280" i="10"/>
  <c r="G284" i="10"/>
  <c r="H284" i="10"/>
  <c r="I284" i="10"/>
  <c r="J284" i="10"/>
  <c r="K284" i="10"/>
  <c r="L284" i="10"/>
  <c r="M284" i="10"/>
  <c r="N284" i="10"/>
  <c r="O284" i="10"/>
  <c r="P284" i="10"/>
  <c r="Q284" i="10"/>
  <c r="R284" i="10"/>
  <c r="S284" i="10"/>
  <c r="T284" i="10"/>
  <c r="U284" i="10"/>
  <c r="V284" i="10"/>
  <c r="W284" i="10"/>
  <c r="X284" i="10"/>
  <c r="Y284" i="10"/>
  <c r="Z284" i="10"/>
  <c r="AA284" i="10"/>
  <c r="G285" i="10"/>
  <c r="H285" i="10"/>
  <c r="I285" i="10"/>
  <c r="J285" i="10"/>
  <c r="K285" i="10"/>
  <c r="L285" i="10"/>
  <c r="M285" i="10"/>
  <c r="N285" i="10"/>
  <c r="O285" i="10"/>
  <c r="P285" i="10"/>
  <c r="Q285" i="10"/>
  <c r="R285" i="10"/>
  <c r="S285" i="10"/>
  <c r="T285" i="10"/>
  <c r="U285" i="10"/>
  <c r="V285" i="10"/>
  <c r="W285" i="10"/>
  <c r="X285" i="10"/>
  <c r="Y285" i="10"/>
  <c r="Z285" i="10"/>
  <c r="AA285" i="10"/>
  <c r="G294" i="10"/>
  <c r="H294" i="10"/>
  <c r="I294" i="10"/>
  <c r="J294" i="10"/>
  <c r="K294" i="10"/>
  <c r="L294" i="10"/>
  <c r="M294" i="10"/>
  <c r="N294" i="10"/>
  <c r="O294" i="10"/>
  <c r="P294" i="10"/>
  <c r="Q294" i="10"/>
  <c r="R294" i="10"/>
  <c r="S294" i="10"/>
  <c r="T294" i="10"/>
  <c r="U294" i="10"/>
  <c r="V294" i="10"/>
  <c r="W294" i="10"/>
  <c r="X294" i="10"/>
  <c r="Y294" i="10"/>
  <c r="Z294" i="10"/>
  <c r="AA294" i="10"/>
  <c r="G296" i="10"/>
  <c r="H296" i="10"/>
  <c r="I296" i="10"/>
  <c r="J296" i="10"/>
  <c r="K296" i="10"/>
  <c r="L296" i="10"/>
  <c r="M296" i="10"/>
  <c r="N296" i="10"/>
  <c r="O296" i="10"/>
  <c r="P296" i="10"/>
  <c r="Q296" i="10"/>
  <c r="R296" i="10"/>
  <c r="S296" i="10"/>
  <c r="T296" i="10"/>
  <c r="U296" i="10"/>
  <c r="V296" i="10"/>
  <c r="W296" i="10"/>
  <c r="X296" i="10"/>
  <c r="Y296" i="10"/>
  <c r="Z296" i="10"/>
  <c r="AA296" i="10"/>
  <c r="G297" i="10"/>
  <c r="H297" i="10"/>
  <c r="I297" i="10"/>
  <c r="J297" i="10"/>
  <c r="K297" i="10"/>
  <c r="L297" i="10"/>
  <c r="M297" i="10"/>
  <c r="N297" i="10"/>
  <c r="O297" i="10"/>
  <c r="P297" i="10"/>
  <c r="Q297" i="10"/>
  <c r="R297" i="10"/>
  <c r="S297" i="10"/>
  <c r="T297" i="10"/>
  <c r="U297" i="10"/>
  <c r="V297" i="10"/>
  <c r="W297" i="10"/>
  <c r="X297" i="10"/>
  <c r="Y297" i="10"/>
  <c r="Z297" i="10"/>
  <c r="AA297" i="10"/>
  <c r="G308" i="10"/>
  <c r="H308" i="10"/>
  <c r="I308" i="10"/>
  <c r="J308" i="10"/>
  <c r="K308" i="10"/>
  <c r="L308" i="10"/>
  <c r="M308" i="10"/>
  <c r="N308" i="10"/>
  <c r="O308" i="10"/>
  <c r="P308" i="10"/>
  <c r="Q308" i="10"/>
  <c r="R308" i="10"/>
  <c r="S308" i="10"/>
  <c r="T308" i="10"/>
  <c r="U308" i="10"/>
  <c r="V308" i="10"/>
  <c r="W308" i="10"/>
  <c r="X308" i="10"/>
  <c r="Y308" i="10"/>
  <c r="Z308" i="10"/>
  <c r="AA308" i="10"/>
  <c r="AB308" i="10"/>
  <c r="G309" i="10"/>
  <c r="H309" i="10"/>
  <c r="I309" i="10"/>
  <c r="J309" i="10"/>
  <c r="K309" i="10"/>
  <c r="L309" i="10"/>
  <c r="M309" i="10"/>
  <c r="N309" i="10"/>
  <c r="O309" i="10"/>
  <c r="P309" i="10"/>
  <c r="Q309" i="10"/>
  <c r="R309" i="10"/>
  <c r="S309" i="10"/>
  <c r="T309" i="10"/>
  <c r="U309" i="10"/>
  <c r="V309" i="10"/>
  <c r="W309" i="10"/>
  <c r="X309" i="10"/>
  <c r="Y309" i="10"/>
  <c r="Z309" i="10"/>
  <c r="AA309" i="10"/>
  <c r="AB309" i="10"/>
  <c r="G310" i="10"/>
  <c r="H310" i="10"/>
  <c r="I310" i="10"/>
  <c r="J310" i="10"/>
  <c r="K310" i="10"/>
  <c r="L310" i="10"/>
  <c r="M310" i="10"/>
  <c r="N310" i="10"/>
  <c r="O310" i="10"/>
  <c r="P310" i="10"/>
  <c r="Q310" i="10"/>
  <c r="R310" i="10"/>
  <c r="S310" i="10"/>
  <c r="T310" i="10"/>
  <c r="U310" i="10"/>
  <c r="V310" i="10"/>
  <c r="W310" i="10"/>
  <c r="X310" i="10"/>
  <c r="Y310" i="10"/>
  <c r="Z310" i="10"/>
  <c r="AA310" i="10"/>
  <c r="AB310" i="10"/>
  <c r="G311" i="10"/>
  <c r="G313" i="10"/>
  <c r="H313" i="10"/>
  <c r="I313" i="10"/>
  <c r="J313" i="10"/>
  <c r="K313" i="10"/>
  <c r="L313" i="10"/>
  <c r="M313" i="10"/>
  <c r="N313" i="10"/>
  <c r="O313" i="10"/>
  <c r="P313" i="10"/>
  <c r="Q313" i="10"/>
  <c r="R313" i="10"/>
  <c r="S313" i="10"/>
  <c r="T313" i="10"/>
  <c r="U313" i="10"/>
  <c r="V313" i="10"/>
  <c r="W313" i="10"/>
  <c r="X313" i="10"/>
  <c r="Y313" i="10"/>
  <c r="Z313" i="10"/>
  <c r="AA313" i="10"/>
  <c r="G314" i="10"/>
  <c r="G315" i="10"/>
  <c r="F1" i="8"/>
  <c r="G218" i="8"/>
  <c r="H218" i="8"/>
  <c r="I218" i="8"/>
  <c r="J218" i="8"/>
  <c r="K218" i="8"/>
  <c r="L218" i="8"/>
  <c r="M218" i="8"/>
  <c r="N218" i="8"/>
  <c r="O218" i="8"/>
  <c r="P218" i="8"/>
  <c r="Q218" i="8"/>
  <c r="R218" i="8"/>
  <c r="S218" i="8"/>
  <c r="T218" i="8"/>
  <c r="U218" i="8"/>
  <c r="V218" i="8"/>
  <c r="W218" i="8"/>
  <c r="X218" i="8"/>
  <c r="Y218" i="8"/>
  <c r="Z218" i="8"/>
  <c r="AA218" i="8"/>
  <c r="H219" i="8"/>
  <c r="I219" i="8"/>
  <c r="J219" i="8"/>
  <c r="K219" i="8"/>
  <c r="L219" i="8"/>
  <c r="M219" i="8"/>
  <c r="N219" i="8"/>
  <c r="O219" i="8"/>
  <c r="P219" i="8"/>
  <c r="Q219" i="8"/>
  <c r="R219" i="8"/>
  <c r="S219" i="8"/>
  <c r="T219" i="8"/>
  <c r="U219" i="8"/>
  <c r="V219" i="8"/>
  <c r="W219" i="8"/>
  <c r="X219" i="8"/>
  <c r="Y219" i="8"/>
  <c r="Z219" i="8"/>
  <c r="AA219" i="8"/>
  <c r="H228" i="8"/>
  <c r="I228" i="8"/>
  <c r="J228" i="8"/>
  <c r="K228" i="8"/>
  <c r="L228" i="8"/>
  <c r="M228" i="8"/>
  <c r="N228" i="8"/>
  <c r="O228" i="8"/>
  <c r="P228" i="8"/>
  <c r="Q228" i="8"/>
  <c r="R228" i="8"/>
  <c r="S228" i="8"/>
  <c r="T228" i="8"/>
  <c r="U228" i="8"/>
  <c r="V228" i="8"/>
  <c r="W228" i="8"/>
  <c r="X228" i="8"/>
  <c r="Y228" i="8"/>
  <c r="Z228" i="8"/>
  <c r="AA228" i="8"/>
  <c r="H230" i="8"/>
  <c r="I230" i="8"/>
  <c r="J230" i="8"/>
  <c r="K230" i="8"/>
  <c r="L230" i="8"/>
  <c r="M230" i="8"/>
  <c r="N230" i="8"/>
  <c r="O230" i="8"/>
  <c r="P230" i="8"/>
  <c r="Q230" i="8"/>
  <c r="R230" i="8"/>
  <c r="S230" i="8"/>
  <c r="T230" i="8"/>
  <c r="U230" i="8"/>
  <c r="V230" i="8"/>
  <c r="W230" i="8"/>
  <c r="X230" i="8"/>
  <c r="Y230" i="8"/>
  <c r="Z230" i="8"/>
  <c r="AA230" i="8"/>
  <c r="H231" i="8"/>
  <c r="I231" i="8"/>
  <c r="J231" i="8"/>
  <c r="K231" i="8"/>
  <c r="L231" i="8"/>
  <c r="M231" i="8"/>
  <c r="N231" i="8"/>
  <c r="O231" i="8"/>
  <c r="P231" i="8"/>
  <c r="Q231" i="8"/>
  <c r="R231" i="8"/>
  <c r="S231" i="8"/>
  <c r="T231" i="8"/>
  <c r="U231" i="8"/>
  <c r="V231" i="8"/>
  <c r="W231" i="8"/>
  <c r="X231" i="8"/>
  <c r="Y231" i="8"/>
  <c r="Z231" i="8"/>
  <c r="AA231" i="8"/>
  <c r="H242" i="8"/>
  <c r="I242" i="8"/>
  <c r="J242" i="8"/>
  <c r="K242" i="8"/>
  <c r="L242" i="8"/>
  <c r="M242" i="8"/>
  <c r="N242" i="8"/>
  <c r="O242" i="8"/>
  <c r="P242" i="8"/>
  <c r="Q242" i="8"/>
  <c r="R242" i="8"/>
  <c r="S242" i="8"/>
  <c r="T242" i="8"/>
  <c r="U242" i="8"/>
  <c r="V242" i="8"/>
  <c r="W242" i="8"/>
  <c r="X242" i="8"/>
  <c r="Y242" i="8"/>
  <c r="Z242" i="8"/>
  <c r="AA242" i="8"/>
  <c r="AB242" i="8"/>
  <c r="H243" i="8"/>
  <c r="I243" i="8"/>
  <c r="J243" i="8"/>
  <c r="K243" i="8"/>
  <c r="L243" i="8"/>
  <c r="M243" i="8"/>
  <c r="N243" i="8"/>
  <c r="O243" i="8"/>
  <c r="P243" i="8"/>
  <c r="Q243" i="8"/>
  <c r="R243" i="8"/>
  <c r="S243" i="8"/>
  <c r="T243" i="8"/>
  <c r="U243" i="8"/>
  <c r="V243" i="8"/>
  <c r="W243" i="8"/>
  <c r="X243" i="8"/>
  <c r="Y243" i="8"/>
  <c r="Z243" i="8"/>
  <c r="AA243" i="8"/>
  <c r="AB243" i="8"/>
  <c r="H244" i="8"/>
  <c r="I244" i="8"/>
  <c r="J244" i="8"/>
  <c r="K244" i="8"/>
  <c r="L244" i="8"/>
  <c r="M244" i="8"/>
  <c r="N244" i="8"/>
  <c r="O244" i="8"/>
  <c r="P244" i="8"/>
  <c r="Q244" i="8"/>
  <c r="R244" i="8"/>
  <c r="S244" i="8"/>
  <c r="T244" i="8"/>
  <c r="U244" i="8"/>
  <c r="V244" i="8"/>
  <c r="W244" i="8"/>
  <c r="X244" i="8"/>
  <c r="Y244" i="8"/>
  <c r="Z244" i="8"/>
  <c r="AA244" i="8"/>
  <c r="AB244" i="8"/>
  <c r="G245" i="8"/>
  <c r="H247" i="8"/>
  <c r="I247" i="8"/>
  <c r="J247" i="8"/>
  <c r="K247" i="8"/>
  <c r="L247" i="8"/>
  <c r="M247" i="8"/>
  <c r="N247" i="8"/>
  <c r="O247" i="8"/>
  <c r="P247" i="8"/>
  <c r="Q247" i="8"/>
  <c r="R247" i="8"/>
  <c r="S247" i="8"/>
  <c r="T247" i="8"/>
  <c r="U247" i="8"/>
  <c r="V247" i="8"/>
  <c r="W247" i="8"/>
  <c r="X247" i="8"/>
  <c r="Y247" i="8"/>
  <c r="Z247" i="8"/>
  <c r="AA247" i="8"/>
  <c r="G248" i="8"/>
  <c r="G249" i="8"/>
  <c r="G253" i="8"/>
  <c r="G262" i="8"/>
  <c r="G264" i="8"/>
  <c r="G265" i="8"/>
  <c r="G276" i="8"/>
  <c r="G277" i="8"/>
  <c r="G278" i="8"/>
  <c r="G279" i="8"/>
  <c r="G280" i="8"/>
  <c r="G284" i="8"/>
  <c r="H284" i="8"/>
  <c r="I284" i="8"/>
  <c r="J284" i="8"/>
  <c r="K284" i="8"/>
  <c r="L284" i="8"/>
  <c r="M284" i="8"/>
  <c r="N284" i="8"/>
  <c r="O284" i="8"/>
  <c r="P284" i="8"/>
  <c r="Q284" i="8"/>
  <c r="R284" i="8"/>
  <c r="S284" i="8"/>
  <c r="T284" i="8"/>
  <c r="U284" i="8"/>
  <c r="V284" i="8"/>
  <c r="W284" i="8"/>
  <c r="X284" i="8"/>
  <c r="Y284" i="8"/>
  <c r="Z284" i="8"/>
  <c r="AA284" i="8"/>
  <c r="G285" i="8"/>
  <c r="H285" i="8"/>
  <c r="I285" i="8"/>
  <c r="J285" i="8"/>
  <c r="K285" i="8"/>
  <c r="L285" i="8"/>
  <c r="M285" i="8"/>
  <c r="N285" i="8"/>
  <c r="O285" i="8"/>
  <c r="P285" i="8"/>
  <c r="Q285" i="8"/>
  <c r="R285" i="8"/>
  <c r="S285" i="8"/>
  <c r="T285" i="8"/>
  <c r="U285" i="8"/>
  <c r="V285" i="8"/>
  <c r="W285" i="8"/>
  <c r="X285" i="8"/>
  <c r="Y285" i="8"/>
  <c r="Z285" i="8"/>
  <c r="AA285" i="8"/>
  <c r="G294" i="8"/>
  <c r="H294" i="8"/>
  <c r="I294" i="8"/>
  <c r="J294" i="8"/>
  <c r="K294" i="8"/>
  <c r="L294" i="8"/>
  <c r="M294" i="8"/>
  <c r="N294" i="8"/>
  <c r="O294" i="8"/>
  <c r="P294" i="8"/>
  <c r="Q294" i="8"/>
  <c r="R294" i="8"/>
  <c r="S294" i="8"/>
  <c r="T294" i="8"/>
  <c r="U294" i="8"/>
  <c r="V294" i="8"/>
  <c r="W294" i="8"/>
  <c r="X294" i="8"/>
  <c r="Y294" i="8"/>
  <c r="Z294" i="8"/>
  <c r="AA294" i="8"/>
  <c r="G296" i="8"/>
  <c r="H296" i="8"/>
  <c r="I296" i="8"/>
  <c r="J296" i="8"/>
  <c r="K296" i="8"/>
  <c r="L296" i="8"/>
  <c r="M296" i="8"/>
  <c r="N296" i="8"/>
  <c r="O296" i="8"/>
  <c r="P296" i="8"/>
  <c r="Q296" i="8"/>
  <c r="R296" i="8"/>
  <c r="S296" i="8"/>
  <c r="T296" i="8"/>
  <c r="U296" i="8"/>
  <c r="V296" i="8"/>
  <c r="W296" i="8"/>
  <c r="X296" i="8"/>
  <c r="Y296" i="8"/>
  <c r="Z296" i="8"/>
  <c r="AA296" i="8"/>
  <c r="G297" i="8"/>
  <c r="H297" i="8"/>
  <c r="I297" i="8"/>
  <c r="J297" i="8"/>
  <c r="K297" i="8"/>
  <c r="L297" i="8"/>
  <c r="M297" i="8"/>
  <c r="N297" i="8"/>
  <c r="O297" i="8"/>
  <c r="P297" i="8"/>
  <c r="Q297" i="8"/>
  <c r="R297" i="8"/>
  <c r="S297" i="8"/>
  <c r="T297" i="8"/>
  <c r="U297" i="8"/>
  <c r="V297" i="8"/>
  <c r="W297" i="8"/>
  <c r="X297" i="8"/>
  <c r="Y297" i="8"/>
  <c r="Z297" i="8"/>
  <c r="AA297" i="8"/>
  <c r="G308" i="8"/>
  <c r="H308" i="8"/>
  <c r="I308" i="8"/>
  <c r="J308" i="8"/>
  <c r="K308" i="8"/>
  <c r="L308" i="8"/>
  <c r="M308" i="8"/>
  <c r="N308" i="8"/>
  <c r="O308" i="8"/>
  <c r="P308" i="8"/>
  <c r="Q308" i="8"/>
  <c r="R308" i="8"/>
  <c r="S308" i="8"/>
  <c r="T308" i="8"/>
  <c r="U308" i="8"/>
  <c r="V308" i="8"/>
  <c r="W308" i="8"/>
  <c r="X308" i="8"/>
  <c r="Y308" i="8"/>
  <c r="Z308" i="8"/>
  <c r="AA308" i="8"/>
  <c r="AB308" i="8"/>
  <c r="G309" i="8"/>
  <c r="H309" i="8"/>
  <c r="I309" i="8"/>
  <c r="J309" i="8"/>
  <c r="K309" i="8"/>
  <c r="L309" i="8"/>
  <c r="M309" i="8"/>
  <c r="N309" i="8"/>
  <c r="O309" i="8"/>
  <c r="P309" i="8"/>
  <c r="Q309" i="8"/>
  <c r="R309" i="8"/>
  <c r="S309" i="8"/>
  <c r="T309" i="8"/>
  <c r="U309" i="8"/>
  <c r="V309" i="8"/>
  <c r="W309" i="8"/>
  <c r="X309" i="8"/>
  <c r="Y309" i="8"/>
  <c r="Z309" i="8"/>
  <c r="AA309" i="8"/>
  <c r="AB309" i="8"/>
  <c r="G310" i="8"/>
  <c r="H310" i="8"/>
  <c r="I310" i="8"/>
  <c r="J310" i="8"/>
  <c r="K310" i="8"/>
  <c r="L310" i="8"/>
  <c r="M310" i="8"/>
  <c r="N310" i="8"/>
  <c r="O310" i="8"/>
  <c r="P310" i="8"/>
  <c r="Q310" i="8"/>
  <c r="R310" i="8"/>
  <c r="S310" i="8"/>
  <c r="T310" i="8"/>
  <c r="U310" i="8"/>
  <c r="V310" i="8"/>
  <c r="W310" i="8"/>
  <c r="X310" i="8"/>
  <c r="Y310" i="8"/>
  <c r="Z310" i="8"/>
  <c r="AA310" i="8"/>
  <c r="AB310" i="8"/>
  <c r="G311" i="8"/>
  <c r="G313" i="8"/>
  <c r="H313" i="8"/>
  <c r="I313" i="8"/>
  <c r="J313" i="8"/>
  <c r="K313" i="8"/>
  <c r="L313" i="8"/>
  <c r="M313" i="8"/>
  <c r="N313" i="8"/>
  <c r="O313" i="8"/>
  <c r="P313" i="8"/>
  <c r="Q313" i="8"/>
  <c r="R313" i="8"/>
  <c r="S313" i="8"/>
  <c r="T313" i="8"/>
  <c r="U313" i="8"/>
  <c r="V313" i="8"/>
  <c r="W313" i="8"/>
  <c r="X313" i="8"/>
  <c r="Y313" i="8"/>
  <c r="Z313" i="8"/>
  <c r="AA313" i="8"/>
  <c r="G314" i="8"/>
  <c r="G315" i="8"/>
  <c r="F1" i="9"/>
  <c r="G218" i="9"/>
  <c r="H218" i="9"/>
  <c r="I218" i="9"/>
  <c r="J218" i="9"/>
  <c r="K218" i="9"/>
  <c r="L218" i="9"/>
  <c r="M218" i="9"/>
  <c r="N218" i="9"/>
  <c r="O218" i="9"/>
  <c r="P218" i="9"/>
  <c r="Q218" i="9"/>
  <c r="R218" i="9"/>
  <c r="S218" i="9"/>
  <c r="T218" i="9"/>
  <c r="U218" i="9"/>
  <c r="V218" i="9"/>
  <c r="W218" i="9"/>
  <c r="X218" i="9"/>
  <c r="Y218" i="9"/>
  <c r="Z218" i="9"/>
  <c r="AA218" i="9"/>
  <c r="H219" i="9"/>
  <c r="I219" i="9"/>
  <c r="J219" i="9"/>
  <c r="K219" i="9"/>
  <c r="L219" i="9"/>
  <c r="M219" i="9"/>
  <c r="N219" i="9"/>
  <c r="O219" i="9"/>
  <c r="P219" i="9"/>
  <c r="Q219" i="9"/>
  <c r="R219" i="9"/>
  <c r="S219" i="9"/>
  <c r="T219" i="9"/>
  <c r="U219" i="9"/>
  <c r="V219" i="9"/>
  <c r="W219" i="9"/>
  <c r="X219" i="9"/>
  <c r="Y219" i="9"/>
  <c r="Z219" i="9"/>
  <c r="AA219" i="9"/>
  <c r="H228" i="9"/>
  <c r="I228" i="9"/>
  <c r="J228" i="9"/>
  <c r="K228" i="9"/>
  <c r="L228" i="9"/>
  <c r="M228" i="9"/>
  <c r="N228" i="9"/>
  <c r="O228" i="9"/>
  <c r="P228" i="9"/>
  <c r="Q228" i="9"/>
  <c r="R228" i="9"/>
  <c r="S228" i="9"/>
  <c r="T228" i="9"/>
  <c r="U228" i="9"/>
  <c r="V228" i="9"/>
  <c r="W228" i="9"/>
  <c r="X228" i="9"/>
  <c r="Y228" i="9"/>
  <c r="Z228" i="9"/>
  <c r="AA228" i="9"/>
  <c r="H230" i="9"/>
  <c r="I230" i="9"/>
  <c r="J230" i="9"/>
  <c r="K230" i="9"/>
  <c r="L230" i="9"/>
  <c r="M230" i="9"/>
  <c r="N230" i="9"/>
  <c r="O230" i="9"/>
  <c r="P230" i="9"/>
  <c r="Q230" i="9"/>
  <c r="R230" i="9"/>
  <c r="S230" i="9"/>
  <c r="T230" i="9"/>
  <c r="U230" i="9"/>
  <c r="V230" i="9"/>
  <c r="W230" i="9"/>
  <c r="X230" i="9"/>
  <c r="Y230" i="9"/>
  <c r="Z230" i="9"/>
  <c r="AA230" i="9"/>
  <c r="H231" i="9"/>
  <c r="I231" i="9"/>
  <c r="J231" i="9"/>
  <c r="K231" i="9"/>
  <c r="L231" i="9"/>
  <c r="M231" i="9"/>
  <c r="N231" i="9"/>
  <c r="O231" i="9"/>
  <c r="P231" i="9"/>
  <c r="Q231" i="9"/>
  <c r="R231" i="9"/>
  <c r="S231" i="9"/>
  <c r="T231" i="9"/>
  <c r="U231" i="9"/>
  <c r="V231" i="9"/>
  <c r="W231" i="9"/>
  <c r="X231" i="9"/>
  <c r="Y231" i="9"/>
  <c r="Z231" i="9"/>
  <c r="AA231" i="9"/>
  <c r="H242" i="9"/>
  <c r="I242" i="9"/>
  <c r="J242" i="9"/>
  <c r="K242" i="9"/>
  <c r="L242" i="9"/>
  <c r="M242" i="9"/>
  <c r="N242" i="9"/>
  <c r="O242" i="9"/>
  <c r="P242" i="9"/>
  <c r="Q242" i="9"/>
  <c r="R242" i="9"/>
  <c r="S242" i="9"/>
  <c r="T242" i="9"/>
  <c r="U242" i="9"/>
  <c r="V242" i="9"/>
  <c r="W242" i="9"/>
  <c r="X242" i="9"/>
  <c r="Y242" i="9"/>
  <c r="Z242" i="9"/>
  <c r="AA242" i="9"/>
  <c r="AB242" i="9"/>
  <c r="H243" i="9"/>
  <c r="I243" i="9"/>
  <c r="J243" i="9"/>
  <c r="K243" i="9"/>
  <c r="L243" i="9"/>
  <c r="M243" i="9"/>
  <c r="N243" i="9"/>
  <c r="O243" i="9"/>
  <c r="P243" i="9"/>
  <c r="Q243" i="9"/>
  <c r="R243" i="9"/>
  <c r="S243" i="9"/>
  <c r="T243" i="9"/>
  <c r="U243" i="9"/>
  <c r="V243" i="9"/>
  <c r="W243" i="9"/>
  <c r="X243" i="9"/>
  <c r="Y243" i="9"/>
  <c r="Z243" i="9"/>
  <c r="AA243" i="9"/>
  <c r="AB243" i="9"/>
  <c r="H244" i="9"/>
  <c r="I244" i="9"/>
  <c r="J244" i="9"/>
  <c r="K244" i="9"/>
  <c r="L244" i="9"/>
  <c r="M244" i="9"/>
  <c r="N244" i="9"/>
  <c r="O244" i="9"/>
  <c r="P244" i="9"/>
  <c r="Q244" i="9"/>
  <c r="R244" i="9"/>
  <c r="S244" i="9"/>
  <c r="T244" i="9"/>
  <c r="U244" i="9"/>
  <c r="V244" i="9"/>
  <c r="W244" i="9"/>
  <c r="X244" i="9"/>
  <c r="Y244" i="9"/>
  <c r="Z244" i="9"/>
  <c r="AA244" i="9"/>
  <c r="AB244" i="9"/>
  <c r="G245" i="9"/>
  <c r="H247" i="9"/>
  <c r="I247" i="9"/>
  <c r="J247" i="9"/>
  <c r="K247" i="9"/>
  <c r="L247" i="9"/>
  <c r="M247" i="9"/>
  <c r="N247" i="9"/>
  <c r="O247" i="9"/>
  <c r="P247" i="9"/>
  <c r="Q247" i="9"/>
  <c r="R247" i="9"/>
  <c r="S247" i="9"/>
  <c r="T247" i="9"/>
  <c r="U247" i="9"/>
  <c r="V247" i="9"/>
  <c r="W247" i="9"/>
  <c r="X247" i="9"/>
  <c r="Y247" i="9"/>
  <c r="Z247" i="9"/>
  <c r="AA247" i="9"/>
  <c r="G248" i="9"/>
  <c r="G249" i="9"/>
  <c r="G253" i="9"/>
  <c r="G262" i="9"/>
  <c r="G264" i="9"/>
  <c r="G265" i="9"/>
  <c r="G276" i="9"/>
  <c r="G277" i="9"/>
  <c r="G278" i="9"/>
  <c r="G279" i="9"/>
  <c r="G280" i="9"/>
  <c r="G284" i="9"/>
  <c r="H284" i="9"/>
  <c r="I284" i="9"/>
  <c r="J284" i="9"/>
  <c r="K284" i="9"/>
  <c r="L284" i="9"/>
  <c r="M284" i="9"/>
  <c r="N284" i="9"/>
  <c r="O284" i="9"/>
  <c r="P284" i="9"/>
  <c r="Q284" i="9"/>
  <c r="R284" i="9"/>
  <c r="S284" i="9"/>
  <c r="T284" i="9"/>
  <c r="U284" i="9"/>
  <c r="V284" i="9"/>
  <c r="W284" i="9"/>
  <c r="X284" i="9"/>
  <c r="Y284" i="9"/>
  <c r="Z284" i="9"/>
  <c r="AA284" i="9"/>
  <c r="G285" i="9"/>
  <c r="H285" i="9"/>
  <c r="I285" i="9"/>
  <c r="J285" i="9"/>
  <c r="K285" i="9"/>
  <c r="L285" i="9"/>
  <c r="M285" i="9"/>
  <c r="N285" i="9"/>
  <c r="O285" i="9"/>
  <c r="P285" i="9"/>
  <c r="Q285" i="9"/>
  <c r="R285" i="9"/>
  <c r="S285" i="9"/>
  <c r="T285" i="9"/>
  <c r="U285" i="9"/>
  <c r="V285" i="9"/>
  <c r="W285" i="9"/>
  <c r="X285" i="9"/>
  <c r="Y285" i="9"/>
  <c r="Z285" i="9"/>
  <c r="AA285" i="9"/>
  <c r="G294" i="9"/>
  <c r="H294" i="9"/>
  <c r="I294" i="9"/>
  <c r="J294" i="9"/>
  <c r="K294" i="9"/>
  <c r="L294" i="9"/>
  <c r="M294" i="9"/>
  <c r="N294" i="9"/>
  <c r="O294" i="9"/>
  <c r="P294" i="9"/>
  <c r="Q294" i="9"/>
  <c r="R294" i="9"/>
  <c r="S294" i="9"/>
  <c r="T294" i="9"/>
  <c r="U294" i="9"/>
  <c r="V294" i="9"/>
  <c r="W294" i="9"/>
  <c r="X294" i="9"/>
  <c r="Y294" i="9"/>
  <c r="Z294" i="9"/>
  <c r="AA294" i="9"/>
  <c r="G296" i="9"/>
  <c r="H296" i="9"/>
  <c r="I296" i="9"/>
  <c r="J296" i="9"/>
  <c r="K296" i="9"/>
  <c r="L296" i="9"/>
  <c r="M296" i="9"/>
  <c r="N296" i="9"/>
  <c r="O296" i="9"/>
  <c r="P296" i="9"/>
  <c r="Q296" i="9"/>
  <c r="R296" i="9"/>
  <c r="S296" i="9"/>
  <c r="T296" i="9"/>
  <c r="U296" i="9"/>
  <c r="V296" i="9"/>
  <c r="W296" i="9"/>
  <c r="X296" i="9"/>
  <c r="Y296" i="9"/>
  <c r="Z296" i="9"/>
  <c r="AA296" i="9"/>
  <c r="G297" i="9"/>
  <c r="H297" i="9"/>
  <c r="I297" i="9"/>
  <c r="J297" i="9"/>
  <c r="K297" i="9"/>
  <c r="L297" i="9"/>
  <c r="M297" i="9"/>
  <c r="N297" i="9"/>
  <c r="O297" i="9"/>
  <c r="P297" i="9"/>
  <c r="Q297" i="9"/>
  <c r="R297" i="9"/>
  <c r="S297" i="9"/>
  <c r="T297" i="9"/>
  <c r="U297" i="9"/>
  <c r="V297" i="9"/>
  <c r="W297" i="9"/>
  <c r="X297" i="9"/>
  <c r="Y297" i="9"/>
  <c r="Z297" i="9"/>
  <c r="AA297" i="9"/>
  <c r="G308" i="9"/>
  <c r="H308" i="9"/>
  <c r="I308" i="9"/>
  <c r="J308" i="9"/>
  <c r="K308" i="9"/>
  <c r="L308" i="9"/>
  <c r="M308" i="9"/>
  <c r="N308" i="9"/>
  <c r="O308" i="9"/>
  <c r="P308" i="9"/>
  <c r="Q308" i="9"/>
  <c r="R308" i="9"/>
  <c r="S308" i="9"/>
  <c r="T308" i="9"/>
  <c r="U308" i="9"/>
  <c r="V308" i="9"/>
  <c r="W308" i="9"/>
  <c r="X308" i="9"/>
  <c r="Y308" i="9"/>
  <c r="Z308" i="9"/>
  <c r="AA308" i="9"/>
  <c r="AB308" i="9"/>
  <c r="G309" i="9"/>
  <c r="H309" i="9"/>
  <c r="I309" i="9"/>
  <c r="J309" i="9"/>
  <c r="K309" i="9"/>
  <c r="L309" i="9"/>
  <c r="M309" i="9"/>
  <c r="N309" i="9"/>
  <c r="O309" i="9"/>
  <c r="P309" i="9"/>
  <c r="Q309" i="9"/>
  <c r="R309" i="9"/>
  <c r="S309" i="9"/>
  <c r="T309" i="9"/>
  <c r="U309" i="9"/>
  <c r="V309" i="9"/>
  <c r="W309" i="9"/>
  <c r="X309" i="9"/>
  <c r="Y309" i="9"/>
  <c r="Z309" i="9"/>
  <c r="AA309" i="9"/>
  <c r="AB309" i="9"/>
  <c r="G310" i="9"/>
  <c r="H310" i="9"/>
  <c r="I310" i="9"/>
  <c r="J310" i="9"/>
  <c r="K310" i="9"/>
  <c r="L310" i="9"/>
  <c r="M310" i="9"/>
  <c r="N310" i="9"/>
  <c r="O310" i="9"/>
  <c r="P310" i="9"/>
  <c r="Q310" i="9"/>
  <c r="R310" i="9"/>
  <c r="S310" i="9"/>
  <c r="T310" i="9"/>
  <c r="U310" i="9"/>
  <c r="V310" i="9"/>
  <c r="W310" i="9"/>
  <c r="X310" i="9"/>
  <c r="Y310" i="9"/>
  <c r="Z310" i="9"/>
  <c r="AA310" i="9"/>
  <c r="AB310" i="9"/>
  <c r="G311" i="9"/>
  <c r="G313" i="9"/>
  <c r="H313" i="9"/>
  <c r="I313" i="9"/>
  <c r="J313" i="9"/>
  <c r="K313" i="9"/>
  <c r="L313" i="9"/>
  <c r="M313" i="9"/>
  <c r="N313" i="9"/>
  <c r="O313" i="9"/>
  <c r="P313" i="9"/>
  <c r="Q313" i="9"/>
  <c r="R313" i="9"/>
  <c r="S313" i="9"/>
  <c r="T313" i="9"/>
  <c r="U313" i="9"/>
  <c r="V313" i="9"/>
  <c r="W313" i="9"/>
  <c r="X313" i="9"/>
  <c r="Y313" i="9"/>
  <c r="Z313" i="9"/>
  <c r="AA313" i="9"/>
  <c r="G314" i="9"/>
  <c r="G315" i="9"/>
  <c r="F1" i="14"/>
  <c r="G218" i="14"/>
  <c r="H218" i="14"/>
  <c r="I218" i="14"/>
  <c r="J218" i="14"/>
  <c r="K218" i="14"/>
  <c r="L218" i="14"/>
  <c r="M218" i="14"/>
  <c r="N218" i="14"/>
  <c r="O218" i="14"/>
  <c r="P218" i="14"/>
  <c r="Q218" i="14"/>
  <c r="R218" i="14"/>
  <c r="S218" i="14"/>
  <c r="T218" i="14"/>
  <c r="U218" i="14"/>
  <c r="V218" i="14"/>
  <c r="W218" i="14"/>
  <c r="X218" i="14"/>
  <c r="Y218" i="14"/>
  <c r="Z218" i="14"/>
  <c r="AA218" i="14"/>
  <c r="H219" i="14"/>
  <c r="I219" i="14"/>
  <c r="J219" i="14"/>
  <c r="K219" i="14"/>
  <c r="L219" i="14"/>
  <c r="M219" i="14"/>
  <c r="N219" i="14"/>
  <c r="O219" i="14"/>
  <c r="P219" i="14"/>
  <c r="Q219" i="14"/>
  <c r="R219" i="14"/>
  <c r="S219" i="14"/>
  <c r="T219" i="14"/>
  <c r="U219" i="14"/>
  <c r="V219" i="14"/>
  <c r="W219" i="14"/>
  <c r="X219" i="14"/>
  <c r="Y219" i="14"/>
  <c r="Z219" i="14"/>
  <c r="AA219" i="14"/>
  <c r="H228" i="14"/>
  <c r="I228" i="14"/>
  <c r="J228" i="14"/>
  <c r="K228" i="14"/>
  <c r="L228" i="14"/>
  <c r="M228" i="14"/>
  <c r="N228" i="14"/>
  <c r="O228" i="14"/>
  <c r="P228" i="14"/>
  <c r="Q228" i="14"/>
  <c r="R228" i="14"/>
  <c r="S228" i="14"/>
  <c r="T228" i="14"/>
  <c r="U228" i="14"/>
  <c r="V228" i="14"/>
  <c r="W228" i="14"/>
  <c r="X228" i="14"/>
  <c r="Y228" i="14"/>
  <c r="Z228" i="14"/>
  <c r="AA228" i="14"/>
  <c r="H230" i="14"/>
  <c r="I230" i="14"/>
  <c r="J230" i="14"/>
  <c r="K230" i="14"/>
  <c r="L230" i="14"/>
  <c r="M230" i="14"/>
  <c r="N230" i="14"/>
  <c r="O230" i="14"/>
  <c r="P230" i="14"/>
  <c r="Q230" i="14"/>
  <c r="R230" i="14"/>
  <c r="S230" i="14"/>
  <c r="T230" i="14"/>
  <c r="U230" i="14"/>
  <c r="V230" i="14"/>
  <c r="W230" i="14"/>
  <c r="X230" i="14"/>
  <c r="Y230" i="14"/>
  <c r="Z230" i="14"/>
  <c r="AA230" i="14"/>
  <c r="H231" i="14"/>
  <c r="I231" i="14"/>
  <c r="J231" i="14"/>
  <c r="K231" i="14"/>
  <c r="L231" i="14"/>
  <c r="M231" i="14"/>
  <c r="N231" i="14"/>
  <c r="O231" i="14"/>
  <c r="P231" i="14"/>
  <c r="Q231" i="14"/>
  <c r="R231" i="14"/>
  <c r="S231" i="14"/>
  <c r="T231" i="14"/>
  <c r="U231" i="14"/>
  <c r="V231" i="14"/>
  <c r="W231" i="14"/>
  <c r="X231" i="14"/>
  <c r="Y231" i="14"/>
  <c r="Z231" i="14"/>
  <c r="AA231" i="14"/>
  <c r="H242" i="14"/>
  <c r="I242" i="14"/>
  <c r="J242" i="14"/>
  <c r="K242" i="14"/>
  <c r="L242" i="14"/>
  <c r="M242" i="14"/>
  <c r="N242" i="14"/>
  <c r="O242" i="14"/>
  <c r="P242" i="14"/>
  <c r="Q242" i="14"/>
  <c r="R242" i="14"/>
  <c r="S242" i="14"/>
  <c r="T242" i="14"/>
  <c r="U242" i="14"/>
  <c r="V242" i="14"/>
  <c r="W242" i="14"/>
  <c r="X242" i="14"/>
  <c r="Y242" i="14"/>
  <c r="Z242" i="14"/>
  <c r="AA242" i="14"/>
  <c r="AB242" i="14"/>
  <c r="H243" i="14"/>
  <c r="I243" i="14"/>
  <c r="J243" i="14"/>
  <c r="K243" i="14"/>
  <c r="L243" i="14"/>
  <c r="M243" i="14"/>
  <c r="N243" i="14"/>
  <c r="O243" i="14"/>
  <c r="P243" i="14"/>
  <c r="Q243" i="14"/>
  <c r="R243" i="14"/>
  <c r="S243" i="14"/>
  <c r="T243" i="14"/>
  <c r="U243" i="14"/>
  <c r="V243" i="14"/>
  <c r="W243" i="14"/>
  <c r="X243" i="14"/>
  <c r="Y243" i="14"/>
  <c r="Z243" i="14"/>
  <c r="AA243" i="14"/>
  <c r="AB243" i="14"/>
  <c r="H244" i="14"/>
  <c r="I244" i="14"/>
  <c r="J244" i="14"/>
  <c r="K244" i="14"/>
  <c r="L244" i="14"/>
  <c r="M244" i="14"/>
  <c r="N244" i="14"/>
  <c r="O244" i="14"/>
  <c r="P244" i="14"/>
  <c r="Q244" i="14"/>
  <c r="R244" i="14"/>
  <c r="S244" i="14"/>
  <c r="T244" i="14"/>
  <c r="U244" i="14"/>
  <c r="V244" i="14"/>
  <c r="W244" i="14"/>
  <c r="X244" i="14"/>
  <c r="Y244" i="14"/>
  <c r="Z244" i="14"/>
  <c r="AA244" i="14"/>
  <c r="AB244" i="14"/>
  <c r="G245" i="14"/>
  <c r="H247" i="14"/>
  <c r="I247" i="14"/>
  <c r="J247" i="14"/>
  <c r="K247" i="14"/>
  <c r="L247" i="14"/>
  <c r="M247" i="14"/>
  <c r="N247" i="14"/>
  <c r="O247" i="14"/>
  <c r="P247" i="14"/>
  <c r="Q247" i="14"/>
  <c r="R247" i="14"/>
  <c r="S247" i="14"/>
  <c r="T247" i="14"/>
  <c r="U247" i="14"/>
  <c r="V247" i="14"/>
  <c r="W247" i="14"/>
  <c r="X247" i="14"/>
  <c r="Y247" i="14"/>
  <c r="Z247" i="14"/>
  <c r="AA247" i="14"/>
  <c r="G248" i="14"/>
  <c r="G249" i="14"/>
  <c r="G253" i="14"/>
  <c r="G262" i="14"/>
  <c r="G264" i="14"/>
  <c r="G265" i="14"/>
  <c r="G276" i="14"/>
  <c r="G277" i="14"/>
  <c r="G278" i="14"/>
  <c r="G279" i="14"/>
  <c r="G280" i="14"/>
  <c r="G284" i="14"/>
  <c r="H284" i="14"/>
  <c r="I284" i="14"/>
  <c r="J284" i="14"/>
  <c r="K284" i="14"/>
  <c r="L284" i="14"/>
  <c r="M284" i="14"/>
  <c r="N284" i="14"/>
  <c r="O284" i="14"/>
  <c r="P284" i="14"/>
  <c r="Q284" i="14"/>
  <c r="R284" i="14"/>
  <c r="S284" i="14"/>
  <c r="T284" i="14"/>
  <c r="U284" i="14"/>
  <c r="V284" i="14"/>
  <c r="W284" i="14"/>
  <c r="X284" i="14"/>
  <c r="Y284" i="14"/>
  <c r="Z284" i="14"/>
  <c r="AA284" i="14"/>
  <c r="G285" i="14"/>
  <c r="H285" i="14"/>
  <c r="I285" i="14"/>
  <c r="J285" i="14"/>
  <c r="K285" i="14"/>
  <c r="L285" i="14"/>
  <c r="M285" i="14"/>
  <c r="N285" i="14"/>
  <c r="O285" i="14"/>
  <c r="P285" i="14"/>
  <c r="Q285" i="14"/>
  <c r="R285" i="14"/>
  <c r="S285" i="14"/>
  <c r="T285" i="14"/>
  <c r="U285" i="14"/>
  <c r="V285" i="14"/>
  <c r="W285" i="14"/>
  <c r="X285" i="14"/>
  <c r="Y285" i="14"/>
  <c r="Z285" i="14"/>
  <c r="AA285" i="14"/>
  <c r="G294" i="14"/>
  <c r="H294" i="14"/>
  <c r="I294" i="14"/>
  <c r="J294" i="14"/>
  <c r="K294" i="14"/>
  <c r="L294" i="14"/>
  <c r="M294" i="14"/>
  <c r="N294" i="14"/>
  <c r="O294" i="14"/>
  <c r="P294" i="14"/>
  <c r="Q294" i="14"/>
  <c r="R294" i="14"/>
  <c r="S294" i="14"/>
  <c r="T294" i="14"/>
  <c r="U294" i="14"/>
  <c r="V294" i="14"/>
  <c r="W294" i="14"/>
  <c r="X294" i="14"/>
  <c r="Y294" i="14"/>
  <c r="Z294" i="14"/>
  <c r="AA294" i="14"/>
  <c r="G296" i="14"/>
  <c r="H296" i="14"/>
  <c r="I296" i="14"/>
  <c r="J296" i="14"/>
  <c r="K296" i="14"/>
  <c r="L296" i="14"/>
  <c r="M296" i="14"/>
  <c r="N296" i="14"/>
  <c r="O296" i="14"/>
  <c r="P296" i="14"/>
  <c r="Q296" i="14"/>
  <c r="R296" i="14"/>
  <c r="S296" i="14"/>
  <c r="T296" i="14"/>
  <c r="U296" i="14"/>
  <c r="V296" i="14"/>
  <c r="W296" i="14"/>
  <c r="X296" i="14"/>
  <c r="Y296" i="14"/>
  <c r="Z296" i="14"/>
  <c r="AA296" i="14"/>
  <c r="G297" i="14"/>
  <c r="H297" i="14"/>
  <c r="I297" i="14"/>
  <c r="J297" i="14"/>
  <c r="K297" i="14"/>
  <c r="L297" i="14"/>
  <c r="M297" i="14"/>
  <c r="N297" i="14"/>
  <c r="O297" i="14"/>
  <c r="P297" i="14"/>
  <c r="Q297" i="14"/>
  <c r="R297" i="14"/>
  <c r="S297" i="14"/>
  <c r="T297" i="14"/>
  <c r="U297" i="14"/>
  <c r="V297" i="14"/>
  <c r="W297" i="14"/>
  <c r="X297" i="14"/>
  <c r="Y297" i="14"/>
  <c r="Z297" i="14"/>
  <c r="AA297" i="14"/>
  <c r="G308" i="14"/>
  <c r="H308" i="14"/>
  <c r="I308" i="14"/>
  <c r="J308" i="14"/>
  <c r="K308" i="14"/>
  <c r="L308" i="14"/>
  <c r="M308" i="14"/>
  <c r="N308" i="14"/>
  <c r="O308" i="14"/>
  <c r="P308" i="14"/>
  <c r="Q308" i="14"/>
  <c r="R308" i="14"/>
  <c r="S308" i="14"/>
  <c r="T308" i="14"/>
  <c r="U308" i="14"/>
  <c r="V308" i="14"/>
  <c r="W308" i="14"/>
  <c r="X308" i="14"/>
  <c r="Y308" i="14"/>
  <c r="Z308" i="14"/>
  <c r="AA308" i="14"/>
  <c r="AB308" i="14"/>
  <c r="G309" i="14"/>
  <c r="H309" i="14"/>
  <c r="I309" i="14"/>
  <c r="J309" i="14"/>
  <c r="K309" i="14"/>
  <c r="L309" i="14"/>
  <c r="M309" i="14"/>
  <c r="N309" i="14"/>
  <c r="O309" i="14"/>
  <c r="P309" i="14"/>
  <c r="Q309" i="14"/>
  <c r="R309" i="14"/>
  <c r="S309" i="14"/>
  <c r="T309" i="14"/>
  <c r="U309" i="14"/>
  <c r="V309" i="14"/>
  <c r="W309" i="14"/>
  <c r="X309" i="14"/>
  <c r="Y309" i="14"/>
  <c r="Z309" i="14"/>
  <c r="AA309" i="14"/>
  <c r="AB309" i="14"/>
  <c r="G310" i="14"/>
  <c r="H310" i="14"/>
  <c r="I310" i="14"/>
  <c r="J310" i="14"/>
  <c r="K310" i="14"/>
  <c r="L310" i="14"/>
  <c r="M310" i="14"/>
  <c r="N310" i="14"/>
  <c r="O310" i="14"/>
  <c r="P310" i="14"/>
  <c r="Q310" i="14"/>
  <c r="R310" i="14"/>
  <c r="S310" i="14"/>
  <c r="T310" i="14"/>
  <c r="U310" i="14"/>
  <c r="V310" i="14"/>
  <c r="W310" i="14"/>
  <c r="X310" i="14"/>
  <c r="Y310" i="14"/>
  <c r="Z310" i="14"/>
  <c r="AA310" i="14"/>
  <c r="AB310" i="14"/>
  <c r="G311" i="14"/>
  <c r="G313" i="14"/>
  <c r="H313" i="14"/>
  <c r="I313" i="14"/>
  <c r="J313" i="14"/>
  <c r="K313" i="14"/>
  <c r="L313" i="14"/>
  <c r="M313" i="14"/>
  <c r="N313" i="14"/>
  <c r="O313" i="14"/>
  <c r="P313" i="14"/>
  <c r="Q313" i="14"/>
  <c r="R313" i="14"/>
  <c r="S313" i="14"/>
  <c r="T313" i="14"/>
  <c r="U313" i="14"/>
  <c r="V313" i="14"/>
  <c r="W313" i="14"/>
  <c r="X313" i="14"/>
  <c r="Y313" i="14"/>
  <c r="Z313" i="14"/>
  <c r="AA313" i="14"/>
  <c r="G314" i="14"/>
  <c r="G315"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tc={BDD35836-DEB9-4BB0-8D60-9A0F48C0CDE3}</author>
    <author>tc={8AA3B3A8-20DE-4D57-AD3D-18C0201C002B}</author>
    <author>tc={ED023F45-2FD2-4ED7-AB6A-A2B3247C228B}</author>
    <author>tc={261AE1ED-118B-4C82-BD28-2412A61B9D82}</author>
    <author>tc={FECCFBEC-05CC-4D64-AFA8-57C33A63190F}</author>
    <author>tc={CB37C910-95E4-4856-8638-DC05C481E199}</author>
    <author>tc={9CD0E937-B8EE-4B05-ABCB-E9A7E7B87477}</author>
    <author>tc={1B4BFC89-755D-453E-909E-FDCB8B866415}</author>
    <author>tc={BF78ADB5-F5C0-4DFC-8977-2141FDC34F8A}</author>
    <author>tc={92750242-7083-4480-9EE5-D029B8A5EFB9}</author>
    <author>tc={64C12530-A4D7-40F7-B56E-7085CADA04CE}</author>
  </authors>
  <commentList>
    <comment ref="H68" authorId="0" shapeId="0" xr:uid="{BDD35836-DEB9-4BB0-8D60-9A0F48C0CDE3}">
      <text>
        <t>[Threaded comment]
Your version of Excel allows you to read this threaded comment; however, any edits to it will get removed if the file is opened in a newer version of Excel. Learn more: https://go.microsoft.com/fwlink/?linkid=870924
Comment:
    Adjusted for the greenfield central RW R</t>
      </text>
    </comment>
    <comment ref="H74" authorId="1" shapeId="0" xr:uid="{8AA3B3A8-20DE-4D57-AD3D-18C0201C002B}">
      <text>
        <t xml:space="preserve">[Threaded comment]
Your version of Excel allows you to read this threaded comment; however, any edits to it will get removed if the file is opened in a newer version of Excel. Learn more: https://go.microsoft.com/fwlink/?linkid=870924
Comment:
    Move to greenfield
</t>
      </text>
    </comment>
    <comment ref="H75" authorId="2" shapeId="0" xr:uid="{ED023F45-2FD2-4ED7-AB6A-A2B3247C228B}">
      <text>
        <t xml:space="preserve">[Threaded comment]
Your version of Excel allows you to read this threaded comment; however, any edits to it will get removed if the file is opened in a newer version of Excel. Learn more: https://go.microsoft.com/fwlink/?linkid=870924
Comment:
    Move to greenfield
</t>
      </text>
    </comment>
    <comment ref="H76" authorId="3" shapeId="0" xr:uid="{261AE1ED-118B-4C82-BD28-2412A61B9D82}">
      <text>
        <t xml:space="preserve">[Threaded comment]
Your version of Excel allows you to read this threaded comment; however, any edits to it will get removed if the file is opened in a newer version of Excel. Learn more: https://go.microsoft.com/fwlink/?linkid=870924
Comment:
    Move to greenfield
</t>
      </text>
    </comment>
    <comment ref="H78" authorId="4" shapeId="0" xr:uid="{FECCFBEC-05CC-4D64-AFA8-57C33A63190F}">
      <text>
        <t xml:space="preserve">[Threaded comment]
Your version of Excel allows you to read this threaded comment; however, any edits to it will get removed if the file is opened in a newer version of Excel. Learn more: https://go.microsoft.com/fwlink/?linkid=870924
Comment:
    Move to greenfield
</t>
      </text>
    </comment>
    <comment ref="H81" authorId="5" shapeId="0" xr:uid="{CB37C910-95E4-4856-8638-DC05C481E199}">
      <text>
        <t xml:space="preserve">[Threaded comment]
Your version of Excel allows you to read this threaded comment; however, any edits to it will get removed if the file is opened in a newer version of Excel. Learn more: https://go.microsoft.com/fwlink/?linkid=870924
Comment:
    Move to greenfield
</t>
      </text>
    </comment>
    <comment ref="H82" authorId="6" shapeId="0" xr:uid="{9CD0E937-B8EE-4B05-ABCB-E9A7E7B87477}">
      <text>
        <t xml:space="preserve">[Threaded comment]
Your version of Excel allows you to read this threaded comment; however, any edits to it will get removed if the file is opened in a newer version of Excel. Learn more: https://go.microsoft.com/fwlink/?linkid=870924
Comment:
    Move to greenfield
</t>
      </text>
    </comment>
    <comment ref="H84" authorId="7" shapeId="0" xr:uid="{1B4BFC89-755D-453E-909E-FDCB8B866415}">
      <text>
        <t xml:space="preserve">[Threaded comment]
Your version of Excel allows you to read this threaded comment; however, any edits to it will get removed if the file is opened in a newer version of Excel. Learn more: https://go.microsoft.com/fwlink/?linkid=870924
Comment:
    Move to greenfield
</t>
      </text>
    </comment>
    <comment ref="H87" authorId="8" shapeId="0" xr:uid="{BF78ADB5-F5C0-4DFC-8977-2141FDC34F8A}">
      <text>
        <t xml:space="preserve">[Threaded comment]
Your version of Excel allows you to read this threaded comment; however, any edits to it will get removed if the file is opened in a newer version of Excel. Learn more: https://go.microsoft.com/fwlink/?linkid=870924
Comment:
    Move to greenfield
</t>
      </text>
    </comment>
    <comment ref="H94" authorId="9" shapeId="0" xr:uid="{92750242-7083-4480-9EE5-D029B8A5EFB9}">
      <text>
        <t>[Threaded comment]
Your version of Excel allows you to read this threaded comment; however, any edits to it will get removed if the file is opened in a newer version of Excel. Learn more: https://go.microsoft.com/fwlink/?linkid=870924
Comment:
    Move to infill less average</t>
      </text>
    </comment>
    <comment ref="H96" authorId="10" shapeId="0" xr:uid="{64C12530-A4D7-40F7-B56E-7085CADA04CE}">
      <text>
        <t>[Threaded comment]
Your version of Excel allows you to read this threaded comment; however, any edits to it will get removed if the file is opened in a newer version of Excel. Learn more: https://go.microsoft.com/fwlink/?linkid=870924
Comment:
    Move to infill less average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tc={ED053AE0-2E69-4EE6-BCCB-267F33C2E76E}</author>
  </authors>
  <commentList>
    <comment ref="H187" authorId="0" shapeId="0" xr:uid="{ED053AE0-2E69-4EE6-BCCB-267F33C2E76E}">
      <text>
        <t>[Threaded comment]
Your version of Excel allows you to read this threaded comment; however, any edits to it will get removed if the file is opened in a newer version of Excel. Learn more: https://go.microsoft.com/fwlink/?linkid=870924
Comment:
    Sum of water and sewer separately calculated</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tc={18694D2E-6955-4BB8-AE17-EC6E66D52EC5}</author>
  </authors>
  <commentList>
    <comment ref="H187" authorId="0" shapeId="0" xr:uid="{18694D2E-6955-4BB8-AE17-EC6E66D52EC5}">
      <text>
        <t>[Threaded comment]
Your version of Excel allows you to read this threaded comment; however, any edits to it will get removed if the file is opened in a newer version of Excel. Learn more: https://go.microsoft.com/fwlink/?linkid=870924
Comment:
    Sum of water and sewer separately calculated</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<sst xmlns="http://schemas.openxmlformats.org/spreadsheetml/2006/main" count="6419" uniqueCount="747">
  <si>
    <t>GREATER WESTERN WATER - NCC PS24</t>
  </si>
  <si>
    <t>Dashboard</t>
  </si>
  <si>
    <t>Modelling choice</t>
  </si>
  <si>
    <t>Sunk Assets to be included?</t>
  </si>
  <si>
    <t>&lt;- 0 = no net sunk; 1 =10 Year net sunk</t>
  </si>
  <si>
    <t>Modelled outcomes</t>
  </si>
  <si>
    <t>Modelled prices</t>
  </si>
  <si>
    <t>Tariff</t>
  </si>
  <si>
    <t>Price</t>
  </si>
  <si>
    <t>Other RW</t>
  </si>
  <si>
    <t>Forecast equivalent customers by scenario</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</si>
  <si>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</si>
  <si>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</si>
  <si>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</si>
  <si>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</si>
  <si>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</si>
  <si>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</si>
  <si>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</si>
  <si>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</si>
  <si>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</si>
  <si>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</si>
  <si>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</si>
  <si>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</si>
  <si>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</si>
  <si>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</si>
  <si>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</si>
  <si>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</si>
  <si>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</si>
  <si>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</si>
  <si>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</si>
  <si>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</si>
  <si>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Standard - Water</t>
  </si>
  <si>
    <t>Standard - Sewer</t>
  </si>
  <si>
    <t>Standard - Water and Sewer</t>
  </si>
  <si>
    <t>Western Greenfield - Water</t>
  </si>
  <si>
    <t>Western Greenfield - Sewer</t>
  </si>
  <si>
    <t>Western Greenfield - Water and Sewer</t>
  </si>
  <si>
    <t>Wyndham RW</t>
  </si>
  <si>
    <t>Forecast revenue</t>
  </si>
  <si>
    <t>Option 1 - Separate products</t>
  </si>
  <si>
    <t>Option 2 - Combined Water and Sewer</t>
  </si>
  <si>
    <t>PS 24 Proposal</t>
  </si>
  <si>
    <t>Proposed Prices</t>
  </si>
  <si>
    <t>Proposed Revenue</t>
  </si>
  <si>
    <t>Total</t>
  </si>
  <si>
    <t>End</t>
  </si>
  <si>
    <t>Model Guide</t>
  </si>
  <si>
    <t>User Guide</t>
  </si>
  <si>
    <t>Modelling Conventions</t>
  </si>
  <si>
    <t>Inputs</t>
  </si>
  <si>
    <t>All input cells in the model are shaded light blue. Users should only input data in these cells. These cells should not be moved, altered or overwritten.</t>
  </si>
  <si>
    <t>Calculations</t>
  </si>
  <si>
    <t>These cells are calculations. The formulas in these cells should not be overwritten or amended.</t>
  </si>
  <si>
    <t>NCC inputs</t>
  </si>
  <si>
    <t>These cells are lookups on the NCC calculation sheets</t>
  </si>
  <si>
    <t>Outputs</t>
  </si>
  <si>
    <t>These cells are final outputs and appear on the Dashboard</t>
  </si>
  <si>
    <t>Title and Dashboard Sheets</t>
  </si>
  <si>
    <t xml:space="preserve">Dashboard </t>
  </si>
  <si>
    <t>DASH</t>
  </si>
  <si>
    <t xml:space="preserve">The dashboard contains the tariff outputs of the NCC model, quantity and revenue as calculated by the model, as well as gifted assets. The dashboard includes a manual scenario that GWW can use for its chosen price path. </t>
  </si>
  <si>
    <t>Administrative Sheets</t>
  </si>
  <si>
    <t>This model guide give an overview of the structure of the model. The guide does not include a detailed description of the functionality of the calculation sheets or cells.</t>
  </si>
  <si>
    <t>Assumptions</t>
  </si>
  <si>
    <t>This tab sets out the core assumptions underlying the NCC calculations.</t>
  </si>
  <si>
    <t>Notes</t>
  </si>
  <si>
    <t xml:space="preserve">This tab includes all notes for the NCC model as shown in the ESC's template. </t>
  </si>
  <si>
    <t>User Guide - INPUT SHEETS</t>
  </si>
  <si>
    <t>Input Sehets</t>
  </si>
  <si>
    <t xml:space="preserve">INPUT Reg </t>
  </si>
  <si>
    <t>This tab contains inputs for demand, prices, regulatory rate of return and inflation assumption</t>
  </si>
  <si>
    <t>INPUT Growth</t>
  </si>
  <si>
    <t>This tab contains grwoth related inputs and includes all forecast connections (total and net), and the proportion of new and existing connections that will be serviced by melbourne water</t>
  </si>
  <si>
    <t>INPUT Opex</t>
  </si>
  <si>
    <t>This tab contains all the opex inputs needed to calculate NCCs and includes bulk opex from MW and GWW controllable opex</t>
  </si>
  <si>
    <t>INPUT Capex</t>
  </si>
  <si>
    <t xml:space="preserve">This tab contains all the capex inputs needed for the NCC calculations and  includes all forecast capex and gifted assets, plus historical net capex calculations and inputs (NCC revenue, historical capex and depreciation). </t>
  </si>
  <si>
    <t>User Guide - FORECAST SHEETS</t>
  </si>
  <si>
    <t>Calculation sheets</t>
  </si>
  <si>
    <t>These tabs use the ESC's 20-year model as a template</t>
  </si>
  <si>
    <t>SS</t>
  </si>
  <si>
    <t>This tab calculates a water GWW standard contribution for all infill development and all greenfield development in the Central region (council areas of Wyndham and Melton).  DO NOT change the name of this tab.</t>
  </si>
  <si>
    <t>SW</t>
  </si>
  <si>
    <t>This tab calculates a sewer GWW standard contribution for all infill development and all greenfield development in the Central region (council areas of Wyndham and Melton). DO NOT change the name of this tab.</t>
  </si>
  <si>
    <t>SA</t>
  </si>
  <si>
    <t>This tab calculates a proposed NCC contribution of water and sewer GWW standard charge for all infill development and all greenfield development in the Central region (council areas of Wyndham and Melton). DO NOT change the name of this tab.</t>
  </si>
  <si>
    <t>GS</t>
  </si>
  <si>
    <t>This tab calculates a water GWW - Western Greenfield contribution for greenfield development in the Western region (council areas of Hume and Melton, and all regional development). DO NOT change the name of this tab.</t>
  </si>
  <si>
    <t>GW</t>
  </si>
  <si>
    <t>This tab calculates a sewer GWW - Western Greenfield contribution for greenfield development in the Western region (council areas of Hume and Melton, and all regional development). DO NOT change the name of this tab.</t>
  </si>
  <si>
    <t>GA</t>
  </si>
  <si>
    <t>This tab calculates a proposed NCC contribution of water and sewer GWW - Western Greenfield contribution for greenfield development in the Western region (council areas of Hume and Melton, and all regional development). DO NOT change the name of this tab.</t>
  </si>
  <si>
    <t>WR</t>
  </si>
  <si>
    <t>This tab calculates the Wyndham Recylced Water charge. The charge applies to the Greek Hill and West Werribee recycled water zones and is the proposed recycled water tariff. DO NOT change the name of this tab.</t>
  </si>
  <si>
    <t>GR</t>
  </si>
  <si>
    <t>This tab captures all other recylced water capex and opex and does not calculate a proposed contribution. DO NOT change the name of this tab.</t>
  </si>
  <si>
    <t>Key assumptions and sources</t>
  </si>
  <si>
    <t>Key Assumptions</t>
  </si>
  <si>
    <t>Description</t>
  </si>
  <si>
    <t>Details</t>
  </si>
  <si>
    <t>Value (if applicable)</t>
  </si>
  <si>
    <t>Source</t>
  </si>
  <si>
    <t>Reference</t>
  </si>
  <si>
    <t>Contact details</t>
  </si>
  <si>
    <t>Greater Western Water</t>
  </si>
  <si>
    <t>GWW Economic Regulation Team</t>
  </si>
  <si>
    <t>James Wilson, Regulatory Analyst and Chris Plunkett, Team Leader Economic Regulation</t>
  </si>
  <si>
    <t>Statement of purpose</t>
  </si>
  <si>
    <t>This model has been developed to provide Greater Western Water with a NCC that complies with the NCC model template and guidance set out by the ESC. 
The key assumptions developed for the modelling and its output have been informed based on regulatory precedent set in the 2023 Price Submissions. 
The model includes both water, sewer and recycled water NCCs separately, and a combined water and sewer NCC to reflect tariff reforms proposed by GWW in PS24</t>
  </si>
  <si>
    <t>Key assumptions in the NCC model</t>
  </si>
  <si>
    <t>Time period</t>
  </si>
  <si>
    <t>The length of analysis period.</t>
  </si>
  <si>
    <t xml:space="preserve">The length of analysis period of 20 years was chosen. None of the scenarios are fully developed within 35 years, and data inputs reliability was strongest in the first 20 years. </t>
  </si>
  <si>
    <t>Discount rate</t>
  </si>
  <si>
    <t>Real RRR</t>
  </si>
  <si>
    <t>The discount rate is the real regulatory rate of return is consistent with the financial template</t>
  </si>
  <si>
    <t>Z - GWW Regulatory Model V22</t>
  </si>
  <si>
    <t>U67 Inflation_&amp;_RRR</t>
  </si>
  <si>
    <t>Dollars</t>
  </si>
  <si>
    <t>The model is in real 2024 and as such inflation forecast is 0%</t>
  </si>
  <si>
    <t>The discount rate is real and all inputs are real dollars 2024 (i.e. 1 January 2024), as such inflation has not been incorporated into the model.</t>
  </si>
  <si>
    <t>Sunk assets</t>
  </si>
  <si>
    <t>The inclusion of historical investment and revenue.</t>
  </si>
  <si>
    <t xml:space="preserve">The model includes an option to include sunk assets or not. On the DASH tab cell E8, if this is 0 sunk assets are not included and if it is 1 sunk assets are included. The sunk assets that could be included are based on 10 years of historical growth capex as reported to the ESC in the Regulatory Accounting Statements. These have been offset by an estimate of regulatory depreciation and revenue from new customers contributions received over the period. </t>
  </si>
  <si>
    <t>Capital expenditure inputs</t>
  </si>
  <si>
    <t>Historical capex</t>
  </si>
  <si>
    <t>Historical capex has been provided in two files: F - CWW Capex History - updated Jul 2022 (includes GWW from 1 July 2021) and G - WW CAPEX SPEND FY13-FY21. 2022-23 onwards this has been sourced from the GWW Regulatory Model 2024 PS_V22</t>
  </si>
  <si>
    <t>F - CWW Capex History - updated Jul 2022</t>
  </si>
  <si>
    <t>Individual years on tabs, summarised on NCC - CWW Hist_Capex</t>
  </si>
  <si>
    <t>G - WW CAPEX SPEND FY13-FY21</t>
  </si>
  <si>
    <t>Source Capex FY14-FY21, and summared on NCC - WW Historical capex</t>
  </si>
  <si>
    <t>S40:T76 Capex_Summary</t>
  </si>
  <si>
    <t>Forecast capex</t>
  </si>
  <si>
    <t xml:space="preserve">Forecast capex has been provided by the planning team and aligns with the capital program proposed in the 2024 Price Submission for 2023-24 to 2032-33 (source: J - Forecast capex for NCCs August 25 2023). 
For the remainder of the 20 year analysis period, the average program capex costs has been incorporated into the forecast. 
For treatment related capex, this has been allocated based on the percentage of new customers served at year 20 and has been split between standard and the greenfield charges based on customer numbers </t>
  </si>
  <si>
    <t>J - Forecast capex for NCCs August 25 2023</t>
  </si>
  <si>
    <t>Column AU:BE on NCC_CapexFinal, and summarised on NCC Output</t>
  </si>
  <si>
    <t>Asset life</t>
  </si>
  <si>
    <t>Pipeline/Network</t>
  </si>
  <si>
    <t xml:space="preserve">The average asset life of new pipes and network assets, and other long lived capital assets such as headworks upgrades. </t>
  </si>
  <si>
    <t>L24 Capex Projects</t>
  </si>
  <si>
    <t>Pumps/Valves</t>
  </si>
  <si>
    <t xml:space="preserve">The average asset life of new pumps/valves and other short lived capital assets such as meters. </t>
  </si>
  <si>
    <t>0 Asset life - Pumps &amp; valves</t>
  </si>
  <si>
    <t xml:space="preserve">Email from Manager Growth Planning </t>
  </si>
  <si>
    <t>Treatment</t>
  </si>
  <si>
    <t>The average asset life of new treatment assets for water, sewage and recycled water.</t>
  </si>
  <si>
    <t>L23 Capex Projects</t>
  </si>
  <si>
    <t>Temporary assets</t>
  </si>
  <si>
    <t>The average asset life of new temporary assets. Note that no temporary assets have been forecast</t>
  </si>
  <si>
    <t>Capital revenue inputs</t>
  </si>
  <si>
    <t>Government contributions</t>
  </si>
  <si>
    <t xml:space="preserve">Government contributions have been extracted from the GWW Regulatory Model 2024 PS_V22
Historical recycled water contributions have been offset. Forecast recylced water government contributions are for the WIN project and no WIN project capex has been included in the forecast. </t>
  </si>
  <si>
    <t>Contributions Summary Row 20</t>
  </si>
  <si>
    <t>Historical NCC revenue</t>
  </si>
  <si>
    <t xml:space="preserve">Historical NCC revenue was provided by GWW in the file H - NCC historical for each legacy business. Note due to changes in Accounting standards, this is slight difference between what was reported in the Regulatory Accounting Statements and in the RAB. 
From 1 July 2021, the NCC revenue aligns with the GWW Regulatory Model 2024 PS_V22. </t>
  </si>
  <si>
    <t>H - NCC historical</t>
  </si>
  <si>
    <t>As per 'Raw' tab</t>
  </si>
  <si>
    <t>Contributions_Summary R24:T26</t>
  </si>
  <si>
    <t>Gifted assets</t>
  </si>
  <si>
    <t>Gifted assets have been calculated based on a unit rate using the corporate plan forecast. Source: D - Gifted Asset Unit Rates.xlsx</t>
  </si>
  <si>
    <t>D - Gifted Assets Unit Rates</t>
  </si>
  <si>
    <t>Unit rate, rows 42:44</t>
  </si>
  <si>
    <t>Opex inputs</t>
  </si>
  <si>
    <t>Opex per connection</t>
  </si>
  <si>
    <t xml:space="preserve">Total controllable GWW opex is from the GWW Regulatory Model 2024 PS_V22 and divided by connections develop a product based opex per connection. </t>
  </si>
  <si>
    <t>Opex_Con, Water: row 136, Sewer Row 148, RW Row 160</t>
  </si>
  <si>
    <t>Bulk opex - fixed</t>
  </si>
  <si>
    <t xml:space="preserve">Bulk opex is from the GWW Regulatory Model 2024 PS_V22, divided by total connections and multiplied by percentage supplied by MW. This gives a scenario weighted average bulk opex allocation that is multiplied by cumulative connections. </t>
  </si>
  <si>
    <t>Opex_Bulk Charges and summarised on NCC_Outputs</t>
  </si>
  <si>
    <t>Bulk opex - variable</t>
  </si>
  <si>
    <t>Bulk opex is from the GWW Regulatory Model 2024 PS_V22, is multiplied by percentage supplied by MW. The exception is VDP Water oder which is from I - MW bulk charges - forecast.xlsx. However this is not included in the NCC modelled outcomes as the water order is subject to Ministerial approval.</t>
  </si>
  <si>
    <t>I - MW bulk charges - forecast</t>
  </si>
  <si>
    <t>TariffApprovals_MW row 61 updated for 1 year inflation.</t>
  </si>
  <si>
    <t>Percentage receiving bulk supply</t>
  </si>
  <si>
    <t>Based on forecast connections and estimated 'switch' from local to MW, source: E - MW vs GWW sewer treatment and water supplied.xlsx</t>
  </si>
  <si>
    <t>E - MW vs GWW sewer treatment and water supplied</t>
  </si>
  <si>
    <t>From Scenario Allocation and summarised on 'Allocation for Bulk opex' rows 84:93</t>
  </si>
  <si>
    <t>Connections and demand</t>
  </si>
  <si>
    <t>Historical connections</t>
  </si>
  <si>
    <t xml:space="preserve">Connections for water, sewer and recylced water split by residential and non-residential. </t>
  </si>
  <si>
    <t>Historical connections have been provided by extracts from the Gentrack and Aquarate billing systems on a SA2 level to allocate to the the different regions as described in 'Customer regions and development type'. This has been used to allocate historical NCC revenue. 
Source file: 'B - Growth data for NCC's - Historical.xlsx'</t>
  </si>
  <si>
    <t>B - Growth data for NCC's - Historical</t>
  </si>
  <si>
    <t>From Gentrack and WW's sheets, summarised on NCC output</t>
  </si>
  <si>
    <t>Forecast connections</t>
  </si>
  <si>
    <t xml:space="preserve">Forecast connections have been provided by the planning teams. These connections were split by Region (Hume, Metro, Melton, Regional, Wyndham), whether it was Central or Western zone, and if it was Greenfield or Infill. The data was based on ViF2021 and align with the price submission proposal. This has been used to calculate the custmers in the Proposed Tariffs. 
Growth in connections for 2022-23 has been smoothed for the Western Scenarios as there appears to be different allocations between the billing system and the planning forecast. To smooth the forecast, the 2023-24 growth connections was adopted for the 'Standard' and the difference for the 'Western Greenfield'.  </t>
  </si>
  <si>
    <t>C - Growth Data for NCCs - Forecast</t>
  </si>
  <si>
    <t>Original data on 'Connection data', aggregated on 'Split' and then summarised for ouutput on 'NCC Output_Connections'</t>
  </si>
  <si>
    <t>Demand</t>
  </si>
  <si>
    <t xml:space="preserve">Water, recylced water and sewage demand forecasts. </t>
  </si>
  <si>
    <t>A -Tariff Reform Modelling - V17 - FINAL BOARD 4 SEPTEMBER</t>
  </si>
  <si>
    <t xml:space="preserve">Original data on Manual pricing and summarised on NCC Output Row 114:129, using Bill calculator further down the sheet. </t>
  </si>
  <si>
    <t>Pricing and equivalent connections</t>
  </si>
  <si>
    <t>Prices</t>
  </si>
  <si>
    <t>Prices and tariff structures are as per 5 September 2023</t>
  </si>
  <si>
    <t>Original data on Manual pricing and summarised on NCC Output Row 5:32</t>
  </si>
  <si>
    <t>Price paths</t>
  </si>
  <si>
    <t>Price paths were calculated based on forecast provided on 5 September 2023.</t>
  </si>
  <si>
    <t xml:space="preserve">Equivalent connections - residential </t>
  </si>
  <si>
    <t>The average residential connection is 20mm and is equivalent to 1 standard connection</t>
  </si>
  <si>
    <t xml:space="preserve">Equivalent connections - non-residential </t>
  </si>
  <si>
    <t>The average non-residential connection is 25mm. In accordance with the GWW NCC Guideline, this is 2 equivalent connections. Reference document: https://www.gww.com.au/sites/default/files/2023-06/GWW%20New%20Customer%20Contributions%20Guide%20FY23-24.pdf</t>
  </si>
  <si>
    <t>https://www.gww.com.au/sites/default/files/2023-06/GWW%20New%20Customer%20Contributions%20Guide%20FY23-24.pdf</t>
  </si>
  <si>
    <t>Table 2-3 and table 2-5</t>
  </si>
  <si>
    <t>Tariff class 1</t>
  </si>
  <si>
    <t>Residential Previously CWW customer</t>
  </si>
  <si>
    <t>Tariff Real Escalation - Tariff class 1</t>
  </si>
  <si>
    <t>Average bill escalation for residential previously CWW</t>
  </si>
  <si>
    <t>Average bill path for the products chosen in a scenario is calculated holding consumption at 2023-24 constant and any further adjustments due to consumption are incorporated in the demand forecast for that customer</t>
  </si>
  <si>
    <t>Forecast Fixed Tariff - Tariff class 1</t>
  </si>
  <si>
    <t>Fixed network fees applicable for residential previously CWW</t>
  </si>
  <si>
    <t>This is for the product that is being calculated or the sum of water and sewerage for the water and sewerage tariffs.</t>
  </si>
  <si>
    <t>Forecast Rate Block 1 Tariff - Tariff class 1</t>
  </si>
  <si>
    <t>This corrresponds to the consumption in Incremental volume block 1</t>
  </si>
  <si>
    <t>Applies only for previously CWW customers: Water: Tier 1 when the water product is chosen; RW: Flat variable charge when the recycled water product is chosen; Sewer: N/A, and is multiplied by the incremental volume block 1</t>
  </si>
  <si>
    <t>Forecast Rate Block 2 Tariff - Tariff class 1</t>
  </si>
  <si>
    <t>This corrresponds to the consumption in Incremental volume block 2</t>
  </si>
  <si>
    <t>Applies only for previously CWW customers: Water: Tier 2 when the water product is chosen; RW: N/A; Sewer: N/A, and the volume multiplied is the tier 2 consumption in incremental volume block 2</t>
  </si>
  <si>
    <t>Forecast Rate Block 3 Tariff - Tariff class 1</t>
  </si>
  <si>
    <t>This corrresponds to the consumption in Incremental volume block 3</t>
  </si>
  <si>
    <t xml:space="preserve">Applies only for previously CWW customers: Water: N/A RW: N/A; Sewer: Residential Sewer Disposal charge when sewerage is chosen, note that the price is set to zero in 2023-24 to reflect tariff reform and SDC has been calculated to include in the variable opex. </t>
  </si>
  <si>
    <t>Tariff class 2</t>
  </si>
  <si>
    <t>Non-residential  previously CWW customer</t>
  </si>
  <si>
    <t>Tariff Real Escalation - Tariff class 2</t>
  </si>
  <si>
    <t>Average bill escalation for non-residential previously CWW</t>
  </si>
  <si>
    <t>Forecast Fixed Tariff - Tariff class 2</t>
  </si>
  <si>
    <t>Fixed network fees applicable for non-residential previously CWW</t>
  </si>
  <si>
    <t>Forecast Rate Block 1 Tariff - Tariff class 2</t>
  </si>
  <si>
    <t>Applies only for previously CWW non-residential customers: Water: Flat when the water product is chosen; RW: Flat variable charge when the recycled water product is chosen; Sewer: N/A, and is multiplied by the incremental volume block 1</t>
  </si>
  <si>
    <t>Forecast Rate Block 2 Tariff - Tariff class 2</t>
  </si>
  <si>
    <t>Not used</t>
  </si>
  <si>
    <t>Forecast Rate Block 3 Tariff - Tariff class 2</t>
  </si>
  <si>
    <t>Applies only for previously CWW non-res customers: Water: N/A RW: N/A; Sewer: Non-residential Sewer Disposal charge when sewerage is chosen</t>
  </si>
  <si>
    <t>Tariff class 3</t>
  </si>
  <si>
    <t>Residential Previously WW customer</t>
  </si>
  <si>
    <t>Tariff Real Escalation - Tariff class 3</t>
  </si>
  <si>
    <t>Average bill escalation for residential previously WW</t>
  </si>
  <si>
    <t>Forecast Fixed Tariff - Tariff class 3</t>
  </si>
  <si>
    <t>Fixed network fees applicable for residential previously WW</t>
  </si>
  <si>
    <t>Forecast Rate Block 1 Tariff - Tariff class 3</t>
  </si>
  <si>
    <t>Applies only for previously WW customers: Water: Tier 1 when the water product is chosen; RW: Flat variable charge when the recycled water product is chosen; Sewer: N/A, and is multiplied by the incremental volume block 1</t>
  </si>
  <si>
    <t>Forecast Rate Block 2 Tariff - Tariff class 3</t>
  </si>
  <si>
    <t>Applies only for previously WW customers: Water: Tier 2 when the water product is chosen; RW: N/A; Sewer: N/A, and the volume multiplied is the tier 2 consumption in incremental volume block 2</t>
  </si>
  <si>
    <t>Forecast Rate Block 3 Tariff - Tariff class 3</t>
  </si>
  <si>
    <t xml:space="preserve">Applies only for previously WW residential customers: Water: N/a as the average consumption does not go to Tier 3;  RW: N/A; Sewer: Residential Sewer Disposal charge when sewerage is chosen, note that the price is set to zero in 2023-24 and  SDC has been calculated to include in the variable opex. SDC Volume has been calculated using the same DF and seasonal indices s as the CWW as no WW DF or seasonal indices was provided. </t>
  </si>
  <si>
    <t>Tariff class 4</t>
  </si>
  <si>
    <t>Non-residential  previously WW customer</t>
  </si>
  <si>
    <t>Tariff Real Escalation - Tariff class 4</t>
  </si>
  <si>
    <t>Average bill escalation for non-residential previously WW</t>
  </si>
  <si>
    <t>Forecast Fixed Tariff - Tariff class 4</t>
  </si>
  <si>
    <t>Fixed network fees applicable for non-residential previously WW</t>
  </si>
  <si>
    <t>Forecast Rate Block 1 Tariff - Tariff class 4</t>
  </si>
  <si>
    <t>Applies only for previously WW non-residential customers: Water: Flat when the water product is chosen; RW: Flat variable charge when the recycled water product is chosen; Sewer: N/A, and is multiplied by the incremental volume block 1</t>
  </si>
  <si>
    <t>Forecast Rate Block 2 Tariff - Tariff class 4</t>
  </si>
  <si>
    <t>Forecast Rate Block 3 Tariff - Tariff class 4</t>
  </si>
  <si>
    <t xml:space="preserve">Applies only for previously CWW non-res customers: Water: N/A RW: N/A; Sewer: Non-residential Sewer Disposal charge when sewerage is chosen however the price is set to zero in 2023-24  and SDC has been calculated to include in the variable opex. SDC Volume has been calculated on the same proportion basis as the CWW forecast for average customers as no forecast was provided. </t>
  </si>
  <si>
    <t>Customer regions and development type</t>
  </si>
  <si>
    <t>Greenfield</t>
  </si>
  <si>
    <t>Greenfield development</t>
  </si>
  <si>
    <t xml:space="preserve">Developed that is within a PSP, changes from rural zone living or farm zone living to residential/industrial/commerical etc, or requires new assets to be constructed or an upgrade of an asset. </t>
  </si>
  <si>
    <t>Infill</t>
  </si>
  <si>
    <t>Infill development</t>
  </si>
  <si>
    <t xml:space="preserve">All other development. Typically a redevelopment site. </t>
  </si>
  <si>
    <t>Central</t>
  </si>
  <si>
    <t>Central region of GWW.</t>
  </si>
  <si>
    <t xml:space="preserve">All expenditure and connections associated with customers previously served by City West Water, or would have been served by City West Water if integration did not occur. </t>
  </si>
  <si>
    <t>Western</t>
  </si>
  <si>
    <t>Western region of GWW.</t>
  </si>
  <si>
    <t xml:space="preserve">All expenditure and connections associated with customers previously served by Western Water, or would have been served by Western Water if integration did not occur. </t>
  </si>
  <si>
    <t>GWW standard</t>
  </si>
  <si>
    <t>GWW standard NCC tariff</t>
  </si>
  <si>
    <t xml:space="preserve">GWW standard NCC tariff provides for all infill development in the area previously served by Western Water and all new connections in the area previously served by City West Water. </t>
  </si>
  <si>
    <t>Hume</t>
  </si>
  <si>
    <t>Hume greenfield customers</t>
  </si>
  <si>
    <t xml:space="preserve">New customers who are connecting in the City of Hume that in a greenfield development. </t>
  </si>
  <si>
    <t>Melton</t>
  </si>
  <si>
    <t>Melton greenfield customers</t>
  </si>
  <si>
    <t xml:space="preserve">New customers who are connecting in Melton City Council that are in a greenfield development. </t>
  </si>
  <si>
    <t>Metro</t>
  </si>
  <si>
    <t xml:space="preserve">Development in the Metro area of Melbourne. </t>
  </si>
  <si>
    <t xml:space="preserve">New customers who are connecting in the metro area of Melbourne and are infill development. </t>
  </si>
  <si>
    <t>Regional</t>
  </si>
  <si>
    <t>Regional customers allocation to greenfield or infill .</t>
  </si>
  <si>
    <t>The Regional customer data provided had been developed on the assumption that Greenfield = PSP and Infill = non-PSP. In regional areas this is not the case, as such we have allocated all Regional Infill to Greenfield. This is consistent with the approach taken in the Land Development team when applying Greenfield and Infill charges in the previously WW region.</t>
  </si>
  <si>
    <t>Wyndham</t>
  </si>
  <si>
    <t>Wyndham greenfield customers</t>
  </si>
  <si>
    <t xml:space="preserve">New customers who are connecting in Wyndham City Council that are in a greenfield development. </t>
  </si>
  <si>
    <t>Proposed tariffs</t>
  </si>
  <si>
    <t>Standard</t>
  </si>
  <si>
    <t>Standard NCC charge across GWW for water and sewer</t>
  </si>
  <si>
    <t xml:space="preserve">The GWW standard charge applies to all infill development and all greenfield development in the Central region (council areas of Wyndham and Melton). </t>
  </si>
  <si>
    <t>Western Greenfield</t>
  </si>
  <si>
    <t>Greenfield charge in Western region only for water and sewer.</t>
  </si>
  <si>
    <t xml:space="preserve">The GWW - Western Greenfield charge only applies to greenfield development in the Western region (council areas of Hume and Melton, and all regional development). </t>
  </si>
  <si>
    <t>Recycled water charge in Wyndam City Council.</t>
  </si>
  <si>
    <t>The Wyndham Recylced Water charge applies to the Greek Hill and West Werribee recycled water zones</t>
  </si>
  <si>
    <t>As there are few connections outside the Wyndham RW zone, this scenario captures all other connections for balancing purposes only. This is not a proposed tariff.</t>
  </si>
  <si>
    <t>Tariff Lookups</t>
  </si>
  <si>
    <t>Tariff Code</t>
  </si>
  <si>
    <t>Tariff Product</t>
  </si>
  <si>
    <t>Tariff Zone</t>
  </si>
  <si>
    <t xml:space="preserve">A water GWW standard charge for all infill development and all greenfield development in the Central region (council areas of Wyndham and Melton). Note that the standard water includes sewage variable charge revenue for residential customers, as the Sewer Disposal Charge is proposed to be removed and replaced with a 'water and sewer' variable charge. </t>
  </si>
  <si>
    <t>Water</t>
  </si>
  <si>
    <t xml:space="preserve">A sewer GWW standard charge for all infill development and all greenfield development in the Central region (council areas of Wyndham and Melton). </t>
  </si>
  <si>
    <t>Sewer</t>
  </si>
  <si>
    <t xml:space="preserve">The proposed NCC tariff of water and sewer GWW standard charge for all infill development and all greenfield development in the Central region (council areas of Wyndham and Melton). </t>
  </si>
  <si>
    <t>Water and Sewer</t>
  </si>
  <si>
    <t xml:space="preserve">A water GWW - Western Greenfield charge for greenfield development in the Western region (council areas of Hume and Melton, and all regional development). </t>
  </si>
  <si>
    <t xml:space="preserve">A sewer GWW - Western Greenfield charge for greenfield development in the Western region (council areas of Hume and Melton, and all regional development). </t>
  </si>
  <si>
    <t xml:space="preserve">The proposed NCC tariff of water and sewer GWW - Western Greenfield charge for greenfield development in the Western region (council areas of Hume and Melton, and all regional development). </t>
  </si>
  <si>
    <t>The Wyndham Recylced Water charge applies to the Greek Hill and West Werribee recycled water zones and is the proposed recycled water tariff</t>
  </si>
  <si>
    <t>Recycled</t>
  </si>
  <si>
    <t>All other recylced water capex and opex is captured here and is not a proposed tariff</t>
  </si>
  <si>
    <t>Other</t>
  </si>
  <si>
    <t>User guide</t>
  </si>
  <si>
    <t>Notes from Model</t>
  </si>
  <si>
    <t>Worksheet</t>
  </si>
  <si>
    <t>Worksheet Name</t>
  </si>
  <si>
    <t>This scenario considers water only.</t>
  </si>
  <si>
    <t xml:space="preserve">This scenario considers sewer only. </t>
  </si>
  <si>
    <t xml:space="preserve">This scenario considers both water and sewer combined. </t>
  </si>
  <si>
    <t xml:space="preserve">This scenario considers only RW. </t>
  </si>
  <si>
    <t>All tariff calculations have the same four assets - Pipes/Storage at 90 years.</t>
  </si>
  <si>
    <t>All tariff calculations have the same four assets - Pumps/valves 30 years</t>
  </si>
  <si>
    <t>All tariff calculations have the same assets - Treatment 80 years</t>
  </si>
  <si>
    <t xml:space="preserve">Temporary assets have chosen to 10 years. No temporary assets have been forecast. </t>
  </si>
  <si>
    <t>Inflation assumption is 0% as all inputs are in real 2024 dollars.</t>
  </si>
  <si>
    <t>The Post tax Nominal discount factor is the same as the Real discount rate. This is the real regulatory rate of return, consistent with the 2024 price submimssion</t>
  </si>
  <si>
    <t>Franking credits are 50% - consistent with the benchmark tax allowance</t>
  </si>
  <si>
    <t>The corporate tax rate is 30% consistent with the benchmark tax allowance</t>
  </si>
  <si>
    <t xml:space="preserve">Incremental capital expenditure is all growth assets - 100% of pipes/networks and pumps/valves, treatment assets have been allocated based on the proportion of new customers at the end of the modelling period. Some renewal capex that is catering for growth has been incorporated at 20% which the exception of large risk renewals in the inner urban that have been 50% allocated to the NCC model. An assessment of whether a renewal asset is catering for growth was undertaken by the planning team. </t>
  </si>
  <si>
    <t>Gifted assets have been calculated based on the unit rate forecast in the corporate plan. Gifted assets have only been included for greenfield development customers, and the total gifted assets calculated are consistent with the 2024 price submission</t>
  </si>
  <si>
    <t>No government contributions have been incorporated as the contributions GWW will receive relate to the Western Irrigation Network and the Werribee Zoo pipeline, both of which have been excluded from forecast capital expenditure</t>
  </si>
  <si>
    <t>None identified</t>
  </si>
  <si>
    <t xml:space="preserve">Forecast residential water connections in the previous CWW area. </t>
  </si>
  <si>
    <t xml:space="preserve">Forecast residential sewer connections in the previous CWW area. </t>
  </si>
  <si>
    <t xml:space="preserve">Forecast residential water connections in the previous CWW area as all new connections are assumed to be water and sewer. </t>
  </si>
  <si>
    <t>Forecast residential  recycled water connections in the Wyndham area (Greek Hill and West werribee RW zones).</t>
  </si>
  <si>
    <t xml:space="preserve">All other forecast residential recycled water connections in the CWW area. </t>
  </si>
  <si>
    <t>Residential is 1 - consistent with GWW's NCC guideline</t>
  </si>
  <si>
    <t>Block 1 - ex-CWW Tier 1 consumption, Block 2 - ex-CWW Tier 2 consumption</t>
  </si>
  <si>
    <t>Block 3 - ex-CWW SDC volume</t>
  </si>
  <si>
    <t>Block 1 - is flat RW charge for ex CWW</t>
  </si>
  <si>
    <t>Calculated on a average water bill change based on 2023-24 consumption for ex-CWW res</t>
  </si>
  <si>
    <t>Calculated on a average sewer bill change based on 2023-24 consumption for ex-CWW res</t>
  </si>
  <si>
    <t>Calculated on a average water and sewer bill change based on 2023-24 consumption for ex-CWW res</t>
  </si>
  <si>
    <t>Calculated on a average RW bill change based on 2023-24 consumption for ex-CWW res</t>
  </si>
  <si>
    <t xml:space="preserve">Forecast non-residential water connections in the previous CWW area. </t>
  </si>
  <si>
    <t xml:space="preserve">Forecast non- residential sewer connections in the previous CWW area. </t>
  </si>
  <si>
    <t xml:space="preserve">Forecast non-residential water connections in the previous CWW area as all new connections are assumed to be water and sewer. </t>
  </si>
  <si>
    <t>Forecast non-residential  recycled water connections in the Wyndham area (Greek Hill and West werribee RW zones).</t>
  </si>
  <si>
    <t xml:space="preserve">All other forecast non-residential recycled water connections in the CWW area. </t>
  </si>
  <si>
    <t>Non-residential is assumed to be 2 based on a 25mm being installed - consistent with GWW's NCC guideline</t>
  </si>
  <si>
    <t>Block 1 - ex-CWW water variable</t>
  </si>
  <si>
    <t>Block 1 is flat RW charge for ex-cww non-res</t>
  </si>
  <si>
    <t>Calculated on a average water bill change based on 2023-24 consumption for ex-CWW non-res</t>
  </si>
  <si>
    <t>Calculated on a average sewer bill change based on 2023-24 consumption for ex-CWW non-res</t>
  </si>
  <si>
    <t>Calculated on a average water and sewer bill change based on 2023-24 consumption for ex-CWW non-res</t>
  </si>
  <si>
    <t>Calculated on a average RW bill change based on 2023-24 consumption for ex-CWW non-res</t>
  </si>
  <si>
    <t xml:space="preserve">Forecast residential water connections in the previous WW area. </t>
  </si>
  <si>
    <t xml:space="preserve">Forecast residential sewer connections in the previous WW area. </t>
  </si>
  <si>
    <t xml:space="preserve">Forecast residential water connections in the previous WW area as all new connections are assumed to be water and sewer. </t>
  </si>
  <si>
    <t>There are no WW connections in the Wyndham RW area</t>
  </si>
  <si>
    <t xml:space="preserve">All other forecast residential recycled water connections in the WW area. </t>
  </si>
  <si>
    <t>Block 1 - ex-WW res water variable</t>
  </si>
  <si>
    <t>Block 3 - ex-WW res SDC volume</t>
  </si>
  <si>
    <t>Block 1 is flat RW charge for ex-WW res</t>
  </si>
  <si>
    <t>Calculated on a average water bill change based on 2023-24 consumption for ex-WW res</t>
  </si>
  <si>
    <t>Calculated on a average sewer bill change based on 2023-24 consumption for ex-WW res</t>
  </si>
  <si>
    <t>Calculated on a average water and sewer bill change based on 2023-24 consumption for ex-WW res</t>
  </si>
  <si>
    <t>Calculated on a average RW bill change based on 2023-24 consumption for ex-WW res</t>
  </si>
  <si>
    <t xml:space="preserve">Forecast non-residential water connections in the previous WW area. </t>
  </si>
  <si>
    <t xml:space="preserve">Forecast non- residential sewer connections in the previous WW area. </t>
  </si>
  <si>
    <t xml:space="preserve">Forecast non-residential water connections in the previous WW area as all new connections are assumed to be water and sewer. </t>
  </si>
  <si>
    <t xml:space="preserve">All other forecast non-residential recycled water connections in the WW area. </t>
  </si>
  <si>
    <t>Block 1 - ex-WW water variable non-res</t>
  </si>
  <si>
    <t>Block 3 - ex-WW SDC volume (no charge) non-res</t>
  </si>
  <si>
    <t>Block 1 is flat RW charge for ex-ww non-res</t>
  </si>
  <si>
    <t>Calculated on a average water bill change based on 2023-24 consumption for ex-WW  non-res</t>
  </si>
  <si>
    <t>Calculated on a average sewer bill change based on 2023-24 consumption for ex-WW  non-res</t>
  </si>
  <si>
    <t>Calculated on a average water and sewer bill change based on 2023-24 consumption for ex-WW  non-res</t>
  </si>
  <si>
    <t>Calculated on a average RW bill change based on 2023-24 consumption for ex-WW  non-res</t>
  </si>
  <si>
    <t>Charge escalation based on forecast</t>
  </si>
  <si>
    <t>Water variable based on proportion of customers being served by MW</t>
  </si>
  <si>
    <t>Sewer variable based on proportion of customers being served by MW</t>
  </si>
  <si>
    <t>Not included. See Note 39</t>
  </si>
  <si>
    <t>Recycled water variable included based on cost from MW to provide water into West Werribee Salt Reduction plant</t>
  </si>
  <si>
    <t xml:space="preserve">No MW variable costs. Assumed to be fully from own plants. </t>
  </si>
  <si>
    <t>Water fixed based on proportion of customers being served by MW (total water opex/total sewer connections served by MW x customers in scenario served by MW)</t>
  </si>
  <si>
    <t>Sewer fixed based on proportion of customers being served by MW (total water opex/total sewer connections served by MW x customers in scenario served by MW)</t>
  </si>
  <si>
    <t>This is the sum of total bulk costs in the water and sewer scenario</t>
  </si>
  <si>
    <t>No MW fixed costs</t>
  </si>
  <si>
    <t xml:space="preserve">Escalation rate is as per Note 42 over time. For example, if opex is flat and connections growing then the opex per connection will be declining over time. </t>
  </si>
  <si>
    <t>This row includes total opex per connection for water, and is based on the water controllable opex as per the 2024 price submission.</t>
  </si>
  <si>
    <t>This row includes total opex per connection for sewer, and is based on the sewer controllable opex as per the 2024 price submission.</t>
  </si>
  <si>
    <t>This row includes total opex per connection for water and sewer, and is based on the water and sewer controllable opex as per the 2024 price submission.</t>
  </si>
  <si>
    <t>This row includes total opex per connection for recycled water, and is based on the recycled water controllable opex as per the 2024 price submission.</t>
  </si>
  <si>
    <t>Not included</t>
  </si>
  <si>
    <t>No temporary assets included, therefore no opex</t>
  </si>
  <si>
    <t>No other benefits identifed</t>
  </si>
  <si>
    <t>Included Water and Sewer to do the combined approach</t>
  </si>
  <si>
    <t>Model checks</t>
  </si>
  <si>
    <t>Capex</t>
  </si>
  <si>
    <t>Difference in products</t>
  </si>
  <si>
    <t xml:space="preserve">Difference with combined </t>
  </si>
  <si>
    <t>Customers</t>
  </si>
  <si>
    <t>R</t>
  </si>
  <si>
    <t>CWW - Water Residential</t>
  </si>
  <si>
    <t>N</t>
  </si>
  <si>
    <t>CWW - Water Non-Residential</t>
  </si>
  <si>
    <t>CWW - Sewer Residential</t>
  </si>
  <si>
    <t>CWW - Sewer Non-Residential</t>
  </si>
  <si>
    <t>CWW - Recycled Residential</t>
  </si>
  <si>
    <t>CWW - Recycled Non-Residential</t>
  </si>
  <si>
    <t>WW - Water Residential</t>
  </si>
  <si>
    <t>WW - Water Non-Residential</t>
  </si>
  <si>
    <t>WW - Sewer Residential</t>
  </si>
  <si>
    <t>WW - Sewer Non-Residential</t>
  </si>
  <si>
    <t>WW - Recycled Residential</t>
  </si>
  <si>
    <t>WW - Recycled Non-Residential</t>
  </si>
  <si>
    <t>CWW - Water and sewer Residential</t>
  </si>
  <si>
    <t>CWW - Water and sewer Non-Residential</t>
  </si>
  <si>
    <t>WW - Water and sewer Residential</t>
  </si>
  <si>
    <t>WW - Water and sewer Non-Residential</t>
  </si>
  <si>
    <t>MW fixed bulk charges</t>
  </si>
  <si>
    <t>Water and sewer</t>
  </si>
  <si>
    <t>Regulatory assumptions input</t>
  </si>
  <si>
    <t>Forecast count</t>
  </si>
  <si>
    <t>FY Start</t>
  </si>
  <si>
    <t>FY end</t>
  </si>
  <si>
    <t>FY</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</si>
  <si>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</si>
  <si>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</si>
  <si>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</si>
  <si>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</si>
  <si>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</si>
  <si>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</si>
  <si>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</si>
  <si>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</si>
  <si>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</si>
  <si>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</si>
  <si>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</si>
  <si>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</si>
  <si>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</si>
  <si>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</si>
  <si>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</si>
  <si>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</si>
  <si>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</si>
  <si>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</si>
  <si>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</si>
  <si>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</si>
  <si>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</si>
  <si>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Source: GWW Regulatory Model - 2024 PS_v22.xlsm</t>
  </si>
  <si>
    <t>CPI</t>
  </si>
  <si>
    <t>Inflation</t>
  </si>
  <si>
    <t>Indexation to $real</t>
  </si>
  <si>
    <t>Reg inputs</t>
  </si>
  <si>
    <t>Regulatory rate of return (real)</t>
  </si>
  <si>
    <t>Franking Credit</t>
  </si>
  <si>
    <t>Tax</t>
  </si>
  <si>
    <t>Source: Tariff Reform Modelling - V18 - FINAL NEW RP6 REVENUE</t>
  </si>
  <si>
    <t>$real2024</t>
  </si>
  <si>
    <t>Name</t>
  </si>
  <si>
    <t>Price (Name applies only to 2023-24)</t>
  </si>
  <si>
    <t>Network</t>
  </si>
  <si>
    <t>CWW_R_W_N</t>
  </si>
  <si>
    <t>Block 1</t>
  </si>
  <si>
    <t>Water &amp; sewer</t>
  </si>
  <si>
    <t>CWW_T1</t>
  </si>
  <si>
    <t>Block 2</t>
  </si>
  <si>
    <t>CWW_T2</t>
  </si>
  <si>
    <t>Block 3</t>
  </si>
  <si>
    <t>CWW_R_S_N</t>
  </si>
  <si>
    <t>SDC</t>
  </si>
  <si>
    <t>*removal of SDC so has been completely excluded</t>
  </si>
  <si>
    <t>CWW_R_SDC</t>
  </si>
  <si>
    <t>CWW_R_R_N</t>
  </si>
  <si>
    <t>Variable</t>
  </si>
  <si>
    <t>CWW_R_R_V</t>
  </si>
  <si>
    <t>CWW_N_W_N</t>
  </si>
  <si>
    <t>CWW_N_W_V</t>
  </si>
  <si>
    <t>CWW_N_S_N</t>
  </si>
  <si>
    <t>CWW_N_SDC</t>
  </si>
  <si>
    <t>CWW_N_R_F</t>
  </si>
  <si>
    <t>CWW_N_R_V</t>
  </si>
  <si>
    <t>WW_R_W_N</t>
  </si>
  <si>
    <t>WW_T1</t>
  </si>
  <si>
    <t>WW_T2</t>
  </si>
  <si>
    <t>WW_T3</t>
  </si>
  <si>
    <t>WW_R_S_N</t>
  </si>
  <si>
    <t>WW_R_SDC</t>
  </si>
  <si>
    <t>WW_R_R_N</t>
  </si>
  <si>
    <t>WW_R_R_V</t>
  </si>
  <si>
    <t>WW_N_W_N</t>
  </si>
  <si>
    <t>WW_N_W_V</t>
  </si>
  <si>
    <t>WW_N_S_N</t>
  </si>
  <si>
    <t>WW_N_SDC</t>
  </si>
  <si>
    <t>WW_N_R_N</t>
  </si>
  <si>
    <t>WW_N_R_V</t>
  </si>
  <si>
    <t>Price Path Real</t>
  </si>
  <si>
    <t>Price Path by Customer type</t>
  </si>
  <si>
    <t>*holding it at 2023-24 consumption</t>
  </si>
  <si>
    <t>Using Central ratio</t>
  </si>
  <si>
    <t>Growth input</t>
  </si>
  <si>
    <t>Source: Historical: B - Growth Data for NCC's - Historical ; Forecast C - Growth Data for NCC's - Forecast</t>
  </si>
  <si>
    <t>Note: A maximum of zero has been applied so non-zero growth rates are removed</t>
  </si>
  <si>
    <t>New allocation</t>
  </si>
  <si>
    <t>Product</t>
  </si>
  <si>
    <t>Customer</t>
  </si>
  <si>
    <t>Central or Western</t>
  </si>
  <si>
    <t>B - Growth Data for NCC's - Historical</t>
  </si>
  <si>
    <t>C - Growth Data for NCC's - Forecast</t>
  </si>
  <si>
    <t>Total connections</t>
  </si>
  <si>
    <t>Growth in connetions</t>
  </si>
  <si>
    <t>Central/Western</t>
  </si>
  <si>
    <t>2022-23 Figures</t>
  </si>
  <si>
    <t>Adjustment</t>
  </si>
  <si>
    <t>Annual connection growth</t>
  </si>
  <si>
    <t>Pairs</t>
  </si>
  <si>
    <t>Blank rows</t>
  </si>
  <si>
    <t>Connections served by MWC</t>
  </si>
  <si>
    <t xml:space="preserve">Recylced </t>
  </si>
  <si>
    <t>Percentage treated by MWC</t>
  </si>
  <si>
    <t>From: E - MW vs GWW sewer treatment and water supplied.xlsx</t>
  </si>
  <si>
    <t>Check</t>
  </si>
  <si>
    <t>New connections served by MWC</t>
  </si>
  <si>
    <t>Cumulative new customers served by MWC</t>
  </si>
  <si>
    <t>Opex input</t>
  </si>
  <si>
    <t>Bulk charges</t>
  </si>
  <si>
    <t>Source: I - MW bulk charges - forecast.xlsx for Desal Water Order cost, and other charges from GWW Regulatory Model 2024 PS_V22</t>
  </si>
  <si>
    <t>Multiplier</t>
  </si>
  <si>
    <t>Headworks - GYT</t>
  </si>
  <si>
    <t>$ per entitlement</t>
  </si>
  <si>
    <t>Fixed</t>
  </si>
  <si>
    <t>VDP - entitlement</t>
  </si>
  <si>
    <t>VDP - water order</t>
  </si>
  <si>
    <t>$/ML water ordered</t>
  </si>
  <si>
    <t>Order</t>
  </si>
  <si>
    <t>*Not included in the NCC model</t>
  </si>
  <si>
    <t>North-South Pipeline</t>
  </si>
  <si>
    <t>Water transfer</t>
  </si>
  <si>
    <t>$/ML</t>
  </si>
  <si>
    <t>Sewer treatment</t>
  </si>
  <si>
    <t>Sewer transfer</t>
  </si>
  <si>
    <t>Sewer fixed</t>
  </si>
  <si>
    <t>$ per month</t>
  </si>
  <si>
    <t>Water from WTP</t>
  </si>
  <si>
    <t xml:space="preserve">Recycled </t>
  </si>
  <si>
    <t>Per Connection served by MW</t>
  </si>
  <si>
    <t>Variable Price path</t>
  </si>
  <si>
    <t>Incremental fixed bulk charges (total)</t>
  </si>
  <si>
    <t>Total based on per connection cost X number of connections in scenario served by MW</t>
  </si>
  <si>
    <t>*formula change these rows</t>
  </si>
  <si>
    <t>WA</t>
  </si>
  <si>
    <t>New connections</t>
  </si>
  <si>
    <t>Existing connections</t>
  </si>
  <si>
    <t>Incremental bulk costs for scenario and split central/western ($/ML)</t>
  </si>
  <si>
    <t>Incremental bulk costs for model ($/ML) - allocated on a per connection basis between central and western</t>
  </si>
  <si>
    <t>GWW opex</t>
  </si>
  <si>
    <t>Total Controllable opex / connections</t>
  </si>
  <si>
    <t>Source: GWW Regulatory Model - 2024 PS_v22</t>
  </si>
  <si>
    <t>Total Controllable Opex</t>
  </si>
  <si>
    <t>Controllable opex per connection</t>
  </si>
  <si>
    <t>*lookup table</t>
  </si>
  <si>
    <t>Capex input</t>
  </si>
  <si>
    <t>NCC Revenue</t>
  </si>
  <si>
    <t>Source: H - NCC historical.xlsx</t>
  </si>
  <si>
    <t>Nominal, $,000s</t>
  </si>
  <si>
    <t>GWW</t>
  </si>
  <si>
    <t>$real2024, $s</t>
  </si>
  <si>
    <t>*assumptions here from the GWW Regulatory Model - 2024 PS_v22</t>
  </si>
  <si>
    <t xml:space="preserve">2021-22 </t>
  </si>
  <si>
    <t>*raw data, re-split based 2023-24 splits</t>
  </si>
  <si>
    <t>10 year Total</t>
  </si>
  <si>
    <t>Gifted Assets</t>
  </si>
  <si>
    <t>Source: Unit rates from:D - Gifted Assets Unit Rates.xlsx</t>
  </si>
  <si>
    <t>*average</t>
  </si>
  <si>
    <t>Gifted assets only allocated to greenfield</t>
  </si>
  <si>
    <t>Check within</t>
  </si>
  <si>
    <t xml:space="preserve"> </t>
  </si>
  <si>
    <t>Government Contributions</t>
  </si>
  <si>
    <t>Source: GWW Regulatory Model 2024 PS_V22</t>
  </si>
  <si>
    <t>10 year total</t>
  </si>
  <si>
    <t>*Sunk</t>
  </si>
  <si>
    <t>*Forecast not included</t>
  </si>
  <si>
    <t>*For the WIN project, forecast has not been included as the WIN project does not relate to Class A recycled water and no WIN projects have been incldued in the foreacst</t>
  </si>
  <si>
    <t>Sunk Capex</t>
  </si>
  <si>
    <t>Sources: CWW and GWW to 2022: F- CWW Capex History - updated Jul 2022.xlsx ; G - WW: WW CAPEX SPEND FY13-FY21.xlsx; 2023: from GWW Regulatory Model 2024 PS_V22.xlsx</t>
  </si>
  <si>
    <t>$Nominal</t>
  </si>
  <si>
    <t>Provided from Finance</t>
  </si>
  <si>
    <t>Region</t>
  </si>
  <si>
    <t>Program</t>
  </si>
  <si>
    <t>Note: Separate CWW + WW (last 5 rows)</t>
  </si>
  <si>
    <t>Note: This is GWW</t>
  </si>
  <si>
    <t>From reg Model and $real2024</t>
  </si>
  <si>
    <t>Backlog</t>
  </si>
  <si>
    <t>Compliance</t>
  </si>
  <si>
    <t>Growth</t>
  </si>
  <si>
    <t>Renewal</t>
  </si>
  <si>
    <t>Water Quality</t>
  </si>
  <si>
    <t>Agreement</t>
  </si>
  <si>
    <t>Corporate</t>
  </si>
  <si>
    <t>Buildings</t>
  </si>
  <si>
    <t>Information Technology</t>
  </si>
  <si>
    <t>Minor Plant &amp; Equipment</t>
  </si>
  <si>
    <t>Developer works supervision</t>
  </si>
  <si>
    <t>Intangible</t>
  </si>
  <si>
    <t>Formula change to account for GWW wide accounting</t>
  </si>
  <si>
    <t>Allocated based on customer numbers</t>
  </si>
  <si>
    <t>Allocated based on customer numbers - western only</t>
  </si>
  <si>
    <t>*Allocated to water, sewer and recylced based on $s</t>
  </si>
  <si>
    <t>Sunk Asset allocation</t>
  </si>
  <si>
    <t xml:space="preserve">*formula changes to be on a per connection basis. </t>
  </si>
  <si>
    <t>Depreciation</t>
  </si>
  <si>
    <t>Depreciation allocation</t>
  </si>
  <si>
    <t>Net historic recovery</t>
  </si>
  <si>
    <t xml:space="preserve">*Allocation within asset category based on forecast provided below. </t>
  </si>
  <si>
    <t>Pipes / Storage</t>
  </si>
  <si>
    <t>Pumps / Valves</t>
  </si>
  <si>
    <t>Forecast</t>
  </si>
  <si>
    <t>Source: J - Forecast capex for NCCs August 25 2023</t>
  </si>
  <si>
    <t>FORECAST</t>
  </si>
  <si>
    <t>Checks</t>
  </si>
  <si>
    <t>Total allocated</t>
  </si>
  <si>
    <t>Check on individual scenarios</t>
  </si>
  <si>
    <t>Check on individual W+S</t>
  </si>
  <si>
    <t>Year</t>
  </si>
  <si>
    <t>Service Selection</t>
  </si>
  <si>
    <t>(selection)</t>
  </si>
  <si>
    <t>Asset Class Life Inputs</t>
  </si>
  <si>
    <t>(years)</t>
  </si>
  <si>
    <t>Temporary Assets</t>
  </si>
  <si>
    <t>Financial Assumptions</t>
  </si>
  <si>
    <t>Inflation Assumption</t>
  </si>
  <si>
    <t>(%)</t>
  </si>
  <si>
    <t>Post Tax Nominal Discount Factor</t>
  </si>
  <si>
    <t>Real Discount Rate</t>
  </si>
  <si>
    <t xml:space="preserve">Value of Franking Credits (as a Proportion of Face Value) </t>
  </si>
  <si>
    <t>Corporate Tax Rate</t>
  </si>
  <si>
    <t>Incremental Capital Expenditure</t>
  </si>
  <si>
    <t>($)</t>
  </si>
  <si>
    <t>Non-Depreciating Assets</t>
  </si>
  <si>
    <t>Change in Tax Depreciation from Capital Expenditure</t>
  </si>
  <si>
    <t>Total Tax Depreciation from Capital Expenditure</t>
  </si>
  <si>
    <t>Change in Tax Depreciation from Gifted Assets</t>
  </si>
  <si>
    <t>Total Tax Depreciation from Gifted Assets</t>
  </si>
  <si>
    <t>Government Contributions (Not Taxable Income)</t>
  </si>
  <si>
    <t>Works Brought Forward or Deferred</t>
  </si>
  <si>
    <t>Planned Expenditure without Development</t>
  </si>
  <si>
    <t>Tax Depreciation without Development</t>
  </si>
  <si>
    <t>Total Tax Depreciation without Development</t>
  </si>
  <si>
    <t>Planned Expenditure with Development</t>
  </si>
  <si>
    <t>Change in Works Cash Flows from Bring Forward or Deferral</t>
  </si>
  <si>
    <t>Change in Tax Depreciation from Bring Forward or Deferral</t>
  </si>
  <si>
    <t>Tariff Class 1</t>
  </si>
  <si>
    <t>Customers Connected in Year</t>
  </si>
  <si>
    <t>(number)</t>
  </si>
  <si>
    <t>Cumulative Incremental Customers</t>
  </si>
  <si>
    <t>Standard Customers per Customer</t>
  </si>
  <si>
    <t>Standard Customers Connected in Year</t>
  </si>
  <si>
    <t>Cumulative Incremental Standard Customers</t>
  </si>
  <si>
    <t>Incremental Volume - Rate Block 1</t>
  </si>
  <si>
    <t>(kL/customer p.a.)</t>
  </si>
  <si>
    <t>Incremental Volume - Rate Block 2</t>
  </si>
  <si>
    <t>Incremental Volume - Rate Block 3</t>
  </si>
  <si>
    <t>Volume - Rate Block 1</t>
  </si>
  <si>
    <t>(kL)</t>
  </si>
  <si>
    <t>Volume - Rate Block 2</t>
  </si>
  <si>
    <t>Volume - Rate Block 3</t>
  </si>
  <si>
    <t>Tariff Real Escalation</t>
  </si>
  <si>
    <t>Forecast Fixed Tariff</t>
  </si>
  <si>
    <t>($/customer p.a.)</t>
  </si>
  <si>
    <t>Forecast Rate Block 1 Tariff</t>
  </si>
  <si>
    <t>($/kL)</t>
  </si>
  <si>
    <t>Forecast Rate Block 2 Tariff</t>
  </si>
  <si>
    <t>Forecast Rate Block 3 Tariff</t>
  </si>
  <si>
    <t>Tariff Class 1 Volume</t>
  </si>
  <si>
    <t>(ML)</t>
  </si>
  <si>
    <t>Tariff Class 1 Revenue</t>
  </si>
  <si>
    <t>Tariff Class 2</t>
  </si>
  <si>
    <t>Tariff Class 2 Volume</t>
  </si>
  <si>
    <t>Tariff Class 2 Revenue</t>
  </si>
  <si>
    <t>Tariff Class 3</t>
  </si>
  <si>
    <t>Tariff Class 3 Volume</t>
  </si>
  <si>
    <t>Tariff Class 3 Revenue</t>
  </si>
  <si>
    <t>Tariff Class 4</t>
  </si>
  <si>
    <t>Tariff Class 4 Volume</t>
  </si>
  <si>
    <t>Tariff Class 4 Revenue</t>
  </si>
  <si>
    <t>Summary</t>
  </si>
  <si>
    <t>Total Standard Customers Connected in Year</t>
  </si>
  <si>
    <t>Total Incremental Standard Customers</t>
  </si>
  <si>
    <t>Total Incremental Volume</t>
  </si>
  <si>
    <t>Total Incremental Revenue</t>
  </si>
  <si>
    <t>Volume per Standard Custmer</t>
  </si>
  <si>
    <t>(kL/customer)</t>
  </si>
  <si>
    <t>Revenue per Standard Customer</t>
  </si>
  <si>
    <t>($/customer)</t>
  </si>
  <si>
    <t>Revenue per ML</t>
  </si>
  <si>
    <t>($/ML)</t>
  </si>
  <si>
    <t>Charge Real Escalation</t>
  </si>
  <si>
    <t>Variable Charges</t>
  </si>
  <si>
    <t>Fixed Charges</t>
  </si>
  <si>
    <t>Incremental Bulk Water Purchases</t>
  </si>
  <si>
    <t>Incremental O&amp;M</t>
  </si>
  <si>
    <t>On-going O&amp;M</t>
  </si>
  <si>
    <t>Cost Real Escalation</t>
  </si>
  <si>
    <t>Incremental O&amp;M per customer</t>
  </si>
  <si>
    <t>Incremental per unit Volume</t>
  </si>
  <si>
    <t>Other incremental O&amp;M</t>
  </si>
  <si>
    <t>Temporary Asset O&amp;M</t>
  </si>
  <si>
    <t>Other Benefits (Taxable Income)</t>
  </si>
  <si>
    <t>Label 1</t>
  </si>
  <si>
    <t>Label 2</t>
  </si>
  <si>
    <t>Label 3</t>
  </si>
  <si>
    <t>Label 4</t>
  </si>
  <si>
    <t>Other Benefits (Not Taxable Income)</t>
  </si>
  <si>
    <t>Label 5</t>
  </si>
  <si>
    <t>Label 6</t>
  </si>
  <si>
    <t>Label 7</t>
  </si>
  <si>
    <t>Label 8</t>
  </si>
  <si>
    <t>Per Customer Capital Contribution Calculation</t>
  </si>
  <si>
    <t>Contribution per customer</t>
  </si>
  <si>
    <t>Capital contribution revenue</t>
  </si>
  <si>
    <t>Tax Calculation</t>
  </si>
  <si>
    <t>Incremental Tariff Revenue</t>
  </si>
  <si>
    <t>Tax Depreciation</t>
  </si>
  <si>
    <t>Capital Contributions</t>
  </si>
  <si>
    <t>Change in Net Taxable Income</t>
  </si>
  <si>
    <t>Change in Tax</t>
  </si>
  <si>
    <t>NPV Calculation</t>
  </si>
  <si>
    <t>Works Brought Forward / Deferred</t>
  </si>
  <si>
    <t>Value of Franking Credits</t>
  </si>
  <si>
    <t>Net Cash Flow</t>
  </si>
  <si>
    <t>NPV of Cash Flow excl Capital Contribution</t>
  </si>
  <si>
    <t>NPV of Cash Flow</t>
  </si>
  <si>
    <t>Error Check</t>
  </si>
  <si>
    <t>Entire Development Up-Front Contribution</t>
  </si>
  <si>
    <t>Custom Basis Capital Contribution Calculation</t>
  </si>
  <si>
    <t>Payments</t>
  </si>
  <si>
    <t>Contribution per payment basis</t>
  </si>
  <si>
    <t>($/payment basis)</t>
  </si>
  <si>
    <t>Service Lookup Data</t>
  </si>
  <si>
    <t>Service Description</t>
  </si>
  <si>
    <t>Bulk Purchase/Processing Description</t>
  </si>
  <si>
    <t>Bulk Water</t>
  </si>
  <si>
    <t>Bulk Wastewater</t>
  </si>
  <si>
    <t>Bulk Recycled Water Processing</t>
  </si>
  <si>
    <t>Bulk Water and Sewer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</si>
</sst>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quot;$&quot;* #,##0.00_-;_-&quot;$&quot;* &quot;-&quot;??_-;_-@_-"/>
    <numFmt numFmtId="43" formatCode="_-* #,##0.00_-;\-* #,##0.00_-;_-* &quot;-&quot;??_-;_-@_-"/>
    <numFmt numFmtId="164" formatCode="0.0%"/>
    <numFmt numFmtId="165" formatCode="_-* #,##0.0_-;\-* #,##0.0_-;_-* &quot;-&quot;??_-;_-@_-"/>
    <numFmt numFmtId="166" formatCode="_-* #,##0_-;\-* #,##0_-;_-* &quot;-&quot;??_-;_-@_-"/>
    <numFmt numFmtId="167" formatCode="_-* #,##0.000_-;\-* #,##0.000_-;_-* &quot;-&quot;??_-;_-@_-"/>
    <numFmt numFmtId="168" formatCode="_-* #,##0.0000_-;\-* #,##0.0000_-;_-* &quot;-&quot;??_-;_-@_-"/>
    <numFmt numFmtId="169" formatCode="_-* &quot;$&quot;#,##0.00,,&quot;M&quot;_-;\-* &quot;$&quot;#,##0.00,,&quot;M&quot;_-;_-* &quot;-&quot;??_-;_-@_-"/>
    <numFmt numFmtId="170" formatCode="&quot;Note [&quot;0&quot;]&quot;"/>
    <numFmt numFmtId="171" formatCode="#,##0.0000"/>
    <numFmt numFmtId="172" formatCode="_-* &quot;$&quot;#,##0_-;\-* #,##0.0_-;_-* &quot;-&quot;??_-;_-@_-"/>
    <numFmt numFmtId="173" formatCode="&quot;$&quot;\ #,##0.00,,&quot;m&quot;_-;\-* #,##0_-;_-* &quot;-&quot;??_-;_-@_-"/>
  </numFmts>
  <fonts count="59" x14ac:knownFonts="1">
    <font>
      <sz val="8"/>
      <color theme="1"/>
      <name val="Arial"/>
      <family val="2"/>
    </font>
    <font>
      <sz val="10"/>
      <color theme="1"/>
      <name val="Arial"/>
      <family val="2"/>
    </font>
    <font>
      <sz val="10"/>
      <color theme="1"/>
      <name val="Arial"/>
      <family val="2"/>
    </font>
    <font>
      <sz val="10"/>
      <color theme="1"/>
      <name val="Arial"/>
      <family val="2"/>
    </font>
    <font>
      <b/>
      <sz val="10"/>
      <color theme="1"/>
      <name val="Arial"/>
      <family val="2"/>
    </font>
    <font>
      <sz val="10"/>
      <color theme="0"/>
      <name val="Arial"/>
      <family val="2"/>
    </font>
    <font>
      <sz val="8"/>
      <color rgb="FF000000"/>
      <name val="Arial"/>
      <family val="2"/>
    </font>
    <font>
      <sz val="8"/>
      <color theme="0" tint="-0.34998626667073579"/>
      <name val="Arial"/>
      <family val="2"/>
    </font>
    <font>
      <sz val="14"/>
      <color theme="0"/>
      <name val="Arial"/>
      <family val="2"/>
    </font>
    <font>
      <sz val="8"/>
      <color theme="0"/>
      <name val="Arial"/>
      <family val="2"/>
    </font>
    <font>
      <b/>
      <sz val="10"/>
      <color rgb="FFFFFFFF"/>
      <name val="Arial"/>
      <family val="2"/>
    </font>
    <font>
      <sz val="16"/>
      <color rgb="FF35AECB"/>
      <name val="Arial"/>
      <family val="2"/>
    </font>
    <font>
      <b/>
      <sz val="8"/>
      <color rgb="FFFFFFFF"/>
      <name val="Arial"/>
      <family val="2"/>
    </font>
    <font>
      <sz val="8"/>
      <color rgb="FFFFFFFF"/>
      <name val="Arial"/>
      <family val="2"/>
    </font>
    <font>
      <sz val="11"/>
      <color theme="1"/>
      <name val="Calibri"/>
      <family val="2"/>
      <scheme val="minor"/>
    </font>
    <font>
      <b/>
      <sz val="8"/>
      <color theme="0"/>
      <name val="Arial"/>
      <family val="2"/>
    </font>
    <font>
      <b/>
      <sz val="8"/>
      <name val="Arial"/>
      <family val="2"/>
    </font>
    <font>
      <sz val="8"/>
      <color rgb="FFFF0000"/>
      <name val="Arial"/>
      <family val="2"/>
    </font>
    <font>
      <b/>
      <sz val="8"/>
      <color rgb="FF000000"/>
      <name val="Arial"/>
      <family val="2"/>
    </font>
    <font>
      <sz val="8"/>
      <name val="Arial"/>
      <family val="2"/>
    </font>
    <font>
      <sz val="12"/>
      <color theme="1"/>
      <name val="Calibri"/>
      <family val="2"/>
      <scheme val="minor"/>
    </font>
    <font>
      <b/>
      <sz val="10"/>
      <color rgb="FF002060"/>
      <name val="Arial"/>
      <family val="2"/>
    </font>
    <font>
      <sz val="12"/>
      <color theme="1"/>
      <name val="Arial"/>
      <family val="2"/>
    </font>
    <font>
      <i/>
      <sz val="12"/>
      <color theme="1"/>
      <name val="Arial"/>
      <family val="2"/>
    </font>
    <font>
      <b/>
      <sz val="12"/>
      <color theme="1"/>
      <name val="Arial"/>
      <family val="2"/>
    </font>
    <font>
      <sz val="10"/>
      <color theme="0" tint="-0.499984740745262"/>
      <name val="Arial"/>
      <family val="2"/>
    </font>
    <font>
      <sz val="10"/>
      <name val="Arial"/>
      <family val="2"/>
    </font>
    <font>
      <b/>
      <sz val="10"/>
      <color indexed="59"/>
      <name val="Arial"/>
      <family val="2"/>
    </font>
    <font>
      <sz val="10"/>
      <color indexed="63"/>
      <name val="Arial"/>
      <family val="2"/>
    </font>
    <font>
      <b/>
      <sz val="10"/>
      <color theme="8"/>
      <name val="Arial"/>
      <family val="2"/>
    </font>
    <font>
      <b/>
      <sz val="10"/>
      <color rgb="FF7030A0"/>
      <name val="Arial"/>
      <family val="2"/>
    </font>
    <font>
      <i/>
      <sz val="10"/>
      <color theme="1"/>
      <name val="Arial"/>
      <family val="2"/>
    </font>
    <font>
      <sz val="10"/>
      <color theme="0" tint="-0.249977111117893"/>
      <name val="Arial"/>
      <family val="2"/>
    </font>
    <font>
      <b/>
      <sz val="12"/>
      <color theme="4"/>
      <name val="Arial"/>
      <family val="2"/>
    </font>
    <font>
      <sz val="12"/>
      <color theme="4"/>
      <name val="Arial"/>
      <family val="2"/>
    </font>
    <font>
      <b/>
      <i/>
      <sz val="10"/>
      <color theme="1"/>
      <name val="Arial"/>
      <family val="2"/>
    </font>
    <font>
      <i/>
      <sz val="10"/>
      <color theme="3" tint="-0.499984740745262"/>
      <name val="Arial"/>
      <family val="2"/>
    </font>
    <font>
      <b/>
      <sz val="10"/>
      <color theme="4"/>
      <name val="Arial"/>
      <family val="2"/>
    </font>
    <font>
      <b/>
      <sz val="22"/>
      <color theme="0" tint="-0.249977111117893"/>
      <name val="Calibri"/>
      <family val="2"/>
      <scheme val="minor"/>
    </font>
    <font>
      <b/>
      <sz val="22"/>
      <color theme="3"/>
      <name val="Calibri"/>
      <family val="2"/>
      <scheme val="minor"/>
    </font>
    <font>
      <i/>
      <sz val="12"/>
      <color theme="1"/>
      <name val="Calibri"/>
      <family val="2"/>
      <scheme val="minor"/>
    </font>
    <font>
      <u/>
      <sz val="12"/>
      <color theme="10"/>
      <name val="Calibri"/>
      <family val="2"/>
      <scheme val="minor"/>
    </font>
    <font>
      <b/>
      <sz val="12"/>
      <color theme="1"/>
      <name val="Calibri"/>
      <family val="2"/>
      <scheme val="minor"/>
    </font>
    <font>
      <sz val="10"/>
      <color rgb="FF0000FF"/>
      <name val="Calibri"/>
      <family val="2"/>
      <scheme val="minor"/>
    </font>
    <font>
      <sz val="12"/>
      <color theme="9" tint="-0.499984740745262"/>
      <name val="Calibri"/>
      <family val="2"/>
      <scheme val="minor"/>
    </font>
    <font>
      <sz val="12"/>
      <color rgb="FFFF0000"/>
      <name val="Calibri"/>
      <family val="2"/>
      <scheme val="minor"/>
    </font>
    <font>
      <sz val="10"/>
      <name val="Calibri"/>
      <family val="2"/>
      <scheme val="minor"/>
    </font>
    <font>
      <sz val="12"/>
      <color rgb="FF008000"/>
      <name val="Calibri"/>
      <family val="2"/>
      <scheme val="minor"/>
    </font>
    <font>
      <b/>
      <sz val="10"/>
      <name val="Arial"/>
      <family val="2"/>
    </font>
    <font>
      <u/>
      <sz val="14"/>
      <color theme="0"/>
      <name val="Arial"/>
      <family val="2"/>
    </font>
    <font>
      <i/>
      <sz val="8"/>
      <color theme="0" tint="-0.14999847407452621"/>
      <name val="Arial"/>
      <family val="2"/>
    </font>
    <font>
      <sz val="8"/>
      <color theme="1"/>
      <name val="Arial"/>
      <family val="2"/>
    </font>
    <font>
      <sz val="8"/>
      <color theme="1"/>
      <name val="Calibri"/>
      <family val="2"/>
      <scheme val="minor"/>
    </font>
    <font>
      <b/>
      <sz val="8"/>
      <color theme="1"/>
      <name val="Arial"/>
      <family val="2"/>
    </font>
    <font>
      <i/>
      <sz val="8"/>
      <color theme="1"/>
      <name val="Arial"/>
      <family val="2"/>
    </font>
    <font>
      <i/>
      <sz val="8"/>
      <color theme="0"/>
      <name val="Arial"/>
      <family val="2"/>
    </font>
    <font>
      <sz val="8"/>
      <color rgb="FF132139"/>
      <name val="Arial"/>
      <family val="2"/>
    </font>
    <font>
      <sz val="8"/>
      <color rgb="FF0000FF"/>
      <name val="Arial"/>
      <family val="2"/>
    </font>
    <font>
      <sz val="8"/>
      <color theme="8" tint="-0.499984740745262"/>
      <name val="Arial"/>
      <family val="2"/>
    </font>
  </fonts>
  <fills count="23">
    <fill>
      <patternFill patternType="none"/>
    </fill>
    <fill>
      <patternFill patternType="gray125"/>
    </fill>
    <fill>
      <patternFill patternType="solid">
        <fgColor theme="0"/>
        <bgColor indexed="64"/>
      </patternFill>
    </fill>
    <fill>
      <patternFill patternType="solid">
        <fgColor rgb="FF00338D"/>
        <bgColor rgb="FF000000"/>
      </patternFill>
    </fill>
    <fill>
      <gradientFill degree="180">
        <stop position="0">
          <color rgb="FF2F5291"/>
        </stop>
        <stop position="1">
          <color rgb="FF101C32"/>
        </stop>
      </gradientFill>
    </fill>
    <fill>
      <patternFill patternType="solid">
        <fgColor theme="0"/>
        <bgColor rgb="FF000000"/>
      </patternFill>
    </fill>
    <fill>
      <patternFill patternType="solid">
        <fgColor rgb="FF213965"/>
        <bgColor rgb="FF00FFFF"/>
      </patternFill>
    </fill>
    <fill>
      <patternFill patternType="solid">
        <fgColor theme="1" tint="0.499984740745262"/>
        <bgColor indexed="64"/>
      </patternFill>
    </fill>
    <fill>
      <patternFill patternType="solid">
        <fgColor rgb="FF0091DA"/>
        <bgColor rgb="FF000000"/>
      </patternFill>
    </fill>
    <fill>
      <patternFill patternType="solid">
        <fgColor rgb="FF35AECB"/>
        <bgColor rgb="FF000000"/>
      </patternFill>
    </fill>
    <fill>
      <patternFill patternType="solid">
        <fgColor rgb="FF833C0C"/>
        <bgColor indexed="64"/>
      </patternFill>
    </fill>
    <fill>
      <patternFill patternType="solid">
        <fgColor rgb="FFFFC000"/>
        <bgColor indexed="64"/>
      </patternFill>
    </fill>
    <fill>
      <patternFill patternType="solid">
        <fgColor rgb="FFFF6565"/>
        <bgColor indexed="64"/>
      </patternFill>
    </fill>
    <fill>
      <patternFill patternType="solid">
        <fgColor theme="4" tint="0.39997558519241921"/>
        <bgColor indexed="64"/>
      </patternFill>
    </fill>
    <fill>
      <patternFill patternType="solid">
        <fgColor theme="1"/>
        <bgColor rgb="FF000000"/>
      </patternFill>
    </fill>
    <fill>
      <patternFill patternType="solid">
        <fgColor theme="8"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1"/>
        <bgColor indexed="64"/>
      </patternFill>
    </fill>
  </fills>
  <borders count="43">
    <border>
      <left/>
      <right/>
      <top/>
      <bottom/>
      <diagonal/>
    </border>
    <border>
      <left style="thin">
        <color rgb="FF00338D"/>
      </left>
      <right/>
      <top style="thin">
        <color rgb="FF00338D"/>
      </top>
      <bottom style="thin">
        <color rgb="FF00338D"/>
      </bottom>
      <diagonal/>
    </border>
    <border>
      <left/>
      <right/>
      <top/>
      <bottom style="medium">
        <color theme="0"/>
      </bottom>
      <diagonal/>
    </border>
    <border>
      <left/>
      <right/>
      <top style="medium">
        <color theme="0"/>
      </top>
      <bottom style="medium">
        <color theme="0"/>
      </bottom>
      <diagonal/>
    </border>
    <border>
      <left/>
      <right/>
      <top style="medium">
        <color theme="0"/>
      </top>
      <bottom/>
      <diagonal/>
    </border>
    <border>
      <left style="dashed">
        <color theme="0" tint="-0.34998626667073579"/>
      </left>
      <right style="dashed">
        <color theme="0" tint="-0.34998626667073579"/>
      </right>
      <top style="dashed">
        <color theme="0" tint="-0.34998626667073579"/>
      </top>
      <bottom style="dashed">
        <color theme="0" tint="-0.34998626667073579"/>
      </bottom>
      <diagonal/>
    </border>
    <border>
      <left style="dashed">
        <color theme="0" tint="-0.34998626667073579"/>
      </left>
      <right style="dashed">
        <color theme="0" tint="-0.34998626667073579"/>
      </right>
      <top style="dashed">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indexed="64"/>
      </bottom>
      <diagonal/>
    </border>
    <border>
      <left/>
      <right style="dashed">
        <color theme="0" tint="-0.34998626667073579"/>
      </right>
      <top style="dashed">
        <color theme="0" tint="-0.34998626667073579"/>
      </top>
      <bottom style="dashed">
        <color theme="0" tint="-0.34998626667073579"/>
      </bottom>
      <diagonal/>
    </border>
    <border>
      <left style="dashed">
        <color theme="0" tint="-0.34998626667073579"/>
      </left>
      <right/>
      <top style="dashed">
        <color theme="0" tint="-0.34998626667073579"/>
      </top>
      <bottom style="dashed">
        <color theme="0" tint="-0.34998626667073579"/>
      </bottom>
      <diagonal/>
    </border>
    <border>
      <left style="double">
        <color theme="5"/>
      </left>
      <right style="dashed">
        <color theme="0" tint="-0.34998626667073579"/>
      </right>
      <top style="dashed">
        <color theme="0" tint="-0.34998626667073579"/>
      </top>
      <bottom style="dashed">
        <color theme="0" tint="-0.34998626667073579"/>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style="dashed">
        <color theme="0" tint="-0.24994659260841701"/>
      </left>
      <right style="dashed">
        <color theme="0" tint="-0.24994659260841701"/>
      </right>
      <top style="dashed">
        <color theme="0" tint="-0.24994659260841701"/>
      </top>
      <bottom style="dashed">
        <color theme="0" tint="-0.24994659260841701"/>
      </bottom>
      <diagonal/>
    </border>
    <border>
      <left style="dashed">
        <color theme="0" tint="-0.24994659260841701"/>
      </left>
      <right style="dashed">
        <color theme="0" tint="-0.24994659260841701"/>
      </right>
      <top style="dashed">
        <color theme="0" tint="-0.24994659260841701"/>
      </top>
      <bottom/>
      <diagonal/>
    </border>
    <border>
      <left style="dashed">
        <color theme="0" tint="-0.24994659260841701"/>
      </left>
      <right style="dashed">
        <color theme="0" tint="-0.24994659260841701"/>
      </right>
      <top style="thin">
        <color indexed="64"/>
      </top>
      <bottom style="thin">
        <color indexed="64"/>
      </bottom>
      <diagonal/>
    </border>
    <border>
      <left style="dashed">
        <color theme="0" tint="-0.24994659260841701"/>
      </left>
      <right style="dashed">
        <color theme="0" tint="-0.24994659260841701"/>
      </right>
      <top/>
      <bottom style="dashed">
        <color theme="0" tint="-0.24994659260841701"/>
      </bottom>
      <diagonal/>
    </border>
    <border>
      <left style="dotted">
        <color theme="0" tint="-0.34998626667073579"/>
      </left>
      <right/>
      <top style="dotted">
        <color theme="0" tint="-0.34998626667073579"/>
      </top>
      <bottom style="dotted">
        <color theme="0" tint="-0.34998626667073579"/>
      </bottom>
      <diagonal/>
    </border>
    <border>
      <left style="thin">
        <color indexed="64"/>
      </left>
      <right style="dotted">
        <color theme="0" tint="-0.34998626667073579"/>
      </right>
      <top style="dotted">
        <color theme="0" tint="-0.34998626667073579"/>
      </top>
      <bottom style="dotted">
        <color theme="0" tint="-0.34998626667073579"/>
      </bottom>
      <diagonal/>
    </border>
    <border>
      <left style="dotted">
        <color theme="0" tint="-0.34998626667073579"/>
      </left>
      <right style="dotted">
        <color theme="0" tint="-0.34998626667073579"/>
      </right>
      <top style="dotted">
        <color theme="0" tint="-0.34998626667073579"/>
      </top>
      <bottom/>
      <diagonal/>
    </border>
    <border>
      <left style="dotted">
        <color theme="0" tint="-0.34998626667073579"/>
      </left>
      <right style="dotted">
        <color theme="0" tint="-0.34998626667073579"/>
      </right>
      <top style="thin">
        <color indexed="64"/>
      </top>
      <bottom style="dotted">
        <color theme="0" tint="-0.34998626667073579"/>
      </bottom>
      <diagonal/>
    </border>
    <border>
      <left style="dotted">
        <color theme="0" tint="-0.34998626667073579"/>
      </left>
      <right style="thin">
        <color indexed="64"/>
      </right>
      <top style="thin">
        <color indexed="64"/>
      </top>
      <bottom style="dotted">
        <color theme="0" tint="-0.34998626667073579"/>
      </bottom>
      <diagonal/>
    </border>
    <border>
      <left/>
      <right/>
      <top style="dotted">
        <color theme="0" tint="-0.34998626667073579"/>
      </top>
      <bottom style="dotted">
        <color theme="0" tint="-0.34998626667073579"/>
      </bottom>
      <diagonal/>
    </border>
    <border>
      <left style="dotted">
        <color theme="0" tint="-0.34998626667073579"/>
      </left>
      <right style="thin">
        <color indexed="64"/>
      </right>
      <top style="dotted">
        <color theme="0" tint="-0.34998626667073579"/>
      </top>
      <bottom style="dotted">
        <color theme="0" tint="-0.34998626667073579"/>
      </bottom>
      <diagonal/>
    </border>
    <border>
      <left style="dotted">
        <color theme="0" tint="-0.34998626667073579"/>
      </left>
      <right/>
      <top style="dotted">
        <color theme="0" tint="-0.34998626667073579"/>
      </top>
      <bottom/>
      <diagonal/>
    </border>
    <border>
      <left style="thin">
        <color indexed="64"/>
      </left>
      <right style="dotted">
        <color theme="0" tint="-0.34998626667073579"/>
      </right>
      <top style="dotted">
        <color theme="0" tint="-0.34998626667073579"/>
      </top>
      <bottom/>
      <diagonal/>
    </border>
    <border>
      <left style="dotted">
        <color theme="0" tint="-0.34998626667073579"/>
      </left>
      <right/>
      <top style="thin">
        <color indexed="64"/>
      </top>
      <bottom style="dotted">
        <color theme="0" tint="-0.34998626667073579"/>
      </bottom>
      <diagonal/>
    </border>
    <border>
      <left style="thin">
        <color indexed="64"/>
      </left>
      <right style="dotted">
        <color theme="0" tint="-0.34998626667073579"/>
      </right>
      <top style="thin">
        <color indexed="64"/>
      </top>
      <bottom style="dotted">
        <color theme="0" tint="-0.34998626667073579"/>
      </bottom>
      <diagonal/>
    </border>
    <border>
      <left/>
      <right/>
      <top style="thin">
        <color indexed="64"/>
      </top>
      <bottom/>
      <diagonal/>
    </border>
    <border>
      <left/>
      <right/>
      <top style="thin">
        <color indexed="64"/>
      </top>
      <bottom style="thin">
        <color indexed="64"/>
      </bottom>
      <diagonal/>
    </border>
    <border>
      <left/>
      <right style="dotted">
        <color theme="0" tint="-0.34998626667073579"/>
      </right>
      <top style="dotted">
        <color theme="0" tint="-0.34998626667073579"/>
      </top>
      <bottom style="dotted">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diagonal/>
    </border>
    <border>
      <left/>
      <right/>
      <top style="medium">
        <color theme="0"/>
      </top>
      <bottom style="hair">
        <color theme="0" tint="-0.24994659260841701"/>
      </bottom>
      <diagonal/>
    </border>
    <border>
      <left/>
      <right/>
      <top style="hair">
        <color theme="0" tint="-0.24994659260841701"/>
      </top>
      <bottom style="hair">
        <color theme="0" tint="-0.24994659260841701"/>
      </bottom>
      <diagonal/>
    </border>
    <border>
      <left/>
      <right/>
      <top/>
      <bottom style="hair">
        <color theme="0" tint="-0.24994659260841701"/>
      </bottom>
      <diagonal/>
    </border>
    <border>
      <left/>
      <right/>
      <top style="hair">
        <color theme="0" tint="-0.24994659260841701"/>
      </top>
      <bottom/>
      <diagonal/>
    </border>
    <border>
      <left/>
      <right style="dotted">
        <color theme="0" tint="-0.34998626667073579"/>
      </right>
      <top/>
      <bottom style="dotted">
        <color theme="0" tint="-0.34998626667073579"/>
      </bottom>
      <diagonal/>
    </border>
    <border>
      <left style="dotted">
        <color theme="0" tint="-0.34998626667073579"/>
      </left>
      <right style="dotted">
        <color theme="0" tint="-0.34998626667073579"/>
      </right>
      <top/>
      <bottom style="dotted">
        <color theme="0" tint="-0.34998626667073579"/>
      </bottom>
      <diagonal/>
    </border>
    <border>
      <left style="dotted">
        <color theme="0" tint="-0.34998626667073579"/>
      </left>
      <right/>
      <top/>
      <bottom style="dotted">
        <color theme="0" tint="-0.34998626667073579"/>
      </bottom>
      <diagonal/>
    </border>
  </borders>
  <cellStyleXfs count="21">
    <xf numFmtId="0" fontId="0" fillId="0" borderId="0"/>
    <xf numFmtId="43" fontId="3" fillId="0" borderId="0" applyFont="0" applyFill="0" applyBorder="0" applyAlignment="0" applyProtection="0"/>
    <xf numFmtId="9" fontId="3" fillId="0" borderId="0" applyFont="0" applyFill="0" applyBorder="0" applyAlignment="0" applyProtection="0"/>
    <xf numFmtId="0" fontId="8" fillId="0" borderId="0" applyNumberFormat="0" applyFill="0" applyBorder="0" applyAlignment="0" applyProtection="0"/>
    <xf numFmtId="0" fontId="49" fillId="0" borderId="0" applyNumberFormat="0" applyFill="0" applyBorder="0" applyAlignment="0" applyProtection="0"/>
    <xf numFmtId="0" fontId="7" fillId="0" borderId="0" applyNumberFormat="0" applyFill="0" applyBorder="0">
      <alignment horizontal="center"/>
    </xf>
    <xf numFmtId="0" fontId="10" fillId="3" borderId="1" applyBorder="0">
      <alignment vertical="center"/>
    </xf>
    <xf numFmtId="0" fontId="12" fillId="3" borderId="0"/>
    <xf numFmtId="0" fontId="13" fillId="3" borderId="0">
      <alignment horizontal="left"/>
    </xf>
    <xf numFmtId="0" fontId="14" fillId="0" borderId="0"/>
    <xf numFmtId="0" fontId="13" fillId="8" borderId="0">
      <alignment horizontal="left"/>
    </xf>
    <xf numFmtId="0" fontId="13" fillId="14" borderId="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 fillId="0" borderId="0"/>
    <xf numFmtId="0" fontId="16" fillId="0" borderId="0" applyFill="0" applyBorder="0">
      <alignment vertical="center"/>
    </xf>
    <xf numFmtId="9" fontId="20"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41" fillId="0" borderId="0" applyNumberFormat="0" applyFill="0" applyBorder="0" applyAlignment="0" applyProtection="0"/>
  </cellStyleXfs>
  <cellXfs count="311">
    <xf numFmtId="0" fontId="0" fillId="0" borderId="0" xfId="0"/>
    <xf numFmtId="0" fontId="6" fillId="2" borderId="0" xfId="0" applyFont="1" applyFill="1"/>
    <xf numFmtId="0" fontId="6" fillId="0" borderId="0" xfId="0" applyFont="1"/>
    <xf numFmtId="0" fontId="0" fillId="0" borderId="0" xfId="0" applyAlignment="1">
      <alignment wrapText="1"/>
    </xf>
    <xf numFmtId="0" fontId="0" fillId="0" borderId="0" xfId="0" applyAlignment="1">
      <alignment horizontal="left" wrapText="1" indent="1"/>
    </xf>
    <xf numFmtId="0" fontId="6" fillId="0" borderId="0" xfId="0" applyFont="1" applyAlignment="1">
      <alignment horizontal="left" vertical="top" indent="1"/>
    </xf>
    <xf numFmtId="0" fontId="12" fillId="5" borderId="0" xfId="7" applyFill="1"/>
    <xf numFmtId="0" fontId="12" fillId="5" borderId="0" xfId="7" applyFill="1" applyAlignment="1">
      <alignment wrapText="1"/>
    </xf>
    <xf numFmtId="0" fontId="12" fillId="5" borderId="0" xfId="7" applyFill="1" applyAlignment="1">
      <alignment horizontal="left" wrapText="1" indent="1"/>
    </xf>
    <xf numFmtId="0" fontId="6" fillId="0" borderId="0" xfId="0" applyFont="1" applyAlignment="1">
      <alignment vertical="center"/>
    </xf>
    <xf numFmtId="0" fontId="12" fillId="6" borderId="0" xfId="8" applyFont="1" applyFill="1" applyAlignment="1">
      <alignment horizontal="left" vertical="center"/>
    </xf>
    <xf numFmtId="0" fontId="13" fillId="6" borderId="0" xfId="8" applyFill="1" applyAlignment="1">
      <alignment horizontal="left" vertical="center"/>
    </xf>
    <xf numFmtId="0" fontId="13" fillId="6" borderId="0" xfId="8" applyFill="1" applyAlignment="1">
      <alignment horizontal="left" vertical="center" wrapText="1"/>
    </xf>
    <xf numFmtId="0" fontId="13" fillId="6" borderId="0" xfId="8" applyFill="1" applyAlignment="1">
      <alignment horizontal="left" vertical="center" wrapText="1" indent="1"/>
    </xf>
    <xf numFmtId="0" fontId="6" fillId="0" borderId="0" xfId="0" applyFont="1" applyAlignment="1">
      <alignment vertical="center" wrapText="1"/>
    </xf>
    <xf numFmtId="0" fontId="6" fillId="0" borderId="0" xfId="0" applyFont="1" applyAlignment="1">
      <alignment horizontal="left" vertical="center" wrapText="1" indent="1"/>
    </xf>
    <xf numFmtId="0" fontId="15" fillId="7" borderId="2" xfId="9" applyFont="1" applyFill="1" applyBorder="1" applyAlignment="1">
      <alignment horizontal="left" vertical="center"/>
    </xf>
    <xf numFmtId="0" fontId="15" fillId="7" borderId="2" xfId="9" applyFont="1" applyFill="1" applyBorder="1" applyAlignment="1">
      <alignment horizontal="left" vertical="center" wrapText="1"/>
    </xf>
    <xf numFmtId="0" fontId="12" fillId="9" borderId="2" xfId="10" applyFont="1" applyFill="1" applyBorder="1" applyAlignment="1">
      <alignment horizontal="left" vertical="center" indent="1"/>
    </xf>
    <xf numFmtId="0" fontId="12" fillId="9" borderId="2" xfId="10" applyFont="1" applyFill="1" applyBorder="1" applyAlignment="1">
      <alignment horizontal="left" vertical="center"/>
    </xf>
    <xf numFmtId="0" fontId="12" fillId="9" borderId="2" xfId="10" applyFont="1" applyFill="1" applyBorder="1" applyAlignment="1">
      <alignment horizontal="left" vertical="center" wrapText="1"/>
    </xf>
    <xf numFmtId="0" fontId="12" fillId="9" borderId="2" xfId="10" applyFont="1" applyFill="1" applyBorder="1" applyAlignment="1">
      <alignment horizontal="left" vertical="center" wrapText="1" indent="1"/>
    </xf>
    <xf numFmtId="0" fontId="16" fillId="0" borderId="0" xfId="0" applyFont="1" applyAlignment="1">
      <alignment vertical="center"/>
    </xf>
    <xf numFmtId="0" fontId="6" fillId="0" borderId="0" xfId="0" applyFont="1" applyAlignment="1">
      <alignment vertical="top" wrapText="1"/>
    </xf>
    <xf numFmtId="0" fontId="6" fillId="10" borderId="3" xfId="0" applyFont="1" applyFill="1" applyBorder="1" applyAlignment="1">
      <alignment vertical="center"/>
    </xf>
    <xf numFmtId="0" fontId="9" fillId="10" borderId="3" xfId="0" applyFont="1" applyFill="1" applyBorder="1" applyAlignment="1">
      <alignment vertical="center"/>
    </xf>
    <xf numFmtId="0" fontId="18" fillId="11" borderId="3" xfId="0" applyFont="1" applyFill="1" applyBorder="1" applyAlignment="1">
      <alignment vertical="center"/>
    </xf>
    <xf numFmtId="0" fontId="6" fillId="11" borderId="3" xfId="0" applyFont="1" applyFill="1" applyBorder="1" applyAlignment="1">
      <alignment vertical="center"/>
    </xf>
    <xf numFmtId="0" fontId="18" fillId="12" borderId="3" xfId="0" applyFont="1" applyFill="1" applyBorder="1" applyAlignment="1">
      <alignment vertical="center"/>
    </xf>
    <xf numFmtId="0" fontId="6" fillId="12" borderId="3" xfId="0" applyFont="1" applyFill="1" applyBorder="1" applyAlignment="1">
      <alignment vertical="center"/>
    </xf>
    <xf numFmtId="0" fontId="6" fillId="0" borderId="0" xfId="0" applyFont="1" applyAlignment="1">
      <alignment vertical="top"/>
    </xf>
    <xf numFmtId="0" fontId="18" fillId="13" borderId="3" xfId="0" applyFont="1" applyFill="1" applyBorder="1" applyAlignment="1">
      <alignment vertical="center"/>
    </xf>
    <xf numFmtId="0" fontId="6" fillId="13" borderId="3" xfId="0" applyFont="1" applyFill="1" applyBorder="1" applyAlignment="1">
      <alignment vertical="center"/>
    </xf>
    <xf numFmtId="0" fontId="6" fillId="0" borderId="0" xfId="0" applyFont="1" applyAlignment="1">
      <alignment horizontal="left" indent="1"/>
    </xf>
    <xf numFmtId="0" fontId="17" fillId="0" borderId="0" xfId="0" applyFont="1"/>
    <xf numFmtId="0" fontId="19" fillId="0" borderId="0" xfId="0" applyFont="1" applyAlignment="1">
      <alignment vertical="center"/>
    </xf>
    <xf numFmtId="0" fontId="19" fillId="0" borderId="0" xfId="0" applyFont="1" applyAlignment="1">
      <alignment vertical="center" wrapText="1"/>
    </xf>
    <xf numFmtId="0" fontId="19" fillId="0" borderId="0" xfId="0" applyFont="1" applyAlignment="1">
      <alignment horizontal="left" vertical="center" wrapText="1" indent="1"/>
    </xf>
    <xf numFmtId="0" fontId="6" fillId="0" borderId="0" xfId="0" applyFont="1" applyAlignment="1">
      <alignment horizontal="left" vertical="center" wrapText="1"/>
    </xf>
    <xf numFmtId="0" fontId="12" fillId="9" borderId="0" xfId="10" applyFont="1" applyFill="1" applyAlignment="1">
      <alignment horizontal="left" vertical="center" indent="1"/>
    </xf>
    <xf numFmtId="0" fontId="12" fillId="9" borderId="0" xfId="10" applyFont="1" applyFill="1" applyAlignment="1">
      <alignment horizontal="left" vertical="center"/>
    </xf>
    <xf numFmtId="0" fontId="6" fillId="0" borderId="4" xfId="0" applyFont="1" applyBorder="1" applyAlignment="1">
      <alignment vertical="center" wrapText="1"/>
    </xf>
    <xf numFmtId="0" fontId="6" fillId="0" borderId="3" xfId="0" applyFont="1" applyBorder="1" applyAlignment="1">
      <alignment horizontal="left" vertical="center" wrapText="1"/>
    </xf>
    <xf numFmtId="0" fontId="6" fillId="0" borderId="3" xfId="0" applyFont="1" applyBorder="1" applyAlignment="1">
      <alignment horizontal="left" vertical="top" wrapText="1"/>
    </xf>
    <xf numFmtId="0" fontId="18" fillId="11" borderId="2" xfId="0" applyFont="1" applyFill="1" applyBorder="1" applyAlignment="1">
      <alignment vertical="center"/>
    </xf>
    <xf numFmtId="0" fontId="6" fillId="11" borderId="2" xfId="0" applyFont="1" applyFill="1" applyBorder="1" applyAlignment="1">
      <alignment vertical="center"/>
    </xf>
    <xf numFmtId="0" fontId="6" fillId="0" borderId="2" xfId="0" applyFont="1" applyBorder="1" applyAlignment="1">
      <alignment horizontal="left" vertical="center" wrapText="1"/>
    </xf>
    <xf numFmtId="0" fontId="20" fillId="0" borderId="0" xfId="12"/>
    <xf numFmtId="0" fontId="22" fillId="0" borderId="0" xfId="12" applyFont="1"/>
    <xf numFmtId="0" fontId="23" fillId="0" borderId="0" xfId="12" applyFont="1"/>
    <xf numFmtId="0" fontId="24" fillId="0" borderId="0" xfId="12" applyFont="1"/>
    <xf numFmtId="0" fontId="2" fillId="0" borderId="0" xfId="15"/>
    <xf numFmtId="0" fontId="21" fillId="0" borderId="0" xfId="15" applyFont="1"/>
    <xf numFmtId="0" fontId="2" fillId="0" borderId="0" xfId="15" applyAlignment="1">
      <alignment horizontal="left"/>
    </xf>
    <xf numFmtId="0" fontId="25" fillId="0" borderId="0" xfId="15" applyFont="1"/>
    <xf numFmtId="0" fontId="26" fillId="0" borderId="8" xfId="15" applyFont="1" applyBorder="1"/>
    <xf numFmtId="0" fontId="27" fillId="0" borderId="8" xfId="16" applyFont="1" applyBorder="1" applyAlignment="1">
      <alignment horizontal="left" vertical="center"/>
    </xf>
    <xf numFmtId="0" fontId="26" fillId="0" borderId="8" xfId="15" applyFont="1" applyBorder="1" applyAlignment="1">
      <alignment horizontal="left"/>
    </xf>
    <xf numFmtId="0" fontId="28" fillId="0" borderId="8" xfId="15" applyFont="1" applyBorder="1"/>
    <xf numFmtId="0" fontId="29" fillId="0" borderId="8" xfId="16" applyFont="1" applyBorder="1" applyAlignment="1">
      <alignment horizontal="right" vertical="center"/>
    </xf>
    <xf numFmtId="0" fontId="29" fillId="0" borderId="8" xfId="16" applyFont="1" applyFill="1" applyBorder="1" applyAlignment="1">
      <alignment horizontal="right" vertical="center"/>
    </xf>
    <xf numFmtId="0" fontId="2" fillId="0" borderId="0" xfId="12" applyFont="1"/>
    <xf numFmtId="0" fontId="30" fillId="0" borderId="0" xfId="12" applyFont="1"/>
    <xf numFmtId="0" fontId="2" fillId="0" borderId="0" xfId="12" applyFont="1" applyAlignment="1">
      <alignment horizontal="left"/>
    </xf>
    <xf numFmtId="0" fontId="4" fillId="0" borderId="0" xfId="12" applyFont="1"/>
    <xf numFmtId="0" fontId="30" fillId="0" borderId="0" xfId="15" applyFont="1"/>
    <xf numFmtId="0" fontId="4" fillId="0" borderId="0" xfId="15" applyFont="1"/>
    <xf numFmtId="0" fontId="31" fillId="0" borderId="0" xfId="15" applyFont="1" applyAlignment="1">
      <alignment wrapText="1"/>
    </xf>
    <xf numFmtId="43" fontId="31" fillId="0" borderId="0" xfId="12" applyNumberFormat="1" applyFont="1" applyAlignment="1">
      <alignment wrapText="1"/>
    </xf>
    <xf numFmtId="166" fontId="31" fillId="0" borderId="0" xfId="15" applyNumberFormat="1" applyFont="1"/>
    <xf numFmtId="0" fontId="31" fillId="0" borderId="0" xfId="15" applyFont="1"/>
    <xf numFmtId="0" fontId="32" fillId="0" borderId="0" xfId="12" applyFont="1"/>
    <xf numFmtId="166" fontId="4" fillId="0" borderId="0" xfId="12" applyNumberFormat="1" applyFont="1"/>
    <xf numFmtId="0" fontId="26" fillId="0" borderId="0" xfId="15" applyFont="1"/>
    <xf numFmtId="0" fontId="27" fillId="0" borderId="0" xfId="16" applyFont="1" applyBorder="1" applyAlignment="1">
      <alignment horizontal="left" vertical="center"/>
    </xf>
    <xf numFmtId="0" fontId="28" fillId="0" borderId="0" xfId="15" applyFont="1"/>
    <xf numFmtId="0" fontId="29" fillId="0" borderId="0" xfId="16" applyFont="1" applyBorder="1" applyAlignment="1">
      <alignment horizontal="right" vertical="center"/>
    </xf>
    <xf numFmtId="0" fontId="29" fillId="0" borderId="0" xfId="16" applyFont="1" applyFill="1" applyBorder="1" applyAlignment="1">
      <alignment horizontal="right" vertical="center"/>
    </xf>
    <xf numFmtId="0" fontId="33" fillId="0" borderId="0" xfId="12" applyFont="1"/>
    <xf numFmtId="169" fontId="4" fillId="0" borderId="0" xfId="18" applyNumberFormat="1" applyFont="1" applyFill="1" applyBorder="1"/>
    <xf numFmtId="43" fontId="4" fillId="0" borderId="0" xfId="14" applyFont="1" applyFill="1" applyBorder="1"/>
    <xf numFmtId="0" fontId="34" fillId="0" borderId="0" xfId="15" applyFont="1"/>
    <xf numFmtId="0" fontId="33" fillId="0" borderId="0" xfId="15" applyFont="1"/>
    <xf numFmtId="0" fontId="31" fillId="0" borderId="0" xfId="12" applyFont="1"/>
    <xf numFmtId="0" fontId="35" fillId="0" borderId="0" xfId="12" applyFont="1"/>
    <xf numFmtId="169" fontId="36" fillId="17" borderId="0" xfId="12" applyNumberFormat="1" applyFont="1" applyFill="1"/>
    <xf numFmtId="169" fontId="4" fillId="0" borderId="0" xfId="12" applyNumberFormat="1" applyFont="1"/>
    <xf numFmtId="0" fontId="37" fillId="0" borderId="0" xfId="12" applyFont="1"/>
    <xf numFmtId="44" fontId="29" fillId="0" borderId="0" xfId="16" applyNumberFormat="1" applyFont="1" applyFill="1" applyBorder="1" applyAlignment="1">
      <alignment horizontal="right" vertical="center"/>
    </xf>
    <xf numFmtId="0" fontId="5" fillId="0" borderId="0" xfId="12" applyFont="1"/>
    <xf numFmtId="0" fontId="26" fillId="0" borderId="0" xfId="12" applyFont="1"/>
    <xf numFmtId="166" fontId="36" fillId="17" borderId="0" xfId="14" applyNumberFormat="1" applyFont="1" applyFill="1"/>
    <xf numFmtId="166" fontId="14" fillId="0" borderId="0" xfId="19" applyNumberFormat="1" applyFont="1"/>
    <xf numFmtId="169" fontId="31" fillId="0" borderId="29" xfId="12" applyNumberFormat="1" applyFont="1" applyBorder="1"/>
    <xf numFmtId="169" fontId="31" fillId="0" borderId="0" xfId="12" applyNumberFormat="1" applyFont="1"/>
    <xf numFmtId="170" fontId="38" fillId="0" borderId="0" xfId="12" applyNumberFormat="1" applyFont="1" applyAlignment="1">
      <alignment horizontal="left"/>
    </xf>
    <xf numFmtId="170" fontId="39" fillId="0" borderId="0" xfId="12" applyNumberFormat="1" applyFont="1" applyAlignment="1">
      <alignment horizontal="left"/>
    </xf>
    <xf numFmtId="166" fontId="0" fillId="0" borderId="0" xfId="14" applyNumberFormat="1" applyFont="1"/>
    <xf numFmtId="0" fontId="40" fillId="0" borderId="0" xfId="12" applyFont="1"/>
    <xf numFmtId="170" fontId="41" fillId="0" borderId="0" xfId="20" applyNumberFormat="1" applyAlignment="1">
      <alignment horizontal="left"/>
    </xf>
    <xf numFmtId="0" fontId="42" fillId="0" borderId="0" xfId="12" applyFont="1"/>
    <xf numFmtId="170" fontId="43" fillId="0" borderId="0" xfId="12" applyNumberFormat="1" applyFont="1" applyAlignment="1">
      <alignment horizontal="left"/>
    </xf>
    <xf numFmtId="3" fontId="45" fillId="18" borderId="0" xfId="12" applyNumberFormat="1" applyFont="1" applyFill="1"/>
    <xf numFmtId="10" fontId="45" fillId="18" borderId="0" xfId="12" applyNumberFormat="1" applyFont="1" applyFill="1"/>
    <xf numFmtId="10" fontId="0" fillId="0" borderId="0" xfId="17" applyNumberFormat="1" applyFont="1"/>
    <xf numFmtId="9" fontId="45" fillId="18" borderId="0" xfId="12" applyNumberFormat="1" applyFont="1" applyFill="1"/>
    <xf numFmtId="3" fontId="20" fillId="0" borderId="0" xfId="12" applyNumberFormat="1"/>
    <xf numFmtId="0" fontId="46" fillId="0" borderId="0" xfId="12" applyFont="1"/>
    <xf numFmtId="4" fontId="45" fillId="18" borderId="0" xfId="12" applyNumberFormat="1" applyFont="1" applyFill="1"/>
    <xf numFmtId="171" fontId="45" fillId="18" borderId="0" xfId="12" applyNumberFormat="1" applyFont="1" applyFill="1"/>
    <xf numFmtId="4" fontId="20" fillId="0" borderId="0" xfId="12" applyNumberFormat="1"/>
    <xf numFmtId="0" fontId="43" fillId="0" borderId="0" xfId="12" applyFont="1"/>
    <xf numFmtId="3" fontId="43" fillId="0" borderId="0" xfId="12" applyNumberFormat="1" applyFont="1"/>
    <xf numFmtId="164" fontId="45" fillId="18" borderId="0" xfId="17" applyNumberFormat="1" applyFont="1" applyFill="1"/>
    <xf numFmtId="43" fontId="45" fillId="18" borderId="0" xfId="14" applyFont="1" applyFill="1"/>
    <xf numFmtId="3" fontId="47" fillId="19" borderId="0" xfId="12" applyNumberFormat="1" applyFont="1" applyFill="1"/>
    <xf numFmtId="3" fontId="22" fillId="0" borderId="0" xfId="12" applyNumberFormat="1" applyFont="1"/>
    <xf numFmtId="3" fontId="22" fillId="20" borderId="0" xfId="12" applyNumberFormat="1" applyFont="1" applyFill="1"/>
    <xf numFmtId="3" fontId="43" fillId="0" borderId="0" xfId="12" applyNumberFormat="1" applyFont="1" applyAlignment="1">
      <alignment horizontal="right"/>
    </xf>
    <xf numFmtId="0" fontId="45" fillId="18" borderId="0" xfId="12" applyFont="1" applyFill="1"/>
    <xf numFmtId="3" fontId="45" fillId="21" borderId="0" xfId="12" applyNumberFormat="1" applyFont="1" applyFill="1"/>
    <xf numFmtId="43" fontId="0" fillId="0" borderId="0" xfId="1" applyFont="1"/>
    <xf numFmtId="0" fontId="48" fillId="0" borderId="0" xfId="12" applyFont="1"/>
    <xf numFmtId="0" fontId="18" fillId="13" borderId="0" xfId="0" applyFont="1" applyFill="1" applyAlignment="1">
      <alignment vertical="center"/>
    </xf>
    <xf numFmtId="0" fontId="6" fillId="13" borderId="0" xfId="0" applyFont="1" applyFill="1" applyAlignment="1">
      <alignment vertical="center"/>
    </xf>
    <xf numFmtId="0" fontId="19" fillId="0" borderId="0" xfId="0" applyFont="1" applyAlignment="1">
      <alignment horizontal="left" vertical="center" wrapText="1"/>
    </xf>
    <xf numFmtId="0" fontId="0" fillId="22" borderId="0" xfId="0" applyFill="1"/>
    <xf numFmtId="0" fontId="13" fillId="14" borderId="0" xfId="11"/>
    <xf numFmtId="0" fontId="13" fillId="14" borderId="0" xfId="11" applyAlignment="1">
      <alignment horizontal="left" indent="1"/>
    </xf>
    <xf numFmtId="0" fontId="12" fillId="0" borderId="2" xfId="10" applyFont="1" applyFill="1" applyBorder="1" applyAlignment="1">
      <alignment horizontal="left" vertical="center" wrapText="1" indent="1"/>
    </xf>
    <xf numFmtId="0" fontId="13" fillId="0" borderId="0" xfId="11" applyFill="1"/>
    <xf numFmtId="0" fontId="50" fillId="0" borderId="0" xfId="0" applyFont="1" applyAlignment="1">
      <alignment vertical="center"/>
    </xf>
    <xf numFmtId="0" fontId="51" fillId="0" borderId="0" xfId="12" applyFont="1"/>
    <xf numFmtId="166" fontId="51" fillId="16" borderId="5" xfId="1" applyNumberFormat="1" applyFont="1" applyFill="1" applyBorder="1"/>
    <xf numFmtId="0" fontId="52" fillId="0" borderId="0" xfId="12" applyFont="1"/>
    <xf numFmtId="0" fontId="51" fillId="0" borderId="0" xfId="0" applyFont="1"/>
    <xf numFmtId="0" fontId="51" fillId="0" borderId="0" xfId="0" applyFont="1" applyAlignment="1">
      <alignment horizontal="center"/>
    </xf>
    <xf numFmtId="172" fontId="51" fillId="2" borderId="7" xfId="1" applyNumberFormat="1" applyFont="1" applyFill="1" applyBorder="1" applyAlignment="1">
      <alignment horizontal="center" vertical="center"/>
    </xf>
    <xf numFmtId="0" fontId="53" fillId="0" borderId="0" xfId="0" applyFont="1"/>
    <xf numFmtId="172" fontId="51" fillId="2" borderId="32" xfId="1" applyNumberFormat="1" applyFont="1" applyFill="1" applyBorder="1" applyAlignment="1">
      <alignment horizontal="left" vertical="center"/>
    </xf>
    <xf numFmtId="172" fontId="51" fillId="2" borderId="33" xfId="1" applyNumberFormat="1" applyFont="1" applyFill="1" applyBorder="1" applyAlignment="1">
      <alignment horizontal="left" vertical="center"/>
    </xf>
    <xf numFmtId="0" fontId="12" fillId="9" borderId="0" xfId="10" applyFont="1" applyFill="1" applyAlignment="1">
      <alignment horizontal="left" vertical="center" wrapText="1"/>
    </xf>
    <xf numFmtId="172" fontId="51" fillId="2" borderId="34" xfId="1" applyNumberFormat="1" applyFont="1" applyFill="1" applyBorder="1" applyAlignment="1">
      <alignment horizontal="left" vertical="center"/>
    </xf>
    <xf numFmtId="166" fontId="51" fillId="2" borderId="7" xfId="1" applyNumberFormat="1" applyFont="1" applyFill="1" applyBorder="1" applyAlignment="1">
      <alignment horizontal="center" vertical="center"/>
    </xf>
    <xf numFmtId="173" fontId="51" fillId="2" borderId="7" xfId="1" applyNumberFormat="1" applyFont="1" applyFill="1" applyBorder="1" applyAlignment="1">
      <alignment horizontal="center" vertical="center"/>
    </xf>
    <xf numFmtId="172" fontId="51" fillId="2" borderId="0" xfId="1" applyNumberFormat="1" applyFont="1" applyFill="1" applyBorder="1" applyAlignment="1">
      <alignment horizontal="left" vertical="center"/>
    </xf>
    <xf numFmtId="173" fontId="51" fillId="2" borderId="0" xfId="1" applyNumberFormat="1" applyFont="1" applyFill="1" applyBorder="1" applyAlignment="1">
      <alignment horizontal="center" vertical="center"/>
    </xf>
    <xf numFmtId="173" fontId="53" fillId="2" borderId="35" xfId="1" applyNumberFormat="1" applyFont="1" applyFill="1" applyBorder="1" applyAlignment="1">
      <alignment horizontal="center" vertical="center"/>
    </xf>
    <xf numFmtId="0" fontId="53" fillId="0" borderId="0" xfId="12" applyFont="1"/>
    <xf numFmtId="0" fontId="54" fillId="0" borderId="0" xfId="0" applyFont="1"/>
    <xf numFmtId="0" fontId="1" fillId="0" borderId="0" xfId="12" applyFont="1"/>
    <xf numFmtId="0" fontId="6" fillId="0" borderId="4" xfId="0" applyFont="1" applyBorder="1" applyAlignment="1">
      <alignment horizontal="left" vertical="center" wrapText="1"/>
    </xf>
    <xf numFmtId="165" fontId="1" fillId="16" borderId="5" xfId="1" applyNumberFormat="1" applyFont="1" applyFill="1" applyBorder="1" applyAlignment="1">
      <alignment horizontal="left" vertical="center"/>
    </xf>
    <xf numFmtId="165" fontId="1" fillId="2" borderId="6" xfId="1" applyNumberFormat="1" applyFont="1" applyFill="1" applyBorder="1" applyAlignment="1">
      <alignment horizontal="left" vertical="center"/>
    </xf>
    <xf numFmtId="165" fontId="1" fillId="2" borderId="7" xfId="1" applyNumberFormat="1" applyFont="1" applyFill="1" applyBorder="1" applyAlignment="1">
      <alignment horizontal="left" vertical="center"/>
    </xf>
    <xf numFmtId="0" fontId="1" fillId="0" borderId="0" xfId="12" applyFont="1" applyAlignment="1">
      <alignment horizontal="left"/>
    </xf>
    <xf numFmtId="165" fontId="1" fillId="16" borderId="5" xfId="14" applyNumberFormat="1" applyFont="1" applyFill="1" applyBorder="1"/>
    <xf numFmtId="165" fontId="1" fillId="0" borderId="5" xfId="12" applyNumberFormat="1" applyFont="1" applyBorder="1"/>
    <xf numFmtId="10" fontId="1" fillId="0" borderId="0" xfId="17" applyNumberFormat="1" applyFont="1"/>
    <xf numFmtId="10" fontId="1" fillId="0" borderId="5" xfId="17" applyNumberFormat="1" applyFont="1" applyBorder="1"/>
    <xf numFmtId="164" fontId="1" fillId="16" borderId="9" xfId="17" applyNumberFormat="1" applyFont="1" applyFill="1" applyBorder="1"/>
    <xf numFmtId="164" fontId="1" fillId="16" borderId="5" xfId="17" applyNumberFormat="1" applyFont="1" applyFill="1" applyBorder="1"/>
    <xf numFmtId="0" fontId="1" fillId="16" borderId="5" xfId="14" applyNumberFormat="1" applyFont="1" applyFill="1" applyBorder="1" applyAlignment="1">
      <alignment horizontal="left"/>
    </xf>
    <xf numFmtId="167" fontId="1" fillId="0" borderId="0" xfId="14" applyNumberFormat="1" applyFont="1"/>
    <xf numFmtId="167" fontId="1" fillId="0" borderId="5" xfId="14" applyNumberFormat="1" applyFont="1" applyBorder="1"/>
    <xf numFmtId="0" fontId="1" fillId="0" borderId="0" xfId="12" applyFont="1" applyAlignment="1">
      <alignment horizontal="left" indent="1"/>
    </xf>
    <xf numFmtId="43" fontId="1" fillId="16" borderId="5" xfId="14" applyFont="1" applyFill="1" applyBorder="1"/>
    <xf numFmtId="43" fontId="1" fillId="0" borderId="5" xfId="14" applyFont="1" applyFill="1" applyBorder="1"/>
    <xf numFmtId="168" fontId="1" fillId="16" borderId="5" xfId="14" applyNumberFormat="1" applyFont="1" applyFill="1" applyBorder="1"/>
    <xf numFmtId="168" fontId="1" fillId="0" borderId="5" xfId="14" applyNumberFormat="1" applyFont="1" applyFill="1" applyBorder="1"/>
    <xf numFmtId="165" fontId="1" fillId="0" borderId="5" xfId="14" applyNumberFormat="1" applyFont="1" applyFill="1" applyBorder="1"/>
    <xf numFmtId="10" fontId="1" fillId="2" borderId="5" xfId="17" applyNumberFormat="1" applyFont="1" applyFill="1" applyBorder="1"/>
    <xf numFmtId="9" fontId="1" fillId="16" borderId="5" xfId="17" applyFont="1" applyFill="1" applyBorder="1"/>
    <xf numFmtId="43" fontId="1" fillId="0" borderId="0" xfId="18" applyFont="1"/>
    <xf numFmtId="166" fontId="1" fillId="16" borderId="5" xfId="14" applyNumberFormat="1" applyFont="1" applyFill="1" applyBorder="1"/>
    <xf numFmtId="166" fontId="1" fillId="16" borderId="10" xfId="14" applyNumberFormat="1" applyFont="1" applyFill="1" applyBorder="1"/>
    <xf numFmtId="166" fontId="1" fillId="16" borderId="11" xfId="14" applyNumberFormat="1" applyFont="1" applyFill="1" applyBorder="1"/>
    <xf numFmtId="166" fontId="1" fillId="0" borderId="5" xfId="14" applyNumberFormat="1" applyFont="1" applyFill="1" applyBorder="1"/>
    <xf numFmtId="9" fontId="1" fillId="16" borderId="12" xfId="17" applyFont="1" applyFill="1" applyBorder="1"/>
    <xf numFmtId="43" fontId="1" fillId="0" borderId="0" xfId="12" applyNumberFormat="1" applyFont="1"/>
    <xf numFmtId="9" fontId="1" fillId="0" borderId="5" xfId="17" applyFont="1" applyFill="1" applyBorder="1"/>
    <xf numFmtId="43" fontId="1" fillId="15" borderId="13" xfId="14" applyFont="1" applyFill="1" applyBorder="1"/>
    <xf numFmtId="44" fontId="1" fillId="16" borderId="14" xfId="13" applyFont="1" applyFill="1" applyBorder="1"/>
    <xf numFmtId="44" fontId="1" fillId="0" borderId="14" xfId="13" applyFont="1" applyFill="1" applyBorder="1"/>
    <xf numFmtId="44" fontId="1" fillId="16" borderId="15" xfId="13" applyFont="1" applyFill="1" applyBorder="1"/>
    <xf numFmtId="44" fontId="1" fillId="16" borderId="16" xfId="13" applyFont="1" applyFill="1" applyBorder="1"/>
    <xf numFmtId="44" fontId="1" fillId="16" borderId="17" xfId="13" applyFont="1" applyFill="1" applyBorder="1"/>
    <xf numFmtId="169" fontId="1" fillId="0" borderId="13" xfId="18" applyNumberFormat="1" applyFont="1" applyFill="1" applyBorder="1"/>
    <xf numFmtId="169" fontId="1" fillId="0" borderId="0" xfId="18" applyNumberFormat="1" applyFont="1" applyFill="1" applyBorder="1"/>
    <xf numFmtId="44" fontId="1" fillId="0" borderId="13" xfId="13" applyFont="1" applyFill="1" applyBorder="1"/>
    <xf numFmtId="164" fontId="1" fillId="0" borderId="0" xfId="17" applyNumberFormat="1" applyFont="1"/>
    <xf numFmtId="169" fontId="1" fillId="0" borderId="20" xfId="18" applyNumberFormat="1" applyFont="1" applyFill="1" applyBorder="1"/>
    <xf numFmtId="169" fontId="1" fillId="0" borderId="21" xfId="18" applyNumberFormat="1" applyFont="1" applyFill="1" applyBorder="1"/>
    <xf numFmtId="44" fontId="1" fillId="0" borderId="0" xfId="13" applyFont="1" applyFill="1" applyBorder="1"/>
    <xf numFmtId="43" fontId="1" fillId="0" borderId="13" xfId="14" applyFont="1" applyFill="1" applyBorder="1"/>
    <xf numFmtId="169" fontId="1" fillId="16" borderId="13" xfId="18" applyNumberFormat="1" applyFont="1" applyFill="1" applyBorder="1"/>
    <xf numFmtId="164" fontId="1" fillId="0" borderId="13" xfId="17" applyNumberFormat="1" applyFont="1" applyFill="1" applyBorder="1"/>
    <xf numFmtId="166" fontId="1" fillId="16" borderId="13" xfId="18" applyNumberFormat="1" applyFont="1" applyFill="1" applyBorder="1"/>
    <xf numFmtId="166" fontId="1" fillId="0" borderId="0" xfId="18" applyNumberFormat="1" applyFont="1"/>
    <xf numFmtId="169" fontId="1" fillId="0" borderId="0" xfId="12" applyNumberFormat="1" applyFont="1"/>
    <xf numFmtId="44" fontId="1" fillId="0" borderId="0" xfId="12" applyNumberFormat="1" applyFont="1"/>
    <xf numFmtId="166" fontId="1" fillId="16" borderId="13" xfId="14" applyNumberFormat="1" applyFont="1" applyFill="1" applyBorder="1"/>
    <xf numFmtId="166" fontId="1" fillId="0" borderId="0" xfId="12" applyNumberFormat="1" applyFont="1"/>
    <xf numFmtId="169" fontId="1" fillId="16" borderId="18" xfId="18" applyNumberFormat="1" applyFont="1" applyFill="1" applyBorder="1"/>
    <xf numFmtId="169" fontId="1" fillId="16" borderId="19" xfId="18" applyNumberFormat="1" applyFont="1" applyFill="1" applyBorder="1"/>
    <xf numFmtId="169" fontId="1" fillId="16" borderId="20" xfId="18" applyNumberFormat="1" applyFont="1" applyFill="1" applyBorder="1"/>
    <xf numFmtId="169" fontId="1" fillId="16" borderId="21" xfId="18" applyNumberFormat="1" applyFont="1" applyFill="1" applyBorder="1"/>
    <xf numFmtId="169" fontId="1" fillId="16" borderId="22" xfId="18" applyNumberFormat="1" applyFont="1" applyFill="1" applyBorder="1"/>
    <xf numFmtId="169" fontId="1" fillId="16" borderId="23" xfId="18" applyNumberFormat="1" applyFont="1" applyFill="1" applyBorder="1"/>
    <xf numFmtId="169" fontId="1" fillId="16" borderId="24" xfId="18" applyNumberFormat="1" applyFont="1" applyFill="1" applyBorder="1"/>
    <xf numFmtId="169" fontId="1" fillId="0" borderId="18" xfId="18" applyNumberFormat="1" applyFont="1" applyFill="1" applyBorder="1"/>
    <xf numFmtId="169" fontId="1" fillId="0" borderId="19" xfId="18" applyNumberFormat="1" applyFont="1" applyFill="1" applyBorder="1"/>
    <xf numFmtId="169" fontId="1" fillId="0" borderId="25" xfId="18" applyNumberFormat="1" applyFont="1" applyFill="1" applyBorder="1"/>
    <xf numFmtId="169" fontId="1" fillId="0" borderId="26" xfId="18" applyNumberFormat="1" applyFont="1" applyFill="1" applyBorder="1"/>
    <xf numFmtId="169" fontId="1" fillId="0" borderId="27" xfId="18" applyNumberFormat="1" applyFont="1" applyFill="1" applyBorder="1"/>
    <xf numFmtId="169" fontId="1" fillId="0" borderId="28" xfId="18" applyNumberFormat="1" applyFont="1" applyFill="1" applyBorder="1"/>
    <xf numFmtId="166" fontId="1" fillId="16" borderId="18" xfId="14" applyNumberFormat="1" applyFont="1" applyFill="1" applyBorder="1"/>
    <xf numFmtId="9" fontId="1" fillId="0" borderId="0" xfId="17" applyFont="1"/>
    <xf numFmtId="169" fontId="1" fillId="0" borderId="29" xfId="12" applyNumberFormat="1" applyFont="1" applyBorder="1"/>
    <xf numFmtId="169" fontId="1" fillId="0" borderId="30" xfId="12" applyNumberFormat="1" applyFont="1" applyBorder="1"/>
    <xf numFmtId="3" fontId="1" fillId="0" borderId="0" xfId="12" applyNumberFormat="1" applyFont="1"/>
    <xf numFmtId="0" fontId="55" fillId="0" borderId="0" xfId="0" applyFont="1" applyAlignment="1">
      <alignment vertical="center"/>
    </xf>
    <xf numFmtId="165" fontId="1" fillId="2" borderId="0" xfId="1" applyNumberFormat="1" applyFont="1" applyFill="1" applyBorder="1" applyAlignment="1">
      <alignment horizontal="left" vertical="center"/>
    </xf>
    <xf numFmtId="0" fontId="13" fillId="9" borderId="2" xfId="10" applyFill="1" applyBorder="1" applyAlignment="1">
      <alignment horizontal="left" vertical="center"/>
    </xf>
    <xf numFmtId="0" fontId="6" fillId="0" borderId="4" xfId="0" applyFont="1" applyBorder="1" applyAlignment="1">
      <alignment vertical="center"/>
    </xf>
    <xf numFmtId="0" fontId="6" fillId="0" borderId="0" xfId="0" applyFont="1" applyAlignment="1">
      <alignment horizontal="left" vertical="center"/>
    </xf>
    <xf numFmtId="4" fontId="19" fillId="0" borderId="0" xfId="1" applyNumberFormat="1" applyFont="1" applyBorder="1" applyAlignment="1">
      <alignment horizontal="right" vertical="center"/>
    </xf>
    <xf numFmtId="4" fontId="19" fillId="0" borderId="0" xfId="0" applyNumberFormat="1" applyFont="1" applyAlignment="1">
      <alignment horizontal="right" vertical="center"/>
    </xf>
    <xf numFmtId="4" fontId="12" fillId="9" borderId="2" xfId="10" applyNumberFormat="1" applyFont="1" applyFill="1" applyBorder="1" applyAlignment="1">
      <alignment horizontal="right" vertical="center"/>
    </xf>
    <xf numFmtId="4" fontId="19" fillId="0" borderId="0" xfId="1" applyNumberFormat="1" applyFont="1" applyAlignment="1">
      <alignment horizontal="right" vertical="center"/>
    </xf>
    <xf numFmtId="4" fontId="0" fillId="0" borderId="0" xfId="0" applyNumberFormat="1" applyAlignment="1">
      <alignment horizontal="right"/>
    </xf>
    <xf numFmtId="4" fontId="6" fillId="0" borderId="4" xfId="0" applyNumberFormat="1" applyFont="1" applyBorder="1" applyAlignment="1">
      <alignment horizontal="right" vertical="center"/>
    </xf>
    <xf numFmtId="4" fontId="6" fillId="0" borderId="4" xfId="2" applyNumberFormat="1" applyFont="1" applyBorder="1" applyAlignment="1">
      <alignment horizontal="right" vertical="center"/>
    </xf>
    <xf numFmtId="4" fontId="6" fillId="0" borderId="0" xfId="0" applyNumberFormat="1" applyFont="1" applyAlignment="1">
      <alignment horizontal="right" vertical="center"/>
    </xf>
    <xf numFmtId="0" fontId="0" fillId="0" borderId="0" xfId="0" applyAlignment="1">
      <alignment vertical="center"/>
    </xf>
    <xf numFmtId="0" fontId="12" fillId="5" borderId="0" xfId="7" applyFill="1" applyAlignment="1">
      <alignment vertical="center"/>
    </xf>
    <xf numFmtId="0" fontId="13" fillId="14" borderId="0" xfId="11" applyAlignment="1">
      <alignment vertical="center"/>
    </xf>
    <xf numFmtId="0" fontId="0" fillId="0" borderId="0" xfId="0" applyAlignment="1">
      <alignment horizontal="center" vertical="center"/>
    </xf>
    <xf numFmtId="0" fontId="12" fillId="5" borderId="0" xfId="7" applyFill="1" applyAlignment="1">
      <alignment horizontal="center" vertical="center"/>
    </xf>
    <xf numFmtId="0" fontId="13" fillId="6" borderId="0" xfId="8" applyFill="1" applyAlignment="1">
      <alignment horizontal="center" vertical="center"/>
    </xf>
    <xf numFmtId="0" fontId="6" fillId="0" borderId="0" xfId="0" applyFont="1" applyAlignment="1">
      <alignment horizontal="center" vertical="center"/>
    </xf>
    <xf numFmtId="0" fontId="12" fillId="9" borderId="2" xfId="10" applyFont="1" applyFill="1" applyBorder="1" applyAlignment="1">
      <alignment horizontal="center" vertical="center" wrapText="1"/>
    </xf>
    <xf numFmtId="0" fontId="13" fillId="14" borderId="0" xfId="11" applyAlignment="1">
      <alignment horizontal="center" vertical="center"/>
    </xf>
    <xf numFmtId="0" fontId="0" fillId="0" borderId="0" xfId="0" applyAlignment="1">
      <alignment vertical="center" wrapText="1"/>
    </xf>
    <xf numFmtId="0" fontId="0" fillId="0" borderId="0" xfId="0" applyAlignment="1">
      <alignment horizontal="left" vertical="center" wrapText="1"/>
    </xf>
    <xf numFmtId="0" fontId="12" fillId="5" borderId="0" xfId="7" applyFill="1" applyAlignment="1">
      <alignment vertical="center" wrapText="1"/>
    </xf>
    <xf numFmtId="0" fontId="12" fillId="5" borderId="0" xfId="7" applyFill="1" applyAlignment="1">
      <alignment horizontal="left" vertical="center" wrapText="1"/>
    </xf>
    <xf numFmtId="0" fontId="13" fillId="14" borderId="0" xfId="11" applyAlignment="1">
      <alignment horizontal="left" vertical="center"/>
    </xf>
    <xf numFmtId="0" fontId="13" fillId="14" borderId="0" xfId="11" applyAlignment="1">
      <alignment vertical="center" wrapText="1"/>
    </xf>
    <xf numFmtId="0" fontId="16" fillId="0" borderId="36" xfId="0" applyFont="1" applyBorder="1" applyAlignment="1">
      <alignment vertical="center"/>
    </xf>
    <xf numFmtId="0" fontId="6" fillId="0" borderId="36" xfId="0" applyFont="1" applyBorder="1" applyAlignment="1">
      <alignment vertical="center" wrapText="1"/>
    </xf>
    <xf numFmtId="0" fontId="6" fillId="0" borderId="36" xfId="0" applyFont="1" applyBorder="1" applyAlignment="1">
      <alignment horizontal="center" vertical="center"/>
    </xf>
    <xf numFmtId="0" fontId="16" fillId="0" borderId="4" xfId="0" applyFont="1" applyBorder="1" applyAlignment="1">
      <alignment vertical="center"/>
    </xf>
    <xf numFmtId="0" fontId="6" fillId="0" borderId="4" xfId="0" applyFont="1" applyBorder="1" applyAlignment="1">
      <alignment horizontal="center" vertical="center"/>
    </xf>
    <xf numFmtId="0" fontId="16" fillId="0" borderId="37" xfId="0" applyFont="1" applyBorder="1" applyAlignment="1">
      <alignment vertical="center"/>
    </xf>
    <xf numFmtId="0" fontId="6" fillId="0" borderId="37" xfId="0" applyFont="1" applyBorder="1" applyAlignment="1">
      <alignment vertical="center" wrapText="1"/>
    </xf>
    <xf numFmtId="10" fontId="6" fillId="0" borderId="37" xfId="2" applyNumberFormat="1" applyFont="1" applyBorder="1" applyAlignment="1">
      <alignment vertical="center" wrapText="1"/>
    </xf>
    <xf numFmtId="0" fontId="16" fillId="0" borderId="38" xfId="0" applyFont="1" applyBorder="1" applyAlignment="1">
      <alignment vertical="center"/>
    </xf>
    <xf numFmtId="0" fontId="6" fillId="0" borderId="38" xfId="0" applyFont="1" applyBorder="1" applyAlignment="1">
      <alignment horizontal="left" vertical="center" wrapText="1"/>
    </xf>
    <xf numFmtId="0" fontId="6" fillId="0" borderId="38" xfId="0" applyFont="1" applyBorder="1" applyAlignment="1">
      <alignment horizontal="center" vertical="center"/>
    </xf>
    <xf numFmtId="0" fontId="6" fillId="0" borderId="38" xfId="0" applyFont="1" applyBorder="1" applyAlignment="1">
      <alignment vertical="center" wrapText="1"/>
    </xf>
    <xf numFmtId="0" fontId="6" fillId="0" borderId="37" xfId="0" applyFont="1" applyBorder="1" applyAlignment="1">
      <alignment horizontal="left" vertical="center" wrapText="1"/>
    </xf>
    <xf numFmtId="0" fontId="6" fillId="0" borderId="37" xfId="0" applyFont="1" applyBorder="1" applyAlignment="1">
      <alignment horizontal="center" vertical="center"/>
    </xf>
    <xf numFmtId="0" fontId="16" fillId="0" borderId="39" xfId="0" applyFont="1" applyBorder="1" applyAlignment="1">
      <alignment vertical="center"/>
    </xf>
    <xf numFmtId="0" fontId="6" fillId="0" borderId="39" xfId="0" applyFont="1" applyBorder="1" applyAlignment="1">
      <alignment horizontal="left" vertical="center" wrapText="1"/>
    </xf>
    <xf numFmtId="0" fontId="6" fillId="0" borderId="39" xfId="0" applyFont="1" applyBorder="1" applyAlignment="1">
      <alignment horizontal="center" vertical="center"/>
    </xf>
    <xf numFmtId="0" fontId="6" fillId="0" borderId="39" xfId="0" applyFont="1" applyBorder="1" applyAlignment="1">
      <alignment vertical="center" wrapText="1"/>
    </xf>
    <xf numFmtId="0" fontId="19" fillId="0" borderId="37" xfId="3" applyFont="1" applyBorder="1" applyAlignment="1">
      <alignment vertical="center" wrapText="1"/>
    </xf>
    <xf numFmtId="0" fontId="6" fillId="0" borderId="37" xfId="0" applyFont="1" applyBorder="1" applyAlignment="1">
      <alignment vertical="center"/>
    </xf>
    <xf numFmtId="0" fontId="6" fillId="0" borderId="36" xfId="0" applyFont="1" applyBorder="1" applyAlignment="1">
      <alignment horizontal="left" vertical="center" wrapText="1"/>
    </xf>
    <xf numFmtId="0" fontId="0" fillId="0" borderId="0" xfId="0" applyAlignment="1">
      <alignment horizontal="left" vertical="center" indent="1"/>
    </xf>
    <xf numFmtId="0" fontId="0" fillId="0" borderId="0" xfId="0" applyAlignment="1">
      <alignment horizontal="left" vertical="center" wrapText="1" indent="1"/>
    </xf>
    <xf numFmtId="0" fontId="12" fillId="5" borderId="0" xfId="7" applyFill="1" applyAlignment="1">
      <alignment horizontal="left" vertical="center" indent="1"/>
    </xf>
    <xf numFmtId="0" fontId="12" fillId="5" borderId="0" xfId="7" applyFill="1" applyAlignment="1">
      <alignment horizontal="left" vertical="center" wrapText="1" indent="1"/>
    </xf>
    <xf numFmtId="0" fontId="13" fillId="6" borderId="0" xfId="8" applyFill="1" applyAlignment="1">
      <alignment horizontal="left" vertical="center" indent="1"/>
    </xf>
    <xf numFmtId="0" fontId="0" fillId="0" borderId="41" xfId="0" applyBorder="1" applyAlignment="1">
      <alignment horizontal="left" vertical="center" wrapText="1" indent="1"/>
    </xf>
    <xf numFmtId="0" fontId="0" fillId="0" borderId="42" xfId="0" applyBorder="1" applyAlignment="1">
      <alignment horizontal="left" vertical="center" wrapText="1" indent="1"/>
    </xf>
    <xf numFmtId="0" fontId="0" fillId="0" borderId="18" xfId="0" applyBorder="1" applyAlignment="1">
      <alignment horizontal="left" vertical="center" wrapText="1" indent="1"/>
    </xf>
    <xf numFmtId="0" fontId="0" fillId="0" borderId="13" xfId="0" applyBorder="1" applyAlignment="1">
      <alignment horizontal="left" vertical="center" wrapText="1" indent="1"/>
    </xf>
    <xf numFmtId="0" fontId="0" fillId="0" borderId="13" xfId="0" applyBorder="1" applyAlignment="1">
      <alignment horizontal="left" vertical="center" indent="1"/>
    </xf>
    <xf numFmtId="0" fontId="0" fillId="0" borderId="18" xfId="0" applyBorder="1" applyAlignment="1">
      <alignment horizontal="left" vertical="center" indent="1"/>
    </xf>
    <xf numFmtId="0" fontId="13" fillId="14" borderId="0" xfId="11" applyAlignment="1">
      <alignment horizontal="left" vertical="center" indent="1"/>
    </xf>
    <xf numFmtId="164" fontId="20" fillId="0" borderId="0" xfId="2" applyNumberFormat="1" applyFont="1"/>
    <xf numFmtId="166" fontId="20" fillId="0" borderId="0" xfId="1" applyNumberFormat="1" applyFont="1"/>
    <xf numFmtId="172" fontId="51" fillId="16" borderId="7" xfId="1" applyNumberFormat="1" applyFont="1" applyFill="1" applyBorder="1" applyAlignment="1">
      <alignment horizontal="center" vertical="center"/>
    </xf>
    <xf numFmtId="10" fontId="1" fillId="16" borderId="5" xfId="2" applyNumberFormat="1" applyFont="1" applyFill="1" applyBorder="1" applyAlignment="1">
      <alignment horizontal="center" vertical="center"/>
    </xf>
    <xf numFmtId="166" fontId="1" fillId="16" borderId="5" xfId="1" applyNumberFormat="1" applyFont="1" applyFill="1" applyBorder="1" applyAlignment="1">
      <alignment horizontal="left" vertical="center"/>
    </xf>
    <xf numFmtId="170" fontId="56" fillId="0" borderId="40" xfId="0" applyNumberFormat="1" applyFont="1" applyBorder="1" applyAlignment="1">
      <alignment horizontal="left" vertical="center"/>
    </xf>
    <xf numFmtId="170" fontId="56" fillId="0" borderId="31" xfId="0" applyNumberFormat="1" applyFont="1" applyBorder="1" applyAlignment="1">
      <alignment horizontal="left" vertical="center"/>
    </xf>
    <xf numFmtId="172" fontId="51" fillId="0" borderId="0" xfId="0" applyNumberFormat="1" applyFont="1"/>
    <xf numFmtId="168" fontId="5" fillId="16" borderId="5" xfId="14" applyNumberFormat="1" applyFont="1" applyFill="1" applyBorder="1"/>
    <xf numFmtId="172" fontId="57" fillId="16" borderId="7" xfId="1" applyNumberFormat="1" applyFont="1" applyFill="1" applyBorder="1" applyAlignment="1">
      <alignment horizontal="center" vertical="center"/>
    </xf>
    <xf numFmtId="172" fontId="58" fillId="16" borderId="7" xfId="1" applyNumberFormat="1" applyFont="1" applyFill="1" applyBorder="1" applyAlignment="1">
      <alignment horizontal="center" vertical="center"/>
    </xf>
    <xf numFmtId="172" fontId="51" fillId="2" borderId="32" xfId="1" applyNumberFormat="1" applyFont="1" applyFill="1" applyBorder="1" applyAlignment="1">
      <alignment horizontal="left" vertical="center"/>
    </xf>
    <xf numFmtId="172" fontId="51" fillId="2" borderId="34" xfId="1" applyNumberFormat="1" applyFont="1" applyFill="1" applyBorder="1" applyAlignment="1">
      <alignment horizontal="left" vertical="center"/>
    </xf>
    <xf numFmtId="172" fontId="51" fillId="2" borderId="33" xfId="1" applyNumberFormat="1" applyFont="1" applyFill="1" applyBorder="1" applyAlignment="1">
      <alignment horizontal="left" vertical="center"/>
    </xf>
    <xf numFmtId="0" fontId="11" fillId="4" borderId="0" xfId="3" applyFont="1" applyFill="1" applyBorder="1" applyAlignment="1">
      <alignment horizontal="left" indent="2"/>
    </xf>
    <xf numFmtId="0" fontId="0" fillId="4" borderId="0" xfId="0" applyFill="1" applyAlignment="1">
      <alignment horizontal="left" indent="2"/>
    </xf>
    <xf numFmtId="0" fontId="12" fillId="4" borderId="0" xfId="7" applyFill="1" applyAlignment="1">
      <alignment horizontal="left" indent="3"/>
    </xf>
    <xf numFmtId="0" fontId="12" fillId="4" borderId="0" xfId="7" applyFill="1" applyAlignment="1">
      <alignment horizontal="left" vertical="top" indent="3"/>
    </xf>
    <xf numFmtId="0" fontId="6" fillId="0" borderId="39" xfId="0" applyFont="1" applyBorder="1" applyAlignment="1">
      <alignment horizontal="left" vertical="center" wrapText="1"/>
    </xf>
    <xf numFmtId="0" fontId="6" fillId="0" borderId="38" xfId="0" applyFont="1" applyBorder="1" applyAlignment="1">
      <alignment horizontal="left" vertical="center" wrapText="1"/>
    </xf>
    <xf numFmtId="0" fontId="6" fillId="0" borderId="0" xfId="0" applyFont="1" applyAlignment="1">
      <alignment vertical="center" wrapText="1"/>
    </xf>
    <xf numFmtId="0" fontId="0" fillId="0" borderId="0" xfId="0" applyAlignment="1">
      <alignment vertical="center"/>
    </xf>
    <xf numFmtId="0" fontId="6" fillId="0" borderId="4" xfId="0" applyFont="1" applyBorder="1" applyAlignment="1">
      <alignment horizontal="left" vertical="center" wrapText="1"/>
    </xf>
    <xf numFmtId="0" fontId="6" fillId="0" borderId="0" xfId="0" applyFont="1" applyAlignment="1">
      <alignment horizontal="left" vertical="center" wrapText="1"/>
    </xf>
    <xf numFmtId="0" fontId="0" fillId="0" borderId="18" xfId="0" applyBorder="1" applyAlignment="1">
      <alignment horizontal="left" vertical="center" wrapText="1" indent="1"/>
    </xf>
    <xf numFmtId="0" fontId="0" fillId="0" borderId="23" xfId="0" applyBorder="1" applyAlignment="1">
      <alignment horizontal="left" vertical="center" wrapText="1" indent="1"/>
    </xf>
    <xf numFmtId="0" fontId="0" fillId="0" borderId="18" xfId="0" applyBorder="1" applyAlignment="1">
      <alignment horizontal="left" vertical="center" indent="1"/>
    </xf>
    <xf numFmtId="0" fontId="0" fillId="0" borderId="23" xfId="0" applyBorder="1" applyAlignment="1">
      <alignment horizontal="left" vertical="center" indent="1"/>
    </xf>
    <xf numFmtId="0" fontId="44" fillId="18" borderId="0" xfId="12" applyFont="1" applyFill="1" applyAlignment="1">
      <alignment horizontal="center"/>
    </xf>
  </cellXfs>
  <cellStyles count="21">
    <cellStyle name="Comma" xfId="1" builtinId="3"/>
    <cellStyle name="Comma 2" xfId="14" xr:uid="{E4046C77-59FE-4B5A-B109-FB017C1409D2}"/>
    <cellStyle name="Comma 2 2" xfId="18" xr:uid="{B0A4F6F3-8983-413B-A21C-F47073E15B74}"/>
    <cellStyle name="Comma 4 2" xfId="19" xr:uid="{4FE534E5-4D82-4685-8A2C-937EF90BA62E}"/>
    <cellStyle name="Currency 2" xfId="13" xr:uid="{C72D8408-48E4-4833-A54D-20A6537FD9E0}"/>
    <cellStyle name="Followed Hyperlink" xfId="4" builtinId="9" customBuiltin="1"/>
    <cellStyle name="Header0" xfId="7" xr:uid="{13A9B972-A83A-403A-950F-72FC1A932424}"/>
    <cellStyle name="Header1" xfId="8" xr:uid="{C20ADFAE-7054-4010-A872-F5BF8839F22B}"/>
    <cellStyle name="Header2" xfId="10" xr:uid="{043894D5-3AD4-4889-A776-DF6FD0B9D17F}"/>
    <cellStyle name="HeaderEnd" xfId="11" xr:uid="{9F3B268A-EAE3-4B6E-B8FA-63E2FB031C53}"/>
    <cellStyle name="HeaderTitle" xfId="6" xr:uid="{84B94F98-A9E6-4EB1-B10C-05464B3E31BB}"/>
    <cellStyle name="Hyperlink" xfId="3" builtinId="8" customBuiltin="1"/>
    <cellStyle name="Hyperlink 2" xfId="20" xr:uid="{4C338480-89D0-431F-809B-C415303F6428}"/>
    <cellStyle name="Normal" xfId="0" builtinId="0"/>
    <cellStyle name="Normal 2" xfId="12" xr:uid="{5837B8FA-1E3A-40C0-B0D8-EDF99F425FAA}"/>
    <cellStyle name="Normal 2 13" xfId="9" xr:uid="{8426B32F-D0BF-4B58-8B7B-2711ADFD8E10}"/>
    <cellStyle name="Normal 2 2" xfId="15" xr:uid="{D3D5CE6F-6242-4237-A7A7-8DEB140E755D}"/>
    <cellStyle name="Percent" xfId="2" builtinId="5"/>
    <cellStyle name="Percent 2" xfId="17" xr:uid="{01B4E3AA-00ED-4C16-A1B2-579F859D1141}"/>
    <cellStyle name="Period Title" xfId="16" xr:uid="{DEA16C1B-D433-4D7B-9908-9B3944707F36}"/>
    <cellStyle name="Units" xfId="5" xr:uid="{CC8C9571-065F-459A-9910-020558908833}"/>
  </cellStyles>
  <dxfs count="21">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9" tint="0.59996337778862885"/>
      </font>
      <fill>
        <patternFill>
          <bgColor theme="9" tint="0.59996337778862885"/>
        </patternFill>
      </fill>
      <border>
        <left style="thin">
          <color theme="0"/>
        </left>
        <right style="thin">
          <color theme="0"/>
        </right>
        <top style="thin">
          <color theme="0"/>
        </top>
        <bottom style="thin">
          <color theme="0"/>
        </bottom>
        <vertical/>
        <horizontal/>
      </border>
    </dxf>
    <dxf>
      <font>
        <color rgb="FFFF6565"/>
      </font>
      <fill>
        <patternFill>
          <bgColor rgb="FFFF6565"/>
        </patternFill>
      </fill>
      <border>
        <left style="thin">
          <color theme="0"/>
        </left>
        <right style="thin">
          <color theme="0"/>
        </right>
        <top style="thin">
          <color theme="0"/>
        </top>
        <bottom style="thin">
          <color theme="0"/>
        </bottom>
        <vertical/>
        <horizontal/>
      </border>
    </dxf>
    <dxf>
      <font>
        <color theme="9" tint="0.59996337778862885"/>
      </font>
      <fill>
        <patternFill>
          <bgColor theme="9" tint="0.59996337778862885"/>
        </patternFill>
      </fill>
      <border>
        <left style="thin">
          <color theme="0"/>
        </left>
        <right style="thin">
          <color theme="0"/>
        </right>
        <top style="thin">
          <color theme="0"/>
        </top>
        <bottom style="thin">
          <color theme="0"/>
        </bottom>
        <vertical/>
        <horizontal/>
      </border>
    </dxf>
    <dxf>
      <font>
        <color rgb="FFFF6565"/>
      </font>
      <fill>
        <patternFill>
          <bgColor rgb="FFFF6565"/>
        </patternFill>
      </fill>
      <border>
        <left style="thin">
          <color theme="0"/>
        </left>
        <right style="thin">
          <color theme="0"/>
        </right>
        <top style="thin">
          <color theme="0"/>
        </top>
        <bottom style="thin">
          <color theme="0"/>
        </bottom>
        <vertical/>
        <horizontal/>
      </border>
    </dxf>
    <dxf>
      <font>
        <color theme="9" tint="0.59996337778862885"/>
      </font>
      <fill>
        <patternFill>
          <bgColor theme="9" tint="0.59996337778862885"/>
        </patternFill>
      </fill>
      <border>
        <left style="thin">
          <color theme="0"/>
        </left>
        <right style="thin">
          <color theme="0"/>
        </right>
        <top style="thin">
          <color theme="0"/>
        </top>
        <bottom style="thin">
          <color theme="0"/>
        </bottom>
        <vertical/>
        <horizontal/>
      </border>
    </dxf>
    <dxf>
      <font>
        <color rgb="FFFF6565"/>
      </font>
      <fill>
        <patternFill>
          <bgColor rgb="FFFF6565"/>
        </patternFill>
      </fill>
      <border>
        <left style="thin">
          <color theme="0"/>
        </left>
        <right style="thin">
          <color theme="0"/>
        </right>
        <top style="thin">
          <color theme="0"/>
        </top>
        <bottom style="thin">
          <color theme="0"/>
        </bottom>
        <vertical/>
        <horizontal/>
      </border>
    </dxf>
    <dxf>
      <font>
        <color theme="9" tint="0.59996337778862885"/>
      </font>
      <fill>
        <patternFill>
          <bgColor theme="9" tint="0.59996337778862885"/>
        </patternFill>
      </fill>
      <border>
        <left style="thin">
          <color theme="0"/>
        </left>
        <right style="thin">
          <color theme="0"/>
        </right>
        <top style="thin">
          <color theme="0"/>
        </top>
        <bottom style="thin">
          <color theme="0"/>
        </bottom>
        <vertical/>
        <horizontal/>
      </border>
    </dxf>
    <dxf>
      <font>
        <color rgb="FFFF6565"/>
      </font>
      <fill>
        <patternFill>
          <bgColor rgb="FFFF6565"/>
        </patternFill>
      </fill>
      <border>
        <left style="thin">
          <color theme="0"/>
        </left>
        <right style="thin">
          <color theme="0"/>
        </right>
        <top style="thin">
          <color theme="0"/>
        </top>
        <bottom style="thin">
          <color theme="0"/>
        </bottom>
        <vertical/>
        <horizontal/>
      </border>
    </dxf>
  </dxfs>
  <tableStyles count="0" defaultTableStyle="TableStyleMedium2" defaultPivotStyle="PivotStyleLight16"/>
  <colors>
    <mruColors>
      <color rgb="FFFF6565"/>
      <color rgb="FF1321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strRef>
              <c:f>'INPUT Capex'!$AC$7:$BL$7</c:f>
              <c:strCache>
                <c:ptCount val="36"/>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pt idx="28">
                  <c:v>2051-52</c:v>
                </c:pt>
                <c:pt idx="29">
                  <c:v>2052-53</c:v>
                </c:pt>
                <c:pt idx="30">
                  <c:v>2053-54</c:v>
                </c:pt>
                <c:pt idx="31">
                  <c:v>2054-55</c:v>
                </c:pt>
                <c:pt idx="32">
                  <c:v>2055-56</c:v>
                </c:pt>
                <c:pt idx="33">
                  <c:v>2056-57</c:v>
                </c:pt>
                <c:pt idx="34">
                  <c:v>2057-58</c:v>
                </c:pt>
                <c:pt idx="35">
                  <c:v>2058-59</c:v>
                </c:pt>
              </c:strCache>
            </c:strRef>
          </c:cat>
          <c:val>
            <c:numRef>
              <c:f>'INPUT Capex'!#REF!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'INPUT Capex'!#REF!</c15:sqref>
                        </c15:formulaRef>
                      </c:ext>
                    </c:extLst>
                    <c:strCache>
                      <c:ptCount val="1"/>
                      <c:pt idx="0">
                        <c:v>#REF!</c:v>
                      </c:pt>
                    </c:strCache>
                  </c:strRef>
                </c15:tx>
              </c15:filteredSeriesTitle>
            </c:ext>
            <c:ext xmlns:c16="http://schemas.microsoft.com/office/drawing/2014/chart" uri="{C3380CC4-5D6E-409C-BE32-E72D297353CC}">
              <c16:uniqueId val="{00000000-0E91-4ADF-939A-AAF5CCFE88C8}"/>
            </c:ext>
          </c:extLst>
        </c:ser>
        <c:ser>
          <c:idx val="1"/>
          <c:order val="1"/>
          <c:spPr>
            <a:ln w="28575" cap="rnd">
              <a:solidFill>
                <a:schemeClr val="accent2"/>
              </a:solidFill>
              <a:round/>
            </a:ln>
            <a:effectLst/>
          </c:spPr>
          <c:marker>
            <c:symbol val="none"/>
          </c:marker>
          <c:val>
            <c:numRef>
              <c:f>'INPUT Capex'!#REF!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'INPUT Capex'!#REF!</c15:sqref>
                        </c15:formulaRef>
                      </c:ext>
                    </c:extLst>
                    <c:strCache>
                      <c:ptCount val="1"/>
                      <c:pt idx="0">
                        <c:v>#REF!</c:v>
                      </c:pt>
                    </c:strCache>
                  </c:strRef>
                </c15:tx>
              </c15:filteredSeriesTitle>
            </c:ext>
            <c:ext xmlns:c16="http://schemas.microsoft.com/office/drawing/2014/chart" uri="{C3380CC4-5D6E-409C-BE32-E72D297353CC}">
              <c16:uniqueId val="{00000001-0E91-4ADF-939A-AAF5CCFE88C8}"/>
            </c:ext>
          </c:extLst>
        </c:ser>
        <c:dLbls>
          <c:showLegendKey val="0"/>
          <c:showVal val="0"/>
          <c:showCatName val="0"/>
          <c:showSerName val="0"/>
          <c:showPercent val="0"/>
          <c:showBubbleSize val="0"/>
        </c:dLbls>
        <c:smooth val="0"/>
        <c:axId val="1106167967"/>
        <c:axId val="1106169887"/>
      </c:lineChart>
      <c:catAx>
        <c:axId val="1106167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6169887"/>
        <c:crosses val="autoZero"/>
        <c:auto val="1"/>
        <c:lblAlgn val="ctr"/>
        <c:lblOffset val="100"/>
        <c:noMultiLvlLbl val="0"/>
      </c:catAx>
      <c:valAx>
        <c:axId val="11061698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61679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30</xdr:col>
      <xdr:colOff>801687</xdr:colOff>
      <xdr:row>269</xdr:row>
      <xdr:rowOff>0</xdr:rowOff>
    </xdr:from>
    <xdr:to>
      <xdr:col>45</xdr:col>
      <xdr:colOff>28122</xdr:colOff>
      <xdr:row>275</xdr:row>
      <xdr:rowOff>45356</xdr:rowOff>
    </xdr:to>
    <xdr:graphicFrame macro="">
      <xdr:nvGraphicFramePr>
        <xdr:cNvPr id="3" name="Chart 2">
          <a:extLst>
            <a:ext uri="{FF2B5EF4-FFF2-40B4-BE49-F238E27FC236}">
              <a16:creationId xmlns:a16="http://schemas.microsoft.com/office/drawing/2014/main" id="{03B2CA61-CA12-4B1E-8D6E-C3360DAF5B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Jess Saigar" id="{2F885133-A15B-4C01-BE09-86107C8278B3}" userId="S::jsaigar@uradvisory.com.au::a1ae0ad8-a961-432b-908e-7c0b0880e06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68" dT="2023-09-05T05:49:54.65" personId="{2F885133-A15B-4C01-BE09-86107C8278B3}" id="{BDD35836-DEB9-4BB0-8D60-9A0F48C0CDE3}">
    <text>Adjusted for the greenfield central RW R</text>
  </threadedComment>
  <threadedComment ref="H74" dT="2023-09-05T05:51:22.54" personId="{2F885133-A15B-4C01-BE09-86107C8278B3}" id="{8AA3B3A8-20DE-4D57-AD3D-18C0201C002B}">
    <text xml:space="preserve">Move to greenfield
</text>
  </threadedComment>
  <threadedComment ref="H75" dT="2023-09-05T05:51:22.54" personId="{2F885133-A15B-4C01-BE09-86107C8278B3}" id="{ED023F45-2FD2-4ED7-AB6A-A2B3247C228B}">
    <text xml:space="preserve">Move to greenfield
</text>
  </threadedComment>
  <threadedComment ref="H76" dT="2023-09-05T05:51:22.54" personId="{2F885133-A15B-4C01-BE09-86107C8278B3}" id="{261AE1ED-118B-4C82-BD28-2412A61B9D82}">
    <text xml:space="preserve">Move to greenfield
</text>
  </threadedComment>
  <threadedComment ref="H78" dT="2023-09-05T05:51:22.54" personId="{2F885133-A15B-4C01-BE09-86107C8278B3}" id="{FECCFBEC-05CC-4D64-AFA8-57C33A63190F}">
    <text xml:space="preserve">Move to greenfield
</text>
  </threadedComment>
  <threadedComment ref="H81" dT="2023-09-05T05:51:22.54" personId="{2F885133-A15B-4C01-BE09-86107C8278B3}" id="{CB37C910-95E4-4856-8638-DC05C481E199}">
    <text xml:space="preserve">Move to greenfield
</text>
  </threadedComment>
  <threadedComment ref="H82" dT="2023-09-05T05:51:22.54" personId="{2F885133-A15B-4C01-BE09-86107C8278B3}" id="{9CD0E937-B8EE-4B05-ABCB-E9A7E7B87477}">
    <text xml:space="preserve">Move to greenfield
</text>
  </threadedComment>
  <threadedComment ref="H84" dT="2023-09-05T05:51:22.54" personId="{2F885133-A15B-4C01-BE09-86107C8278B3}" id="{1B4BFC89-755D-453E-909E-FDCB8B866415}">
    <text xml:space="preserve">Move to greenfield
</text>
  </threadedComment>
  <threadedComment ref="H87" dT="2023-09-05T05:51:22.54" personId="{2F885133-A15B-4C01-BE09-86107C8278B3}" id="{BF78ADB5-F5C0-4DFC-8977-2141FDC34F8A}">
    <text xml:space="preserve">Move to greenfield
</text>
  </threadedComment>
  <threadedComment ref="H94" dT="2023-09-05T05:53:40.81" personId="{2F885133-A15B-4C01-BE09-86107C8278B3}" id="{92750242-7083-4480-9EE5-D029B8A5EFB9}">
    <text>Move to infill less average</text>
  </threadedComment>
  <threadedComment ref="H96" dT="2023-09-05T05:53:40.81" personId="{2F885133-A15B-4C01-BE09-86107C8278B3}" id="{64C12530-A4D7-40F7-B56E-7085CADA04CE}">
    <text>Move to infill less average</text>
  </threadedComment>
</ThreadedComments>
</file>

<file path=xl/threadedComments/threadedComment2.xml><?xml version="1.0" encoding="utf-8"?>
<ThreadedComments xmlns="http://schemas.microsoft.com/office/spreadsheetml/2018/threadedcomments" xmlns:x="http://schemas.openxmlformats.org/spreadsheetml/2006/main">
  <threadedComment ref="H187" dT="2023-06-27T06:04:21.87" personId="{2F885133-A15B-4C01-BE09-86107C8278B3}" id="{ED053AE0-2E69-4EE6-BCCB-267F33C2E76E}">
    <text>Sum of water and sewer separately calculated</text>
  </threadedComment>
</ThreadedComments>
</file>

<file path=xl/threadedComments/threadedComment3.xml><?xml version="1.0" encoding="utf-8"?>
<ThreadedComments xmlns="http://schemas.microsoft.com/office/spreadsheetml/2018/threadedcomments" xmlns:x="http://schemas.openxmlformats.org/spreadsheetml/2006/main">
  <threadedComment ref="H187" dT="2023-06-27T06:04:21.87" personId="{2F885133-A15B-4C01-BE09-86107C8278B3}" id="{18694D2E-6955-4BB8-AE17-EC6E66D52EC5}">
    <text>Sum of water and sewer separately calculated</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ww.com.au/sites/default/files/2023-06/GWW%20New%20Customer%20Contributions%20Guide%20FY23-24.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C85A9-146B-4059-8CF0-61C634E7EE53}">
  <sheetPr codeName="Sheet1">
    <tabColor rgb="FF833C0C"/>
  </sheetPr>
  <dimension ref="A1:BL76"/>
  <sheetViews>
    <sheetView showGridLines="0" tabSelected="1" zoomScaleNormal="100" workbookViewId="0"/>
  </sheetViews>
  <sheetFormatPr defaultColWidth="0" defaultRowHeight="15" zeroHeight="1" x14ac:dyDescent="0.2"/>
  <cols>
    <col min="1" max="1" width="2.33203125" style="48" customWidth="1"/>
    <col min="2" max="3" width="2.5" style="48" customWidth="1"/>
    <col min="4" max="4" width="23.83203125" style="48" customWidth="1"/>
    <col min="5" max="6" width="8.6640625" style="48" customWidth="1"/>
    <col min="7" max="26" width="10.6640625" style="48" customWidth="1"/>
    <col min="27" max="27" width="8.6640625" style="48" customWidth="1"/>
    <col min="28" max="16384" width="11" style="48" hidden="1"/>
  </cols>
  <sheetData>
    <row r="1" spans="1:27" customFormat="1" ht="11.1" customHeight="1" x14ac:dyDescent="0.2">
      <c r="F1" s="3"/>
      <c r="G1" s="4"/>
    </row>
    <row r="2" spans="1:27" s="2" customFormat="1" ht="34.5" customHeight="1" x14ac:dyDescent="0.3">
      <c r="B2" s="296" t="s">
        <v>0</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row>
    <row r="3" spans="1:27" s="2" customFormat="1" ht="11.25" x14ac:dyDescent="0.2">
      <c r="B3" s="298" t="s">
        <v>1</v>
      </c>
      <c r="C3" s="298"/>
      <c r="D3" s="298"/>
      <c r="E3" s="298"/>
      <c r="F3" s="298"/>
      <c r="G3" s="298"/>
      <c r="H3" s="298"/>
      <c r="I3" s="298"/>
      <c r="J3" s="298"/>
      <c r="K3" s="298"/>
      <c r="L3" s="298"/>
      <c r="M3" s="298"/>
      <c r="N3" s="298"/>
      <c r="O3" s="298"/>
      <c r="P3" s="298"/>
      <c r="Q3" s="298"/>
      <c r="R3" s="298"/>
      <c r="S3" s="298"/>
      <c r="T3" s="298"/>
      <c r="U3" s="298"/>
      <c r="V3" s="298"/>
      <c r="W3" s="298"/>
      <c r="X3" s="298"/>
      <c r="Y3" s="298"/>
      <c r="Z3" s="298"/>
      <c r="AA3" s="298"/>
    </row>
    <row r="4" spans="1:27" s="5" customFormat="1" ht="21" customHeight="1" x14ac:dyDescent="0.2">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row>
    <row r="5" spans="1:27" s="129" customFormat="1" ht="12" thickBot="1" x14ac:dyDescent="0.25">
      <c r="A5" s="6"/>
      <c r="B5" s="6"/>
      <c r="C5" s="6"/>
      <c r="D5" s="6"/>
      <c r="E5" s="6"/>
      <c r="F5" s="7"/>
      <c r="G5" s="8"/>
      <c r="H5" s="7"/>
      <c r="I5" s="8"/>
      <c r="J5" s="7"/>
      <c r="K5" s="8"/>
      <c r="L5" s="7"/>
      <c r="M5" s="8"/>
      <c r="N5" s="7"/>
      <c r="O5" s="8"/>
      <c r="P5" s="7"/>
      <c r="Q5" s="8"/>
      <c r="R5" s="7"/>
      <c r="S5" s="8"/>
      <c r="T5" s="7"/>
      <c r="U5" s="8"/>
      <c r="V5" s="7"/>
      <c r="W5" s="8"/>
      <c r="X5" s="7"/>
      <c r="Y5" s="7"/>
      <c r="Z5" s="8"/>
      <c r="AA5" s="8"/>
    </row>
    <row r="6" spans="1:27" s="9" customFormat="1" ht="11.25" x14ac:dyDescent="0.2">
      <c r="C6" s="10" t="s">
        <v>2</v>
      </c>
      <c r="D6" s="11"/>
      <c r="E6" s="11"/>
      <c r="F6" s="12"/>
      <c r="G6" s="13"/>
      <c r="H6" s="11"/>
      <c r="I6" s="11"/>
      <c r="J6" s="11"/>
      <c r="K6" s="11"/>
      <c r="L6" s="11"/>
      <c r="M6" s="11"/>
      <c r="N6" s="11"/>
      <c r="O6" s="11"/>
      <c r="P6" s="11"/>
      <c r="Q6" s="11"/>
      <c r="R6" s="11"/>
      <c r="S6" s="11"/>
      <c r="T6" s="11"/>
      <c r="U6" s="11"/>
      <c r="V6" s="11"/>
      <c r="W6" s="11"/>
      <c r="X6" s="11"/>
      <c r="Y6" s="11"/>
      <c r="Z6" s="11"/>
      <c r="AA6" s="11"/>
    </row>
    <row r="7" spans="1:27" s="132" customFormat="1" ht="11.25" x14ac:dyDescent="0.2"/>
    <row r="8" spans="1:27" s="132" customFormat="1" ht="11.25" x14ac:dyDescent="0.2">
      <c r="D8" s="132" t="s">
        <v>3</v>
      </c>
      <c r="E8" s="133">
        <v>0</v>
      </c>
      <c r="F8" s="132" t="s">
        <v>4</v>
      </c>
    </row>
    <row r="9" spans="1:27" s="132" customFormat="1" ht="11.25" x14ac:dyDescent="0.2">
      <c r="B9" s="134"/>
      <c r="C9" s="134"/>
      <c r="D9" s="134"/>
      <c r="E9" s="134"/>
      <c r="F9" s="134"/>
    </row>
    <row r="10" spans="1:27" s="9" customFormat="1" ht="11.25" x14ac:dyDescent="0.2">
      <c r="C10" s="10" t="s">
        <v>5</v>
      </c>
      <c r="D10" s="11"/>
      <c r="E10" s="11"/>
      <c r="F10" s="12"/>
      <c r="G10" s="13"/>
      <c r="H10" s="11"/>
      <c r="I10" s="11"/>
      <c r="J10" s="11"/>
      <c r="K10" s="11"/>
      <c r="L10" s="11"/>
      <c r="M10" s="11"/>
      <c r="N10" s="11"/>
      <c r="O10" s="11"/>
      <c r="P10" s="11"/>
      <c r="Q10" s="11"/>
      <c r="R10" s="11"/>
      <c r="S10" s="11"/>
      <c r="T10" s="11"/>
      <c r="U10" s="11"/>
      <c r="V10" s="11"/>
      <c r="W10" s="11"/>
      <c r="X10" s="11"/>
      <c r="Y10" s="11"/>
      <c r="Z10" s="11"/>
      <c r="AA10" s="11"/>
    </row>
    <row r="11" spans="1:27" s="132" customFormat="1" ht="11.25" x14ac:dyDescent="0.2">
      <c r="B11" s="134"/>
      <c r="C11" s="134"/>
      <c r="D11" s="134"/>
      <c r="E11" s="134"/>
      <c r="F11" s="134"/>
    </row>
    <row r="12" spans="1:27" s="129" customFormat="1" ht="12" thickBot="1" x14ac:dyDescent="0.25">
      <c r="A12" s="9"/>
      <c r="B12" s="9"/>
      <c r="C12" s="9"/>
      <c r="D12" s="18" t="s">
        <v>6</v>
      </c>
      <c r="E12" s="19"/>
      <c r="F12" s="20"/>
      <c r="G12" s="20"/>
      <c r="H12" s="20"/>
      <c r="I12" s="20"/>
      <c r="J12" s="20"/>
      <c r="K12" s="20"/>
      <c r="L12" s="20"/>
      <c r="M12" s="20"/>
      <c r="N12" s="20"/>
      <c r="O12" s="20"/>
      <c r="P12" s="20"/>
      <c r="Q12" s="20"/>
      <c r="R12" s="20"/>
      <c r="S12" s="20"/>
      <c r="T12" s="20"/>
      <c r="U12" s="20"/>
      <c r="V12" s="20"/>
      <c r="W12" s="20"/>
      <c r="X12" s="20"/>
      <c r="Y12" s="20"/>
      <c r="Z12" s="20"/>
      <c r="AA12" s="20"/>
    </row>
    <row r="13" spans="1:27" s="135" customFormat="1" ht="11.25" x14ac:dyDescent="0.2">
      <c r="D13" s="138" t="s">
        <v>7</v>
      </c>
      <c r="E13" s="132"/>
      <c r="F13" s="136" t="s">
        <v>8</v>
      </c>
    </row>
    <row r="14" spans="1:27" s="135" customFormat="1" ht="11.25" x14ac:dyDescent="0.2">
      <c r="D14" s="293" t="str">
        <f>Assumptions!E88</f>
        <v>Standard - Water</v>
      </c>
      <c r="E14" s="295"/>
      <c r="F14" s="137">
        <f>SW!F1</f>
        <v>922.3537304375003</v>
      </c>
      <c r="G14" s="149"/>
      <c r="H14" s="289"/>
    </row>
    <row r="15" spans="1:27" s="135" customFormat="1" ht="11.25" x14ac:dyDescent="0.2">
      <c r="D15" s="293" t="str">
        <f>Assumptions!E89</f>
        <v>Standard - Sewer</v>
      </c>
      <c r="E15" s="295"/>
      <c r="F15" s="137">
        <f>SS!F1</f>
        <v>2862.742242168064</v>
      </c>
      <c r="H15" s="289"/>
    </row>
    <row r="16" spans="1:27" s="135" customFormat="1" ht="11.25" x14ac:dyDescent="0.2">
      <c r="D16" s="293" t="str">
        <f>Assumptions!E90</f>
        <v>Standard - Water and Sewer</v>
      </c>
      <c r="E16" s="295"/>
      <c r="F16" s="137">
        <f>SA!F1</f>
        <v>3775.7100584309469</v>
      </c>
      <c r="H16" s="289"/>
    </row>
    <row r="17" spans="1:27" s="135" customFormat="1" ht="11.25" x14ac:dyDescent="0.2">
      <c r="B17" s="132"/>
      <c r="C17" s="132"/>
      <c r="D17" s="293" t="str">
        <f>Assumptions!E91</f>
        <v>Western Greenfield - Water</v>
      </c>
      <c r="E17" s="295"/>
      <c r="F17" s="137">
        <f>GW!F1</f>
        <v>6371.6368966240443</v>
      </c>
      <c r="H17" s="289"/>
    </row>
    <row r="18" spans="1:27" s="135" customFormat="1" ht="11.25" x14ac:dyDescent="0.2">
      <c r="B18" s="132"/>
      <c r="C18" s="132"/>
      <c r="D18" s="293" t="str">
        <f>Assumptions!E92</f>
        <v>Western Greenfield - Sewer</v>
      </c>
      <c r="E18" s="295"/>
      <c r="F18" s="137">
        <f>GS!F1</f>
        <v>8597.467999870245</v>
      </c>
      <c r="H18" s="289"/>
    </row>
    <row r="19" spans="1:27" s="135" customFormat="1" ht="11.25" x14ac:dyDescent="0.2">
      <c r="B19" s="132"/>
      <c r="C19" s="132"/>
      <c r="D19" s="293" t="str">
        <f>Assumptions!E93</f>
        <v>Western Greenfield - Water and Sewer</v>
      </c>
      <c r="E19" s="295"/>
      <c r="F19" s="137">
        <f>GA!F1</f>
        <v>14831.461840506377</v>
      </c>
      <c r="H19" s="289"/>
    </row>
    <row r="20" spans="1:27" s="135" customFormat="1" ht="11.25" x14ac:dyDescent="0.2">
      <c r="B20" s="132"/>
      <c r="C20" s="132"/>
      <c r="D20" s="293" t="str">
        <f>Assumptions!E94</f>
        <v>Wyndham RW</v>
      </c>
      <c r="E20" s="295"/>
      <c r="F20" s="137">
        <f>WR!F1</f>
        <v>12389.871520623583</v>
      </c>
      <c r="H20" s="289"/>
    </row>
    <row r="21" spans="1:27" s="135" customFormat="1" ht="11.25" x14ac:dyDescent="0.2">
      <c r="B21" s="132"/>
      <c r="C21" s="132"/>
      <c r="D21" s="293" t="s">
        <v>9</v>
      </c>
      <c r="E21" s="295"/>
      <c r="F21" s="137">
        <f>GR!F1</f>
        <v>7362.9179518184774</v>
      </c>
      <c r="G21" s="132"/>
      <c r="H21" s="289"/>
    </row>
    <row r="22" spans="1:27" customFormat="1" x14ac:dyDescent="0.2">
      <c r="B22" s="48"/>
      <c r="C22" s="48"/>
      <c r="D22" s="48"/>
      <c r="E22" s="48"/>
      <c r="F22" s="48"/>
      <c r="G22" s="48"/>
      <c r="H22" s="48"/>
    </row>
    <row r="23" spans="1:27" s="129" customFormat="1" ht="12" thickBot="1" x14ac:dyDescent="0.25">
      <c r="A23" s="9"/>
      <c r="B23" s="9"/>
      <c r="C23" s="9"/>
      <c r="D23" s="39" t="s">
        <v>10</v>
      </c>
      <c r="E23" s="40"/>
      <c r="F23" s="141"/>
      <c r="G23" s="141" t="s">
        <v>11</v>
      </c>
      <c r="H23" s="141" t="s">
        <v>12</v>
      </c>
      <c r="I23" s="141" t="s">
        <v>13</v>
      </c>
      <c r="J23" s="141" t="s">
        <v>14</v>
      </c>
      <c r="K23" s="141" t="s">
        <v>15</v>
      </c>
      <c r="L23" s="141" t="s">
        <v>16</v>
      </c>
      <c r="M23" s="141" t="s">
        <v>17</v>
      </c>
      <c r="N23" s="141" t="s">
        <v>18</v>
      </c>
      <c r="O23" s="141" t="s">
        <v>19</v>
      </c>
      <c r="P23" s="141" t="s">
        <v>20</v>
      </c>
      <c r="Q23" s="141" t="s">
        <v>21</v>
      </c>
      <c r="R23" s="141" t="s">
        <v>22</v>
      </c>
      <c r="S23" s="141" t="s">
        <v>23</v>
      </c>
      <c r="T23" s="141" t="s">
        <v>24</v>
      </c>
      <c r="U23" s="141" t="s">
        <v>25</v>
      </c>
      <c r="V23" s="141" t="s">
        <v>26</v>
      </c>
      <c r="W23" s="141" t="s">
        <v>27</v>
      </c>
      <c r="X23" s="141" t="s">
        <v>28</v>
      </c>
      <c r="Y23" s="141" t="s">
        <v>29</v>
      </c>
      <c r="Z23" s="141" t="s">
        <v>30</v>
      </c>
      <c r="AA23" s="141"/>
    </row>
    <row r="24" spans="1:27" customFormat="1" x14ac:dyDescent="0.2">
      <c r="B24" s="48"/>
      <c r="C24" s="48"/>
      <c r="D24" s="48"/>
      <c r="E24" s="48"/>
      <c r="F24" s="48"/>
      <c r="G24" s="48"/>
      <c r="H24" s="48"/>
    </row>
    <row r="25" spans="1:27" customFormat="1" ht="11.25" x14ac:dyDescent="0.2">
      <c r="D25" s="293" t="s">
        <v>31</v>
      </c>
      <c r="E25" s="294"/>
      <c r="F25" s="295"/>
      <c r="G25" s="143">
        <f>SW!H217</f>
        <v>15544.971090414179</v>
      </c>
      <c r="H25" s="143">
        <f>SW!I217</f>
        <v>16336.952034106584</v>
      </c>
      <c r="I25" s="143">
        <f>SW!J217</f>
        <v>13938.044697859257</v>
      </c>
      <c r="J25" s="143">
        <f>SW!K217</f>
        <v>14031.794595694702</v>
      </c>
      <c r="K25" s="143">
        <f>SW!L217</f>
        <v>13937.451247315776</v>
      </c>
      <c r="L25" s="143">
        <f>SW!M217</f>
        <v>13685.416900912205</v>
      </c>
      <c r="M25" s="143">
        <f>SW!N217</f>
        <v>13614.991037745334</v>
      </c>
      <c r="N25" s="143">
        <f>SW!O217</f>
        <v>13888.246371275058</v>
      </c>
      <c r="O25" s="143">
        <f>SW!P217</f>
        <v>14110.263612463896</v>
      </c>
      <c r="P25" s="143">
        <f>SW!Q217</f>
        <v>14426.067610562834</v>
      </c>
      <c r="Q25" s="143">
        <f>SW!R217</f>
        <v>14747.112436557705</v>
      </c>
      <c r="R25" s="143">
        <f>SW!S217</f>
        <v>14990.411775872697</v>
      </c>
      <c r="S25" s="143">
        <f>SW!T217</f>
        <v>15210.339322882628</v>
      </c>
      <c r="T25" s="143">
        <f>SW!U217</f>
        <v>15345.611145822648</v>
      </c>
      <c r="U25" s="143">
        <f>SW!V217</f>
        <v>15466.518001478984</v>
      </c>
      <c r="V25" s="143">
        <f>SW!W217</f>
        <v>15506.75763924179</v>
      </c>
      <c r="W25" s="143">
        <f>SW!X217</f>
        <v>15601.596615746465</v>
      </c>
      <c r="X25" s="143">
        <f>SW!Y217</f>
        <v>15516.898538700236</v>
      </c>
      <c r="Y25" s="143">
        <f>SW!Z217</f>
        <v>15535.883043481299</v>
      </c>
      <c r="Z25" s="143">
        <f>SW!AA217</f>
        <v>15654.810697922205</v>
      </c>
    </row>
    <row r="26" spans="1:27" customFormat="1" ht="11.25" x14ac:dyDescent="0.2">
      <c r="D26" s="139" t="s">
        <v>32</v>
      </c>
      <c r="E26" s="142"/>
      <c r="F26" s="140"/>
      <c r="G26" s="143">
        <f>SS!H217</f>
        <v>15544.971090414099</v>
      </c>
      <c r="H26" s="143">
        <f>SS!I217</f>
        <v>16336.952034106649</v>
      </c>
      <c r="I26" s="143">
        <f>SS!J217</f>
        <v>13938.044697859272</v>
      </c>
      <c r="J26" s="143">
        <f>SS!K217</f>
        <v>14031.794595694631</v>
      </c>
      <c r="K26" s="143">
        <f>SS!L217</f>
        <v>13937.451247315785</v>
      </c>
      <c r="L26" s="143">
        <f>SS!M217</f>
        <v>13685.416900912191</v>
      </c>
      <c r="M26" s="143">
        <f>SS!N217</f>
        <v>13614.991037745342</v>
      </c>
      <c r="N26" s="143">
        <f>SS!O217</f>
        <v>13888.246371275116</v>
      </c>
      <c r="O26" s="143">
        <f>SS!P217</f>
        <v>14110.26361246391</v>
      </c>
      <c r="P26" s="143">
        <f>SS!Q217</f>
        <v>14426.067610562792</v>
      </c>
      <c r="Q26" s="143">
        <f>SS!R217</f>
        <v>14747.112436557609</v>
      </c>
      <c r="R26" s="143">
        <f>SS!S217</f>
        <v>14990.411775872821</v>
      </c>
      <c r="S26" s="143">
        <f>SS!T217</f>
        <v>15210.339322882613</v>
      </c>
      <c r="T26" s="143">
        <f>SS!U217</f>
        <v>15345.611145822553</v>
      </c>
      <c r="U26" s="143">
        <f>SS!V217</f>
        <v>15466.518001478977</v>
      </c>
      <c r="V26" s="143">
        <f>SS!W217</f>
        <v>15506.757639241907</v>
      </c>
      <c r="W26" s="143">
        <f>SS!X217</f>
        <v>15601.596615746319</v>
      </c>
      <c r="X26" s="143">
        <f>SS!Y217</f>
        <v>15516.898538700383</v>
      </c>
      <c r="Y26" s="143">
        <f>SS!Z217</f>
        <v>15535.883043481195</v>
      </c>
      <c r="Z26" s="143">
        <f>SS!AA217</f>
        <v>15654.810697922314</v>
      </c>
    </row>
    <row r="27" spans="1:27" customFormat="1" ht="11.25" x14ac:dyDescent="0.2">
      <c r="D27" s="139" t="s">
        <v>33</v>
      </c>
      <c r="E27" s="142"/>
      <c r="F27" s="140"/>
      <c r="G27" s="143">
        <f>SA!H217</f>
        <v>15544.971090414179</v>
      </c>
      <c r="H27" s="143">
        <f>SA!I217</f>
        <v>16336.952034106584</v>
      </c>
      <c r="I27" s="143">
        <f>SA!J217</f>
        <v>13938.044697859257</v>
      </c>
      <c r="J27" s="143">
        <f>SA!K217</f>
        <v>14031.794595694702</v>
      </c>
      <c r="K27" s="143">
        <f>SA!L217</f>
        <v>13937.451247315776</v>
      </c>
      <c r="L27" s="143">
        <f>SA!M217</f>
        <v>13685.416900912205</v>
      </c>
      <c r="M27" s="143">
        <f>SA!N217</f>
        <v>13614.991037745334</v>
      </c>
      <c r="N27" s="143">
        <f>SA!O217</f>
        <v>13888.246371275058</v>
      </c>
      <c r="O27" s="143">
        <f>SA!P217</f>
        <v>14110.263612463896</v>
      </c>
      <c r="P27" s="143">
        <f>SA!Q217</f>
        <v>14426.067610562834</v>
      </c>
      <c r="Q27" s="143">
        <f>SA!R217</f>
        <v>14747.112436557705</v>
      </c>
      <c r="R27" s="143">
        <f>SA!S217</f>
        <v>14990.411775872697</v>
      </c>
      <c r="S27" s="143">
        <f>SA!T217</f>
        <v>15210.339322882628</v>
      </c>
      <c r="T27" s="143">
        <f>SA!U217</f>
        <v>15345.611145822648</v>
      </c>
      <c r="U27" s="143">
        <f>SA!V217</f>
        <v>15466.518001478984</v>
      </c>
      <c r="V27" s="143">
        <f>SA!W217</f>
        <v>15506.75763924179</v>
      </c>
      <c r="W27" s="143">
        <f>SA!X217</f>
        <v>15601.596615746465</v>
      </c>
      <c r="X27" s="143">
        <f>SA!Y217</f>
        <v>15516.898538700236</v>
      </c>
      <c r="Y27" s="143">
        <f>SA!Z217</f>
        <v>15535.883043481299</v>
      </c>
      <c r="Z27" s="143">
        <f>SA!AA217</f>
        <v>15654.810697922205</v>
      </c>
    </row>
    <row r="28" spans="1:27" customFormat="1" ht="11.25" x14ac:dyDescent="0.2">
      <c r="C28" s="121"/>
      <c r="D28" s="139" t="s">
        <v>34</v>
      </c>
      <c r="E28" s="142"/>
      <c r="F28" s="140"/>
      <c r="G28" s="143">
        <f>GW!H217</f>
        <v>4861.369639849313</v>
      </c>
      <c r="H28" s="143">
        <f>GW!I217</f>
        <v>5266.0866048878797</v>
      </c>
      <c r="I28" s="143">
        <f>GW!J217</f>
        <v>4549.9551276203583</v>
      </c>
      <c r="J28" s="143">
        <f>GW!K217</f>
        <v>4676.1725655780074</v>
      </c>
      <c r="K28" s="143">
        <f>GW!L217</f>
        <v>4879.9050792588341</v>
      </c>
      <c r="L28" s="143">
        <f>GW!M217</f>
        <v>5228.7771473745006</v>
      </c>
      <c r="M28" s="143">
        <f>GW!N217</f>
        <v>5148.8917029555914</v>
      </c>
      <c r="N28" s="143">
        <f>GW!O217</f>
        <v>5483.3397440306453</v>
      </c>
      <c r="O28" s="143">
        <f>GW!P217</f>
        <v>5580.7846652525113</v>
      </c>
      <c r="P28" s="143">
        <f>GW!Q217</f>
        <v>5613.9441615576325</v>
      </c>
      <c r="Q28" s="143">
        <f>GW!R217</f>
        <v>5612.1193851282678</v>
      </c>
      <c r="R28" s="143">
        <f>GW!S217</f>
        <v>5569.8015612835025</v>
      </c>
      <c r="S28" s="143">
        <f>GW!T217</f>
        <v>5455.4195737247101</v>
      </c>
      <c r="T28" s="143">
        <f>GW!U217</f>
        <v>5433.3048953606303</v>
      </c>
      <c r="U28" s="143">
        <f>GW!V217</f>
        <v>5379.8173606191503</v>
      </c>
      <c r="V28" s="143">
        <f>GW!W217</f>
        <v>5317.1460535922924</v>
      </c>
      <c r="W28" s="143">
        <f>GW!X217</f>
        <v>5224.9181507880148</v>
      </c>
      <c r="X28" s="143">
        <f>GW!Y217</f>
        <v>5001.9533918423203</v>
      </c>
      <c r="Y28" s="143">
        <f>GW!Z217</f>
        <v>4736.9555371284005</v>
      </c>
      <c r="Z28" s="143">
        <f>GW!AA217</f>
        <v>4482.595841698092</v>
      </c>
    </row>
    <row r="29" spans="1:27" customFormat="1" ht="11.25" x14ac:dyDescent="0.2">
      <c r="C29" s="121"/>
      <c r="D29" s="139" t="s">
        <v>35</v>
      </c>
      <c r="E29" s="142"/>
      <c r="F29" s="140"/>
      <c r="G29" s="143">
        <f>GS!H217</f>
        <v>4861.3696398493194</v>
      </c>
      <c r="H29" s="143">
        <f>GS!I217</f>
        <v>5266.0866048878725</v>
      </c>
      <c r="I29" s="143">
        <f>GS!J217</f>
        <v>4549.9551276203656</v>
      </c>
      <c r="J29" s="143">
        <f>GS!K217</f>
        <v>4676.1725655780147</v>
      </c>
      <c r="K29" s="143">
        <f>GS!L217</f>
        <v>4879.9050792588205</v>
      </c>
      <c r="L29" s="143">
        <f>GS!M217</f>
        <v>5228.7771473744997</v>
      </c>
      <c r="M29" s="143">
        <f>GS!N217</f>
        <v>5148.8917029555905</v>
      </c>
      <c r="N29" s="143">
        <f>GS!O217</f>
        <v>5483.3397440306453</v>
      </c>
      <c r="O29" s="143">
        <f>GS!P217</f>
        <v>5580.7846652525122</v>
      </c>
      <c r="P29" s="143">
        <f>GS!Q217</f>
        <v>5613.9441615576334</v>
      </c>
      <c r="Q29" s="143">
        <f>GS!R217</f>
        <v>5612.1193851282969</v>
      </c>
      <c r="R29" s="143">
        <f>GS!S217</f>
        <v>5569.8015612834715</v>
      </c>
      <c r="S29" s="143">
        <f>GS!T217</f>
        <v>5455.4195737247101</v>
      </c>
      <c r="T29" s="143">
        <f>GS!U217</f>
        <v>5433.3048953606158</v>
      </c>
      <c r="U29" s="143">
        <f>GS!V217</f>
        <v>5379.8173606191667</v>
      </c>
      <c r="V29" s="143">
        <f>GS!W217</f>
        <v>5317.146053592307</v>
      </c>
      <c r="W29" s="143">
        <f>GS!X217</f>
        <v>5224.9181507879985</v>
      </c>
      <c r="X29" s="143">
        <f>GS!Y217</f>
        <v>5001.9533918423222</v>
      </c>
      <c r="Y29" s="143">
        <f>GS!Z217</f>
        <v>4736.9555371284296</v>
      </c>
      <c r="Z29" s="143">
        <f>GS!AA217</f>
        <v>4482.5958416980338</v>
      </c>
    </row>
    <row r="30" spans="1:27" customFormat="1" ht="11.25" x14ac:dyDescent="0.2">
      <c r="D30" s="139" t="s">
        <v>36</v>
      </c>
      <c r="E30" s="142"/>
      <c r="F30" s="140"/>
      <c r="G30" s="143">
        <f>GA!H217</f>
        <v>4861.369639849313</v>
      </c>
      <c r="H30" s="143">
        <f>GA!I217</f>
        <v>5266.0866048878797</v>
      </c>
      <c r="I30" s="143">
        <f>GA!J217</f>
        <v>4549.9551276203583</v>
      </c>
      <c r="J30" s="143">
        <f>GA!K217</f>
        <v>4676.1725655780074</v>
      </c>
      <c r="K30" s="143">
        <f>GA!L217</f>
        <v>4879.9050792588341</v>
      </c>
      <c r="L30" s="143">
        <f>GA!M217</f>
        <v>5228.7771473745006</v>
      </c>
      <c r="M30" s="143">
        <f>GA!N217</f>
        <v>5148.8917029555914</v>
      </c>
      <c r="N30" s="143">
        <f>GA!O217</f>
        <v>5483.3397440306453</v>
      </c>
      <c r="O30" s="143">
        <f>GA!P217</f>
        <v>5580.7846652525113</v>
      </c>
      <c r="P30" s="143">
        <f>GA!Q217</f>
        <v>5613.9441615576325</v>
      </c>
      <c r="Q30" s="143">
        <f>GA!R217</f>
        <v>5612.1193851282678</v>
      </c>
      <c r="R30" s="143">
        <f>GA!S217</f>
        <v>5569.8015612835025</v>
      </c>
      <c r="S30" s="143">
        <f>GA!T217</f>
        <v>5455.4195737247101</v>
      </c>
      <c r="T30" s="143">
        <f>GA!U217</f>
        <v>5433.3048953606303</v>
      </c>
      <c r="U30" s="143">
        <f>GA!V217</f>
        <v>5379.8173606191503</v>
      </c>
      <c r="V30" s="143">
        <f>GA!W217</f>
        <v>5317.1460535922924</v>
      </c>
      <c r="W30" s="143">
        <f>GA!X217</f>
        <v>5224.9181507880148</v>
      </c>
      <c r="X30" s="143">
        <f>GA!Y217</f>
        <v>5001.9533918423203</v>
      </c>
      <c r="Y30" s="143">
        <f>GA!Z217</f>
        <v>4736.9555371284005</v>
      </c>
      <c r="Z30" s="143">
        <f>GA!AA217</f>
        <v>4482.595841698092</v>
      </c>
    </row>
    <row r="31" spans="1:27" customFormat="1" ht="11.25" x14ac:dyDescent="0.2">
      <c r="D31" s="139" t="s">
        <v>37</v>
      </c>
      <c r="E31" s="142"/>
      <c r="F31" s="140"/>
      <c r="G31" s="143">
        <f>WR!H217</f>
        <v>3384.2437416433677</v>
      </c>
      <c r="H31" s="143">
        <f>WR!I217</f>
        <v>3448.50427823059</v>
      </c>
      <c r="I31" s="143">
        <f>WR!J217</f>
        <v>2950.2631788688159</v>
      </c>
      <c r="J31" s="143">
        <f>WR!K217</f>
        <v>2870.6425749978007</v>
      </c>
      <c r="K31" s="143">
        <f>WR!L217</f>
        <v>2776.5078249494982</v>
      </c>
      <c r="L31" s="143">
        <f>WR!M217</f>
        <v>2781.1077418582936</v>
      </c>
      <c r="M31" s="143">
        <f>WR!N217</f>
        <v>2732.299521977875</v>
      </c>
      <c r="N31" s="143">
        <f>WR!O217</f>
        <v>2825.8665476811293</v>
      </c>
      <c r="O31" s="143">
        <f>WR!P217</f>
        <v>2857.7836722896172</v>
      </c>
      <c r="P31" s="143">
        <f>WR!Q217</f>
        <v>2823.643710942386</v>
      </c>
      <c r="Q31" s="143">
        <f>WR!R217</f>
        <v>2781.7879342009983</v>
      </c>
      <c r="R31" s="143">
        <f>WR!S217</f>
        <v>2599.0864520728064</v>
      </c>
      <c r="S31" s="143">
        <f>WR!T217</f>
        <v>2314.5551965933846</v>
      </c>
      <c r="T31" s="143">
        <f>WR!U217</f>
        <v>2073.9609391129488</v>
      </c>
      <c r="U31" s="143">
        <f>WR!V217</f>
        <v>1874.0959597016481</v>
      </c>
      <c r="V31" s="143">
        <f>WR!W217</f>
        <v>1694.9431979409128</v>
      </c>
      <c r="W31" s="143">
        <f>WR!X217</f>
        <v>1638.1260241882264</v>
      </c>
      <c r="X31" s="143">
        <f>WR!Y217</f>
        <v>1475.2738886577717</v>
      </c>
      <c r="Y31" s="143">
        <f>WR!Z217</f>
        <v>1297.6928694306698</v>
      </c>
      <c r="Z31" s="143">
        <f>WR!AA217</f>
        <v>1118.5813547660946</v>
      </c>
    </row>
    <row r="32" spans="1:27" x14ac:dyDescent="0.2">
      <c r="D32" s="139" t="s">
        <v>9</v>
      </c>
      <c r="E32" s="142"/>
      <c r="F32" s="140"/>
      <c r="G32" s="143">
        <f>GR!H217</f>
        <v>590.02962699546151</v>
      </c>
      <c r="H32" s="143">
        <f>GR!I217</f>
        <v>587.79639214560848</v>
      </c>
      <c r="I32" s="143">
        <f>GR!J217</f>
        <v>408.39616419475351</v>
      </c>
      <c r="J32" s="143">
        <f>GR!K217</f>
        <v>357.37045469124132</v>
      </c>
      <c r="K32" s="143">
        <f>GR!L217</f>
        <v>310.26144888135241</v>
      </c>
      <c r="L32" s="143">
        <f>GR!M217</f>
        <v>254.66895054675479</v>
      </c>
      <c r="M32" s="143">
        <f>GR!N217</f>
        <v>249.4322945536278</v>
      </c>
      <c r="N32" s="143">
        <f>GR!O217</f>
        <v>317.72612269536512</v>
      </c>
      <c r="O32" s="143">
        <f>GR!P217</f>
        <v>310.01610762433847</v>
      </c>
      <c r="P32" s="143">
        <f>GR!Q217</f>
        <v>280.60021068756396</v>
      </c>
      <c r="Q32" s="143">
        <f>GR!R217</f>
        <v>257.5041548870613</v>
      </c>
      <c r="R32" s="143">
        <f>GR!S217</f>
        <v>230.90554163477464</v>
      </c>
      <c r="S32" s="143">
        <f>GR!T217</f>
        <v>203.99886422778218</v>
      </c>
      <c r="T32" s="143">
        <f>GR!U217</f>
        <v>182.29683615113026</v>
      </c>
      <c r="U32" s="143">
        <f>GR!V217</f>
        <v>191.8560280857364</v>
      </c>
      <c r="V32" s="143">
        <f>GR!W217</f>
        <v>241.16299136175621</v>
      </c>
      <c r="W32" s="143">
        <f>GR!X217</f>
        <v>278.03876833322283</v>
      </c>
      <c r="X32" s="143">
        <f>GR!Y217</f>
        <v>255.82050097307547</v>
      </c>
      <c r="Y32" s="143">
        <f>GR!Z217</f>
        <v>226.12926766935016</v>
      </c>
      <c r="Z32" s="143">
        <f>GR!AA217</f>
        <v>212.00091024339235</v>
      </c>
    </row>
    <row r="33" spans="1:27" x14ac:dyDescent="0.2"/>
    <row r="34" spans="1:27" s="129" customFormat="1" ht="12" thickBot="1" x14ac:dyDescent="0.25">
      <c r="A34" s="9"/>
      <c r="B34" s="9"/>
      <c r="C34" s="9"/>
      <c r="D34" s="39" t="s">
        <v>38</v>
      </c>
      <c r="E34" s="40"/>
      <c r="F34" s="141"/>
      <c r="G34" s="141" t="s">
        <v>11</v>
      </c>
      <c r="H34" s="141" t="s">
        <v>12</v>
      </c>
      <c r="I34" s="141" t="s">
        <v>13</v>
      </c>
      <c r="J34" s="141" t="s">
        <v>14</v>
      </c>
      <c r="K34" s="141" t="s">
        <v>15</v>
      </c>
      <c r="L34" s="141" t="s">
        <v>16</v>
      </c>
      <c r="M34" s="141" t="s">
        <v>17</v>
      </c>
      <c r="N34" s="141" t="s">
        <v>18</v>
      </c>
      <c r="O34" s="141" t="s">
        <v>19</v>
      </c>
      <c r="P34" s="141" t="s">
        <v>20</v>
      </c>
      <c r="Q34" s="141" t="s">
        <v>21</v>
      </c>
      <c r="R34" s="141" t="s">
        <v>22</v>
      </c>
      <c r="S34" s="141" t="s">
        <v>23</v>
      </c>
      <c r="T34" s="141" t="s">
        <v>24</v>
      </c>
      <c r="U34" s="141" t="s">
        <v>25</v>
      </c>
      <c r="V34" s="141" t="s">
        <v>26</v>
      </c>
      <c r="W34" s="141" t="s">
        <v>27</v>
      </c>
      <c r="X34" s="141" t="s">
        <v>28</v>
      </c>
      <c r="Y34" s="141" t="s">
        <v>29</v>
      </c>
      <c r="Z34" s="141" t="s">
        <v>30</v>
      </c>
      <c r="AA34" s="141"/>
    </row>
    <row r="35" spans="1:27" customFormat="1" x14ac:dyDescent="0.2">
      <c r="B35" s="48"/>
      <c r="C35" s="48"/>
      <c r="D35" s="48"/>
      <c r="E35" s="48"/>
      <c r="F35" s="48"/>
      <c r="G35" s="48"/>
      <c r="H35" s="48"/>
    </row>
    <row r="36" spans="1:27" customFormat="1" ht="11.25" x14ac:dyDescent="0.2">
      <c r="D36" s="293" t="s">
        <v>31</v>
      </c>
      <c r="E36" s="294"/>
      <c r="F36" s="295"/>
      <c r="G36" s="144">
        <f>SW!H219</f>
        <v>14337962.074786615</v>
      </c>
      <c r="H36" s="144">
        <f>SW!I228</f>
        <v>15068448.652636716</v>
      </c>
      <c r="I36" s="144">
        <f>SW!J228</f>
        <v>12855807.522075107</v>
      </c>
      <c r="J36" s="144">
        <f>SW!K228</f>
        <v>12942278.090071766</v>
      </c>
      <c r="K36" s="144">
        <f>SW!L228</f>
        <v>12855260.150752498</v>
      </c>
      <c r="L36" s="144">
        <f>SW!M228</f>
        <v>12622795.331148786</v>
      </c>
      <c r="M36" s="144">
        <f>SW!N228</f>
        <v>12557837.773537543</v>
      </c>
      <c r="N36" s="144">
        <f>SW!O228</f>
        <v>12809875.849780627</v>
      </c>
      <c r="O36" s="144">
        <f>SW!P228</f>
        <v>13014654.280412594</v>
      </c>
      <c r="P36" s="144">
        <f>SW!Q228</f>
        <v>13305937.276146226</v>
      </c>
      <c r="Q36" s="144">
        <f>SW!R228</f>
        <v>13602054.169040253</v>
      </c>
      <c r="R36" s="144">
        <f>SW!S228</f>
        <v>13826462.222270416</v>
      </c>
      <c r="S36" s="144">
        <f>SW!T228</f>
        <v>14029313.215680994</v>
      </c>
      <c r="T36" s="144">
        <f>SW!U228</f>
        <v>14154081.686192803</v>
      </c>
      <c r="U36" s="144">
        <f>SW!V228</f>
        <v>14265600.575542893</v>
      </c>
      <c r="V36" s="144">
        <f>SW!W228</f>
        <v>14302715.755544871</v>
      </c>
      <c r="W36" s="144">
        <f>SW!X228</f>
        <v>14390190.839314831</v>
      </c>
      <c r="X36" s="144">
        <f>SW!Y228</f>
        <v>14312069.251990359</v>
      </c>
      <c r="Y36" s="144">
        <f>SW!Z228</f>
        <v>14329579.680795683</v>
      </c>
      <c r="Z36" s="144">
        <f>SW!AA228</f>
        <v>14439273.046521433</v>
      </c>
    </row>
    <row r="37" spans="1:27" customFormat="1" ht="11.25" x14ac:dyDescent="0.2">
      <c r="D37" s="139" t="s">
        <v>32</v>
      </c>
      <c r="E37" s="142"/>
      <c r="F37" s="140"/>
      <c r="G37" s="144">
        <f>SS!H219</f>
        <v>44501245.393809795</v>
      </c>
      <c r="H37" s="144">
        <f>SS!I228</f>
        <v>46768482.69631058</v>
      </c>
      <c r="I37" s="144">
        <f>SS!J228</f>
        <v>39901029.32978835</v>
      </c>
      <c r="J37" s="144">
        <f>SS!K228</f>
        <v>40169411.122520573</v>
      </c>
      <c r="K37" s="144">
        <f>SS!L228</f>
        <v>39899330.433848873</v>
      </c>
      <c r="L37" s="144">
        <f>SS!M228</f>
        <v>39177821.063922085</v>
      </c>
      <c r="M37" s="144">
        <f>SS!N228</f>
        <v>38976209.970493197</v>
      </c>
      <c r="N37" s="144">
        <f>SS!O228</f>
        <v>39758469.556686603</v>
      </c>
      <c r="O37" s="144">
        <f>SS!P228</f>
        <v>40394047.691527382</v>
      </c>
      <c r="P37" s="144">
        <f>SS!Q228</f>
        <v>41298113.137130611</v>
      </c>
      <c r="Q37" s="144">
        <f>SS!R228</f>
        <v>42217181.722135469</v>
      </c>
      <c r="R37" s="144">
        <f>SS!S228</f>
        <v>42913685.018284708</v>
      </c>
      <c r="S37" s="144">
        <f>SS!T228</f>
        <v>43543280.897326045</v>
      </c>
      <c r="T37" s="144">
        <f>SS!U228</f>
        <v>43930529.259031288</v>
      </c>
      <c r="U37" s="144">
        <f>SS!V228</f>
        <v>44276654.422086649</v>
      </c>
      <c r="V37" s="144">
        <f>SS!W228</f>
        <v>44391850.132920131</v>
      </c>
      <c r="W37" s="144">
        <f>SS!X228</f>
        <v>44663349.677163295</v>
      </c>
      <c r="X37" s="144">
        <f>SS!Y228</f>
        <v>44420880.914173491</v>
      </c>
      <c r="Y37" s="144">
        <f>SS!Z228</f>
        <v>44475228.657956161</v>
      </c>
      <c r="Z37" s="144">
        <f>SS!AA228</f>
        <v>44815687.878086716</v>
      </c>
    </row>
    <row r="38" spans="1:27" customFormat="1" ht="11.25" x14ac:dyDescent="0.2">
      <c r="D38" s="139" t="s">
        <v>33</v>
      </c>
      <c r="E38" s="142"/>
      <c r="F38" s="140"/>
      <c r="G38" s="144">
        <f>SA!H219</f>
        <v>58693303.704095103</v>
      </c>
      <c r="H38" s="144">
        <f>SA!I228</f>
        <v>61683594.119280145</v>
      </c>
      <c r="I38" s="144">
        <f>SA!J228</f>
        <v>52626015.560567327</v>
      </c>
      <c r="J38" s="144">
        <f>SA!K228</f>
        <v>52979987.992801487</v>
      </c>
      <c r="K38" s="144">
        <f>SA!L228</f>
        <v>52623774.863381118</v>
      </c>
      <c r="L38" s="144">
        <f>SA!M228</f>
        <v>51672166.246595092</v>
      </c>
      <c r="M38" s="144">
        <f>SA!N228</f>
        <v>51406258.606662251</v>
      </c>
      <c r="N38" s="144">
        <f>SA!O228</f>
        <v>52437991.517990336</v>
      </c>
      <c r="O38" s="144">
        <f>SA!P228</f>
        <v>53276264.248692118</v>
      </c>
      <c r="P38" s="144">
        <f>SA!Q228</f>
        <v>54468648.580806985</v>
      </c>
      <c r="Q38" s="144">
        <f>SA!R228</f>
        <v>55680820.759523034</v>
      </c>
      <c r="R38" s="144">
        <f>SA!S228</f>
        <v>56599448.522184253</v>
      </c>
      <c r="S38" s="144">
        <f>SA!T228</f>
        <v>57429831.173555695</v>
      </c>
      <c r="T38" s="144">
        <f>SA!U228</f>
        <v>57940578.356052622</v>
      </c>
      <c r="U38" s="144">
        <f>SA!V228</f>
        <v>58397087.587087505</v>
      </c>
      <c r="V38" s="144">
        <f>SA!W228</f>
        <v>58549020.792136155</v>
      </c>
      <c r="W38" s="144">
        <f>SA!X228</f>
        <v>58907105.269656144</v>
      </c>
      <c r="X38" s="144">
        <f>SA!Y228</f>
        <v>58587309.88822294</v>
      </c>
      <c r="Y38" s="144">
        <f>SA!Z228</f>
        <v>58658989.873879135</v>
      </c>
      <c r="Z38" s="144">
        <f>SA!AA228</f>
        <v>59108026.214977257</v>
      </c>
    </row>
    <row r="39" spans="1:27" customFormat="1" ht="11.25" x14ac:dyDescent="0.2">
      <c r="C39" s="121"/>
      <c r="D39" s="139" t="s">
        <v>34</v>
      </c>
      <c r="E39" s="142"/>
      <c r="F39" s="140"/>
      <c r="G39" s="144">
        <f>GW!H219</f>
        <v>30974882.165391825</v>
      </c>
      <c r="H39" s="144">
        <f>GW!I228</f>
        <v>33553591.712521259</v>
      </c>
      <c r="I39" s="144">
        <f>GW!J228</f>
        <v>28990661.969129637</v>
      </c>
      <c r="J39" s="144">
        <f>GW!K228</f>
        <v>29794873.653817952</v>
      </c>
      <c r="K39" s="144">
        <f>GW!L228</f>
        <v>31092983.255028669</v>
      </c>
      <c r="L39" s="144">
        <f>GW!M228</f>
        <v>33315869.396435987</v>
      </c>
      <c r="M39" s="144">
        <f>GW!N228</f>
        <v>32806868.351273254</v>
      </c>
      <c r="N39" s="144">
        <f>GW!O228</f>
        <v>34937849.829790704</v>
      </c>
      <c r="O39" s="144">
        <f>GW!P228</f>
        <v>35558733.48523657</v>
      </c>
      <c r="P39" s="144">
        <f>GW!Q228</f>
        <v>35770013.755367748</v>
      </c>
      <c r="Q39" s="144">
        <f>GW!R228</f>
        <v>35758386.942542315</v>
      </c>
      <c r="R39" s="144">
        <f>GW!S228</f>
        <v>35488753.134748176</v>
      </c>
      <c r="S39" s="144">
        <f>GW!T228</f>
        <v>34759952.642509378</v>
      </c>
      <c r="T39" s="144">
        <f>GW!U228</f>
        <v>34619045.941887833</v>
      </c>
      <c r="U39" s="144">
        <f>GW!V228</f>
        <v>34278242.792019561</v>
      </c>
      <c r="V39" s="144">
        <f>GW!W228</f>
        <v>33878923.979807578</v>
      </c>
      <c r="W39" s="144">
        <f>GW!X228</f>
        <v>33291281.271401588</v>
      </c>
      <c r="X39" s="144">
        <f>GW!Y228</f>
        <v>31870630.786656313</v>
      </c>
      <c r="Y39" s="144">
        <f>GW!Z228</f>
        <v>30182160.678034883</v>
      </c>
      <c r="Z39" s="144">
        <f>GW!AA228</f>
        <v>28561473.057617076</v>
      </c>
    </row>
    <row r="40" spans="1:27" customFormat="1" ht="11.25" x14ac:dyDescent="0.2">
      <c r="C40" s="121"/>
      <c r="D40" s="139" t="s">
        <v>35</v>
      </c>
      <c r="E40" s="142"/>
      <c r="F40" s="140"/>
      <c r="G40" s="144">
        <f>GS!H219</f>
        <v>41795469.914145261</v>
      </c>
      <c r="H40" s="144">
        <f>GS!I228</f>
        <v>45275011.070068829</v>
      </c>
      <c r="I40" s="144">
        <f>GS!J228</f>
        <v>39118093.610561632</v>
      </c>
      <c r="J40" s="144">
        <f>GS!K228</f>
        <v>40203243.994428128</v>
      </c>
      <c r="K40" s="144">
        <f>GS!L228</f>
        <v>41954827.761331983</v>
      </c>
      <c r="L40" s="144">
        <f>GS!M228</f>
        <v>44954244.203005083</v>
      </c>
      <c r="M40" s="144">
        <f>GS!N228</f>
        <v>44267431.650958098</v>
      </c>
      <c r="N40" s="144">
        <f>GS!O228</f>
        <v>47142837.981720172</v>
      </c>
      <c r="O40" s="144">
        <f>GS!P228</f>
        <v>47980617.573675051</v>
      </c>
      <c r="P40" s="144">
        <f>GS!Q228</f>
        <v>48265705.282050148</v>
      </c>
      <c r="Q40" s="144">
        <f>GS!R228</f>
        <v>48250016.82509201</v>
      </c>
      <c r="R40" s="144">
        <f>GS!S228</f>
        <v>47886190.688761972</v>
      </c>
      <c r="S40" s="144">
        <f>GS!T228</f>
        <v>46902795.210963964</v>
      </c>
      <c r="T40" s="144">
        <f>GS!U228</f>
        <v>46712664.971401244</v>
      </c>
      <c r="U40" s="144">
        <f>GS!V228</f>
        <v>46252807.603069685</v>
      </c>
      <c r="V40" s="144">
        <f>GS!W228</f>
        <v>45713993.046396218</v>
      </c>
      <c r="W40" s="144">
        <f>GS!X228</f>
        <v>44921066.603341036</v>
      </c>
      <c r="X40" s="144">
        <f>GS!Y228</f>
        <v>43004134.223206796</v>
      </c>
      <c r="Y40" s="144">
        <f>GS!Z228</f>
        <v>40725823.647269845</v>
      </c>
      <c r="Z40" s="144">
        <f>GS!AA228</f>
        <v>38538974.305350274</v>
      </c>
    </row>
    <row r="41" spans="1:27" customFormat="1" ht="11.25" x14ac:dyDescent="0.2">
      <c r="D41" s="139" t="s">
        <v>36</v>
      </c>
      <c r="E41" s="142"/>
      <c r="F41" s="140"/>
      <c r="G41" s="144">
        <f>GA!H219</f>
        <v>72101218.306021318</v>
      </c>
      <c r="H41" s="144">
        <f>GA!I228</f>
        <v>78103762.529196367</v>
      </c>
      <c r="I41" s="144">
        <f>GA!J228</f>
        <v>67482485.851317674</v>
      </c>
      <c r="J41" s="144">
        <f>GA!K228</f>
        <v>69354474.965993017</v>
      </c>
      <c r="K41" s="144">
        <f>GA!L228</f>
        <v>72376125.968320653</v>
      </c>
      <c r="L41" s="144">
        <f>GA!M228</f>
        <v>77550408.733796701</v>
      </c>
      <c r="M41" s="144">
        <f>GA!N228</f>
        <v>76365590.813285753</v>
      </c>
      <c r="N41" s="144">
        <f>GA!O228</f>
        <v>81325944.172122523</v>
      </c>
      <c r="O41" s="144">
        <f>GA!P228</f>
        <v>82771194.802775785</v>
      </c>
      <c r="P41" s="144">
        <f>GA!Q228</f>
        <v>83262998.606875598</v>
      </c>
      <c r="Q41" s="144">
        <f>GA!R228</f>
        <v>83235934.504896015</v>
      </c>
      <c r="R41" s="144">
        <f>GA!S228</f>
        <v>82608299.315369114</v>
      </c>
      <c r="S41" s="144">
        <f>GA!T228</f>
        <v>80911847.231649607</v>
      </c>
      <c r="T41" s="144">
        <f>GA!U228</f>
        <v>80583854.22337769</v>
      </c>
      <c r="U41" s="144">
        <f>GA!V228</f>
        <v>79790555.892916664</v>
      </c>
      <c r="V41" s="144">
        <f>GA!W228</f>
        <v>78861048.79425317</v>
      </c>
      <c r="W41" s="144">
        <f>GA!X228</f>
        <v>77493174.173181593</v>
      </c>
      <c r="X41" s="144">
        <f>GA!Y228</f>
        <v>74186280.859100819</v>
      </c>
      <c r="Y41" s="144">
        <f>GA!Z228</f>
        <v>70255975.289095268</v>
      </c>
      <c r="Z41" s="144">
        <f>GA!AA228</f>
        <v>66483449.172557816</v>
      </c>
    </row>
    <row r="42" spans="1:27" customFormat="1" ht="11.25" x14ac:dyDescent="0.2">
      <c r="D42" s="139" t="s">
        <v>37</v>
      </c>
      <c r="E42" s="142"/>
      <c r="F42" s="140"/>
      <c r="G42" s="144">
        <f>WR!H219</f>
        <v>41930345.153435759</v>
      </c>
      <c r="H42" s="144">
        <f>WR!I228</f>
        <v>42726524.945597768</v>
      </c>
      <c r="I42" s="144">
        <f>WR!J228</f>
        <v>36553381.73821114</v>
      </c>
      <c r="J42" s="144">
        <f>WR!K228</f>
        <v>35566892.6858548</v>
      </c>
      <c r="K42" s="144">
        <f>WR!L228</f>
        <v>34400575.227130316</v>
      </c>
      <c r="L42" s="144">
        <f>WR!M228</f>
        <v>34457567.606635831</v>
      </c>
      <c r="M42" s="144">
        <f>WR!N228</f>
        <v>33852840.033167101</v>
      </c>
      <c r="N42" s="144">
        <f>WR!O228</f>
        <v>35012123.460197307</v>
      </c>
      <c r="O42" s="144">
        <f>WR!P228</f>
        <v>35407572.533404209</v>
      </c>
      <c r="P42" s="144">
        <f>WR!Q228</f>
        <v>34984582.798592955</v>
      </c>
      <c r="Q42" s="144">
        <f>WR!R228</f>
        <v>34465995.102371261</v>
      </c>
      <c r="R42" s="144">
        <f>WR!S228</f>
        <v>32202347.212175455</v>
      </c>
      <c r="S42" s="144">
        <f>WR!T228</f>
        <v>28677041.513183694</v>
      </c>
      <c r="T42" s="144">
        <f>WR!U228</f>
        <v>25696109.574401267</v>
      </c>
      <c r="U42" s="144">
        <f>WR!V228</f>
        <v>23219808.158023171</v>
      </c>
      <c r="V42" s="144">
        <f>WR!W228</f>
        <v>21000128.457242776</v>
      </c>
      <c r="W42" s="144">
        <f>WR!X228</f>
        <v>20296170.974282045</v>
      </c>
      <c r="X42" s="144">
        <f>WR!Y228</f>
        <v>18278453.938200533</v>
      </c>
      <c r="Y42" s="144">
        <f>WR!Z228</f>
        <v>16078247.925475353</v>
      </c>
      <c r="Z42" s="144">
        <f>WR!AA228</f>
        <v>13859079.27091698</v>
      </c>
    </row>
    <row r="43" spans="1:27" x14ac:dyDescent="0.2">
      <c r="D43" s="139" t="s">
        <v>9</v>
      </c>
      <c r="E43" s="142"/>
      <c r="F43" s="140"/>
      <c r="G43" s="144">
        <f>GR!H219</f>
        <v>4344339.7327096434</v>
      </c>
      <c r="H43" s="144">
        <f>GR!I228</f>
        <v>4327896.6077430341</v>
      </c>
      <c r="I43" s="144">
        <f>GR!J228</f>
        <v>3006987.4488033573</v>
      </c>
      <c r="J43" s="144">
        <f>GR!K228</f>
        <v>2631289.3362956727</v>
      </c>
      <c r="K43" s="144">
        <f>GR!L228</f>
        <v>2284429.5917257206</v>
      </c>
      <c r="L43" s="144">
        <f>GR!M228</f>
        <v>1875106.5877514728</v>
      </c>
      <c r="M43" s="144">
        <f>GR!N228</f>
        <v>1836549.5193321803</v>
      </c>
      <c r="N43" s="144">
        <f>GR!O228</f>
        <v>2339391.3725553839</v>
      </c>
      <c r="O43" s="144">
        <f>GR!P228</f>
        <v>2282623.1641801307</v>
      </c>
      <c r="P43" s="144">
        <f>GR!Q228</f>
        <v>2066036.3285555115</v>
      </c>
      <c r="Q43" s="144">
        <f>GR!R228</f>
        <v>1895981.9646857893</v>
      </c>
      <c r="R43" s="144">
        <f>GR!S228</f>
        <v>1700138.5576770511</v>
      </c>
      <c r="S43" s="144">
        <f>GR!T228</f>
        <v>1502026.8995733175</v>
      </c>
      <c r="T43" s="144">
        <f>GR!U228</f>
        <v>1342236.6474568686</v>
      </c>
      <c r="U43" s="144">
        <f>GR!V228</f>
        <v>1412620.1933570586</v>
      </c>
      <c r="V43" s="144">
        <f>GR!W228</f>
        <v>1775663.3184117193</v>
      </c>
      <c r="W43" s="144">
        <f>GR!X228</f>
        <v>2047176.6386621853</v>
      </c>
      <c r="X43" s="144">
        <f>GR!Y228</f>
        <v>1883585.3590578537</v>
      </c>
      <c r="Y43" s="144">
        <f>GR!Z228</f>
        <v>1664971.2443542238</v>
      </c>
      <c r="Z43" s="144">
        <f>GR!AA228</f>
        <v>1560945.3078329314</v>
      </c>
    </row>
    <row r="44" spans="1:27" x14ac:dyDescent="0.2"/>
    <row r="45" spans="1:27" x14ac:dyDescent="0.2">
      <c r="D45" s="139" t="s">
        <v>39</v>
      </c>
      <c r="E45" s="142"/>
      <c r="F45" s="140"/>
      <c r="G45" s="144">
        <f>(G36+G37+G39+G40+G42+G43)</f>
        <v>177884244.43427891</v>
      </c>
      <c r="H45" s="144">
        <f t="shared" ref="H45:Z45" si="0">(H36+H37+H39+H40+H42+H43)</f>
        <v>187719955.68487817</v>
      </c>
      <c r="I45" s="144">
        <f t="shared" si="0"/>
        <v>160425961.61856925</v>
      </c>
      <c r="J45" s="144">
        <f t="shared" si="0"/>
        <v>161307988.88298887</v>
      </c>
      <c r="K45" s="144">
        <f t="shared" si="0"/>
        <v>162487406.41981804</v>
      </c>
      <c r="L45" s="144">
        <f t="shared" si="0"/>
        <v>166403404.18889925</v>
      </c>
      <c r="M45" s="144">
        <f t="shared" si="0"/>
        <v>164297737.29876137</v>
      </c>
      <c r="N45" s="144">
        <f t="shared" si="0"/>
        <v>172000548.05073079</v>
      </c>
      <c r="O45" s="144">
        <f t="shared" si="0"/>
        <v>174638248.72843593</v>
      </c>
      <c r="P45" s="144">
        <f t="shared" si="0"/>
        <v>175690388.57784322</v>
      </c>
      <c r="Q45" s="144">
        <f t="shared" si="0"/>
        <v>176189616.72586709</v>
      </c>
      <c r="R45" s="144">
        <f t="shared" si="0"/>
        <v>174017576.8339178</v>
      </c>
      <c r="S45" s="144">
        <f t="shared" si="0"/>
        <v>169414410.37923738</v>
      </c>
      <c r="T45" s="144">
        <f t="shared" si="0"/>
        <v>166454668.08037129</v>
      </c>
      <c r="U45" s="144">
        <f t="shared" si="0"/>
        <v>163705733.74409902</v>
      </c>
      <c r="V45" s="144">
        <f t="shared" si="0"/>
        <v>161063274.69032329</v>
      </c>
      <c r="W45" s="144">
        <f t="shared" si="0"/>
        <v>159609236.00416499</v>
      </c>
      <c r="X45" s="144">
        <f t="shared" si="0"/>
        <v>153769754.47328532</v>
      </c>
      <c r="Y45" s="144">
        <f t="shared" si="0"/>
        <v>147456011.83388615</v>
      </c>
      <c r="Z45" s="144">
        <f t="shared" si="0"/>
        <v>141775432.86632541</v>
      </c>
    </row>
    <row r="46" spans="1:27" x14ac:dyDescent="0.2">
      <c r="D46" s="139" t="s">
        <v>40</v>
      </c>
      <c r="E46" s="142"/>
      <c r="F46" s="140"/>
      <c r="G46" s="144">
        <f>G43+G42+G41+G38</f>
        <v>177069206.89626181</v>
      </c>
      <c r="H46" s="144">
        <f t="shared" ref="H46:Z46" si="1">H43+H42+H41+H38</f>
        <v>186841778.20181733</v>
      </c>
      <c r="I46" s="144">
        <f t="shared" si="1"/>
        <v>159668870.59889948</v>
      </c>
      <c r="J46" s="144">
        <f t="shared" si="1"/>
        <v>160532644.98094499</v>
      </c>
      <c r="K46" s="144">
        <f t="shared" si="1"/>
        <v>161684905.65055782</v>
      </c>
      <c r="L46" s="144">
        <f t="shared" si="1"/>
        <v>165555249.17477909</v>
      </c>
      <c r="M46" s="144">
        <f t="shared" si="1"/>
        <v>163461238.97244728</v>
      </c>
      <c r="N46" s="144">
        <f t="shared" si="1"/>
        <v>171115450.52286553</v>
      </c>
      <c r="O46" s="144">
        <f t="shared" si="1"/>
        <v>173737654.74905226</v>
      </c>
      <c r="P46" s="144">
        <f t="shared" si="1"/>
        <v>174782266.31483105</v>
      </c>
      <c r="Q46" s="144">
        <f t="shared" si="1"/>
        <v>175278732.33147609</v>
      </c>
      <c r="R46" s="144">
        <f t="shared" si="1"/>
        <v>173110233.60740587</v>
      </c>
      <c r="S46" s="144">
        <f t="shared" si="1"/>
        <v>168520746.81796232</v>
      </c>
      <c r="T46" s="144">
        <f t="shared" si="1"/>
        <v>165562778.80128843</v>
      </c>
      <c r="U46" s="144">
        <f t="shared" si="1"/>
        <v>162820071.83138439</v>
      </c>
      <c r="V46" s="144">
        <f t="shared" si="1"/>
        <v>160185861.36204383</v>
      </c>
      <c r="W46" s="144">
        <f t="shared" si="1"/>
        <v>158743627.05578196</v>
      </c>
      <c r="X46" s="144">
        <f t="shared" si="1"/>
        <v>152935630.04458216</v>
      </c>
      <c r="Y46" s="144">
        <f t="shared" si="1"/>
        <v>146658184.33280396</v>
      </c>
      <c r="Z46" s="144">
        <f t="shared" si="1"/>
        <v>141011499.96628499</v>
      </c>
    </row>
    <row r="47" spans="1:27" x14ac:dyDescent="0.2">
      <c r="D47" s="145"/>
      <c r="E47" s="145"/>
      <c r="F47" s="145"/>
      <c r="G47" s="146"/>
      <c r="H47" s="146"/>
      <c r="I47" s="146"/>
      <c r="J47" s="146"/>
      <c r="K47" s="146"/>
      <c r="L47" s="146"/>
      <c r="M47" s="146"/>
      <c r="N47" s="146"/>
      <c r="O47" s="146"/>
      <c r="P47" s="146"/>
      <c r="Q47" s="146"/>
      <c r="R47" s="146"/>
      <c r="S47" s="146"/>
      <c r="T47" s="146"/>
      <c r="U47" s="146"/>
      <c r="V47" s="146"/>
      <c r="W47" s="146"/>
      <c r="X47" s="146"/>
      <c r="Y47" s="146"/>
      <c r="Z47" s="146"/>
    </row>
    <row r="48" spans="1:27" s="9" customFormat="1" ht="11.25" x14ac:dyDescent="0.2">
      <c r="C48" s="10" t="s">
        <v>41</v>
      </c>
      <c r="D48" s="11"/>
      <c r="E48" s="11"/>
      <c r="F48" s="12"/>
      <c r="G48" s="13"/>
      <c r="H48" s="11"/>
      <c r="I48" s="11"/>
      <c r="J48" s="11"/>
      <c r="K48" s="11"/>
      <c r="L48" s="11"/>
      <c r="M48" s="11"/>
      <c r="N48" s="11"/>
      <c r="O48" s="11"/>
      <c r="P48" s="11"/>
      <c r="Q48" s="11"/>
      <c r="R48" s="11"/>
      <c r="S48" s="11"/>
      <c r="T48" s="11"/>
      <c r="U48" s="11"/>
      <c r="V48" s="11"/>
      <c r="W48" s="11"/>
      <c r="X48" s="11"/>
      <c r="Y48" s="11"/>
      <c r="Z48" s="11"/>
      <c r="AA48" s="11"/>
    </row>
    <row r="49" spans="1:27" s="132" customFormat="1" ht="11.25" x14ac:dyDescent="0.2">
      <c r="B49" s="134"/>
      <c r="C49" s="134"/>
      <c r="D49" s="134"/>
      <c r="E49" s="134"/>
      <c r="F49" s="134"/>
    </row>
    <row r="50" spans="1:27" s="129" customFormat="1" ht="12" thickBot="1" x14ac:dyDescent="0.25">
      <c r="A50" s="9"/>
      <c r="B50" s="9"/>
      <c r="C50" s="9"/>
      <c r="D50" s="39" t="s">
        <v>42</v>
      </c>
      <c r="E50" s="141"/>
      <c r="F50" s="141"/>
      <c r="G50" s="141" t="s">
        <v>11</v>
      </c>
      <c r="H50" s="141" t="s">
        <v>12</v>
      </c>
      <c r="I50" s="141" t="s">
        <v>13</v>
      </c>
      <c r="J50" s="141" t="s">
        <v>14</v>
      </c>
      <c r="K50" s="141" t="s">
        <v>15</v>
      </c>
      <c r="L50" s="141" t="s">
        <v>16</v>
      </c>
      <c r="M50" s="141" t="s">
        <v>17</v>
      </c>
      <c r="N50" s="141" t="s">
        <v>18</v>
      </c>
      <c r="O50" s="141" t="s">
        <v>19</v>
      </c>
      <c r="P50" s="141" t="s">
        <v>20</v>
      </c>
      <c r="Q50" s="141" t="s">
        <v>21</v>
      </c>
      <c r="R50" s="141" t="s">
        <v>22</v>
      </c>
      <c r="S50" s="141" t="s">
        <v>23</v>
      </c>
      <c r="T50" s="141" t="s">
        <v>24</v>
      </c>
      <c r="U50" s="141" t="s">
        <v>25</v>
      </c>
      <c r="V50" s="141" t="s">
        <v>26</v>
      </c>
      <c r="W50" s="141" t="s">
        <v>27</v>
      </c>
      <c r="X50" s="141" t="s">
        <v>28</v>
      </c>
      <c r="Y50" s="141" t="s">
        <v>29</v>
      </c>
      <c r="Z50" s="141" t="s">
        <v>30</v>
      </c>
      <c r="AA50" s="141"/>
    </row>
    <row r="51" spans="1:27" s="135" customFormat="1" x14ac:dyDescent="0.2">
      <c r="D51" s="138" t="s">
        <v>7</v>
      </c>
      <c r="E51" s="132"/>
      <c r="F51" s="136"/>
      <c r="G51" s="48"/>
      <c r="H51" s="48"/>
      <c r="I51"/>
      <c r="J51"/>
      <c r="K51"/>
      <c r="L51"/>
      <c r="M51"/>
      <c r="N51"/>
      <c r="O51"/>
      <c r="P51"/>
      <c r="Q51"/>
      <c r="R51"/>
      <c r="S51"/>
      <c r="T51"/>
      <c r="U51"/>
      <c r="V51"/>
      <c r="W51"/>
      <c r="X51"/>
      <c r="Y51"/>
      <c r="Z51"/>
    </row>
    <row r="52" spans="1:27" s="135" customFormat="1" ht="11.25" x14ac:dyDescent="0.2">
      <c r="D52" s="293" t="s">
        <v>31</v>
      </c>
      <c r="E52" s="294"/>
      <c r="F52" s="295"/>
      <c r="G52" s="291">
        <v>914.51859999999999</v>
      </c>
      <c r="H52" s="284">
        <f>G52*1.05</f>
        <v>960.24453000000005</v>
      </c>
      <c r="I52" s="284">
        <f t="shared" ref="I52:J52" si="2">H52*1.05</f>
        <v>1008.2567565000001</v>
      </c>
      <c r="J52" s="284">
        <f t="shared" si="2"/>
        <v>1058.6695943250002</v>
      </c>
      <c r="K52" s="292">
        <f>J52</f>
        <v>1058.6695943250002</v>
      </c>
      <c r="L52" s="292">
        <f t="shared" ref="L52:Z52" si="3">K52</f>
        <v>1058.6695943250002</v>
      </c>
      <c r="M52" s="292">
        <f t="shared" si="3"/>
        <v>1058.6695943250002</v>
      </c>
      <c r="N52" s="292">
        <f t="shared" si="3"/>
        <v>1058.6695943250002</v>
      </c>
      <c r="O52" s="292">
        <f t="shared" si="3"/>
        <v>1058.6695943250002</v>
      </c>
      <c r="P52" s="292">
        <f t="shared" si="3"/>
        <v>1058.6695943250002</v>
      </c>
      <c r="Q52" s="292">
        <f t="shared" si="3"/>
        <v>1058.6695943250002</v>
      </c>
      <c r="R52" s="292">
        <f t="shared" si="3"/>
        <v>1058.6695943250002</v>
      </c>
      <c r="S52" s="292">
        <f t="shared" si="3"/>
        <v>1058.6695943250002</v>
      </c>
      <c r="T52" s="292">
        <f t="shared" si="3"/>
        <v>1058.6695943250002</v>
      </c>
      <c r="U52" s="292">
        <f t="shared" si="3"/>
        <v>1058.6695943250002</v>
      </c>
      <c r="V52" s="292">
        <f t="shared" si="3"/>
        <v>1058.6695943250002</v>
      </c>
      <c r="W52" s="292">
        <f t="shared" si="3"/>
        <v>1058.6695943250002</v>
      </c>
      <c r="X52" s="292">
        <f t="shared" si="3"/>
        <v>1058.6695943250002</v>
      </c>
      <c r="Y52" s="292">
        <f t="shared" si="3"/>
        <v>1058.6695943250002</v>
      </c>
      <c r="Z52" s="292">
        <f t="shared" si="3"/>
        <v>1058.6695943250002</v>
      </c>
    </row>
    <row r="53" spans="1:27" s="135" customFormat="1" ht="11.25" x14ac:dyDescent="0.2">
      <c r="D53" s="139" t="s">
        <v>32</v>
      </c>
      <c r="E53" s="142"/>
      <c r="F53" s="140"/>
      <c r="G53" s="291">
        <v>914.51859999999999</v>
      </c>
      <c r="H53" s="284">
        <f t="shared" ref="H53:J53" si="4">G53*1.05</f>
        <v>960.24453000000005</v>
      </c>
      <c r="I53" s="284">
        <f t="shared" si="4"/>
        <v>1008.2567565000001</v>
      </c>
      <c r="J53" s="284">
        <f t="shared" si="4"/>
        <v>1058.6695943250002</v>
      </c>
      <c r="K53" s="292">
        <f t="shared" ref="K53:Z59" si="5">J53</f>
        <v>1058.6695943250002</v>
      </c>
      <c r="L53" s="292">
        <f t="shared" si="5"/>
        <v>1058.6695943250002</v>
      </c>
      <c r="M53" s="292">
        <f t="shared" si="5"/>
        <v>1058.6695943250002</v>
      </c>
      <c r="N53" s="292">
        <f t="shared" si="5"/>
        <v>1058.6695943250002</v>
      </c>
      <c r="O53" s="292">
        <f t="shared" si="5"/>
        <v>1058.6695943250002</v>
      </c>
      <c r="P53" s="292">
        <f t="shared" si="5"/>
        <v>1058.6695943250002</v>
      </c>
      <c r="Q53" s="292">
        <f t="shared" si="5"/>
        <v>1058.6695943250002</v>
      </c>
      <c r="R53" s="292">
        <f t="shared" si="5"/>
        <v>1058.6695943250002</v>
      </c>
      <c r="S53" s="292">
        <f t="shared" si="5"/>
        <v>1058.6695943250002</v>
      </c>
      <c r="T53" s="292">
        <f t="shared" si="5"/>
        <v>1058.6695943250002</v>
      </c>
      <c r="U53" s="292">
        <f t="shared" si="5"/>
        <v>1058.6695943250002</v>
      </c>
      <c r="V53" s="292">
        <f t="shared" si="5"/>
        <v>1058.6695943250002</v>
      </c>
      <c r="W53" s="292">
        <f t="shared" si="5"/>
        <v>1058.6695943250002</v>
      </c>
      <c r="X53" s="292">
        <f t="shared" si="5"/>
        <v>1058.6695943250002</v>
      </c>
      <c r="Y53" s="292">
        <f t="shared" si="5"/>
        <v>1058.6695943250002</v>
      </c>
      <c r="Z53" s="292">
        <f t="shared" si="5"/>
        <v>1058.6695943250002</v>
      </c>
    </row>
    <row r="54" spans="1:27" s="135" customFormat="1" ht="11.25" x14ac:dyDescent="0.2">
      <c r="D54" s="139" t="s">
        <v>33</v>
      </c>
      <c r="E54" s="142"/>
      <c r="F54" s="140"/>
      <c r="G54" s="291">
        <v>0</v>
      </c>
      <c r="H54" s="284">
        <f t="shared" ref="H54:J54" si="6">G54*1.05</f>
        <v>0</v>
      </c>
      <c r="I54" s="284">
        <f t="shared" si="6"/>
        <v>0</v>
      </c>
      <c r="J54" s="284">
        <f t="shared" si="6"/>
        <v>0</v>
      </c>
      <c r="K54" s="292">
        <f t="shared" si="5"/>
        <v>0</v>
      </c>
      <c r="L54" s="292">
        <f t="shared" si="5"/>
        <v>0</v>
      </c>
      <c r="M54" s="292">
        <f t="shared" si="5"/>
        <v>0</v>
      </c>
      <c r="N54" s="292">
        <f t="shared" si="5"/>
        <v>0</v>
      </c>
      <c r="O54" s="292">
        <f t="shared" si="5"/>
        <v>0</v>
      </c>
      <c r="P54" s="292">
        <f t="shared" si="5"/>
        <v>0</v>
      </c>
      <c r="Q54" s="292">
        <f t="shared" si="5"/>
        <v>0</v>
      </c>
      <c r="R54" s="292">
        <f t="shared" si="5"/>
        <v>0</v>
      </c>
      <c r="S54" s="292">
        <f t="shared" si="5"/>
        <v>0</v>
      </c>
      <c r="T54" s="292">
        <f t="shared" si="5"/>
        <v>0</v>
      </c>
      <c r="U54" s="292">
        <f t="shared" si="5"/>
        <v>0</v>
      </c>
      <c r="V54" s="292">
        <f t="shared" si="5"/>
        <v>0</v>
      </c>
      <c r="W54" s="292">
        <f t="shared" si="5"/>
        <v>0</v>
      </c>
      <c r="X54" s="292">
        <f t="shared" si="5"/>
        <v>0</v>
      </c>
      <c r="Y54" s="292">
        <f t="shared" si="5"/>
        <v>0</v>
      </c>
      <c r="Z54" s="292">
        <f t="shared" si="5"/>
        <v>0</v>
      </c>
    </row>
    <row r="55" spans="1:27" s="135" customFormat="1" ht="11.25" x14ac:dyDescent="0.2">
      <c r="B55" s="132"/>
      <c r="C55" s="132"/>
      <c r="D55" s="139" t="s">
        <v>34</v>
      </c>
      <c r="E55" s="142"/>
      <c r="F55" s="140"/>
      <c r="G55" s="291">
        <v>3808.35</v>
      </c>
      <c r="H55" s="284">
        <f t="shared" ref="H55:J55" si="7">G55*1.05</f>
        <v>3998.7674999999999</v>
      </c>
      <c r="I55" s="284">
        <f t="shared" si="7"/>
        <v>4198.7058749999997</v>
      </c>
      <c r="J55" s="284">
        <f t="shared" si="7"/>
        <v>4408.6411687499995</v>
      </c>
      <c r="K55" s="292">
        <f t="shared" si="5"/>
        <v>4408.6411687499995</v>
      </c>
      <c r="L55" s="292">
        <f t="shared" si="5"/>
        <v>4408.6411687499995</v>
      </c>
      <c r="M55" s="292">
        <f t="shared" si="5"/>
        <v>4408.6411687499995</v>
      </c>
      <c r="N55" s="292">
        <f t="shared" si="5"/>
        <v>4408.6411687499995</v>
      </c>
      <c r="O55" s="292">
        <f t="shared" si="5"/>
        <v>4408.6411687499995</v>
      </c>
      <c r="P55" s="292">
        <f t="shared" si="5"/>
        <v>4408.6411687499995</v>
      </c>
      <c r="Q55" s="292">
        <f t="shared" si="5"/>
        <v>4408.6411687499995</v>
      </c>
      <c r="R55" s="292">
        <f t="shared" si="5"/>
        <v>4408.6411687499995</v>
      </c>
      <c r="S55" s="292">
        <f t="shared" si="5"/>
        <v>4408.6411687499995</v>
      </c>
      <c r="T55" s="292">
        <f t="shared" si="5"/>
        <v>4408.6411687499995</v>
      </c>
      <c r="U55" s="292">
        <f t="shared" si="5"/>
        <v>4408.6411687499995</v>
      </c>
      <c r="V55" s="292">
        <f t="shared" si="5"/>
        <v>4408.6411687499995</v>
      </c>
      <c r="W55" s="292">
        <f t="shared" si="5"/>
        <v>4408.6411687499995</v>
      </c>
      <c r="X55" s="292">
        <f t="shared" si="5"/>
        <v>4408.6411687499995</v>
      </c>
      <c r="Y55" s="292">
        <f t="shared" si="5"/>
        <v>4408.6411687499995</v>
      </c>
      <c r="Z55" s="292">
        <f t="shared" si="5"/>
        <v>4408.6411687499995</v>
      </c>
    </row>
    <row r="56" spans="1:27" s="135" customFormat="1" ht="11.25" x14ac:dyDescent="0.2">
      <c r="B56" s="132"/>
      <c r="C56" s="132"/>
      <c r="D56" s="139" t="s">
        <v>35</v>
      </c>
      <c r="E56" s="142"/>
      <c r="F56" s="140"/>
      <c r="G56" s="291">
        <v>3808.35</v>
      </c>
      <c r="H56" s="284">
        <f t="shared" ref="H56:J56" si="8">G56*1.05</f>
        <v>3998.7674999999999</v>
      </c>
      <c r="I56" s="284">
        <f t="shared" si="8"/>
        <v>4198.7058749999997</v>
      </c>
      <c r="J56" s="284">
        <f t="shared" si="8"/>
        <v>4408.6411687499995</v>
      </c>
      <c r="K56" s="292">
        <f t="shared" si="5"/>
        <v>4408.6411687499995</v>
      </c>
      <c r="L56" s="292">
        <f t="shared" si="5"/>
        <v>4408.6411687499995</v>
      </c>
      <c r="M56" s="292">
        <f t="shared" si="5"/>
        <v>4408.6411687499995</v>
      </c>
      <c r="N56" s="292">
        <f t="shared" si="5"/>
        <v>4408.6411687499995</v>
      </c>
      <c r="O56" s="292">
        <f t="shared" si="5"/>
        <v>4408.6411687499995</v>
      </c>
      <c r="P56" s="292">
        <f t="shared" si="5"/>
        <v>4408.6411687499995</v>
      </c>
      <c r="Q56" s="292">
        <f t="shared" si="5"/>
        <v>4408.6411687499995</v>
      </c>
      <c r="R56" s="292">
        <f t="shared" si="5"/>
        <v>4408.6411687499995</v>
      </c>
      <c r="S56" s="292">
        <f t="shared" si="5"/>
        <v>4408.6411687499995</v>
      </c>
      <c r="T56" s="292">
        <f t="shared" si="5"/>
        <v>4408.6411687499995</v>
      </c>
      <c r="U56" s="292">
        <f t="shared" si="5"/>
        <v>4408.6411687499995</v>
      </c>
      <c r="V56" s="292">
        <f t="shared" si="5"/>
        <v>4408.6411687499995</v>
      </c>
      <c r="W56" s="292">
        <f t="shared" si="5"/>
        <v>4408.6411687499995</v>
      </c>
      <c r="X56" s="292">
        <f t="shared" si="5"/>
        <v>4408.6411687499995</v>
      </c>
      <c r="Y56" s="292">
        <f t="shared" si="5"/>
        <v>4408.6411687499995</v>
      </c>
      <c r="Z56" s="292">
        <f t="shared" si="5"/>
        <v>4408.6411687499995</v>
      </c>
    </row>
    <row r="57" spans="1:27" s="135" customFormat="1" ht="11.25" x14ac:dyDescent="0.2">
      <c r="B57" s="132"/>
      <c r="C57" s="132"/>
      <c r="D57" s="139" t="s">
        <v>36</v>
      </c>
      <c r="E57" s="142"/>
      <c r="F57" s="140"/>
      <c r="G57" s="291">
        <v>0</v>
      </c>
      <c r="H57" s="284">
        <f t="shared" ref="H57:J57" si="9">G57*1.05</f>
        <v>0</v>
      </c>
      <c r="I57" s="284">
        <f t="shared" si="9"/>
        <v>0</v>
      </c>
      <c r="J57" s="284">
        <f t="shared" si="9"/>
        <v>0</v>
      </c>
      <c r="K57" s="292">
        <f t="shared" si="5"/>
        <v>0</v>
      </c>
      <c r="L57" s="292">
        <f t="shared" si="5"/>
        <v>0</v>
      </c>
      <c r="M57" s="292">
        <f t="shared" si="5"/>
        <v>0</v>
      </c>
      <c r="N57" s="292">
        <f t="shared" si="5"/>
        <v>0</v>
      </c>
      <c r="O57" s="292">
        <f t="shared" si="5"/>
        <v>0</v>
      </c>
      <c r="P57" s="292">
        <f t="shared" si="5"/>
        <v>0</v>
      </c>
      <c r="Q57" s="292">
        <f t="shared" si="5"/>
        <v>0</v>
      </c>
      <c r="R57" s="292">
        <f t="shared" si="5"/>
        <v>0</v>
      </c>
      <c r="S57" s="292">
        <f t="shared" si="5"/>
        <v>0</v>
      </c>
      <c r="T57" s="292">
        <f t="shared" si="5"/>
        <v>0</v>
      </c>
      <c r="U57" s="292">
        <f t="shared" si="5"/>
        <v>0</v>
      </c>
      <c r="V57" s="292">
        <f t="shared" si="5"/>
        <v>0</v>
      </c>
      <c r="W57" s="292">
        <f t="shared" si="5"/>
        <v>0</v>
      </c>
      <c r="X57" s="292">
        <f t="shared" si="5"/>
        <v>0</v>
      </c>
      <c r="Y57" s="292">
        <f t="shared" si="5"/>
        <v>0</v>
      </c>
      <c r="Z57" s="292">
        <f t="shared" si="5"/>
        <v>0</v>
      </c>
    </row>
    <row r="58" spans="1:27" s="135" customFormat="1" ht="11.25" x14ac:dyDescent="0.2">
      <c r="B58" s="132"/>
      <c r="C58" s="132"/>
      <c r="D58" s="139" t="s">
        <v>37</v>
      </c>
      <c r="E58" s="142"/>
      <c r="F58" s="140"/>
      <c r="G58" s="291">
        <v>3148.95</v>
      </c>
      <c r="H58" s="284">
        <f t="shared" ref="H58:J58" si="10">G58*1.05</f>
        <v>3306.3975</v>
      </c>
      <c r="I58" s="284">
        <f t="shared" si="10"/>
        <v>3471.7173750000002</v>
      </c>
      <c r="J58" s="284">
        <f t="shared" si="10"/>
        <v>3645.3032437500005</v>
      </c>
      <c r="K58" s="292">
        <f t="shared" si="5"/>
        <v>3645.3032437500005</v>
      </c>
      <c r="L58" s="292">
        <f t="shared" si="5"/>
        <v>3645.3032437500005</v>
      </c>
      <c r="M58" s="292">
        <f t="shared" si="5"/>
        <v>3645.3032437500005</v>
      </c>
      <c r="N58" s="292">
        <f t="shared" si="5"/>
        <v>3645.3032437500005</v>
      </c>
      <c r="O58" s="292">
        <f t="shared" si="5"/>
        <v>3645.3032437500005</v>
      </c>
      <c r="P58" s="292">
        <f t="shared" si="5"/>
        <v>3645.3032437500005</v>
      </c>
      <c r="Q58" s="292">
        <f t="shared" si="5"/>
        <v>3645.3032437500005</v>
      </c>
      <c r="R58" s="292">
        <f t="shared" si="5"/>
        <v>3645.3032437500005</v>
      </c>
      <c r="S58" s="292">
        <f t="shared" si="5"/>
        <v>3645.3032437500005</v>
      </c>
      <c r="T58" s="292">
        <f t="shared" si="5"/>
        <v>3645.3032437500005</v>
      </c>
      <c r="U58" s="292">
        <f t="shared" si="5"/>
        <v>3645.3032437500005</v>
      </c>
      <c r="V58" s="292">
        <f t="shared" si="5"/>
        <v>3645.3032437500005</v>
      </c>
      <c r="W58" s="292">
        <f t="shared" si="5"/>
        <v>3645.3032437500005</v>
      </c>
      <c r="X58" s="292">
        <f t="shared" si="5"/>
        <v>3645.3032437500005</v>
      </c>
      <c r="Y58" s="292">
        <f t="shared" si="5"/>
        <v>3645.3032437500005</v>
      </c>
      <c r="Z58" s="292">
        <f t="shared" si="5"/>
        <v>3645.3032437500005</v>
      </c>
    </row>
    <row r="59" spans="1:27" s="135" customFormat="1" ht="11.25" x14ac:dyDescent="0.2">
      <c r="B59" s="132"/>
      <c r="C59" s="132"/>
      <c r="D59" s="139" t="s">
        <v>9</v>
      </c>
      <c r="E59" s="142"/>
      <c r="F59" s="140"/>
      <c r="G59" s="291">
        <v>0</v>
      </c>
      <c r="H59" s="284">
        <f t="shared" ref="H59:J59" si="11">G59*1.05</f>
        <v>0</v>
      </c>
      <c r="I59" s="284">
        <f t="shared" si="11"/>
        <v>0</v>
      </c>
      <c r="J59" s="284">
        <f t="shared" si="11"/>
        <v>0</v>
      </c>
      <c r="K59" s="292">
        <f t="shared" si="5"/>
        <v>0</v>
      </c>
      <c r="L59" s="292">
        <f t="shared" si="5"/>
        <v>0</v>
      </c>
      <c r="M59" s="292">
        <f t="shared" si="5"/>
        <v>0</v>
      </c>
      <c r="N59" s="292">
        <f t="shared" si="5"/>
        <v>0</v>
      </c>
      <c r="O59" s="292">
        <f t="shared" si="5"/>
        <v>0</v>
      </c>
      <c r="P59" s="292">
        <f t="shared" si="5"/>
        <v>0</v>
      </c>
      <c r="Q59" s="292">
        <f t="shared" si="5"/>
        <v>0</v>
      </c>
      <c r="R59" s="292">
        <f t="shared" si="5"/>
        <v>0</v>
      </c>
      <c r="S59" s="292">
        <f t="shared" si="5"/>
        <v>0</v>
      </c>
      <c r="T59" s="292">
        <f t="shared" si="5"/>
        <v>0</v>
      </c>
      <c r="U59" s="292">
        <f t="shared" si="5"/>
        <v>0</v>
      </c>
      <c r="V59" s="292">
        <f t="shared" si="5"/>
        <v>0</v>
      </c>
      <c r="W59" s="292">
        <f t="shared" si="5"/>
        <v>0</v>
      </c>
      <c r="X59" s="292">
        <f t="shared" si="5"/>
        <v>0</v>
      </c>
      <c r="Y59" s="292">
        <f t="shared" si="5"/>
        <v>0</v>
      </c>
      <c r="Z59" s="292">
        <f t="shared" si="5"/>
        <v>0</v>
      </c>
    </row>
    <row r="60" spans="1:27" customFormat="1" x14ac:dyDescent="0.2">
      <c r="B60" s="48"/>
      <c r="C60" s="48"/>
      <c r="D60" s="48"/>
      <c r="E60" s="48"/>
      <c r="F60" s="48"/>
      <c r="G60" s="48"/>
      <c r="H60" s="48"/>
    </row>
    <row r="61" spans="1:27" s="129" customFormat="1" ht="12" thickBot="1" x14ac:dyDescent="0.25">
      <c r="A61" s="9"/>
      <c r="B61" s="9"/>
      <c r="C61" s="9"/>
      <c r="D61" s="39" t="s">
        <v>43</v>
      </c>
      <c r="E61" s="40"/>
      <c r="F61" s="141"/>
      <c r="G61" s="141" t="s">
        <v>11</v>
      </c>
      <c r="H61" s="141" t="s">
        <v>12</v>
      </c>
      <c r="I61" s="141" t="s">
        <v>13</v>
      </c>
      <c r="J61" s="141" t="s">
        <v>14</v>
      </c>
      <c r="K61" s="141" t="s">
        <v>15</v>
      </c>
      <c r="L61" s="141" t="s">
        <v>16</v>
      </c>
      <c r="M61" s="141" t="s">
        <v>17</v>
      </c>
      <c r="N61" s="141" t="s">
        <v>18</v>
      </c>
      <c r="O61" s="141" t="s">
        <v>19</v>
      </c>
      <c r="P61" s="141" t="s">
        <v>20</v>
      </c>
      <c r="Q61" s="141" t="s">
        <v>21</v>
      </c>
      <c r="R61" s="141" t="s">
        <v>22</v>
      </c>
      <c r="S61" s="141" t="s">
        <v>23</v>
      </c>
      <c r="T61" s="141" t="s">
        <v>24</v>
      </c>
      <c r="U61" s="141" t="s">
        <v>25</v>
      </c>
      <c r="V61" s="141" t="s">
        <v>26</v>
      </c>
      <c r="W61" s="141" t="s">
        <v>27</v>
      </c>
      <c r="X61" s="141" t="s">
        <v>28</v>
      </c>
      <c r="Y61" s="141" t="s">
        <v>29</v>
      </c>
      <c r="Z61" s="141" t="s">
        <v>30</v>
      </c>
      <c r="AA61" s="141"/>
    </row>
    <row r="62" spans="1:27" customFormat="1" x14ac:dyDescent="0.2">
      <c r="B62" s="48"/>
      <c r="C62" s="48"/>
      <c r="D62" s="48"/>
      <c r="E62" s="48"/>
      <c r="F62" s="48"/>
      <c r="G62" s="48"/>
      <c r="H62" s="48"/>
    </row>
    <row r="63" spans="1:27" customFormat="1" ht="11.25" x14ac:dyDescent="0.2">
      <c r="D63" s="293" t="s">
        <v>31</v>
      </c>
      <c r="E63" s="294"/>
      <c r="F63" s="295"/>
      <c r="G63" s="144">
        <f>G52*G25</f>
        <v>14216165.198646048</v>
      </c>
      <c r="H63" s="144">
        <f t="shared" ref="H63:Z63" si="12">H52*H25</f>
        <v>15687468.827623222</v>
      </c>
      <c r="I63" s="144">
        <f t="shared" si="12"/>
        <v>14053127.739015598</v>
      </c>
      <c r="J63" s="144">
        <f t="shared" si="12"/>
        <v>14855034.29227584</v>
      </c>
      <c r="K63" s="144">
        <f t="shared" si="12"/>
        <v>14755155.857920259</v>
      </c>
      <c r="L63" s="144">
        <f t="shared" si="12"/>
        <v>14488334.758657224</v>
      </c>
      <c r="M63" s="144">
        <f t="shared" si="12"/>
        <v>14413777.038668366</v>
      </c>
      <c r="N63" s="144">
        <f t="shared" si="12"/>
        <v>14703064.151763421</v>
      </c>
      <c r="O63" s="144">
        <f t="shared" si="12"/>
        <v>14938107.054425964</v>
      </c>
      <c r="P63" s="144">
        <f t="shared" si="12"/>
        <v>15272439.144979579</v>
      </c>
      <c r="Q63" s="144">
        <f t="shared" si="12"/>
        <v>15612319.540675711</v>
      </c>
      <c r="R63" s="144">
        <f t="shared" si="12"/>
        <v>15869893.153527854</v>
      </c>
      <c r="S63" s="144">
        <f t="shared" si="12"/>
        <v>16102723.76050175</v>
      </c>
      <c r="T63" s="144">
        <f t="shared" si="12"/>
        <v>16245931.926417263</v>
      </c>
      <c r="U63" s="144">
        <f t="shared" si="12"/>
        <v>16373932.338246068</v>
      </c>
      <c r="V63" s="144">
        <f t="shared" si="12"/>
        <v>16416532.819232203</v>
      </c>
      <c r="W63" s="144">
        <f t="shared" si="12"/>
        <v>16516935.960014606</v>
      </c>
      <c r="X63" s="144">
        <f t="shared" si="12"/>
        <v>16427268.681147967</v>
      </c>
      <c r="Y63" s="144">
        <f t="shared" si="12"/>
        <v>16447366.999122996</v>
      </c>
      <c r="Z63" s="144">
        <f t="shared" si="12"/>
        <v>16573272.090803973</v>
      </c>
    </row>
    <row r="64" spans="1:27" customFormat="1" ht="11.25" x14ac:dyDescent="0.2">
      <c r="D64" s="139" t="s">
        <v>32</v>
      </c>
      <c r="E64" s="142"/>
      <c r="F64" s="140"/>
      <c r="G64" s="144">
        <f t="shared" ref="G64:Z64" si="13">G53*G26</f>
        <v>14216165.198645975</v>
      </c>
      <c r="H64" s="144">
        <f t="shared" si="13"/>
        <v>15687468.827623283</v>
      </c>
      <c r="I64" s="144">
        <f t="shared" si="13"/>
        <v>14053127.739015613</v>
      </c>
      <c r="J64" s="144">
        <f t="shared" si="13"/>
        <v>14855034.292275766</v>
      </c>
      <c r="K64" s="144">
        <f t="shared" si="13"/>
        <v>14755155.857920269</v>
      </c>
      <c r="L64" s="144">
        <f t="shared" si="13"/>
        <v>14488334.75865721</v>
      </c>
      <c r="M64" s="144">
        <f t="shared" si="13"/>
        <v>14413777.038668374</v>
      </c>
      <c r="N64" s="144">
        <f t="shared" si="13"/>
        <v>14703064.151763482</v>
      </c>
      <c r="O64" s="144">
        <f t="shared" si="13"/>
        <v>14938107.054425979</v>
      </c>
      <c r="P64" s="144">
        <f t="shared" si="13"/>
        <v>15272439.144979535</v>
      </c>
      <c r="Q64" s="144">
        <f t="shared" si="13"/>
        <v>15612319.540675608</v>
      </c>
      <c r="R64" s="144">
        <f t="shared" si="13"/>
        <v>15869893.153527984</v>
      </c>
      <c r="S64" s="144">
        <f t="shared" si="13"/>
        <v>16102723.760501735</v>
      </c>
      <c r="T64" s="144">
        <f t="shared" si="13"/>
        <v>16245931.926417163</v>
      </c>
      <c r="U64" s="144">
        <f t="shared" si="13"/>
        <v>16373932.338246061</v>
      </c>
      <c r="V64" s="144">
        <f t="shared" si="13"/>
        <v>16416532.819232326</v>
      </c>
      <c r="W64" s="144">
        <f t="shared" si="13"/>
        <v>16516935.960014451</v>
      </c>
      <c r="X64" s="144">
        <f t="shared" si="13"/>
        <v>16427268.681148123</v>
      </c>
      <c r="Y64" s="144">
        <f t="shared" si="13"/>
        <v>16447366.999122886</v>
      </c>
      <c r="Z64" s="144">
        <f t="shared" si="13"/>
        <v>16573272.090804089</v>
      </c>
    </row>
    <row r="65" spans="1:64" customFormat="1" ht="11.25" x14ac:dyDescent="0.2">
      <c r="D65" s="139" t="s">
        <v>33</v>
      </c>
      <c r="E65" s="142"/>
      <c r="F65" s="140"/>
      <c r="G65" s="144">
        <f t="shared" ref="G65:Z65" si="14">G54*G27</f>
        <v>0</v>
      </c>
      <c r="H65" s="144">
        <f t="shared" si="14"/>
        <v>0</v>
      </c>
      <c r="I65" s="144">
        <f t="shared" si="14"/>
        <v>0</v>
      </c>
      <c r="J65" s="144">
        <f t="shared" si="14"/>
        <v>0</v>
      </c>
      <c r="K65" s="144">
        <f t="shared" si="14"/>
        <v>0</v>
      </c>
      <c r="L65" s="144">
        <f t="shared" si="14"/>
        <v>0</v>
      </c>
      <c r="M65" s="144">
        <f t="shared" si="14"/>
        <v>0</v>
      </c>
      <c r="N65" s="144">
        <f t="shared" si="14"/>
        <v>0</v>
      </c>
      <c r="O65" s="144">
        <f t="shared" si="14"/>
        <v>0</v>
      </c>
      <c r="P65" s="144">
        <f t="shared" si="14"/>
        <v>0</v>
      </c>
      <c r="Q65" s="144">
        <f t="shared" si="14"/>
        <v>0</v>
      </c>
      <c r="R65" s="144">
        <f t="shared" si="14"/>
        <v>0</v>
      </c>
      <c r="S65" s="144">
        <f t="shared" si="14"/>
        <v>0</v>
      </c>
      <c r="T65" s="144">
        <f t="shared" si="14"/>
        <v>0</v>
      </c>
      <c r="U65" s="144">
        <f t="shared" si="14"/>
        <v>0</v>
      </c>
      <c r="V65" s="144">
        <f t="shared" si="14"/>
        <v>0</v>
      </c>
      <c r="W65" s="144">
        <f t="shared" si="14"/>
        <v>0</v>
      </c>
      <c r="X65" s="144">
        <f t="shared" si="14"/>
        <v>0</v>
      </c>
      <c r="Y65" s="144">
        <f t="shared" si="14"/>
        <v>0</v>
      </c>
      <c r="Z65" s="144">
        <f t="shared" si="14"/>
        <v>0</v>
      </c>
    </row>
    <row r="66" spans="1:64" customFormat="1" ht="11.25" x14ac:dyDescent="0.2">
      <c r="C66" s="121"/>
      <c r="D66" s="139" t="s">
        <v>34</v>
      </c>
      <c r="E66" s="142"/>
      <c r="F66" s="140"/>
      <c r="G66" s="144">
        <f t="shared" ref="G66:Z66" si="15">G55*G28</f>
        <v>18513797.06792013</v>
      </c>
      <c r="H66" s="144">
        <f t="shared" si="15"/>
        <v>21057855.967810996</v>
      </c>
      <c r="I66" s="144">
        <f t="shared" si="15"/>
        <v>19103923.325325973</v>
      </c>
      <c r="J66" s="144">
        <f t="shared" si="15"/>
        <v>20615566.884786509</v>
      </c>
      <c r="K66" s="144">
        <f t="shared" si="15"/>
        <v>21513750.432012726</v>
      </c>
      <c r="L66" s="144">
        <f t="shared" si="15"/>
        <v>23051802.194134407</v>
      </c>
      <c r="M66" s="144">
        <f t="shared" si="15"/>
        <v>22699615.935085315</v>
      </c>
      <c r="N66" s="144">
        <f t="shared" si="15"/>
        <v>24174077.337776586</v>
      </c>
      <c r="O66" s="144">
        <f t="shared" si="15"/>
        <v>24603677.029160906</v>
      </c>
      <c r="P66" s="144">
        <f t="shared" si="15"/>
        <v>24749865.349706676</v>
      </c>
      <c r="Q66" s="144">
        <f t="shared" si="15"/>
        <v>24741820.565216415</v>
      </c>
      <c r="R66" s="144">
        <f t="shared" si="15"/>
        <v>24555256.464842472</v>
      </c>
      <c r="S66" s="144">
        <f t="shared" si="15"/>
        <v>24050987.325527329</v>
      </c>
      <c r="T66" s="144">
        <f t="shared" si="15"/>
        <v>23953491.644057784</v>
      </c>
      <c r="U66" s="144">
        <f t="shared" si="15"/>
        <v>23717684.296381548</v>
      </c>
      <c r="V66" s="144">
        <f t="shared" si="15"/>
        <v>23441388.99212357</v>
      </c>
      <c r="W66" s="144">
        <f t="shared" si="15"/>
        <v>23034789.26291316</v>
      </c>
      <c r="X66" s="144">
        <f t="shared" si="15"/>
        <v>22051817.647444751</v>
      </c>
      <c r="Y66" s="144">
        <f t="shared" si="15"/>
        <v>20883537.195522532</v>
      </c>
      <c r="Z66" s="144">
        <f t="shared" si="15"/>
        <v>19762156.570577763</v>
      </c>
    </row>
    <row r="67" spans="1:64" customFormat="1" ht="11.25" x14ac:dyDescent="0.2">
      <c r="C67" s="121"/>
      <c r="D67" s="139" t="s">
        <v>35</v>
      </c>
      <c r="E67" s="142"/>
      <c r="F67" s="140"/>
      <c r="G67" s="144">
        <f t="shared" ref="G67:Z67" si="16">G56*G29</f>
        <v>18513797.067920156</v>
      </c>
      <c r="H67" s="144">
        <f t="shared" si="16"/>
        <v>21057855.967810966</v>
      </c>
      <c r="I67" s="144">
        <f t="shared" si="16"/>
        <v>19103923.325326003</v>
      </c>
      <c r="J67" s="144">
        <f t="shared" si="16"/>
        <v>20615566.884786543</v>
      </c>
      <c r="K67" s="144">
        <f t="shared" si="16"/>
        <v>21513750.432012666</v>
      </c>
      <c r="L67" s="144">
        <f t="shared" si="16"/>
        <v>23051802.194134403</v>
      </c>
      <c r="M67" s="144">
        <f t="shared" si="16"/>
        <v>22699615.935085308</v>
      </c>
      <c r="N67" s="144">
        <f t="shared" si="16"/>
        <v>24174077.337776586</v>
      </c>
      <c r="O67" s="144">
        <f t="shared" si="16"/>
        <v>24603677.029160909</v>
      </c>
      <c r="P67" s="144">
        <f t="shared" si="16"/>
        <v>24749865.34970668</v>
      </c>
      <c r="Q67" s="144">
        <f t="shared" si="16"/>
        <v>24741820.565216545</v>
      </c>
      <c r="R67" s="144">
        <f t="shared" si="16"/>
        <v>24555256.464842334</v>
      </c>
      <c r="S67" s="144">
        <f t="shared" si="16"/>
        <v>24050987.325527329</v>
      </c>
      <c r="T67" s="144">
        <f t="shared" si="16"/>
        <v>23953491.644057717</v>
      </c>
      <c r="U67" s="144">
        <f t="shared" si="16"/>
        <v>23717684.296381619</v>
      </c>
      <c r="V67" s="144">
        <f t="shared" si="16"/>
        <v>23441388.992123637</v>
      </c>
      <c r="W67" s="144">
        <f t="shared" si="16"/>
        <v>23034789.262913086</v>
      </c>
      <c r="X67" s="144">
        <f t="shared" si="16"/>
        <v>22051817.647444759</v>
      </c>
      <c r="Y67" s="144">
        <f t="shared" si="16"/>
        <v>20883537.195522662</v>
      </c>
      <c r="Z67" s="144">
        <f t="shared" si="16"/>
        <v>19762156.570577506</v>
      </c>
    </row>
    <row r="68" spans="1:64" customFormat="1" ht="11.25" x14ac:dyDescent="0.2">
      <c r="D68" s="139" t="s">
        <v>36</v>
      </c>
      <c r="E68" s="142"/>
      <c r="F68" s="140"/>
      <c r="G68" s="144">
        <f t="shared" ref="G68:Z68" si="17">G57*G30</f>
        <v>0</v>
      </c>
      <c r="H68" s="144">
        <f t="shared" si="17"/>
        <v>0</v>
      </c>
      <c r="I68" s="144">
        <f t="shared" si="17"/>
        <v>0</v>
      </c>
      <c r="J68" s="144">
        <f t="shared" si="17"/>
        <v>0</v>
      </c>
      <c r="K68" s="144">
        <f t="shared" si="17"/>
        <v>0</v>
      </c>
      <c r="L68" s="144">
        <f t="shared" si="17"/>
        <v>0</v>
      </c>
      <c r="M68" s="144">
        <f t="shared" si="17"/>
        <v>0</v>
      </c>
      <c r="N68" s="144">
        <f t="shared" si="17"/>
        <v>0</v>
      </c>
      <c r="O68" s="144">
        <f t="shared" si="17"/>
        <v>0</v>
      </c>
      <c r="P68" s="144">
        <f t="shared" si="17"/>
        <v>0</v>
      </c>
      <c r="Q68" s="144">
        <f t="shared" si="17"/>
        <v>0</v>
      </c>
      <c r="R68" s="144">
        <f t="shared" si="17"/>
        <v>0</v>
      </c>
      <c r="S68" s="144">
        <f t="shared" si="17"/>
        <v>0</v>
      </c>
      <c r="T68" s="144">
        <f t="shared" si="17"/>
        <v>0</v>
      </c>
      <c r="U68" s="144">
        <f t="shared" si="17"/>
        <v>0</v>
      </c>
      <c r="V68" s="144">
        <f t="shared" si="17"/>
        <v>0</v>
      </c>
      <c r="W68" s="144">
        <f t="shared" si="17"/>
        <v>0</v>
      </c>
      <c r="X68" s="144">
        <f t="shared" si="17"/>
        <v>0</v>
      </c>
      <c r="Y68" s="144">
        <f t="shared" si="17"/>
        <v>0</v>
      </c>
      <c r="Z68" s="144">
        <f t="shared" si="17"/>
        <v>0</v>
      </c>
    </row>
    <row r="69" spans="1:64" customFormat="1" ht="11.25" x14ac:dyDescent="0.2">
      <c r="D69" s="139" t="s">
        <v>37</v>
      </c>
      <c r="E69" s="142"/>
      <c r="F69" s="140"/>
      <c r="G69" s="144">
        <f t="shared" ref="G69:Z69" si="18">G58*G31</f>
        <v>10656814.330247883</v>
      </c>
      <c r="H69" s="144">
        <f t="shared" si="18"/>
        <v>11402125.924280927</v>
      </c>
      <c r="I69" s="144">
        <f t="shared" si="18"/>
        <v>10242479.938901601</v>
      </c>
      <c r="J69" s="144">
        <f t="shared" si="18"/>
        <v>10464362.690286336</v>
      </c>
      <c r="K69" s="144">
        <f t="shared" si="18"/>
        <v>10121212.980585665</v>
      </c>
      <c r="L69" s="144">
        <f t="shared" si="18"/>
        <v>10137981.072614277</v>
      </c>
      <c r="M69" s="144">
        <f t="shared" si="18"/>
        <v>9960060.3103625234</v>
      </c>
      <c r="N69" s="144">
        <f t="shared" si="18"/>
        <v>10301140.492666636</v>
      </c>
      <c r="O69" s="144">
        <f t="shared" si="18"/>
        <v>10417488.09053313</v>
      </c>
      <c r="P69" s="144">
        <f t="shared" si="18"/>
        <v>10293037.578692568</v>
      </c>
      <c r="Q69" s="144">
        <f t="shared" si="18"/>
        <v>10140460.579967512</v>
      </c>
      <c r="R69" s="144">
        <f t="shared" si="18"/>
        <v>9474458.274527682</v>
      </c>
      <c r="S69" s="144">
        <f t="shared" si="18"/>
        <v>8437255.5659802854</v>
      </c>
      <c r="T69" s="144">
        <f t="shared" si="18"/>
        <v>7560216.5387592297</v>
      </c>
      <c r="U69" s="144">
        <f t="shared" si="18"/>
        <v>6831648.0809991881</v>
      </c>
      <c r="V69" s="144">
        <f t="shared" si="18"/>
        <v>6178581.9374260083</v>
      </c>
      <c r="W69" s="144">
        <f t="shared" si="18"/>
        <v>5971466.1096446337</v>
      </c>
      <c r="X69" s="144">
        <f t="shared" si="18"/>
        <v>5377820.6917438526</v>
      </c>
      <c r="Y69" s="144">
        <f t="shared" si="18"/>
        <v>4730484.0263268668</v>
      </c>
      <c r="Z69" s="144">
        <f t="shared" si="18"/>
        <v>4077568.2409271146</v>
      </c>
    </row>
    <row r="70" spans="1:64" x14ac:dyDescent="0.2">
      <c r="D70" s="139" t="s">
        <v>9</v>
      </c>
      <c r="E70" s="142"/>
      <c r="F70" s="140"/>
      <c r="G70" s="144">
        <f t="shared" ref="G70:Z70" si="19">G59*G32</f>
        <v>0</v>
      </c>
      <c r="H70" s="144">
        <f t="shared" si="19"/>
        <v>0</v>
      </c>
      <c r="I70" s="144">
        <f t="shared" si="19"/>
        <v>0</v>
      </c>
      <c r="J70" s="144">
        <f t="shared" si="19"/>
        <v>0</v>
      </c>
      <c r="K70" s="144">
        <f t="shared" si="19"/>
        <v>0</v>
      </c>
      <c r="L70" s="144">
        <f t="shared" si="19"/>
        <v>0</v>
      </c>
      <c r="M70" s="144">
        <f t="shared" si="19"/>
        <v>0</v>
      </c>
      <c r="N70" s="144">
        <f t="shared" si="19"/>
        <v>0</v>
      </c>
      <c r="O70" s="144">
        <f t="shared" si="19"/>
        <v>0</v>
      </c>
      <c r="P70" s="144">
        <f t="shared" si="19"/>
        <v>0</v>
      </c>
      <c r="Q70" s="144">
        <f t="shared" si="19"/>
        <v>0</v>
      </c>
      <c r="R70" s="144">
        <f t="shared" si="19"/>
        <v>0</v>
      </c>
      <c r="S70" s="144">
        <f t="shared" si="19"/>
        <v>0</v>
      </c>
      <c r="T70" s="144">
        <f t="shared" si="19"/>
        <v>0</v>
      </c>
      <c r="U70" s="144">
        <f t="shared" si="19"/>
        <v>0</v>
      </c>
      <c r="V70" s="144">
        <f t="shared" si="19"/>
        <v>0</v>
      </c>
      <c r="W70" s="144">
        <f t="shared" si="19"/>
        <v>0</v>
      </c>
      <c r="X70" s="144">
        <f t="shared" si="19"/>
        <v>0</v>
      </c>
      <c r="Y70" s="144">
        <f t="shared" si="19"/>
        <v>0</v>
      </c>
      <c r="Z70" s="144">
        <f t="shared" si="19"/>
        <v>0</v>
      </c>
    </row>
    <row r="71" spans="1:64" x14ac:dyDescent="0.2">
      <c r="D71" s="148" t="s">
        <v>44</v>
      </c>
      <c r="G71" s="147">
        <f>SUM(G63:G70)</f>
        <v>76116738.863380194</v>
      </c>
      <c r="H71" s="147">
        <f t="shared" ref="H71:Z71" si="20">SUM(H63:H70)</f>
        <v>84892775.5151494</v>
      </c>
      <c r="I71" s="147">
        <f t="shared" si="20"/>
        <v>76556582.067584783</v>
      </c>
      <c r="J71" s="147">
        <f t="shared" si="20"/>
        <v>81405565.044411004</v>
      </c>
      <c r="K71" s="147">
        <f t="shared" si="20"/>
        <v>82659025.560451582</v>
      </c>
      <c r="L71" s="147">
        <f t="shared" si="20"/>
        <v>85218254.97819753</v>
      </c>
      <c r="M71" s="147">
        <f t="shared" si="20"/>
        <v>84186846.257869884</v>
      </c>
      <c r="N71" s="147">
        <f t="shared" si="20"/>
        <v>88055423.471746713</v>
      </c>
      <c r="O71" s="147">
        <f t="shared" si="20"/>
        <v>89501056.257706881</v>
      </c>
      <c r="P71" s="147">
        <f t="shared" si="20"/>
        <v>90337646.568065032</v>
      </c>
      <c r="Q71" s="147">
        <f t="shared" si="20"/>
        <v>90848740.791751787</v>
      </c>
      <c r="R71" s="147">
        <f t="shared" si="20"/>
        <v>90324757.511268333</v>
      </c>
      <c r="S71" s="147">
        <f t="shared" si="20"/>
        <v>88744677.738038421</v>
      </c>
      <c r="T71" s="147">
        <f t="shared" si="20"/>
        <v>87959063.679709166</v>
      </c>
      <c r="U71" s="147">
        <f t="shared" si="20"/>
        <v>87014881.350254476</v>
      </c>
      <c r="V71" s="147">
        <f t="shared" si="20"/>
        <v>85894425.560137749</v>
      </c>
      <c r="W71" s="147">
        <f t="shared" si="20"/>
        <v>85074916.555499941</v>
      </c>
      <c r="X71" s="147">
        <f t="shared" si="20"/>
        <v>82335993.34892945</v>
      </c>
      <c r="Y71" s="147">
        <f t="shared" si="20"/>
        <v>79392292.415617943</v>
      </c>
      <c r="Z71" s="147">
        <f t="shared" si="20"/>
        <v>76748425.563690439</v>
      </c>
    </row>
    <row r="72" spans="1:64" ht="28.5" customHeight="1" x14ac:dyDescent="0.2"/>
    <row r="73" spans="1:64" customFormat="1" ht="11.25" x14ac:dyDescent="0.2">
      <c r="A73" s="126"/>
      <c r="B73" s="127" t="s">
        <v>45</v>
      </c>
      <c r="C73" s="127"/>
      <c r="D73" s="127"/>
      <c r="E73" s="127"/>
      <c r="F73" s="127"/>
      <c r="G73" s="128"/>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row>
    <row r="74" spans="1:64" x14ac:dyDescent="0.2"/>
    <row r="75" spans="1:64" x14ac:dyDescent="0.2"/>
    <row r="76" spans="1:64" x14ac:dyDescent="0.2"/>
  </sheetData>
  <mergeCells count="15">
    <mergeCell ref="D16:E16"/>
    <mergeCell ref="B2:AA2"/>
    <mergeCell ref="B3:AA3"/>
    <mergeCell ref="B4:AA4"/>
    <mergeCell ref="D14:E14"/>
    <mergeCell ref="D15:E15"/>
    <mergeCell ref="D63:F63"/>
    <mergeCell ref="D52:F52"/>
    <mergeCell ref="D36:F36"/>
    <mergeCell ref="D25:F25"/>
    <mergeCell ref="D17:E17"/>
    <mergeCell ref="D18:E18"/>
    <mergeCell ref="D19:E19"/>
    <mergeCell ref="D20:E20"/>
    <mergeCell ref="D21:E2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ABBFE-53E4-4195-9F56-BDAF3D346F0A}">
  <sheetPr codeName="Sheet39">
    <tabColor rgb="FF8EA9DB"/>
  </sheetPr>
  <dimension ref="A1:AN323"/>
  <sheetViews>
    <sheetView zoomScale="70" zoomScaleNormal="70" workbookViewId="0">
      <pane xSplit="5" ySplit="2" topLeftCell="F3" activePane="bottomRight" state="frozenSplit"/>
      <selection pane="topRight" activeCell="G21" sqref="G21:AA23"/>
      <selection pane="bottomLeft" activeCell="G21" sqref="G21:AA23"/>
      <selection pane="bottomRight" activeCell="G96" sqref="G96"/>
    </sheetView>
  </sheetViews>
  <sheetFormatPr defaultColWidth="14" defaultRowHeight="15.75" x14ac:dyDescent="0.25"/>
  <cols>
    <col min="1" max="1" width="12.83203125" style="101" customWidth="1"/>
    <col min="2" max="2" width="3.83203125" style="47" customWidth="1"/>
    <col min="3" max="3" width="4.33203125" style="47" customWidth="1"/>
    <col min="4" max="4" width="17.5" style="47" customWidth="1"/>
    <col min="5" max="5" width="46.5" style="47" bestFit="1" customWidth="1"/>
    <col min="6" max="6" width="22.33203125" style="47" customWidth="1"/>
    <col min="7" max="7" width="16.5" style="47" customWidth="1"/>
    <col min="8" max="27" width="14" style="47"/>
    <col min="28" max="28" width="14.1640625" style="47" customWidth="1"/>
    <col min="29" max="16384" width="14" style="47"/>
  </cols>
  <sheetData>
    <row r="1" spans="1:27" ht="28.5" x14ac:dyDescent="0.45">
      <c r="A1" s="95" t="str" cm="1">
        <f t="array" ref="A1">RIGHT(CELL("filename",A1),LEN(CELL("filename",A1))-SEARCH("]",CELL("filename",A1)))</f>
        <v>SW</v>
      </c>
      <c r="E1" s="96" t="str">
        <f>INDEX(TariffName,MATCH(A1,TariffCode,0))</f>
        <v>Standard - Water</v>
      </c>
      <c r="F1" s="97">
        <f>G218</f>
        <v>922.3537304375003</v>
      </c>
      <c r="G1" s="98" t="str">
        <f>'INPUT Opex'!AC7</f>
        <v>2023-24</v>
      </c>
      <c r="H1" s="98" t="str">
        <f>'INPUT Opex'!AD7</f>
        <v>2024-25</v>
      </c>
      <c r="I1" s="98" t="str">
        <f>'INPUT Opex'!AE7</f>
        <v>2025-26</v>
      </c>
      <c r="J1" s="98" t="str">
        <f>'INPUT Opex'!AF7</f>
        <v>2026-27</v>
      </c>
      <c r="K1" s="98" t="str">
        <f>'INPUT Opex'!AG7</f>
        <v>2027-28</v>
      </c>
      <c r="L1" s="98" t="str">
        <f>'INPUT Opex'!AH7</f>
        <v>2028-29</v>
      </c>
      <c r="M1" s="98" t="str">
        <f>'INPUT Opex'!AI7</f>
        <v>2029-30</v>
      </c>
      <c r="N1" s="98" t="str">
        <f>'INPUT Opex'!AJ7</f>
        <v>2030-31</v>
      </c>
      <c r="O1" s="98" t="str">
        <f>'INPUT Opex'!AK7</f>
        <v>2031-32</v>
      </c>
      <c r="P1" s="98" t="str">
        <f>'INPUT Opex'!AL7</f>
        <v>2032-33</v>
      </c>
      <c r="Q1" s="98" t="str">
        <f>'INPUT Opex'!AM7</f>
        <v>2033-34</v>
      </c>
      <c r="R1" s="98" t="str">
        <f>'INPUT Opex'!AN7</f>
        <v>2034-35</v>
      </c>
      <c r="S1" s="98" t="str">
        <f>'INPUT Opex'!AO7</f>
        <v>2035-36</v>
      </c>
      <c r="T1" s="98" t="str">
        <f>'INPUT Opex'!AP7</f>
        <v>2036-37</v>
      </c>
      <c r="U1" s="98" t="str">
        <f>'INPUT Opex'!AQ7</f>
        <v>2037-38</v>
      </c>
      <c r="V1" s="98" t="str">
        <f>'INPUT Opex'!AR7</f>
        <v>2038-39</v>
      </c>
      <c r="W1" s="98" t="str">
        <f>'INPUT Opex'!AS7</f>
        <v>2039-40</v>
      </c>
      <c r="X1" s="98" t="str">
        <f>'INPUT Opex'!AT7</f>
        <v>2040-41</v>
      </c>
      <c r="Y1" s="98" t="str">
        <f>'INPUT Opex'!AU7</f>
        <v>2041-42</v>
      </c>
      <c r="Z1" s="98" t="str">
        <f>'INPUT Opex'!AV7</f>
        <v>2042-43</v>
      </c>
      <c r="AA1" s="98" t="str">
        <f>'INPUT Opex'!AW7</f>
        <v>2043-44</v>
      </c>
    </row>
    <row r="2" spans="1:27" x14ac:dyDescent="0.25">
      <c r="A2" s="99"/>
      <c r="C2" s="100" t="s">
        <v>625</v>
      </c>
      <c r="D2" s="100"/>
      <c r="F2" s="97"/>
      <c r="G2" s="47">
        <v>0</v>
      </c>
      <c r="H2" s="47">
        <v>1</v>
      </c>
      <c r="I2" s="47">
        <v>2</v>
      </c>
      <c r="J2" s="47">
        <v>3</v>
      </c>
      <c r="K2" s="47">
        <v>4</v>
      </c>
      <c r="L2" s="47">
        <v>5</v>
      </c>
      <c r="M2" s="47">
        <v>6</v>
      </c>
      <c r="N2" s="47">
        <v>7</v>
      </c>
      <c r="O2" s="47">
        <v>8</v>
      </c>
      <c r="P2" s="47">
        <v>9</v>
      </c>
      <c r="Q2" s="47">
        <v>10</v>
      </c>
      <c r="R2" s="47">
        <v>11</v>
      </c>
      <c r="S2" s="47">
        <v>12</v>
      </c>
      <c r="T2" s="47">
        <v>13</v>
      </c>
      <c r="U2" s="47">
        <v>14</v>
      </c>
      <c r="V2" s="47">
        <v>15</v>
      </c>
      <c r="W2" s="47">
        <v>16</v>
      </c>
      <c r="X2" s="47">
        <v>17</v>
      </c>
      <c r="Y2" s="47">
        <v>18</v>
      </c>
      <c r="Z2" s="47">
        <v>19</v>
      </c>
      <c r="AA2" s="47">
        <v>20</v>
      </c>
    </row>
    <row r="4" spans="1:27" x14ac:dyDescent="0.25">
      <c r="A4" s="101">
        <v>1</v>
      </c>
      <c r="C4" s="100" t="s">
        <v>626</v>
      </c>
      <c r="F4" s="47" t="s">
        <v>627</v>
      </c>
      <c r="G4" s="310" t="str">
        <f>INDEX(TariffProduct,MATCH(A1,TariffCode,0))</f>
        <v>Water</v>
      </c>
      <c r="H4" s="310"/>
    </row>
    <row r="6" spans="1:27" x14ac:dyDescent="0.25">
      <c r="C6" s="100" t="s">
        <v>628</v>
      </c>
    </row>
    <row r="7" spans="1:27" x14ac:dyDescent="0.25">
      <c r="A7" s="101">
        <v>2</v>
      </c>
      <c r="E7" s="102" t="s">
        <v>616</v>
      </c>
      <c r="F7" s="47" t="s">
        <v>629</v>
      </c>
      <c r="G7" s="102">
        <f>Assumptions!H23</f>
        <v>90</v>
      </c>
    </row>
    <row r="8" spans="1:27" x14ac:dyDescent="0.25">
      <c r="A8" s="101">
        <v>3</v>
      </c>
      <c r="E8" s="102" t="s">
        <v>617</v>
      </c>
      <c r="F8" s="47" t="s">
        <v>629</v>
      </c>
      <c r="G8" s="102">
        <f>Assumptions!H24</f>
        <v>30</v>
      </c>
    </row>
    <row r="9" spans="1:27" x14ac:dyDescent="0.25">
      <c r="A9" s="101">
        <v>4</v>
      </c>
      <c r="E9" s="102" t="s">
        <v>144</v>
      </c>
      <c r="F9" s="47" t="s">
        <v>629</v>
      </c>
      <c r="G9" s="102">
        <f>Assumptions!H25</f>
        <v>80</v>
      </c>
    </row>
    <row r="10" spans="1:27" x14ac:dyDescent="0.25">
      <c r="A10" s="101">
        <v>5</v>
      </c>
      <c r="E10" s="47" t="s">
        <v>630</v>
      </c>
      <c r="F10" s="47" t="s">
        <v>629</v>
      </c>
      <c r="G10" s="102">
        <f>Assumptions!H26</f>
        <v>5</v>
      </c>
    </row>
    <row r="13" spans="1:27" x14ac:dyDescent="0.25">
      <c r="C13" s="100" t="s">
        <v>631</v>
      </c>
    </row>
    <row r="14" spans="1:27" x14ac:dyDescent="0.25">
      <c r="A14" s="101">
        <v>6</v>
      </c>
      <c r="E14" s="47" t="s">
        <v>632</v>
      </c>
      <c r="F14" s="47" t="s">
        <v>633</v>
      </c>
      <c r="G14" s="103">
        <f>Assumptions!H16</f>
        <v>0</v>
      </c>
    </row>
    <row r="15" spans="1:27" x14ac:dyDescent="0.25">
      <c r="A15" s="101">
        <v>7</v>
      </c>
      <c r="E15" s="47" t="s">
        <v>634</v>
      </c>
      <c r="F15" s="47" t="s">
        <v>633</v>
      </c>
      <c r="G15" s="103">
        <f>'INPUT Reg'!AD20</f>
        <v>2.41E-2</v>
      </c>
    </row>
    <row r="16" spans="1:27" x14ac:dyDescent="0.25">
      <c r="E16" s="47" t="s">
        <v>635</v>
      </c>
      <c r="F16" s="47" t="s">
        <v>633</v>
      </c>
      <c r="G16" s="282">
        <f>(1+G15)/(1+G14)-1</f>
        <v>2.410000000000001E-2</v>
      </c>
    </row>
    <row r="17" spans="1:27" x14ac:dyDescent="0.25">
      <c r="E17" s="47" t="s">
        <v>636</v>
      </c>
      <c r="F17" s="47" t="s">
        <v>633</v>
      </c>
      <c r="G17" s="105">
        <f>'INPUT Reg'!E22</f>
        <v>0.5</v>
      </c>
    </row>
    <row r="18" spans="1:27" x14ac:dyDescent="0.25">
      <c r="A18" s="101">
        <v>9</v>
      </c>
      <c r="E18" s="47" t="s">
        <v>637</v>
      </c>
      <c r="F18" s="47" t="s">
        <v>633</v>
      </c>
      <c r="G18" s="105">
        <f>'INPUT Reg'!E23</f>
        <v>0.3</v>
      </c>
      <c r="H18" s="105">
        <f>G18</f>
        <v>0.3</v>
      </c>
      <c r="I18" s="105">
        <f t="shared" ref="I18:AA18" si="0">H18</f>
        <v>0.3</v>
      </c>
      <c r="J18" s="105">
        <f t="shared" si="0"/>
        <v>0.3</v>
      </c>
      <c r="K18" s="105">
        <f t="shared" si="0"/>
        <v>0.3</v>
      </c>
      <c r="L18" s="105">
        <f t="shared" si="0"/>
        <v>0.3</v>
      </c>
      <c r="M18" s="105">
        <f t="shared" si="0"/>
        <v>0.3</v>
      </c>
      <c r="N18" s="105">
        <f t="shared" si="0"/>
        <v>0.3</v>
      </c>
      <c r="O18" s="105">
        <f t="shared" si="0"/>
        <v>0.3</v>
      </c>
      <c r="P18" s="105">
        <f t="shared" si="0"/>
        <v>0.3</v>
      </c>
      <c r="Q18" s="105">
        <f t="shared" si="0"/>
        <v>0.3</v>
      </c>
      <c r="R18" s="105">
        <f t="shared" si="0"/>
        <v>0.3</v>
      </c>
      <c r="S18" s="105">
        <f t="shared" si="0"/>
        <v>0.3</v>
      </c>
      <c r="T18" s="105">
        <f t="shared" si="0"/>
        <v>0.3</v>
      </c>
      <c r="U18" s="105">
        <f t="shared" si="0"/>
        <v>0.3</v>
      </c>
      <c r="V18" s="105">
        <f t="shared" si="0"/>
        <v>0.3</v>
      </c>
      <c r="W18" s="105">
        <f t="shared" si="0"/>
        <v>0.3</v>
      </c>
      <c r="X18" s="105">
        <f t="shared" si="0"/>
        <v>0.3</v>
      </c>
      <c r="Y18" s="105">
        <f t="shared" si="0"/>
        <v>0.3</v>
      </c>
      <c r="Z18" s="105">
        <f t="shared" si="0"/>
        <v>0.3</v>
      </c>
      <c r="AA18" s="105">
        <f t="shared" si="0"/>
        <v>0.3</v>
      </c>
    </row>
    <row r="20" spans="1:27" x14ac:dyDescent="0.25">
      <c r="A20" s="101">
        <v>10</v>
      </c>
      <c r="C20" s="100" t="s">
        <v>638</v>
      </c>
      <c r="D20" s="100"/>
    </row>
    <row r="21" spans="1:27" x14ac:dyDescent="0.25">
      <c r="E21" s="106" t="str">
        <f>E7</f>
        <v>Pipes / Storage</v>
      </c>
      <c r="F21" s="47" t="s">
        <v>639</v>
      </c>
      <c r="G21" s="102">
        <f>(SUMIFS('INPUT Capex'!AC$236:AC$255,'INPUT Capex'!$A$236:$A$255,$A$1,'INPUT Capex'!$G$236:$G$255,$E21)+SUMIFS('INPUT Capex'!AC$211:AC$228,'INPUT Capex'!$A$211:$A$228,$A$1,'INPUT Capex'!$G$211:$G$228,$E21))*IF(G$2=0,DASH!$E$8,1)</f>
        <v>0</v>
      </c>
      <c r="H21" s="102">
        <f>(SUMIFS('INPUT Capex'!AD$236:AD$255,'INPUT Capex'!$A$236:$A$255,$A$1,'INPUT Capex'!$G$236:$G$255,$E21)+SUMIFS('INPUT Capex'!AD$211:AD$228,'INPUT Capex'!$A$211:$A$228,$A$1,'INPUT Capex'!$G$211:$G$228,$E21))*IF(H$2=0,DASH!$E$8,1)</f>
        <v>17626198.240857743</v>
      </c>
      <c r="I21" s="102">
        <f>(SUMIFS('INPUT Capex'!AE$236:AE$255,'INPUT Capex'!$A$236:$A$255,$A$1,'INPUT Capex'!$G$236:$G$255,$E21)+SUMIFS('INPUT Capex'!AE$211:AE$228,'INPUT Capex'!$A$211:$A$228,$A$1,'INPUT Capex'!$G$211:$G$228,$E21))*IF(I$2=0,DASH!$E$8,1)</f>
        <v>14145727.221914101</v>
      </c>
      <c r="J21" s="102">
        <f>(SUMIFS('INPUT Capex'!AF$236:AF$255,'INPUT Capex'!$A$236:$A$255,$A$1,'INPUT Capex'!$G$236:$G$255,$E21)+SUMIFS('INPUT Capex'!AF$211:AF$228,'INPUT Capex'!$A$211:$A$228,$A$1,'INPUT Capex'!$G$211:$G$228,$E21))*IF(J$2=0,DASH!$E$8,1)</f>
        <v>19801759.371823493</v>
      </c>
      <c r="K21" s="102">
        <f>(SUMIFS('INPUT Capex'!AG$236:AG$255,'INPUT Capex'!$A$236:$A$255,$A$1,'INPUT Capex'!$G$236:$G$255,$E21)+SUMIFS('INPUT Capex'!AG$211:AG$228,'INPUT Capex'!$A$211:$A$228,$A$1,'INPUT Capex'!$G$211:$G$228,$E21))*IF(K$2=0,DASH!$E$8,1)</f>
        <v>20663223.24680353</v>
      </c>
      <c r="L21" s="102">
        <f>(SUMIFS('INPUT Capex'!AH$236:AH$255,'INPUT Capex'!$A$236:$A$255,$A$1,'INPUT Capex'!$G$236:$G$255,$E21)+SUMIFS('INPUT Capex'!AH$211:AH$228,'INPUT Capex'!$A$211:$A$228,$A$1,'INPUT Capex'!$G$211:$G$228,$E21))*IF(L$2=0,DASH!$E$8,1)</f>
        <v>21245493.460285638</v>
      </c>
      <c r="M21" s="102">
        <f>(SUMIFS('INPUT Capex'!AI$236:AI$255,'INPUT Capex'!$A$236:$A$255,$A$1,'INPUT Capex'!$G$236:$G$255,$E21)+SUMIFS('INPUT Capex'!AI$211:AI$228,'INPUT Capex'!$A$211:$A$228,$A$1,'INPUT Capex'!$G$211:$G$228,$E21))*IF(M$2=0,DASH!$E$8,1)</f>
        <v>29377192.396426387</v>
      </c>
      <c r="N21" s="102">
        <f>(SUMIFS('INPUT Capex'!AJ$236:AJ$255,'INPUT Capex'!$A$236:$A$255,$A$1,'INPUT Capex'!$G$236:$G$255,$E21)+SUMIFS('INPUT Capex'!AJ$211:AJ$228,'INPUT Capex'!$A$211:$A$228,$A$1,'INPUT Capex'!$G$211:$G$228,$E21))*IF(N$2=0,DASH!$E$8,1)</f>
        <v>45965406.506041795</v>
      </c>
      <c r="O21" s="102">
        <f>(SUMIFS('INPUT Capex'!AK$236:AK$255,'INPUT Capex'!$A$236:$A$255,$A$1,'INPUT Capex'!$G$236:$G$255,$E21)+SUMIFS('INPUT Capex'!AK$211:AK$228,'INPUT Capex'!$A$211:$A$228,$A$1,'INPUT Capex'!$G$211:$G$228,$E21))*IF(O$2=0,DASH!$E$8,1)</f>
        <v>55880908.869400382</v>
      </c>
      <c r="P21" s="102">
        <f>(SUMIFS('INPUT Capex'!AL$236:AL$255,'INPUT Capex'!$A$236:$A$255,$A$1,'INPUT Capex'!$G$236:$G$255,$E21)+SUMIFS('INPUT Capex'!AL$211:AL$228,'INPUT Capex'!$A$211:$A$228,$A$1,'INPUT Capex'!$G$211:$G$228,$E21))*IF(P$2=0,DASH!$E$8,1)</f>
        <v>43401515.452495992</v>
      </c>
      <c r="Q21" s="102">
        <f>(SUMIFS('INPUT Capex'!AM$236:AM$255,'INPUT Capex'!$A$236:$A$255,$A$1,'INPUT Capex'!$G$236:$G$255,$E21)+SUMIFS('INPUT Capex'!AM$211:AM$228,'INPUT Capex'!$A$211:$A$228,$A$1,'INPUT Capex'!$G$211:$G$228,$E21))*IF(Q$2=0,DASH!$E$8,1)</f>
        <v>39174103.336930044</v>
      </c>
      <c r="R21" s="102">
        <f>(SUMIFS('INPUT Capex'!AN$236:AN$255,'INPUT Capex'!$A$236:$A$255,$A$1,'INPUT Capex'!$G$236:$G$255,$E21)+SUMIFS('INPUT Capex'!AN$211:AN$228,'INPUT Capex'!$A$211:$A$228,$A$1,'INPUT Capex'!$G$211:$G$228,$E21))*IF(R$2=0,DASH!$E$8,1)</f>
        <v>39174103.336930044</v>
      </c>
      <c r="S21" s="102">
        <f>(SUMIFS('INPUT Capex'!AO$236:AO$255,'INPUT Capex'!$A$236:$A$255,$A$1,'INPUT Capex'!$G$236:$G$255,$E21)+SUMIFS('INPUT Capex'!AO$211:AO$228,'INPUT Capex'!$A$211:$A$228,$A$1,'INPUT Capex'!$G$211:$G$228,$E21))*IF(S$2=0,DASH!$E$8,1)</f>
        <v>39174103.336930044</v>
      </c>
      <c r="T21" s="102">
        <f>(SUMIFS('INPUT Capex'!AP$236:AP$255,'INPUT Capex'!$A$236:$A$255,$A$1,'INPUT Capex'!$G$236:$G$255,$E21)+SUMIFS('INPUT Capex'!AP$211:AP$228,'INPUT Capex'!$A$211:$A$228,$A$1,'INPUT Capex'!$G$211:$G$228,$E21))*IF(T$2=0,DASH!$E$8,1)</f>
        <v>39174103.336930044</v>
      </c>
      <c r="U21" s="102">
        <f>(SUMIFS('INPUT Capex'!AQ$236:AQ$255,'INPUT Capex'!$A$236:$A$255,$A$1,'INPUT Capex'!$G$236:$G$255,$E21)+SUMIFS('INPUT Capex'!AQ$211:AQ$228,'INPUT Capex'!$A$211:$A$228,$A$1,'INPUT Capex'!$G$211:$G$228,$E21))*IF(U$2=0,DASH!$E$8,1)</f>
        <v>39174103.336930044</v>
      </c>
      <c r="V21" s="102">
        <f>(SUMIFS('INPUT Capex'!AR$236:AR$255,'INPUT Capex'!$A$236:$A$255,$A$1,'INPUT Capex'!$G$236:$G$255,$E21)+SUMIFS('INPUT Capex'!AR$211:AR$228,'INPUT Capex'!$A$211:$A$228,$A$1,'INPUT Capex'!$G$211:$G$228,$E21))*IF(V$2=0,DASH!$E$8,1)</f>
        <v>39174103.336930044</v>
      </c>
      <c r="W21" s="102">
        <f>(SUMIFS('INPUT Capex'!AS$236:AS$255,'INPUT Capex'!$A$236:$A$255,$A$1,'INPUT Capex'!$G$236:$G$255,$E21)+SUMIFS('INPUT Capex'!AS$211:AS$228,'INPUT Capex'!$A$211:$A$228,$A$1,'INPUT Capex'!$G$211:$G$228,$E21))*IF(W$2=0,DASH!$E$8,1)</f>
        <v>39174103.336930044</v>
      </c>
      <c r="X21" s="102">
        <f>(SUMIFS('INPUT Capex'!AT$236:AT$255,'INPUT Capex'!$A$236:$A$255,$A$1,'INPUT Capex'!$G$236:$G$255,$E21)+SUMIFS('INPUT Capex'!AT$211:AT$228,'INPUT Capex'!$A$211:$A$228,$A$1,'INPUT Capex'!$G$211:$G$228,$E21))*IF(X$2=0,DASH!$E$8,1)</f>
        <v>39174103.336930044</v>
      </c>
      <c r="Y21" s="102">
        <f>(SUMIFS('INPUT Capex'!AU$236:AU$255,'INPUT Capex'!$A$236:$A$255,$A$1,'INPUT Capex'!$G$236:$G$255,$E21)+SUMIFS('INPUT Capex'!AU$211:AU$228,'INPUT Capex'!$A$211:$A$228,$A$1,'INPUT Capex'!$G$211:$G$228,$E21))*IF(Y$2=0,DASH!$E$8,1)</f>
        <v>39174103.336930044</v>
      </c>
      <c r="Z21" s="102">
        <f>(SUMIFS('INPUT Capex'!AV$236:AV$255,'INPUT Capex'!$A$236:$A$255,$A$1,'INPUT Capex'!$G$236:$G$255,$E21)+SUMIFS('INPUT Capex'!AV$211:AV$228,'INPUT Capex'!$A$211:$A$228,$A$1,'INPUT Capex'!$G$211:$G$228,$E21))*IF(Z$2=0,DASH!$E$8,1)</f>
        <v>39174103.336930044</v>
      </c>
      <c r="AA21" s="102">
        <f>(SUMIFS('INPUT Capex'!AW$236:AW$255,'INPUT Capex'!$A$236:$A$255,$A$1,'INPUT Capex'!$G$236:$G$255,$E21)+SUMIFS('INPUT Capex'!AW$211:AW$228,'INPUT Capex'!$A$211:$A$228,$A$1,'INPUT Capex'!$G$211:$G$228,$E21))*IF(AA$2=0,DASH!$E$8,1)</f>
        <v>39174103.336930044</v>
      </c>
    </row>
    <row r="22" spans="1:27" x14ac:dyDescent="0.25">
      <c r="E22" s="106" t="str">
        <f>E8</f>
        <v>Pumps / Valves</v>
      </c>
      <c r="F22" s="47" t="s">
        <v>639</v>
      </c>
      <c r="G22" s="102">
        <f>(SUMIFS('INPUT Capex'!AC$236:AC$255,'INPUT Capex'!$A$236:$A$255,$A$1,'INPUT Capex'!$G$236:$G$255,$E22)+SUMIFS('INPUT Capex'!AC$211:AC$228,'INPUT Capex'!$A$211:$A$228,$A$1,'INPUT Capex'!$G$211:$G$228,$E22))*IF(G$2=0,DASH!$E$8,1)</f>
        <v>0</v>
      </c>
      <c r="H22" s="102">
        <f>(SUMIFS('INPUT Capex'!AD$236:AD$255,'INPUT Capex'!$A$236:$A$255,$A$1,'INPUT Capex'!$G$236:$G$255,$E22)+SUMIFS('INPUT Capex'!AD$211:AD$228,'INPUT Capex'!$A$211:$A$228,$A$1,'INPUT Capex'!$G$211:$G$228,$E22))*IF(H$2=0,DASH!$E$8,1)</f>
        <v>0</v>
      </c>
      <c r="I22" s="102">
        <f>(SUMIFS('INPUT Capex'!AE$236:AE$255,'INPUT Capex'!$A$236:$A$255,$A$1,'INPUT Capex'!$G$236:$G$255,$E22)+SUMIFS('INPUT Capex'!AE$211:AE$228,'INPUT Capex'!$A$211:$A$228,$A$1,'INPUT Capex'!$G$211:$G$228,$E22))*IF(I$2=0,DASH!$E$8,1)</f>
        <v>0</v>
      </c>
      <c r="J22" s="102">
        <f>(SUMIFS('INPUT Capex'!AF$236:AF$255,'INPUT Capex'!$A$236:$A$255,$A$1,'INPUT Capex'!$G$236:$G$255,$E22)+SUMIFS('INPUT Capex'!AF$211:AF$228,'INPUT Capex'!$A$211:$A$228,$A$1,'INPUT Capex'!$G$211:$G$228,$E22))*IF(J$2=0,DASH!$E$8,1)</f>
        <v>0</v>
      </c>
      <c r="K22" s="102">
        <f>(SUMIFS('INPUT Capex'!AG$236:AG$255,'INPUT Capex'!$A$236:$A$255,$A$1,'INPUT Capex'!$G$236:$G$255,$E22)+SUMIFS('INPUT Capex'!AG$211:AG$228,'INPUT Capex'!$A$211:$A$228,$A$1,'INPUT Capex'!$G$211:$G$228,$E22))*IF(K$2=0,DASH!$E$8,1)</f>
        <v>0</v>
      </c>
      <c r="L22" s="102">
        <f>(SUMIFS('INPUT Capex'!AH$236:AH$255,'INPUT Capex'!$A$236:$A$255,$A$1,'INPUT Capex'!$G$236:$G$255,$E22)+SUMIFS('INPUT Capex'!AH$211:AH$228,'INPUT Capex'!$A$211:$A$228,$A$1,'INPUT Capex'!$G$211:$G$228,$E22))*IF(L$2=0,DASH!$E$8,1)</f>
        <v>0</v>
      </c>
      <c r="M22" s="102">
        <f>(SUMIFS('INPUT Capex'!AI$236:AI$255,'INPUT Capex'!$A$236:$A$255,$A$1,'INPUT Capex'!$G$236:$G$255,$E22)+SUMIFS('INPUT Capex'!AI$211:AI$228,'INPUT Capex'!$A$211:$A$228,$A$1,'INPUT Capex'!$G$211:$G$228,$E22))*IF(M$2=0,DASH!$E$8,1)</f>
        <v>0</v>
      </c>
      <c r="N22" s="102">
        <f>(SUMIFS('INPUT Capex'!AJ$236:AJ$255,'INPUT Capex'!$A$236:$A$255,$A$1,'INPUT Capex'!$G$236:$G$255,$E22)+SUMIFS('INPUT Capex'!AJ$211:AJ$228,'INPUT Capex'!$A$211:$A$228,$A$1,'INPUT Capex'!$G$211:$G$228,$E22))*IF(N$2=0,DASH!$E$8,1)</f>
        <v>0</v>
      </c>
      <c r="O22" s="102">
        <f>(SUMIFS('INPUT Capex'!AK$236:AK$255,'INPUT Capex'!$A$236:$A$255,$A$1,'INPUT Capex'!$G$236:$G$255,$E22)+SUMIFS('INPUT Capex'!AK$211:AK$228,'INPUT Capex'!$A$211:$A$228,$A$1,'INPUT Capex'!$G$211:$G$228,$E22))*IF(O$2=0,DASH!$E$8,1)</f>
        <v>0</v>
      </c>
      <c r="P22" s="102">
        <f>(SUMIFS('INPUT Capex'!AL$236:AL$255,'INPUT Capex'!$A$236:$A$255,$A$1,'INPUT Capex'!$G$236:$G$255,$E22)+SUMIFS('INPUT Capex'!AL$211:AL$228,'INPUT Capex'!$A$211:$A$228,$A$1,'INPUT Capex'!$G$211:$G$228,$E22))*IF(P$2=0,DASH!$E$8,1)</f>
        <v>0</v>
      </c>
      <c r="Q22" s="102">
        <f>(SUMIFS('INPUT Capex'!AM$236:AM$255,'INPUT Capex'!$A$236:$A$255,$A$1,'INPUT Capex'!$G$236:$G$255,$E22)+SUMIFS('INPUT Capex'!AM$211:AM$228,'INPUT Capex'!$A$211:$A$228,$A$1,'INPUT Capex'!$G$211:$G$228,$E22))*IF(Q$2=0,DASH!$E$8,1)</f>
        <v>0</v>
      </c>
      <c r="R22" s="102">
        <f>(SUMIFS('INPUT Capex'!AN$236:AN$255,'INPUT Capex'!$A$236:$A$255,$A$1,'INPUT Capex'!$G$236:$G$255,$E22)+SUMIFS('INPUT Capex'!AN$211:AN$228,'INPUT Capex'!$A$211:$A$228,$A$1,'INPUT Capex'!$G$211:$G$228,$E22))*IF(R$2=0,DASH!$E$8,1)</f>
        <v>0</v>
      </c>
      <c r="S22" s="102">
        <f>(SUMIFS('INPUT Capex'!AO$236:AO$255,'INPUT Capex'!$A$236:$A$255,$A$1,'INPUT Capex'!$G$236:$G$255,$E22)+SUMIFS('INPUT Capex'!AO$211:AO$228,'INPUT Capex'!$A$211:$A$228,$A$1,'INPUT Capex'!$G$211:$G$228,$E22))*IF(S$2=0,DASH!$E$8,1)</f>
        <v>0</v>
      </c>
      <c r="T22" s="102">
        <f>(SUMIFS('INPUT Capex'!AP$236:AP$255,'INPUT Capex'!$A$236:$A$255,$A$1,'INPUT Capex'!$G$236:$G$255,$E22)+SUMIFS('INPUT Capex'!AP$211:AP$228,'INPUT Capex'!$A$211:$A$228,$A$1,'INPUT Capex'!$G$211:$G$228,$E22))*IF(T$2=0,DASH!$E$8,1)</f>
        <v>0</v>
      </c>
      <c r="U22" s="102">
        <f>(SUMIFS('INPUT Capex'!AQ$236:AQ$255,'INPUT Capex'!$A$236:$A$255,$A$1,'INPUT Capex'!$G$236:$G$255,$E22)+SUMIFS('INPUT Capex'!AQ$211:AQ$228,'INPUT Capex'!$A$211:$A$228,$A$1,'INPUT Capex'!$G$211:$G$228,$E22))*IF(U$2=0,DASH!$E$8,1)</f>
        <v>0</v>
      </c>
      <c r="V22" s="102">
        <f>(SUMIFS('INPUT Capex'!AR$236:AR$255,'INPUT Capex'!$A$236:$A$255,$A$1,'INPUT Capex'!$G$236:$G$255,$E22)+SUMIFS('INPUT Capex'!AR$211:AR$228,'INPUT Capex'!$A$211:$A$228,$A$1,'INPUT Capex'!$G$211:$G$228,$E22))*IF(V$2=0,DASH!$E$8,1)</f>
        <v>0</v>
      </c>
      <c r="W22" s="102">
        <f>(SUMIFS('INPUT Capex'!AS$236:AS$255,'INPUT Capex'!$A$236:$A$255,$A$1,'INPUT Capex'!$G$236:$G$255,$E22)+SUMIFS('INPUT Capex'!AS$211:AS$228,'INPUT Capex'!$A$211:$A$228,$A$1,'INPUT Capex'!$G$211:$G$228,$E22))*IF(W$2=0,DASH!$E$8,1)</f>
        <v>0</v>
      </c>
      <c r="X22" s="102">
        <f>(SUMIFS('INPUT Capex'!AT$236:AT$255,'INPUT Capex'!$A$236:$A$255,$A$1,'INPUT Capex'!$G$236:$G$255,$E22)+SUMIFS('INPUT Capex'!AT$211:AT$228,'INPUT Capex'!$A$211:$A$228,$A$1,'INPUT Capex'!$G$211:$G$228,$E22))*IF(X$2=0,DASH!$E$8,1)</f>
        <v>0</v>
      </c>
      <c r="Y22" s="102">
        <f>(SUMIFS('INPUT Capex'!AU$236:AU$255,'INPUT Capex'!$A$236:$A$255,$A$1,'INPUT Capex'!$G$236:$G$255,$E22)+SUMIFS('INPUT Capex'!AU$211:AU$228,'INPUT Capex'!$A$211:$A$228,$A$1,'INPUT Capex'!$G$211:$G$228,$E22))*IF(Y$2=0,DASH!$E$8,1)</f>
        <v>0</v>
      </c>
      <c r="Z22" s="102">
        <f>(SUMIFS('INPUT Capex'!AV$236:AV$255,'INPUT Capex'!$A$236:$A$255,$A$1,'INPUT Capex'!$G$236:$G$255,$E22)+SUMIFS('INPUT Capex'!AV$211:AV$228,'INPUT Capex'!$A$211:$A$228,$A$1,'INPUT Capex'!$G$211:$G$228,$E22))*IF(Z$2=0,DASH!$E$8,1)</f>
        <v>0</v>
      </c>
      <c r="AA22" s="102">
        <f>(SUMIFS('INPUT Capex'!AW$236:AW$255,'INPUT Capex'!$A$236:$A$255,$A$1,'INPUT Capex'!$G$236:$G$255,$E22)+SUMIFS('INPUT Capex'!AW$211:AW$228,'INPUT Capex'!$A$211:$A$228,$A$1,'INPUT Capex'!$G$211:$G$228,$E22))*IF(AA$2=0,DASH!$E$8,1)</f>
        <v>0</v>
      </c>
    </row>
    <row r="23" spans="1:27" x14ac:dyDescent="0.25">
      <c r="E23" s="106" t="str">
        <f>E9</f>
        <v>Treatment</v>
      </c>
      <c r="F23" s="47" t="s">
        <v>639</v>
      </c>
      <c r="G23" s="102">
        <f>(SUMIFS('INPUT Capex'!AC$236:AC$255,'INPUT Capex'!$A$236:$A$255,$A$1,'INPUT Capex'!$G$236:$G$255,$E23)+SUMIFS('INPUT Capex'!AC$211:AC$228,'INPUT Capex'!$A$211:$A$228,$A$1,'INPUT Capex'!$G$211:$G$228,$E23))*IF(G$2=0,DASH!$E$8,1)</f>
        <v>0</v>
      </c>
      <c r="H23" s="102">
        <f>(SUMIFS('INPUT Capex'!AD$236:AD$255,'INPUT Capex'!$A$236:$A$255,$A$1,'INPUT Capex'!$G$236:$G$255,$E23)+SUMIFS('INPUT Capex'!AD$211:AD$228,'INPUT Capex'!$A$211:$A$228,$A$1,'INPUT Capex'!$G$211:$G$228,$E23))*IF(H$2=0,DASH!$E$8,1)</f>
        <v>4278945.8551253257</v>
      </c>
      <c r="I23" s="102">
        <f>(SUMIFS('INPUT Capex'!AE$236:AE$255,'INPUT Capex'!$A$236:$A$255,$A$1,'INPUT Capex'!$G$236:$G$255,$E23)+SUMIFS('INPUT Capex'!AE$211:AE$228,'INPUT Capex'!$A$211:$A$228,$A$1,'INPUT Capex'!$G$211:$G$228,$E23))*IF(I$2=0,DASH!$E$8,1)</f>
        <v>4176762.7752369177</v>
      </c>
      <c r="J23" s="102">
        <f>(SUMIFS('INPUT Capex'!AF$236:AF$255,'INPUT Capex'!$A$236:$A$255,$A$1,'INPUT Capex'!$G$236:$G$255,$E23)+SUMIFS('INPUT Capex'!AF$211:AF$228,'INPUT Capex'!$A$211:$A$228,$A$1,'INPUT Capex'!$G$211:$G$228,$E23))*IF(J$2=0,DASH!$E$8,1)</f>
        <v>4098231.0599069512</v>
      </c>
      <c r="K23" s="102">
        <f>(SUMIFS('INPUT Capex'!AG$236:AG$255,'INPUT Capex'!$A$236:$A$255,$A$1,'INPUT Capex'!$G$236:$G$255,$E23)+SUMIFS('INPUT Capex'!AG$211:AG$228,'INPUT Capex'!$A$211:$A$228,$A$1,'INPUT Capex'!$G$211:$G$228,$E23))*IF(K$2=0,DASH!$E$8,1)</f>
        <v>2663534.6932939864</v>
      </c>
      <c r="L23" s="102">
        <f>(SUMIFS('INPUT Capex'!AH$236:AH$255,'INPUT Capex'!$A$236:$A$255,$A$1,'INPUT Capex'!$G$236:$G$255,$E23)+SUMIFS('INPUT Capex'!AH$211:AH$228,'INPUT Capex'!$A$211:$A$228,$A$1,'INPUT Capex'!$G$211:$G$228,$E23))*IF(L$2=0,DASH!$E$8,1)</f>
        <v>3214748.5807588832</v>
      </c>
      <c r="M23" s="102">
        <f>(SUMIFS('INPUT Capex'!AI$236:AI$255,'INPUT Capex'!$A$236:$A$255,$A$1,'INPUT Capex'!$G$236:$G$255,$E23)+SUMIFS('INPUT Capex'!AI$211:AI$228,'INPUT Capex'!$A$211:$A$228,$A$1,'INPUT Capex'!$G$211:$G$228,$E23))*IF(M$2=0,DASH!$E$8,1)</f>
        <v>4362873.0738870557</v>
      </c>
      <c r="N23" s="102">
        <f>(SUMIFS('INPUT Capex'!AJ$236:AJ$255,'INPUT Capex'!$A$236:$A$255,$A$1,'INPUT Capex'!$G$236:$G$255,$E23)+SUMIFS('INPUT Capex'!AJ$211:AJ$228,'INPUT Capex'!$A$211:$A$228,$A$1,'INPUT Capex'!$G$211:$G$228,$E23))*IF(N$2=0,DASH!$E$8,1)</f>
        <v>4362873.0738870557</v>
      </c>
      <c r="O23" s="102">
        <f>(SUMIFS('INPUT Capex'!AK$236:AK$255,'INPUT Capex'!$A$236:$A$255,$A$1,'INPUT Capex'!$G$236:$G$255,$E23)+SUMIFS('INPUT Capex'!AK$211:AK$228,'INPUT Capex'!$A$211:$A$228,$A$1,'INPUT Capex'!$G$211:$G$228,$E23))*IF(O$2=0,DASH!$E$8,1)</f>
        <v>2066624.0876307106</v>
      </c>
      <c r="P23" s="102">
        <f>(SUMIFS('INPUT Capex'!AL$236:AL$255,'INPUT Capex'!$A$236:$A$255,$A$1,'INPUT Capex'!$G$236:$G$255,$E23)+SUMIFS('INPUT Capex'!AL$211:AL$228,'INPUT Capex'!$A$211:$A$228,$A$1,'INPUT Capex'!$G$211:$G$228,$E23))*IF(P$2=0,DASH!$E$8,1)</f>
        <v>2066624.0876307106</v>
      </c>
      <c r="Q23" s="102">
        <f>(SUMIFS('INPUT Capex'!AM$236:AM$255,'INPUT Capex'!$A$236:$A$255,$A$1,'INPUT Capex'!$G$236:$G$255,$E23)+SUMIFS('INPUT Capex'!AM$211:AM$228,'INPUT Capex'!$A$211:$A$228,$A$1,'INPUT Capex'!$G$211:$G$228,$E23))*IF(Q$2=0,DASH!$E$8,1)</f>
        <v>3214748.5807588832</v>
      </c>
      <c r="R23" s="102">
        <f>(SUMIFS('INPUT Capex'!AN$236:AN$255,'INPUT Capex'!$A$236:$A$255,$A$1,'INPUT Capex'!$G$236:$G$255,$E23)+SUMIFS('INPUT Capex'!AN$211:AN$228,'INPUT Capex'!$A$211:$A$228,$A$1,'INPUT Capex'!$G$211:$G$228,$E23))*IF(R$2=0,DASH!$E$8,1)</f>
        <v>3214748.5807588832</v>
      </c>
      <c r="S23" s="102">
        <f>(SUMIFS('INPUT Capex'!AO$236:AO$255,'INPUT Capex'!$A$236:$A$255,$A$1,'INPUT Capex'!$G$236:$G$255,$E23)+SUMIFS('INPUT Capex'!AO$211:AO$228,'INPUT Capex'!$A$211:$A$228,$A$1,'INPUT Capex'!$G$211:$G$228,$E23))*IF(S$2=0,DASH!$E$8,1)</f>
        <v>3214748.5807588832</v>
      </c>
      <c r="T23" s="102">
        <f>(SUMIFS('INPUT Capex'!AP$236:AP$255,'INPUT Capex'!$A$236:$A$255,$A$1,'INPUT Capex'!$G$236:$G$255,$E23)+SUMIFS('INPUT Capex'!AP$211:AP$228,'INPUT Capex'!$A$211:$A$228,$A$1,'INPUT Capex'!$G$211:$G$228,$E23))*IF(T$2=0,DASH!$E$8,1)</f>
        <v>3214748.5807588832</v>
      </c>
      <c r="U23" s="102">
        <f>(SUMIFS('INPUT Capex'!AQ$236:AQ$255,'INPUT Capex'!$A$236:$A$255,$A$1,'INPUT Capex'!$G$236:$G$255,$E23)+SUMIFS('INPUT Capex'!AQ$211:AQ$228,'INPUT Capex'!$A$211:$A$228,$A$1,'INPUT Capex'!$G$211:$G$228,$E23))*IF(U$2=0,DASH!$E$8,1)</f>
        <v>3214748.5807588832</v>
      </c>
      <c r="V23" s="102">
        <f>(SUMIFS('INPUT Capex'!AR$236:AR$255,'INPUT Capex'!$A$236:$A$255,$A$1,'INPUT Capex'!$G$236:$G$255,$E23)+SUMIFS('INPUT Capex'!AR$211:AR$228,'INPUT Capex'!$A$211:$A$228,$A$1,'INPUT Capex'!$G$211:$G$228,$E23))*IF(V$2=0,DASH!$E$8,1)</f>
        <v>3214748.5807588832</v>
      </c>
      <c r="W23" s="102">
        <f>(SUMIFS('INPUT Capex'!AS$236:AS$255,'INPUT Capex'!$A$236:$A$255,$A$1,'INPUT Capex'!$G$236:$G$255,$E23)+SUMIFS('INPUT Capex'!AS$211:AS$228,'INPUT Capex'!$A$211:$A$228,$A$1,'INPUT Capex'!$G$211:$G$228,$E23))*IF(W$2=0,DASH!$E$8,1)</f>
        <v>3214748.5807588832</v>
      </c>
      <c r="X23" s="102">
        <f>(SUMIFS('INPUT Capex'!AT$236:AT$255,'INPUT Capex'!$A$236:$A$255,$A$1,'INPUT Capex'!$G$236:$G$255,$E23)+SUMIFS('INPUT Capex'!AT$211:AT$228,'INPUT Capex'!$A$211:$A$228,$A$1,'INPUT Capex'!$G$211:$G$228,$E23))*IF(X$2=0,DASH!$E$8,1)</f>
        <v>3214748.5807588832</v>
      </c>
      <c r="Y23" s="102">
        <f>(SUMIFS('INPUT Capex'!AU$236:AU$255,'INPUT Capex'!$A$236:$A$255,$A$1,'INPUT Capex'!$G$236:$G$255,$E23)+SUMIFS('INPUT Capex'!AU$211:AU$228,'INPUT Capex'!$A$211:$A$228,$A$1,'INPUT Capex'!$G$211:$G$228,$E23))*IF(Y$2=0,DASH!$E$8,1)</f>
        <v>3214748.5807588832</v>
      </c>
      <c r="Z23" s="102">
        <f>(SUMIFS('INPUT Capex'!AV$236:AV$255,'INPUT Capex'!$A$236:$A$255,$A$1,'INPUT Capex'!$G$236:$G$255,$E23)+SUMIFS('INPUT Capex'!AV$211:AV$228,'INPUT Capex'!$A$211:$A$228,$A$1,'INPUT Capex'!$G$211:$G$228,$E23))*IF(Z$2=0,DASH!$E$8,1)</f>
        <v>3214748.5807588832</v>
      </c>
      <c r="AA23" s="102">
        <f>(SUMIFS('INPUT Capex'!AW$236:AW$255,'INPUT Capex'!$A$236:$A$255,$A$1,'INPUT Capex'!$G$236:$G$255,$E23)+SUMIFS('INPUT Capex'!AW$211:AW$228,'INPUT Capex'!$A$211:$A$228,$A$1,'INPUT Capex'!$G$211:$G$228,$E23))*IF(AA$2=0,DASH!$E$8,1)</f>
        <v>3214748.5807588832</v>
      </c>
    </row>
    <row r="24" spans="1:27" x14ac:dyDescent="0.25">
      <c r="E24" s="47" t="s">
        <v>630</v>
      </c>
      <c r="F24" s="47" t="s">
        <v>639</v>
      </c>
      <c r="G24" s="102"/>
      <c r="H24" s="102"/>
      <c r="I24" s="102"/>
      <c r="J24" s="102"/>
      <c r="K24" s="102"/>
      <c r="L24" s="102"/>
      <c r="M24" s="102"/>
      <c r="N24" s="102"/>
      <c r="O24" s="102"/>
      <c r="P24" s="102"/>
      <c r="Q24" s="102"/>
      <c r="R24" s="102"/>
      <c r="S24" s="102"/>
      <c r="T24" s="102"/>
      <c r="U24" s="102"/>
      <c r="V24" s="102"/>
      <c r="W24" s="102"/>
      <c r="X24" s="102"/>
      <c r="Y24" s="102"/>
      <c r="Z24" s="102"/>
      <c r="AA24" s="102"/>
    </row>
    <row r="25" spans="1:27" x14ac:dyDescent="0.25">
      <c r="E25" s="47" t="s">
        <v>640</v>
      </c>
      <c r="F25" s="47" t="s">
        <v>639</v>
      </c>
      <c r="G25" s="102"/>
      <c r="H25" s="102"/>
      <c r="I25" s="102"/>
      <c r="J25" s="102"/>
      <c r="K25" s="102"/>
      <c r="L25" s="102"/>
      <c r="M25" s="102"/>
      <c r="N25" s="102"/>
      <c r="O25" s="102"/>
      <c r="P25" s="102"/>
      <c r="Q25" s="102"/>
      <c r="R25" s="102"/>
      <c r="S25" s="102"/>
      <c r="T25" s="102"/>
      <c r="U25" s="102"/>
      <c r="V25" s="102"/>
      <c r="W25" s="102"/>
      <c r="X25" s="102"/>
      <c r="Y25" s="102"/>
      <c r="Z25" s="102"/>
      <c r="AA25" s="102"/>
    </row>
    <row r="26" spans="1:27" x14ac:dyDescent="0.25">
      <c r="G26" s="106">
        <f>SUM(G21:G25)</f>
        <v>0</v>
      </c>
      <c r="H26" s="106">
        <f t="shared" ref="H26:AA26" si="1">SUM(H21:H25)</f>
        <v>21905144.095983069</v>
      </c>
      <c r="I26" s="106">
        <f t="shared" si="1"/>
        <v>18322489.997151017</v>
      </c>
      <c r="J26" s="106">
        <f t="shared" si="1"/>
        <v>23899990.431730445</v>
      </c>
      <c r="K26" s="106">
        <f t="shared" si="1"/>
        <v>23326757.940097515</v>
      </c>
      <c r="L26" s="106">
        <f t="shared" si="1"/>
        <v>24460242.041044522</v>
      </c>
      <c r="M26" s="106">
        <f t="shared" si="1"/>
        <v>33740065.470313445</v>
      </c>
      <c r="N26" s="106">
        <f t="shared" si="1"/>
        <v>50328279.579928853</v>
      </c>
      <c r="O26" s="106">
        <f t="shared" si="1"/>
        <v>57947532.957031094</v>
      </c>
      <c r="P26" s="106">
        <f t="shared" si="1"/>
        <v>45468139.540126704</v>
      </c>
      <c r="Q26" s="106">
        <f t="shared" si="1"/>
        <v>42388851.917688929</v>
      </c>
      <c r="R26" s="106">
        <f t="shared" si="1"/>
        <v>42388851.917688929</v>
      </c>
      <c r="S26" s="106">
        <f t="shared" si="1"/>
        <v>42388851.917688929</v>
      </c>
      <c r="T26" s="106">
        <f t="shared" si="1"/>
        <v>42388851.917688929</v>
      </c>
      <c r="U26" s="106">
        <f t="shared" si="1"/>
        <v>42388851.917688929</v>
      </c>
      <c r="V26" s="106">
        <f t="shared" si="1"/>
        <v>42388851.917688929</v>
      </c>
      <c r="W26" s="106">
        <f t="shared" si="1"/>
        <v>42388851.917688929</v>
      </c>
      <c r="X26" s="106">
        <f t="shared" si="1"/>
        <v>42388851.917688929</v>
      </c>
      <c r="Y26" s="106">
        <f t="shared" si="1"/>
        <v>42388851.917688929</v>
      </c>
      <c r="Z26" s="106">
        <f t="shared" si="1"/>
        <v>42388851.917688929</v>
      </c>
      <c r="AA26" s="106">
        <f t="shared" si="1"/>
        <v>42388851.917688929</v>
      </c>
    </row>
    <row r="27" spans="1:27" x14ac:dyDescent="0.25">
      <c r="G27" s="106"/>
      <c r="H27" s="106"/>
      <c r="I27" s="106"/>
      <c r="J27" s="106"/>
      <c r="K27" s="106"/>
      <c r="L27" s="106"/>
      <c r="M27" s="106"/>
      <c r="N27" s="106"/>
      <c r="O27" s="106"/>
      <c r="P27" s="106"/>
      <c r="Q27" s="106"/>
    </row>
    <row r="28" spans="1:27" x14ac:dyDescent="0.25">
      <c r="D28" s="47" t="s">
        <v>641</v>
      </c>
      <c r="G28" s="106"/>
      <c r="H28" s="106"/>
      <c r="I28" s="106"/>
      <c r="J28" s="106"/>
      <c r="K28" s="106"/>
      <c r="L28" s="106"/>
      <c r="M28" s="106"/>
      <c r="N28" s="106"/>
      <c r="O28" s="106"/>
      <c r="P28" s="106"/>
      <c r="Q28" s="106"/>
    </row>
    <row r="29" spans="1:27" x14ac:dyDescent="0.25">
      <c r="E29" s="106" t="str">
        <f>E21</f>
        <v>Pipes / Storage</v>
      </c>
      <c r="F29" s="47" t="s">
        <v>639</v>
      </c>
      <c r="G29" s="106">
        <f>G21/$G7+IF((G$2-$G7+1)&gt;0,-INDEX($G21:$AP21,1,(G$2-$G7+1))/$G7,0)</f>
        <v>0</v>
      </c>
      <c r="H29" s="106">
        <f t="shared" ref="H29:AA29" si="2">H21/$G7+IF((H$2-$G7+1)&gt;0,-INDEX($G21:$AP21,1,(H$2-$G7+1))/$G7,0)</f>
        <v>195846.64712064157</v>
      </c>
      <c r="I29" s="106">
        <f t="shared" si="2"/>
        <v>157174.74691015668</v>
      </c>
      <c r="J29" s="106">
        <f t="shared" si="2"/>
        <v>220019.54857581659</v>
      </c>
      <c r="K29" s="106">
        <f t="shared" si="2"/>
        <v>229591.36940892812</v>
      </c>
      <c r="L29" s="106">
        <f t="shared" si="2"/>
        <v>236061.03844761819</v>
      </c>
      <c r="M29" s="106">
        <f t="shared" si="2"/>
        <v>326413.2488491821</v>
      </c>
      <c r="N29" s="106">
        <f t="shared" si="2"/>
        <v>510726.73895601992</v>
      </c>
      <c r="O29" s="106">
        <f t="shared" si="2"/>
        <v>620898.98743778199</v>
      </c>
      <c r="P29" s="106">
        <f t="shared" si="2"/>
        <v>482239.06058328878</v>
      </c>
      <c r="Q29" s="106">
        <f t="shared" si="2"/>
        <v>435267.81485477829</v>
      </c>
      <c r="R29" s="106">
        <f t="shared" si="2"/>
        <v>435267.81485477829</v>
      </c>
      <c r="S29" s="106">
        <f t="shared" si="2"/>
        <v>435267.81485477829</v>
      </c>
      <c r="T29" s="106">
        <f t="shared" si="2"/>
        <v>435267.81485477829</v>
      </c>
      <c r="U29" s="106">
        <f t="shared" si="2"/>
        <v>435267.81485477829</v>
      </c>
      <c r="V29" s="106">
        <f t="shared" si="2"/>
        <v>435267.81485477829</v>
      </c>
      <c r="W29" s="106">
        <f t="shared" si="2"/>
        <v>435267.81485477829</v>
      </c>
      <c r="X29" s="106">
        <f t="shared" si="2"/>
        <v>435267.81485477829</v>
      </c>
      <c r="Y29" s="106">
        <f t="shared" si="2"/>
        <v>435267.81485477829</v>
      </c>
      <c r="Z29" s="106">
        <f t="shared" si="2"/>
        <v>435267.81485477829</v>
      </c>
      <c r="AA29" s="106">
        <f t="shared" si="2"/>
        <v>435267.81485477829</v>
      </c>
    </row>
    <row r="30" spans="1:27" x14ac:dyDescent="0.25">
      <c r="E30" s="106" t="str">
        <f t="shared" ref="E30:E32" si="3">E22</f>
        <v>Pumps / Valves</v>
      </c>
      <c r="F30" s="47" t="s">
        <v>639</v>
      </c>
      <c r="G30" s="106">
        <f t="shared" ref="G30:AA32" si="4">G22/$G8+IF((G$2-$G8+1)&gt;0,-INDEX($G22:$AP22,1,(G$2-$G8+1))/$G8,0)</f>
        <v>0</v>
      </c>
      <c r="H30" s="106">
        <f t="shared" si="4"/>
        <v>0</v>
      </c>
      <c r="I30" s="106">
        <f t="shared" si="4"/>
        <v>0</v>
      </c>
      <c r="J30" s="106">
        <f t="shared" si="4"/>
        <v>0</v>
      </c>
      <c r="K30" s="106">
        <f t="shared" si="4"/>
        <v>0</v>
      </c>
      <c r="L30" s="106">
        <f t="shared" si="4"/>
        <v>0</v>
      </c>
      <c r="M30" s="106">
        <f t="shared" si="4"/>
        <v>0</v>
      </c>
      <c r="N30" s="106">
        <f t="shared" si="4"/>
        <v>0</v>
      </c>
      <c r="O30" s="106">
        <f t="shared" si="4"/>
        <v>0</v>
      </c>
      <c r="P30" s="106">
        <f t="shared" si="4"/>
        <v>0</v>
      </c>
      <c r="Q30" s="106">
        <f t="shared" si="4"/>
        <v>0</v>
      </c>
      <c r="R30" s="106">
        <f t="shared" si="4"/>
        <v>0</v>
      </c>
      <c r="S30" s="106">
        <f t="shared" si="4"/>
        <v>0</v>
      </c>
      <c r="T30" s="106">
        <f t="shared" si="4"/>
        <v>0</v>
      </c>
      <c r="U30" s="106">
        <f t="shared" si="4"/>
        <v>0</v>
      </c>
      <c r="V30" s="106">
        <f t="shared" si="4"/>
        <v>0</v>
      </c>
      <c r="W30" s="106">
        <f t="shared" si="4"/>
        <v>0</v>
      </c>
      <c r="X30" s="106">
        <f t="shared" si="4"/>
        <v>0</v>
      </c>
      <c r="Y30" s="106">
        <f t="shared" si="4"/>
        <v>0</v>
      </c>
      <c r="Z30" s="106">
        <f t="shared" si="4"/>
        <v>0</v>
      </c>
      <c r="AA30" s="106">
        <f t="shared" si="4"/>
        <v>0</v>
      </c>
    </row>
    <row r="31" spans="1:27" x14ac:dyDescent="0.25">
      <c r="E31" s="106" t="str">
        <f t="shared" si="3"/>
        <v>Treatment</v>
      </c>
      <c r="F31" s="47" t="s">
        <v>639</v>
      </c>
      <c r="G31" s="106">
        <f t="shared" si="4"/>
        <v>0</v>
      </c>
      <c r="H31" s="106">
        <f t="shared" si="4"/>
        <v>53486.82318906657</v>
      </c>
      <c r="I31" s="106">
        <f t="shared" si="4"/>
        <v>52209.534690461471</v>
      </c>
      <c r="J31" s="106">
        <f t="shared" si="4"/>
        <v>51227.888248836891</v>
      </c>
      <c r="K31" s="106">
        <f t="shared" si="4"/>
        <v>33294.183666174831</v>
      </c>
      <c r="L31" s="106">
        <f t="shared" si="4"/>
        <v>40184.357259486038</v>
      </c>
      <c r="M31" s="106">
        <f t="shared" si="4"/>
        <v>54535.913423588194</v>
      </c>
      <c r="N31" s="106">
        <f t="shared" si="4"/>
        <v>54535.913423588194</v>
      </c>
      <c r="O31" s="106">
        <f t="shared" si="4"/>
        <v>25832.801095383882</v>
      </c>
      <c r="P31" s="106">
        <f t="shared" si="4"/>
        <v>25832.801095383882</v>
      </c>
      <c r="Q31" s="106">
        <f t="shared" si="4"/>
        <v>40184.357259486038</v>
      </c>
      <c r="R31" s="106">
        <f t="shared" si="4"/>
        <v>40184.357259486038</v>
      </c>
      <c r="S31" s="106">
        <f t="shared" si="4"/>
        <v>40184.357259486038</v>
      </c>
      <c r="T31" s="106">
        <f t="shared" si="4"/>
        <v>40184.357259486038</v>
      </c>
      <c r="U31" s="106">
        <f t="shared" si="4"/>
        <v>40184.357259486038</v>
      </c>
      <c r="V31" s="106">
        <f t="shared" si="4"/>
        <v>40184.357259486038</v>
      </c>
      <c r="W31" s="106">
        <f t="shared" si="4"/>
        <v>40184.357259486038</v>
      </c>
      <c r="X31" s="106">
        <f t="shared" si="4"/>
        <v>40184.357259486038</v>
      </c>
      <c r="Y31" s="106">
        <f t="shared" si="4"/>
        <v>40184.357259486038</v>
      </c>
      <c r="Z31" s="106">
        <f t="shared" si="4"/>
        <v>40184.357259486038</v>
      </c>
      <c r="AA31" s="106">
        <f t="shared" si="4"/>
        <v>40184.357259486038</v>
      </c>
    </row>
    <row r="32" spans="1:27" x14ac:dyDescent="0.25">
      <c r="E32" s="106" t="str">
        <f t="shared" si="3"/>
        <v>Temporary Assets</v>
      </c>
      <c r="F32" s="47" t="s">
        <v>639</v>
      </c>
      <c r="G32" s="106">
        <f t="shared" si="4"/>
        <v>0</v>
      </c>
      <c r="H32" s="106">
        <f t="shared" si="4"/>
        <v>0</v>
      </c>
      <c r="I32" s="106">
        <f t="shared" si="4"/>
        <v>0</v>
      </c>
      <c r="J32" s="106">
        <f t="shared" si="4"/>
        <v>0</v>
      </c>
      <c r="K32" s="106">
        <f t="shared" si="4"/>
        <v>0</v>
      </c>
      <c r="L32" s="106">
        <f t="shared" si="4"/>
        <v>0</v>
      </c>
      <c r="M32" s="106">
        <f t="shared" si="4"/>
        <v>0</v>
      </c>
      <c r="N32" s="106">
        <f t="shared" si="4"/>
        <v>0</v>
      </c>
      <c r="O32" s="106">
        <f t="shared" si="4"/>
        <v>0</v>
      </c>
      <c r="P32" s="106">
        <f t="shared" si="4"/>
        <v>0</v>
      </c>
      <c r="Q32" s="106">
        <f t="shared" si="4"/>
        <v>0</v>
      </c>
      <c r="R32" s="106">
        <f t="shared" si="4"/>
        <v>0</v>
      </c>
      <c r="S32" s="106">
        <f t="shared" si="4"/>
        <v>0</v>
      </c>
      <c r="T32" s="106">
        <f t="shared" si="4"/>
        <v>0</v>
      </c>
      <c r="U32" s="106">
        <f t="shared" si="4"/>
        <v>0</v>
      </c>
      <c r="V32" s="106">
        <f t="shared" si="4"/>
        <v>0</v>
      </c>
      <c r="W32" s="106">
        <f t="shared" si="4"/>
        <v>0</v>
      </c>
      <c r="X32" s="106">
        <f t="shared" si="4"/>
        <v>0</v>
      </c>
      <c r="Y32" s="106">
        <f t="shared" si="4"/>
        <v>0</v>
      </c>
      <c r="Z32" s="106">
        <f t="shared" si="4"/>
        <v>0</v>
      </c>
      <c r="AA32" s="106">
        <f t="shared" si="4"/>
        <v>0</v>
      </c>
    </row>
    <row r="33" spans="1:27" x14ac:dyDescent="0.25">
      <c r="G33" s="106"/>
      <c r="H33" s="106"/>
      <c r="I33" s="106"/>
      <c r="J33" s="106"/>
      <c r="K33" s="106"/>
      <c r="L33" s="106"/>
      <c r="M33" s="106"/>
      <c r="N33" s="106"/>
      <c r="O33" s="106"/>
      <c r="P33" s="106"/>
      <c r="Q33" s="106"/>
    </row>
    <row r="34" spans="1:27" x14ac:dyDescent="0.25">
      <c r="D34" s="47" t="s">
        <v>642</v>
      </c>
      <c r="F34" s="47" t="s">
        <v>639</v>
      </c>
      <c r="G34" s="106">
        <f>SUM($G$29:G32)</f>
        <v>0</v>
      </c>
      <c r="H34" s="106">
        <f>SUM($G$29:H32)</f>
        <v>249333.47030970815</v>
      </c>
      <c r="I34" s="106">
        <f>SUM($G$29:I32)</f>
        <v>458717.75191032625</v>
      </c>
      <c r="J34" s="106">
        <f>SUM($G$29:J32)</f>
        <v>729965.18873497972</v>
      </c>
      <c r="K34" s="106">
        <f>SUM($G$29:K32)</f>
        <v>992850.74181008269</v>
      </c>
      <c r="L34" s="106">
        <f>SUM($G$29:L32)</f>
        <v>1269096.1375171868</v>
      </c>
      <c r="M34" s="106">
        <f>SUM($G$29:M32)</f>
        <v>1650045.299789957</v>
      </c>
      <c r="N34" s="106">
        <f>SUM($G$29:N32)</f>
        <v>2215307.952169565</v>
      </c>
      <c r="O34" s="106">
        <f>SUM($G$29:O32)</f>
        <v>2862039.7407027311</v>
      </c>
      <c r="P34" s="106">
        <f>SUM($G$29:P32)</f>
        <v>3370111.6023814036</v>
      </c>
      <c r="Q34" s="106">
        <f>SUM($G$29:Q32)</f>
        <v>3845563.7744956678</v>
      </c>
      <c r="R34" s="106">
        <f>SUM($G$29:R32)</f>
        <v>4321015.9466099329</v>
      </c>
      <c r="S34" s="106">
        <f>SUM($G$29:S32)</f>
        <v>4796468.1187241971</v>
      </c>
      <c r="T34" s="106">
        <f>SUM($G$29:T32)</f>
        <v>5271920.2908384614</v>
      </c>
      <c r="U34" s="106">
        <f>SUM($G$29:U32)</f>
        <v>5747372.4629527256</v>
      </c>
      <c r="V34" s="106">
        <f>SUM($G$29:V32)</f>
        <v>6222824.6350669898</v>
      </c>
      <c r="W34" s="106">
        <f>SUM($G$29:W32)</f>
        <v>6698276.807181254</v>
      </c>
      <c r="X34" s="106">
        <f>SUM($G$29:X32)</f>
        <v>7173728.9792955182</v>
      </c>
      <c r="Y34" s="106">
        <f>SUM($G$29:Y32)</f>
        <v>7649181.1514097825</v>
      </c>
      <c r="Z34" s="106">
        <f>SUM($G$29:Z32)</f>
        <v>8124633.3235240467</v>
      </c>
      <c r="AA34" s="106">
        <f>SUM($G$29:AA32)</f>
        <v>8600085.4956383109</v>
      </c>
    </row>
    <row r="35" spans="1:27" x14ac:dyDescent="0.25">
      <c r="G35" s="106"/>
      <c r="H35" s="106"/>
      <c r="I35" s="106"/>
      <c r="J35" s="106"/>
      <c r="K35" s="106"/>
      <c r="L35" s="106"/>
      <c r="M35" s="106"/>
      <c r="N35" s="106"/>
      <c r="O35" s="106"/>
      <c r="P35" s="106"/>
      <c r="Q35" s="106"/>
      <c r="R35" s="106"/>
      <c r="S35" s="106"/>
      <c r="T35" s="106"/>
      <c r="U35" s="106"/>
      <c r="V35" s="106"/>
      <c r="W35" s="106"/>
      <c r="X35" s="106"/>
      <c r="Y35" s="106"/>
      <c r="Z35" s="106"/>
      <c r="AA35" s="106"/>
    </row>
    <row r="36" spans="1:27" x14ac:dyDescent="0.25">
      <c r="A36" s="101">
        <v>11</v>
      </c>
      <c r="C36" s="100" t="s">
        <v>573</v>
      </c>
      <c r="D36" s="100"/>
    </row>
    <row r="37" spans="1:27" x14ac:dyDescent="0.25">
      <c r="E37" s="106" t="str">
        <f>E7</f>
        <v>Pipes / Storage</v>
      </c>
      <c r="F37" s="47" t="s">
        <v>639</v>
      </c>
      <c r="G37" s="102">
        <f>SUMIFS('INPUT Capex'!AC$48:AC$53,'INPUT Capex'!$A$48:$A$53,$A$1)*IF(G$2=0,DASH!$E$8,1)</f>
        <v>0</v>
      </c>
      <c r="H37" s="102">
        <f>SUMIFS('INPUT Capex'!AD$48:AD$53,'INPUT Capex'!$A$48:$A$53,$A$1)*IF(H$2=0,DASH!$E$8,1)</f>
        <v>9544088.579732962</v>
      </c>
      <c r="I37" s="102">
        <f>SUMIFS('INPUT Capex'!AE$48:AE$53,'INPUT Capex'!$A$48:$A$53,$A$1)*IF(I$2=0,DASH!$E$8,1)</f>
        <v>9751473.6738806479</v>
      </c>
      <c r="J37" s="102">
        <f>SUMIFS('INPUT Capex'!AF$48:AF$53,'INPUT Capex'!$A$48:$A$53,$A$1)*IF(J$2=0,DASH!$E$8,1)</f>
        <v>10371105.604382807</v>
      </c>
      <c r="K37" s="102">
        <f>SUMIFS('INPUT Capex'!AG$48:AG$53,'INPUT Capex'!$A$48:$A$53,$A$1)*IF(K$2=0,DASH!$E$8,1)</f>
        <v>10508638.545562441</v>
      </c>
      <c r="L37" s="102">
        <f>SUMIFS('INPUT Capex'!AH$48:AH$53,'INPUT Capex'!$A$48:$A$53,$A$1)*IF(L$2=0,DASH!$E$8,1)</f>
        <v>9468529.8360574432</v>
      </c>
      <c r="M37" s="102">
        <f>SUMIFS('INPUT Capex'!AI$48:AI$53,'INPUT Capex'!$A$48:$A$53,$A$1)*IF(M$2=0,DASH!$E$8,1)</f>
        <v>9604022.9159916546</v>
      </c>
      <c r="N37" s="102">
        <f>SUMIFS('INPUT Capex'!AJ$48:AJ$53,'INPUT Capex'!$A$48:$A$53,$A$1)*IF(N$2=0,DASH!$E$8,1)</f>
        <v>9337527.6405437943</v>
      </c>
      <c r="O37" s="102">
        <f>SUMIFS('INPUT Capex'!AK$48:AK$53,'INPUT Capex'!$A$48:$A$53,$A$1)*IF(O$2=0,DASH!$E$8,1)</f>
        <v>9832457.851763729</v>
      </c>
      <c r="P37" s="102">
        <f>SUMIFS('INPUT Capex'!AL$48:AL$53,'INPUT Capex'!$A$48:$A$53,$A$1)*IF(P$2=0,DASH!$E$8,1)</f>
        <v>10082660.013833353</v>
      </c>
      <c r="Q37" s="102">
        <f>SUMIFS('INPUT Capex'!AM$48:AM$53,'INPUT Capex'!$A$48:$A$53,$A$1)*IF(Q$2=0,DASH!$E$8,1)</f>
        <v>9927563.0076135471</v>
      </c>
      <c r="R37" s="102">
        <f>SUMIFS('INPUT Capex'!AN$48:AN$53,'INPUT Capex'!$A$48:$A$53,$A$1)*IF(R$2=0,DASH!$E$8,1)</f>
        <v>9702891.7247186098</v>
      </c>
      <c r="S37" s="102">
        <f>SUMIFS('INPUT Capex'!AO$48:AO$53,'INPUT Capex'!$A$48:$A$53,$A$1)*IF(S$2=0,DASH!$E$8,1)</f>
        <v>9439166.3469357919</v>
      </c>
      <c r="T37" s="102">
        <f>SUMIFS('INPUT Capex'!AP$48:AP$53,'INPUT Capex'!$A$48:$A$53,$A$1)*IF(T$2=0,DASH!$E$8,1)</f>
        <v>8885769.3244767319</v>
      </c>
      <c r="U37" s="102">
        <f>SUMIFS('INPUT Capex'!AQ$48:AQ$53,'INPUT Capex'!$A$48:$A$53,$A$1)*IF(U$2=0,DASH!$E$8,1)</f>
        <v>8207396.5617446415</v>
      </c>
      <c r="V37" s="102">
        <f>SUMIFS('INPUT Capex'!AR$48:AR$53,'INPUT Capex'!$A$48:$A$53,$A$1)*IF(V$2=0,DASH!$E$8,1)</f>
        <v>7422599.1416407619</v>
      </c>
      <c r="W37" s="102">
        <f>SUMIFS('INPUT Capex'!AS$48:AS$53,'INPUT Capex'!$A$48:$A$53,$A$1)*IF(W$2=0,DASH!$E$8,1)</f>
        <v>6683815.0965384478</v>
      </c>
      <c r="X37" s="102">
        <f>SUMIFS('INPUT Capex'!AT$48:AT$53,'INPUT Capex'!$A$48:$A$53,$A$1)*IF(X$2=0,DASH!$E$8,1)</f>
        <v>6211510.7745527206</v>
      </c>
      <c r="Y37" s="102">
        <f>SUMIFS('INPUT Capex'!AU$48:AU$53,'INPUT Capex'!$A$48:$A$53,$A$1)*IF(Y$2=0,DASH!$E$8,1)</f>
        <v>5425930.0179120712</v>
      </c>
      <c r="Z37" s="102">
        <f>SUMIFS('INPUT Capex'!AV$48:AV$53,'INPUT Capex'!$A$48:$A$53,$A$1)*IF(Z$2=0,DASH!$E$8,1)</f>
        <v>4562542.3221326051</v>
      </c>
      <c r="AA37" s="102">
        <f>SUMIFS('INPUT Capex'!AW$48:AW$53,'INPUT Capex'!$A$48:$A$53,$A$1)*IF(AA$2=0,DASH!$E$8,1)</f>
        <v>3899012.914458245</v>
      </c>
    </row>
    <row r="38" spans="1:27" x14ac:dyDescent="0.25">
      <c r="E38" s="106" t="str">
        <f>E8</f>
        <v>Pumps / Valves</v>
      </c>
      <c r="F38" s="47" t="s">
        <v>639</v>
      </c>
      <c r="G38" s="102"/>
      <c r="H38" s="102"/>
      <c r="I38" s="102"/>
      <c r="J38" s="102"/>
      <c r="K38" s="102"/>
      <c r="L38" s="102"/>
      <c r="M38" s="102"/>
      <c r="N38" s="102"/>
      <c r="O38" s="102"/>
      <c r="P38" s="102"/>
      <c r="Q38" s="102"/>
      <c r="R38" s="102"/>
      <c r="S38" s="102"/>
      <c r="T38" s="102"/>
      <c r="U38" s="102"/>
      <c r="V38" s="102"/>
      <c r="W38" s="102"/>
      <c r="X38" s="102"/>
      <c r="Y38" s="102"/>
      <c r="Z38" s="102"/>
      <c r="AA38" s="102"/>
    </row>
    <row r="39" spans="1:27" x14ac:dyDescent="0.25">
      <c r="E39" s="106" t="str">
        <f>E9</f>
        <v>Treatment</v>
      </c>
      <c r="F39" s="47" t="s">
        <v>639</v>
      </c>
      <c r="G39" s="102"/>
      <c r="H39" s="102"/>
      <c r="I39" s="102"/>
      <c r="J39" s="102"/>
      <c r="K39" s="102"/>
      <c r="L39" s="102"/>
      <c r="M39" s="102"/>
      <c r="N39" s="102"/>
      <c r="O39" s="102"/>
      <c r="P39" s="102"/>
      <c r="Q39" s="102"/>
      <c r="R39" s="102"/>
      <c r="S39" s="102"/>
      <c r="T39" s="102"/>
      <c r="U39" s="102"/>
      <c r="V39" s="102"/>
      <c r="W39" s="102"/>
      <c r="X39" s="102"/>
      <c r="Y39" s="102"/>
      <c r="Z39" s="102"/>
      <c r="AA39" s="102"/>
    </row>
    <row r="40" spans="1:27" x14ac:dyDescent="0.25">
      <c r="E40" s="106" t="str">
        <f>E10</f>
        <v>Temporary Assets</v>
      </c>
      <c r="F40" s="47" t="s">
        <v>639</v>
      </c>
      <c r="G40" s="102"/>
      <c r="H40" s="102"/>
      <c r="I40" s="102"/>
      <c r="J40" s="102"/>
      <c r="K40" s="102"/>
      <c r="L40" s="102"/>
      <c r="M40" s="102"/>
      <c r="N40" s="102"/>
      <c r="O40" s="102"/>
      <c r="P40" s="102"/>
      <c r="Q40" s="102"/>
      <c r="R40" s="102"/>
      <c r="S40" s="102"/>
      <c r="T40" s="102"/>
      <c r="U40" s="102"/>
      <c r="V40" s="102"/>
      <c r="W40" s="102"/>
      <c r="X40" s="102"/>
      <c r="Y40" s="102"/>
      <c r="Z40" s="102"/>
      <c r="AA40" s="102"/>
    </row>
    <row r="41" spans="1:27" x14ac:dyDescent="0.25">
      <c r="E41" s="47" t="s">
        <v>640</v>
      </c>
      <c r="F41" s="47" t="s">
        <v>639</v>
      </c>
      <c r="G41" s="102"/>
      <c r="H41" s="102"/>
      <c r="I41" s="102"/>
      <c r="J41" s="102"/>
      <c r="K41" s="102"/>
      <c r="L41" s="102"/>
      <c r="M41" s="102"/>
      <c r="N41" s="102"/>
      <c r="O41" s="102"/>
      <c r="P41" s="102"/>
      <c r="Q41" s="102"/>
      <c r="R41" s="102"/>
      <c r="S41" s="102"/>
      <c r="T41" s="102"/>
      <c r="U41" s="102"/>
      <c r="V41" s="102"/>
      <c r="W41" s="102"/>
      <c r="X41" s="102"/>
      <c r="Y41" s="102"/>
      <c r="Z41" s="102"/>
      <c r="AA41" s="102"/>
    </row>
    <row r="42" spans="1:27" x14ac:dyDescent="0.25">
      <c r="G42" s="106">
        <f>SUM(G37:G41)</f>
        <v>0</v>
      </c>
      <c r="H42" s="106">
        <f t="shared" ref="H42:AA42" si="5">SUM(H37:H41)</f>
        <v>9544088.579732962</v>
      </c>
      <c r="I42" s="106">
        <f t="shared" si="5"/>
        <v>9751473.6738806479</v>
      </c>
      <c r="J42" s="106">
        <f t="shared" si="5"/>
        <v>10371105.604382807</v>
      </c>
      <c r="K42" s="106">
        <f t="shared" si="5"/>
        <v>10508638.545562441</v>
      </c>
      <c r="L42" s="106">
        <f t="shared" si="5"/>
        <v>9468529.8360574432</v>
      </c>
      <c r="M42" s="106">
        <f t="shared" si="5"/>
        <v>9604022.9159916546</v>
      </c>
      <c r="N42" s="106">
        <f t="shared" si="5"/>
        <v>9337527.6405437943</v>
      </c>
      <c r="O42" s="106">
        <f t="shared" si="5"/>
        <v>9832457.851763729</v>
      </c>
      <c r="P42" s="106">
        <f t="shared" si="5"/>
        <v>10082660.013833353</v>
      </c>
      <c r="Q42" s="106">
        <f t="shared" si="5"/>
        <v>9927563.0076135471</v>
      </c>
      <c r="R42" s="106">
        <f t="shared" si="5"/>
        <v>9702891.7247186098</v>
      </c>
      <c r="S42" s="106">
        <f t="shared" si="5"/>
        <v>9439166.3469357919</v>
      </c>
      <c r="T42" s="106">
        <f t="shared" si="5"/>
        <v>8885769.3244767319</v>
      </c>
      <c r="U42" s="106">
        <f t="shared" si="5"/>
        <v>8207396.5617446415</v>
      </c>
      <c r="V42" s="106">
        <f t="shared" si="5"/>
        <v>7422599.1416407619</v>
      </c>
      <c r="W42" s="106">
        <f t="shared" si="5"/>
        <v>6683815.0965384478</v>
      </c>
      <c r="X42" s="106">
        <f t="shared" si="5"/>
        <v>6211510.7745527206</v>
      </c>
      <c r="Y42" s="106">
        <f t="shared" si="5"/>
        <v>5425930.0179120712</v>
      </c>
      <c r="Z42" s="106">
        <f t="shared" si="5"/>
        <v>4562542.3221326051</v>
      </c>
      <c r="AA42" s="106">
        <f t="shared" si="5"/>
        <v>3899012.914458245</v>
      </c>
    </row>
    <row r="43" spans="1:27" x14ac:dyDescent="0.25">
      <c r="G43" s="106"/>
      <c r="H43" s="106"/>
      <c r="I43" s="106"/>
      <c r="J43" s="106"/>
      <c r="K43" s="106"/>
      <c r="L43" s="106"/>
      <c r="M43" s="106"/>
      <c r="N43" s="106"/>
      <c r="O43" s="106"/>
      <c r="P43" s="106"/>
      <c r="Q43" s="106"/>
    </row>
    <row r="44" spans="1:27" x14ac:dyDescent="0.25">
      <c r="D44" s="47" t="s">
        <v>643</v>
      </c>
      <c r="G44" s="106"/>
      <c r="H44" s="106"/>
      <c r="I44" s="106"/>
      <c r="J44" s="106"/>
      <c r="K44" s="106"/>
      <c r="L44" s="106"/>
      <c r="M44" s="106"/>
      <c r="N44" s="106"/>
      <c r="O44" s="106"/>
      <c r="P44" s="106"/>
      <c r="Q44" s="106"/>
    </row>
    <row r="45" spans="1:27" x14ac:dyDescent="0.25">
      <c r="E45" s="106" t="str">
        <f>E37</f>
        <v>Pipes / Storage</v>
      </c>
      <c r="F45" s="47" t="s">
        <v>639</v>
      </c>
      <c r="G45" s="106">
        <f>G37/$G7+IF((G$2-$G7+1)&gt;0,-INDEX($G37:$AP37,1,(G$2-$G7+1))/$G7,0)</f>
        <v>0</v>
      </c>
      <c r="H45" s="106">
        <f t="shared" ref="H45:AA45" si="6">H37/$G7+IF((H$2-$G7+1)&gt;0,-INDEX($G37:$AP37,1,(H$2-$G7+1))/$G7,0)</f>
        <v>106045.42866369958</v>
      </c>
      <c r="I45" s="106">
        <f t="shared" si="6"/>
        <v>108349.70748756276</v>
      </c>
      <c r="J45" s="106">
        <f t="shared" si="6"/>
        <v>115234.50671536452</v>
      </c>
      <c r="K45" s="106">
        <f t="shared" si="6"/>
        <v>116762.65050624934</v>
      </c>
      <c r="L45" s="106">
        <f t="shared" si="6"/>
        <v>105205.88706730492</v>
      </c>
      <c r="M45" s="106">
        <f t="shared" si="6"/>
        <v>106711.3657332406</v>
      </c>
      <c r="N45" s="106">
        <f t="shared" si="6"/>
        <v>103750.30711715326</v>
      </c>
      <c r="O45" s="106">
        <f t="shared" si="6"/>
        <v>109249.53168626365</v>
      </c>
      <c r="P45" s="106">
        <f t="shared" si="6"/>
        <v>112029.55570925948</v>
      </c>
      <c r="Q45" s="106">
        <f t="shared" si="6"/>
        <v>110306.25564015053</v>
      </c>
      <c r="R45" s="106">
        <f t="shared" si="6"/>
        <v>107809.908052429</v>
      </c>
      <c r="S45" s="106">
        <f t="shared" si="6"/>
        <v>104879.62607706436</v>
      </c>
      <c r="T45" s="106">
        <f t="shared" si="6"/>
        <v>98730.770271963687</v>
      </c>
      <c r="U45" s="106">
        <f t="shared" si="6"/>
        <v>91193.295130496015</v>
      </c>
      <c r="V45" s="106">
        <f t="shared" si="6"/>
        <v>82473.323796008466</v>
      </c>
      <c r="W45" s="106">
        <f t="shared" si="6"/>
        <v>74264.612183760531</v>
      </c>
      <c r="X45" s="106">
        <f t="shared" si="6"/>
        <v>69016.786383919112</v>
      </c>
      <c r="Y45" s="106">
        <f t="shared" si="6"/>
        <v>60288.111310134125</v>
      </c>
      <c r="Z45" s="106">
        <f t="shared" si="6"/>
        <v>50694.914690362282</v>
      </c>
      <c r="AA45" s="106">
        <f t="shared" si="6"/>
        <v>43322.365716202723</v>
      </c>
    </row>
    <row r="46" spans="1:27" x14ac:dyDescent="0.25">
      <c r="E46" s="106" t="str">
        <f t="shared" ref="E46:E48" si="7">E38</f>
        <v>Pumps / Valves</v>
      </c>
      <c r="F46" s="47" t="s">
        <v>639</v>
      </c>
      <c r="G46" s="106">
        <f t="shared" ref="G46:AA48" si="8">G38/$G8+IF((G$2-$G8+1)&gt;0,-INDEX($G38:$AP38,1,(G$2-$G8+1))/$G8,0)</f>
        <v>0</v>
      </c>
      <c r="H46" s="106">
        <f t="shared" si="8"/>
        <v>0</v>
      </c>
      <c r="I46" s="106">
        <f t="shared" si="8"/>
        <v>0</v>
      </c>
      <c r="J46" s="106">
        <f t="shared" si="8"/>
        <v>0</v>
      </c>
      <c r="K46" s="106">
        <f t="shared" si="8"/>
        <v>0</v>
      </c>
      <c r="L46" s="106">
        <f t="shared" si="8"/>
        <v>0</v>
      </c>
      <c r="M46" s="106">
        <f t="shared" si="8"/>
        <v>0</v>
      </c>
      <c r="N46" s="106">
        <f t="shared" si="8"/>
        <v>0</v>
      </c>
      <c r="O46" s="106">
        <f t="shared" si="8"/>
        <v>0</v>
      </c>
      <c r="P46" s="106">
        <f t="shared" si="8"/>
        <v>0</v>
      </c>
      <c r="Q46" s="106">
        <f t="shared" si="8"/>
        <v>0</v>
      </c>
      <c r="R46" s="106">
        <f t="shared" si="8"/>
        <v>0</v>
      </c>
      <c r="S46" s="106">
        <f t="shared" si="8"/>
        <v>0</v>
      </c>
      <c r="T46" s="106">
        <f t="shared" si="8"/>
        <v>0</v>
      </c>
      <c r="U46" s="106">
        <f t="shared" si="8"/>
        <v>0</v>
      </c>
      <c r="V46" s="106">
        <f t="shared" si="8"/>
        <v>0</v>
      </c>
      <c r="W46" s="106">
        <f t="shared" si="8"/>
        <v>0</v>
      </c>
      <c r="X46" s="106">
        <f t="shared" si="8"/>
        <v>0</v>
      </c>
      <c r="Y46" s="106">
        <f t="shared" si="8"/>
        <v>0</v>
      </c>
      <c r="Z46" s="106">
        <f t="shared" si="8"/>
        <v>0</v>
      </c>
      <c r="AA46" s="106">
        <f t="shared" si="8"/>
        <v>0</v>
      </c>
    </row>
    <row r="47" spans="1:27" x14ac:dyDescent="0.25">
      <c r="E47" s="106" t="str">
        <f t="shared" si="7"/>
        <v>Treatment</v>
      </c>
      <c r="F47" s="47" t="s">
        <v>639</v>
      </c>
      <c r="G47" s="106">
        <f t="shared" si="8"/>
        <v>0</v>
      </c>
      <c r="H47" s="106">
        <f t="shared" si="8"/>
        <v>0</v>
      </c>
      <c r="I47" s="106">
        <f t="shared" si="8"/>
        <v>0</v>
      </c>
      <c r="J47" s="106">
        <f t="shared" si="8"/>
        <v>0</v>
      </c>
      <c r="K47" s="106">
        <f t="shared" si="8"/>
        <v>0</v>
      </c>
      <c r="L47" s="106">
        <f t="shared" si="8"/>
        <v>0</v>
      </c>
      <c r="M47" s="106">
        <f t="shared" si="8"/>
        <v>0</v>
      </c>
      <c r="N47" s="106">
        <f t="shared" si="8"/>
        <v>0</v>
      </c>
      <c r="O47" s="106">
        <f t="shared" si="8"/>
        <v>0</v>
      </c>
      <c r="P47" s="106">
        <f t="shared" si="8"/>
        <v>0</v>
      </c>
      <c r="Q47" s="106">
        <f t="shared" si="8"/>
        <v>0</v>
      </c>
      <c r="R47" s="106">
        <f t="shared" si="8"/>
        <v>0</v>
      </c>
      <c r="S47" s="106">
        <f t="shared" si="8"/>
        <v>0</v>
      </c>
      <c r="T47" s="106">
        <f t="shared" si="8"/>
        <v>0</v>
      </c>
      <c r="U47" s="106">
        <f t="shared" si="8"/>
        <v>0</v>
      </c>
      <c r="V47" s="106">
        <f t="shared" si="8"/>
        <v>0</v>
      </c>
      <c r="W47" s="106">
        <f t="shared" si="8"/>
        <v>0</v>
      </c>
      <c r="X47" s="106">
        <f t="shared" si="8"/>
        <v>0</v>
      </c>
      <c r="Y47" s="106">
        <f t="shared" si="8"/>
        <v>0</v>
      </c>
      <c r="Z47" s="106">
        <f t="shared" si="8"/>
        <v>0</v>
      </c>
      <c r="AA47" s="106">
        <f t="shared" si="8"/>
        <v>0</v>
      </c>
    </row>
    <row r="48" spans="1:27" x14ac:dyDescent="0.25">
      <c r="E48" s="106" t="str">
        <f t="shared" si="7"/>
        <v>Temporary Assets</v>
      </c>
      <c r="F48" s="47" t="s">
        <v>639</v>
      </c>
      <c r="G48" s="106">
        <f t="shared" si="8"/>
        <v>0</v>
      </c>
      <c r="H48" s="106">
        <f t="shared" si="8"/>
        <v>0</v>
      </c>
      <c r="I48" s="106">
        <f t="shared" si="8"/>
        <v>0</v>
      </c>
      <c r="J48" s="106">
        <f t="shared" si="8"/>
        <v>0</v>
      </c>
      <c r="K48" s="106">
        <f t="shared" si="8"/>
        <v>0</v>
      </c>
      <c r="L48" s="106">
        <f t="shared" si="8"/>
        <v>0</v>
      </c>
      <c r="M48" s="106">
        <f t="shared" si="8"/>
        <v>0</v>
      </c>
      <c r="N48" s="106">
        <f t="shared" si="8"/>
        <v>0</v>
      </c>
      <c r="O48" s="106">
        <f t="shared" si="8"/>
        <v>0</v>
      </c>
      <c r="P48" s="106">
        <f t="shared" si="8"/>
        <v>0</v>
      </c>
      <c r="Q48" s="106">
        <f t="shared" si="8"/>
        <v>0</v>
      </c>
      <c r="R48" s="106">
        <f t="shared" si="8"/>
        <v>0</v>
      </c>
      <c r="S48" s="106">
        <f t="shared" si="8"/>
        <v>0</v>
      </c>
      <c r="T48" s="106">
        <f t="shared" si="8"/>
        <v>0</v>
      </c>
      <c r="U48" s="106">
        <f t="shared" si="8"/>
        <v>0</v>
      </c>
      <c r="V48" s="106">
        <f t="shared" si="8"/>
        <v>0</v>
      </c>
      <c r="W48" s="106">
        <f t="shared" si="8"/>
        <v>0</v>
      </c>
      <c r="X48" s="106">
        <f t="shared" si="8"/>
        <v>0</v>
      </c>
      <c r="Y48" s="106">
        <f t="shared" si="8"/>
        <v>0</v>
      </c>
      <c r="Z48" s="106">
        <f t="shared" si="8"/>
        <v>0</v>
      </c>
      <c r="AA48" s="106">
        <f t="shared" si="8"/>
        <v>0</v>
      </c>
    </row>
    <row r="49" spans="1:27" x14ac:dyDescent="0.25">
      <c r="G49" s="106"/>
      <c r="H49" s="106"/>
      <c r="I49" s="106"/>
      <c r="J49" s="106"/>
      <c r="K49" s="106"/>
      <c r="L49" s="106"/>
      <c r="M49" s="106"/>
      <c r="N49" s="106"/>
      <c r="O49" s="106"/>
      <c r="P49" s="106"/>
      <c r="Q49" s="106"/>
    </row>
    <row r="50" spans="1:27" x14ac:dyDescent="0.25">
      <c r="D50" s="47" t="s">
        <v>644</v>
      </c>
      <c r="F50" s="47" t="s">
        <v>639</v>
      </c>
      <c r="G50" s="106">
        <f>SUM($G$45:G48)</f>
        <v>0</v>
      </c>
      <c r="H50" s="106">
        <f>SUM($G$45:H48)</f>
        <v>106045.42866369958</v>
      </c>
      <c r="I50" s="106">
        <f>SUM($G$45:I48)</f>
        <v>214395.13615126233</v>
      </c>
      <c r="J50" s="106">
        <f>SUM($G$45:J48)</f>
        <v>329629.64286662685</v>
      </c>
      <c r="K50" s="106">
        <f>SUM($G$45:K48)</f>
        <v>446392.29337287619</v>
      </c>
      <c r="L50" s="106">
        <f>SUM($G$45:L48)</f>
        <v>551598.18044018117</v>
      </c>
      <c r="M50" s="106">
        <f>SUM($G$45:M48)</f>
        <v>658309.54617342178</v>
      </c>
      <c r="N50" s="106">
        <f>SUM($G$45:N48)</f>
        <v>762059.85329057509</v>
      </c>
      <c r="O50" s="106">
        <f>SUM($G$45:O48)</f>
        <v>871309.38497683872</v>
      </c>
      <c r="P50" s="106">
        <f>SUM($G$45:P48)</f>
        <v>983338.94068609818</v>
      </c>
      <c r="Q50" s="106">
        <f>SUM($G$45:Q48)</f>
        <v>1093645.1963262488</v>
      </c>
      <c r="R50" s="106">
        <f>SUM($G$45:R48)</f>
        <v>1201455.1043786779</v>
      </c>
      <c r="S50" s="106">
        <f>SUM($G$45:S48)</f>
        <v>1306334.7304557422</v>
      </c>
      <c r="T50" s="106">
        <f>SUM($G$45:T48)</f>
        <v>1405065.5007277059</v>
      </c>
      <c r="U50" s="106">
        <f>SUM($G$45:U48)</f>
        <v>1496258.7958582018</v>
      </c>
      <c r="V50" s="106">
        <f>SUM($G$45:V48)</f>
        <v>1578732.1196542103</v>
      </c>
      <c r="W50" s="106">
        <f>SUM($G$45:W48)</f>
        <v>1652996.7318379709</v>
      </c>
      <c r="X50" s="106">
        <f>SUM($G$45:X48)</f>
        <v>1722013.5182218901</v>
      </c>
      <c r="Y50" s="106">
        <f>SUM($G$45:Y48)</f>
        <v>1782301.6295320243</v>
      </c>
      <c r="Z50" s="106">
        <f>SUM($G$45:Z48)</f>
        <v>1832996.5442223866</v>
      </c>
      <c r="AA50" s="106">
        <f>SUM($G$45:AA48)</f>
        <v>1876318.9099385892</v>
      </c>
    </row>
    <row r="51" spans="1:27" x14ac:dyDescent="0.25">
      <c r="G51" s="106"/>
      <c r="H51" s="106"/>
      <c r="I51" s="106"/>
      <c r="J51" s="106"/>
      <c r="K51" s="106"/>
      <c r="L51" s="106"/>
      <c r="M51" s="106"/>
      <c r="N51" s="106"/>
      <c r="O51" s="106"/>
      <c r="P51" s="106"/>
      <c r="Q51" s="106"/>
      <c r="R51" s="106"/>
      <c r="S51" s="106"/>
      <c r="T51" s="106"/>
      <c r="U51" s="106"/>
      <c r="V51" s="106"/>
      <c r="W51" s="106"/>
      <c r="X51" s="106"/>
      <c r="Y51" s="106"/>
      <c r="Z51" s="106"/>
      <c r="AA51" s="106"/>
    </row>
    <row r="52" spans="1:27" x14ac:dyDescent="0.25">
      <c r="A52" s="101">
        <v>12</v>
      </c>
      <c r="C52" s="100" t="s">
        <v>645</v>
      </c>
      <c r="G52" s="106"/>
      <c r="H52" s="106"/>
      <c r="I52" s="106"/>
      <c r="J52" s="106"/>
      <c r="K52" s="106"/>
      <c r="L52" s="106"/>
      <c r="M52" s="106"/>
      <c r="N52" s="106"/>
      <c r="O52" s="106"/>
      <c r="P52" s="106"/>
      <c r="Q52" s="106"/>
      <c r="R52" s="106"/>
      <c r="S52" s="106"/>
      <c r="T52" s="106"/>
      <c r="U52" s="106"/>
      <c r="V52" s="106"/>
      <c r="W52" s="106"/>
      <c r="X52" s="106"/>
      <c r="Y52" s="106"/>
      <c r="Z52" s="106"/>
      <c r="AA52" s="106"/>
    </row>
    <row r="53" spans="1:27" x14ac:dyDescent="0.25">
      <c r="E53" s="47" t="s">
        <v>645</v>
      </c>
      <c r="F53" s="47" t="s">
        <v>639</v>
      </c>
      <c r="G53" s="102"/>
      <c r="H53" s="102"/>
      <c r="I53" s="102"/>
      <c r="J53" s="102"/>
      <c r="K53" s="102"/>
      <c r="L53" s="102"/>
      <c r="M53" s="102"/>
      <c r="N53" s="102"/>
      <c r="O53" s="102"/>
      <c r="P53" s="102"/>
      <c r="Q53" s="102"/>
      <c r="R53" s="102"/>
      <c r="S53" s="102"/>
      <c r="T53" s="102"/>
      <c r="U53" s="102"/>
      <c r="V53" s="102"/>
      <c r="W53" s="102"/>
      <c r="X53" s="102"/>
      <c r="Y53" s="102"/>
      <c r="Z53" s="102"/>
      <c r="AA53" s="102"/>
    </row>
    <row r="55" spans="1:27" x14ac:dyDescent="0.25">
      <c r="C55" s="100" t="s">
        <v>646</v>
      </c>
      <c r="D55" s="100"/>
    </row>
    <row r="56" spans="1:27" x14ac:dyDescent="0.25">
      <c r="A56" s="101">
        <v>13</v>
      </c>
      <c r="D56" s="47" t="s">
        <v>647</v>
      </c>
    </row>
    <row r="57" spans="1:27" x14ac:dyDescent="0.25">
      <c r="E57" s="106" t="str">
        <f>E7</f>
        <v>Pipes / Storage</v>
      </c>
      <c r="F57" s="47" t="s">
        <v>639</v>
      </c>
      <c r="G57" s="102"/>
      <c r="H57" s="102"/>
      <c r="I57" s="102"/>
      <c r="J57" s="102"/>
      <c r="K57" s="102"/>
      <c r="L57" s="102"/>
      <c r="M57" s="102"/>
      <c r="N57" s="102"/>
      <c r="O57" s="102"/>
      <c r="P57" s="102"/>
      <c r="Q57" s="102"/>
      <c r="R57" s="102"/>
      <c r="S57" s="102"/>
      <c r="T57" s="102"/>
      <c r="U57" s="102"/>
      <c r="V57" s="102"/>
      <c r="W57" s="102"/>
      <c r="X57" s="102"/>
      <c r="Y57" s="102"/>
      <c r="Z57" s="102"/>
      <c r="AA57" s="102"/>
    </row>
    <row r="58" spans="1:27" x14ac:dyDescent="0.25">
      <c r="E58" s="106" t="str">
        <f>E8</f>
        <v>Pumps / Valves</v>
      </c>
      <c r="F58" s="47" t="s">
        <v>639</v>
      </c>
      <c r="G58" s="102"/>
      <c r="H58" s="102"/>
      <c r="I58" s="102"/>
      <c r="J58" s="102"/>
      <c r="K58" s="102"/>
      <c r="L58" s="102"/>
      <c r="M58" s="102"/>
      <c r="N58" s="102"/>
      <c r="O58" s="102"/>
      <c r="P58" s="102"/>
      <c r="Q58" s="102"/>
      <c r="R58" s="102"/>
      <c r="S58" s="102"/>
      <c r="T58" s="102"/>
      <c r="U58" s="102"/>
      <c r="V58" s="102"/>
      <c r="W58" s="102"/>
      <c r="X58" s="102"/>
      <c r="Y58" s="102"/>
      <c r="Z58" s="102"/>
      <c r="AA58" s="102"/>
    </row>
    <row r="59" spans="1:27" x14ac:dyDescent="0.25">
      <c r="E59" s="106" t="str">
        <f>E9</f>
        <v>Treatment</v>
      </c>
      <c r="F59" s="47" t="s">
        <v>639</v>
      </c>
      <c r="G59" s="102"/>
      <c r="H59" s="102"/>
      <c r="I59" s="102"/>
      <c r="J59" s="102"/>
      <c r="K59" s="102"/>
      <c r="L59" s="102"/>
      <c r="M59" s="102"/>
      <c r="N59" s="102"/>
      <c r="O59" s="102"/>
      <c r="P59" s="102"/>
      <c r="Q59" s="102"/>
      <c r="R59" s="102"/>
      <c r="S59" s="102"/>
      <c r="T59" s="102"/>
      <c r="U59" s="102"/>
      <c r="V59" s="102"/>
      <c r="W59" s="102"/>
      <c r="X59" s="102"/>
      <c r="Y59" s="102"/>
      <c r="Z59" s="102"/>
      <c r="AA59" s="102"/>
    </row>
    <row r="60" spans="1:27" x14ac:dyDescent="0.25">
      <c r="E60" s="47" t="s">
        <v>640</v>
      </c>
      <c r="F60" s="47" t="s">
        <v>639</v>
      </c>
      <c r="G60" s="102"/>
      <c r="H60" s="102"/>
      <c r="I60" s="102"/>
      <c r="J60" s="102"/>
      <c r="K60" s="102"/>
      <c r="L60" s="102"/>
      <c r="M60" s="102"/>
      <c r="N60" s="102"/>
      <c r="O60" s="102"/>
      <c r="P60" s="102"/>
      <c r="Q60" s="102"/>
      <c r="R60" s="102"/>
      <c r="S60" s="102"/>
      <c r="T60" s="102"/>
      <c r="U60" s="102"/>
      <c r="V60" s="102"/>
      <c r="W60" s="102"/>
      <c r="X60" s="102"/>
      <c r="Y60" s="102"/>
      <c r="Z60" s="102"/>
      <c r="AA60" s="102"/>
    </row>
    <row r="61" spans="1:27" x14ac:dyDescent="0.25">
      <c r="G61" s="106">
        <f>SUM(G57:G60)</f>
        <v>0</v>
      </c>
      <c r="H61" s="106">
        <f t="shared" ref="H61:AA61" si="9">SUM(H57:H60)</f>
        <v>0</v>
      </c>
      <c r="I61" s="106">
        <f t="shared" si="9"/>
        <v>0</v>
      </c>
      <c r="J61" s="106">
        <f t="shared" si="9"/>
        <v>0</v>
      </c>
      <c r="K61" s="106">
        <f t="shared" si="9"/>
        <v>0</v>
      </c>
      <c r="L61" s="106">
        <f t="shared" si="9"/>
        <v>0</v>
      </c>
      <c r="M61" s="106">
        <f t="shared" si="9"/>
        <v>0</v>
      </c>
      <c r="N61" s="106">
        <f t="shared" si="9"/>
        <v>0</v>
      </c>
      <c r="O61" s="106">
        <f t="shared" si="9"/>
        <v>0</v>
      </c>
      <c r="P61" s="106">
        <f t="shared" si="9"/>
        <v>0</v>
      </c>
      <c r="Q61" s="106">
        <f t="shared" si="9"/>
        <v>0</v>
      </c>
      <c r="R61" s="106">
        <f t="shared" si="9"/>
        <v>0</v>
      </c>
      <c r="S61" s="106">
        <f t="shared" si="9"/>
        <v>0</v>
      </c>
      <c r="T61" s="106">
        <f t="shared" si="9"/>
        <v>0</v>
      </c>
      <c r="U61" s="106">
        <f t="shared" si="9"/>
        <v>0</v>
      </c>
      <c r="V61" s="106">
        <f t="shared" si="9"/>
        <v>0</v>
      </c>
      <c r="W61" s="106">
        <f t="shared" si="9"/>
        <v>0</v>
      </c>
      <c r="X61" s="106">
        <f t="shared" si="9"/>
        <v>0</v>
      </c>
      <c r="Y61" s="106">
        <f t="shared" si="9"/>
        <v>0</v>
      </c>
      <c r="Z61" s="106">
        <f t="shared" si="9"/>
        <v>0</v>
      </c>
      <c r="AA61" s="106">
        <f t="shared" si="9"/>
        <v>0</v>
      </c>
    </row>
    <row r="63" spans="1:27" x14ac:dyDescent="0.25">
      <c r="D63" s="47" t="s">
        <v>648</v>
      </c>
      <c r="G63" s="106"/>
      <c r="H63" s="106"/>
      <c r="I63" s="106"/>
      <c r="J63" s="106"/>
      <c r="K63" s="106"/>
      <c r="L63" s="106"/>
      <c r="M63" s="106"/>
      <c r="N63" s="106"/>
      <c r="O63" s="106"/>
      <c r="P63" s="106"/>
      <c r="Q63" s="106"/>
    </row>
    <row r="64" spans="1:27" x14ac:dyDescent="0.25">
      <c r="E64" s="106" t="str">
        <f>E57</f>
        <v>Pipes / Storage</v>
      </c>
      <c r="F64" s="47" t="s">
        <v>639</v>
      </c>
      <c r="G64" s="106">
        <f>G57/$G7+IF((G$2-$G7+1)&gt;0,-INDEX($G57:$AP57,1,(G$2-$G7+1))/$G7,0)</f>
        <v>0</v>
      </c>
      <c r="H64" s="106">
        <f t="shared" ref="H64:AA64" si="10">H57/$G7+IF((H$2-$G7+1)&gt;0,-INDEX($G57:$AP57,1,(H$2-$G7+1))/$G7,0)</f>
        <v>0</v>
      </c>
      <c r="I64" s="106">
        <f t="shared" si="10"/>
        <v>0</v>
      </c>
      <c r="J64" s="106">
        <f t="shared" si="10"/>
        <v>0</v>
      </c>
      <c r="K64" s="106">
        <f t="shared" si="10"/>
        <v>0</v>
      </c>
      <c r="L64" s="106">
        <f t="shared" si="10"/>
        <v>0</v>
      </c>
      <c r="M64" s="106">
        <f t="shared" si="10"/>
        <v>0</v>
      </c>
      <c r="N64" s="106">
        <f t="shared" si="10"/>
        <v>0</v>
      </c>
      <c r="O64" s="106">
        <f t="shared" si="10"/>
        <v>0</v>
      </c>
      <c r="P64" s="106">
        <f t="shared" si="10"/>
        <v>0</v>
      </c>
      <c r="Q64" s="106">
        <f t="shared" si="10"/>
        <v>0</v>
      </c>
      <c r="R64" s="106">
        <f t="shared" si="10"/>
        <v>0</v>
      </c>
      <c r="S64" s="106">
        <f t="shared" si="10"/>
        <v>0</v>
      </c>
      <c r="T64" s="106">
        <f t="shared" si="10"/>
        <v>0</v>
      </c>
      <c r="U64" s="106">
        <f t="shared" si="10"/>
        <v>0</v>
      </c>
      <c r="V64" s="106">
        <f t="shared" si="10"/>
        <v>0</v>
      </c>
      <c r="W64" s="106">
        <f t="shared" si="10"/>
        <v>0</v>
      </c>
      <c r="X64" s="106">
        <f t="shared" si="10"/>
        <v>0</v>
      </c>
      <c r="Y64" s="106">
        <f t="shared" si="10"/>
        <v>0</v>
      </c>
      <c r="Z64" s="106">
        <f t="shared" si="10"/>
        <v>0</v>
      </c>
      <c r="AA64" s="106">
        <f t="shared" si="10"/>
        <v>0</v>
      </c>
    </row>
    <row r="65" spans="1:27" x14ac:dyDescent="0.25">
      <c r="E65" s="106" t="str">
        <f t="shared" ref="E65:E66" si="11">E58</f>
        <v>Pumps / Valves</v>
      </c>
      <c r="F65" s="47" t="s">
        <v>639</v>
      </c>
      <c r="G65" s="106">
        <f t="shared" ref="G65:AA66" si="12">G58/$G8+IF((G$2-$G8+1)&gt;0,-INDEX($G58:$AP58,1,(G$2-$G8+1))/$G8,0)</f>
        <v>0</v>
      </c>
      <c r="H65" s="106">
        <f t="shared" si="12"/>
        <v>0</v>
      </c>
      <c r="I65" s="106">
        <f t="shared" si="12"/>
        <v>0</v>
      </c>
      <c r="J65" s="106">
        <f t="shared" si="12"/>
        <v>0</v>
      </c>
      <c r="K65" s="106">
        <f t="shared" si="12"/>
        <v>0</v>
      </c>
      <c r="L65" s="106">
        <f t="shared" si="12"/>
        <v>0</v>
      </c>
      <c r="M65" s="106">
        <f t="shared" si="12"/>
        <v>0</v>
      </c>
      <c r="N65" s="106">
        <f t="shared" si="12"/>
        <v>0</v>
      </c>
      <c r="O65" s="106">
        <f t="shared" si="12"/>
        <v>0</v>
      </c>
      <c r="P65" s="106">
        <f t="shared" si="12"/>
        <v>0</v>
      </c>
      <c r="Q65" s="106">
        <f t="shared" si="12"/>
        <v>0</v>
      </c>
      <c r="R65" s="106">
        <f t="shared" si="12"/>
        <v>0</v>
      </c>
      <c r="S65" s="106">
        <f t="shared" si="12"/>
        <v>0</v>
      </c>
      <c r="T65" s="106">
        <f t="shared" si="12"/>
        <v>0</v>
      </c>
      <c r="U65" s="106">
        <f t="shared" si="12"/>
        <v>0</v>
      </c>
      <c r="V65" s="106">
        <f t="shared" si="12"/>
        <v>0</v>
      </c>
      <c r="W65" s="106">
        <f t="shared" si="12"/>
        <v>0</v>
      </c>
      <c r="X65" s="106">
        <f t="shared" si="12"/>
        <v>0</v>
      </c>
      <c r="Y65" s="106">
        <f t="shared" si="12"/>
        <v>0</v>
      </c>
      <c r="Z65" s="106">
        <f t="shared" si="12"/>
        <v>0</v>
      </c>
      <c r="AA65" s="106">
        <f t="shared" si="12"/>
        <v>0</v>
      </c>
    </row>
    <row r="66" spans="1:27" x14ac:dyDescent="0.25">
      <c r="E66" s="106" t="str">
        <f t="shared" si="11"/>
        <v>Treatment</v>
      </c>
      <c r="F66" s="47" t="s">
        <v>639</v>
      </c>
      <c r="G66" s="106">
        <f t="shared" si="12"/>
        <v>0</v>
      </c>
      <c r="H66" s="106">
        <f t="shared" si="12"/>
        <v>0</v>
      </c>
      <c r="I66" s="106">
        <f t="shared" si="12"/>
        <v>0</v>
      </c>
      <c r="J66" s="106">
        <f t="shared" si="12"/>
        <v>0</v>
      </c>
      <c r="K66" s="106">
        <f t="shared" si="12"/>
        <v>0</v>
      </c>
      <c r="L66" s="106">
        <f t="shared" si="12"/>
        <v>0</v>
      </c>
      <c r="M66" s="106">
        <f t="shared" si="12"/>
        <v>0</v>
      </c>
      <c r="N66" s="106">
        <f t="shared" si="12"/>
        <v>0</v>
      </c>
      <c r="O66" s="106">
        <f t="shared" si="12"/>
        <v>0</v>
      </c>
      <c r="P66" s="106">
        <f t="shared" si="12"/>
        <v>0</v>
      </c>
      <c r="Q66" s="106">
        <f t="shared" si="12"/>
        <v>0</v>
      </c>
      <c r="R66" s="106">
        <f t="shared" si="12"/>
        <v>0</v>
      </c>
      <c r="S66" s="106">
        <f t="shared" si="12"/>
        <v>0</v>
      </c>
      <c r="T66" s="106">
        <f t="shared" si="12"/>
        <v>0</v>
      </c>
      <c r="U66" s="106">
        <f t="shared" si="12"/>
        <v>0</v>
      </c>
      <c r="V66" s="106">
        <f t="shared" si="12"/>
        <v>0</v>
      </c>
      <c r="W66" s="106">
        <f t="shared" si="12"/>
        <v>0</v>
      </c>
      <c r="X66" s="106">
        <f t="shared" si="12"/>
        <v>0</v>
      </c>
      <c r="Y66" s="106">
        <f t="shared" si="12"/>
        <v>0</v>
      </c>
      <c r="Z66" s="106">
        <f t="shared" si="12"/>
        <v>0</v>
      </c>
      <c r="AA66" s="106">
        <f t="shared" si="12"/>
        <v>0</v>
      </c>
    </row>
    <row r="68" spans="1:27" x14ac:dyDescent="0.25">
      <c r="D68" s="47" t="s">
        <v>649</v>
      </c>
      <c r="F68" s="47" t="s">
        <v>639</v>
      </c>
      <c r="G68" s="106">
        <f>SUM($G$64:G66)</f>
        <v>0</v>
      </c>
      <c r="H68" s="106">
        <f>SUM($G$64:H66)</f>
        <v>0</v>
      </c>
      <c r="I68" s="106">
        <f>SUM($G$64:I66)</f>
        <v>0</v>
      </c>
      <c r="J68" s="106">
        <f>SUM($G$64:J66)</f>
        <v>0</v>
      </c>
      <c r="K68" s="106">
        <f>SUM($G$64:K66)</f>
        <v>0</v>
      </c>
      <c r="L68" s="106">
        <f>SUM($G$64:L66)</f>
        <v>0</v>
      </c>
      <c r="M68" s="106">
        <f>SUM($G$64:M66)</f>
        <v>0</v>
      </c>
      <c r="N68" s="106">
        <f>SUM($G$64:N66)</f>
        <v>0</v>
      </c>
      <c r="O68" s="106">
        <f>SUM($G$64:O66)</f>
        <v>0</v>
      </c>
      <c r="P68" s="106">
        <f>SUM($G$64:P66)</f>
        <v>0</v>
      </c>
      <c r="Q68" s="106">
        <f>SUM($G$64:Q66)</f>
        <v>0</v>
      </c>
      <c r="R68" s="106">
        <f>SUM($G$64:R66)</f>
        <v>0</v>
      </c>
      <c r="S68" s="106">
        <f>SUM($G$64:S66)</f>
        <v>0</v>
      </c>
      <c r="T68" s="106">
        <f>SUM($G$64:T66)</f>
        <v>0</v>
      </c>
      <c r="U68" s="106">
        <f>SUM($G$64:U66)</f>
        <v>0</v>
      </c>
      <c r="V68" s="106">
        <f>SUM($G$64:V66)</f>
        <v>0</v>
      </c>
      <c r="W68" s="106">
        <f>SUM($G$64:W66)</f>
        <v>0</v>
      </c>
      <c r="X68" s="106">
        <f>SUM($G$64:X66)</f>
        <v>0</v>
      </c>
      <c r="Y68" s="106">
        <f>SUM($G$64:Y66)</f>
        <v>0</v>
      </c>
      <c r="Z68" s="106">
        <f>SUM($G$64:Z66)</f>
        <v>0</v>
      </c>
      <c r="AA68" s="106">
        <f>SUM($G$64:AA66)</f>
        <v>0</v>
      </c>
    </row>
    <row r="70" spans="1:27" x14ac:dyDescent="0.25">
      <c r="A70" s="101">
        <v>14</v>
      </c>
      <c r="D70" s="47" t="s">
        <v>650</v>
      </c>
    </row>
    <row r="71" spans="1:27" x14ac:dyDescent="0.25">
      <c r="E71" s="106" t="str">
        <f>E7</f>
        <v>Pipes / Storage</v>
      </c>
      <c r="F71" s="47" t="s">
        <v>639</v>
      </c>
      <c r="G71" s="102"/>
      <c r="H71" s="102"/>
      <c r="I71" s="102"/>
      <c r="J71" s="102"/>
      <c r="K71" s="102"/>
      <c r="L71" s="102"/>
      <c r="M71" s="102"/>
      <c r="N71" s="102"/>
      <c r="O71" s="102"/>
      <c r="P71" s="102"/>
      <c r="Q71" s="102"/>
      <c r="R71" s="102"/>
      <c r="S71" s="102"/>
      <c r="T71" s="102"/>
      <c r="U71" s="102"/>
      <c r="V71" s="102"/>
      <c r="W71" s="102"/>
      <c r="X71" s="102"/>
      <c r="Y71" s="102"/>
      <c r="Z71" s="102"/>
      <c r="AA71" s="102"/>
    </row>
    <row r="72" spans="1:27" x14ac:dyDescent="0.25">
      <c r="E72" s="106" t="str">
        <f>E8</f>
        <v>Pumps / Valves</v>
      </c>
      <c r="F72" s="47" t="s">
        <v>639</v>
      </c>
      <c r="G72" s="102"/>
      <c r="H72" s="102"/>
      <c r="I72" s="102"/>
      <c r="J72" s="102"/>
      <c r="K72" s="102"/>
      <c r="L72" s="102"/>
      <c r="M72" s="102"/>
      <c r="N72" s="102"/>
      <c r="O72" s="102"/>
      <c r="P72" s="102"/>
      <c r="Q72" s="102"/>
      <c r="R72" s="102"/>
      <c r="S72" s="102"/>
      <c r="T72" s="102"/>
      <c r="U72" s="102"/>
      <c r="V72" s="102"/>
      <c r="W72" s="102"/>
      <c r="X72" s="102"/>
      <c r="Y72" s="102"/>
      <c r="Z72" s="102"/>
      <c r="AA72" s="102"/>
    </row>
    <row r="73" spans="1:27" x14ac:dyDescent="0.25">
      <c r="E73" s="106" t="str">
        <f>E9</f>
        <v>Treatment</v>
      </c>
      <c r="F73" s="47" t="s">
        <v>639</v>
      </c>
      <c r="G73" s="102"/>
      <c r="H73" s="102"/>
      <c r="I73" s="102"/>
      <c r="J73" s="102"/>
      <c r="K73" s="102"/>
      <c r="L73" s="102"/>
      <c r="M73" s="102"/>
      <c r="N73" s="102"/>
      <c r="O73" s="102"/>
      <c r="P73" s="102"/>
      <c r="Q73" s="102"/>
      <c r="R73" s="102"/>
      <c r="S73" s="102"/>
      <c r="T73" s="102"/>
      <c r="U73" s="102"/>
      <c r="V73" s="102"/>
      <c r="W73" s="102"/>
      <c r="X73" s="102"/>
      <c r="Y73" s="102"/>
      <c r="Z73" s="102"/>
      <c r="AA73" s="102"/>
    </row>
    <row r="74" spans="1:27" x14ac:dyDescent="0.25">
      <c r="E74" s="47" t="s">
        <v>640</v>
      </c>
      <c r="F74" s="47" t="s">
        <v>639</v>
      </c>
      <c r="G74" s="102"/>
      <c r="H74" s="102"/>
      <c r="I74" s="102"/>
      <c r="J74" s="102"/>
      <c r="K74" s="102"/>
      <c r="L74" s="102"/>
      <c r="M74" s="102"/>
      <c r="N74" s="102"/>
      <c r="O74" s="102"/>
      <c r="P74" s="102"/>
      <c r="Q74" s="102"/>
      <c r="R74" s="102"/>
      <c r="S74" s="102"/>
      <c r="T74" s="102"/>
      <c r="U74" s="102"/>
      <c r="V74" s="102"/>
      <c r="W74" s="102"/>
      <c r="X74" s="102"/>
      <c r="Y74" s="102"/>
      <c r="Z74" s="102"/>
      <c r="AA74" s="102"/>
    </row>
    <row r="75" spans="1:27" x14ac:dyDescent="0.25">
      <c r="G75" s="106">
        <f>SUM(G71:G74)</f>
        <v>0</v>
      </c>
      <c r="H75" s="106">
        <f t="shared" ref="H75:AA75" si="13">SUM(H71:H74)</f>
        <v>0</v>
      </c>
      <c r="I75" s="106">
        <f t="shared" si="13"/>
        <v>0</v>
      </c>
      <c r="J75" s="106">
        <f t="shared" si="13"/>
        <v>0</v>
      </c>
      <c r="K75" s="106">
        <f t="shared" si="13"/>
        <v>0</v>
      </c>
      <c r="L75" s="106">
        <f t="shared" si="13"/>
        <v>0</v>
      </c>
      <c r="M75" s="106">
        <f t="shared" si="13"/>
        <v>0</v>
      </c>
      <c r="N75" s="106">
        <f t="shared" si="13"/>
        <v>0</v>
      </c>
      <c r="O75" s="106">
        <f t="shared" si="13"/>
        <v>0</v>
      </c>
      <c r="P75" s="106">
        <f t="shared" si="13"/>
        <v>0</v>
      </c>
      <c r="Q75" s="106">
        <f t="shared" si="13"/>
        <v>0</v>
      </c>
      <c r="R75" s="106">
        <f t="shared" si="13"/>
        <v>0</v>
      </c>
      <c r="S75" s="106">
        <f t="shared" si="13"/>
        <v>0</v>
      </c>
      <c r="T75" s="106">
        <f t="shared" si="13"/>
        <v>0</v>
      </c>
      <c r="U75" s="106">
        <f t="shared" si="13"/>
        <v>0</v>
      </c>
      <c r="V75" s="106">
        <f t="shared" si="13"/>
        <v>0</v>
      </c>
      <c r="W75" s="106">
        <f t="shared" si="13"/>
        <v>0</v>
      </c>
      <c r="X75" s="106">
        <f t="shared" si="13"/>
        <v>0</v>
      </c>
      <c r="Y75" s="106">
        <f t="shared" si="13"/>
        <v>0</v>
      </c>
      <c r="Z75" s="106">
        <f t="shared" si="13"/>
        <v>0</v>
      </c>
      <c r="AA75" s="106">
        <f t="shared" si="13"/>
        <v>0</v>
      </c>
    </row>
    <row r="76" spans="1:27" x14ac:dyDescent="0.25">
      <c r="G76" s="106"/>
      <c r="H76" s="106"/>
      <c r="I76" s="106"/>
      <c r="J76" s="106"/>
      <c r="K76" s="106"/>
      <c r="L76" s="106"/>
      <c r="M76" s="106"/>
      <c r="N76" s="106"/>
      <c r="O76" s="106"/>
      <c r="P76" s="106"/>
      <c r="Q76" s="106"/>
      <c r="R76" s="106"/>
      <c r="S76" s="106"/>
      <c r="T76" s="106"/>
      <c r="U76" s="106"/>
      <c r="V76" s="106"/>
      <c r="W76" s="106"/>
      <c r="X76" s="106"/>
      <c r="Y76" s="106"/>
      <c r="Z76" s="106"/>
      <c r="AA76" s="106"/>
    </row>
    <row r="77" spans="1:27" x14ac:dyDescent="0.25">
      <c r="D77" s="47" t="s">
        <v>648</v>
      </c>
      <c r="G77" s="106"/>
      <c r="H77" s="106"/>
      <c r="I77" s="106"/>
      <c r="J77" s="106"/>
      <c r="K77" s="106"/>
      <c r="L77" s="106"/>
      <c r="M77" s="106"/>
      <c r="N77" s="106"/>
      <c r="O77" s="106"/>
      <c r="P77" s="106"/>
      <c r="Q77" s="106"/>
    </row>
    <row r="78" spans="1:27" x14ac:dyDescent="0.25">
      <c r="E78" s="106" t="str">
        <f>E71</f>
        <v>Pipes / Storage</v>
      </c>
      <c r="F78" s="47" t="s">
        <v>639</v>
      </c>
      <c r="G78" s="106">
        <f t="shared" ref="G78:AA80" si="14">G71/$G7+IF((G$2-$G7+1)&gt;0,-INDEX($G71:$AP71,1,(G$2-$G7+1))/$G7,0)</f>
        <v>0</v>
      </c>
      <c r="H78" s="106">
        <f t="shared" si="14"/>
        <v>0</v>
      </c>
      <c r="I78" s="106">
        <f t="shared" si="14"/>
        <v>0</v>
      </c>
      <c r="J78" s="106">
        <f t="shared" si="14"/>
        <v>0</v>
      </c>
      <c r="K78" s="106">
        <f t="shared" si="14"/>
        <v>0</v>
      </c>
      <c r="L78" s="106">
        <f t="shared" si="14"/>
        <v>0</v>
      </c>
      <c r="M78" s="106">
        <f t="shared" si="14"/>
        <v>0</v>
      </c>
      <c r="N78" s="106">
        <f t="shared" si="14"/>
        <v>0</v>
      </c>
      <c r="O78" s="106">
        <f t="shared" si="14"/>
        <v>0</v>
      </c>
      <c r="P78" s="106">
        <f t="shared" si="14"/>
        <v>0</v>
      </c>
      <c r="Q78" s="106">
        <f t="shared" si="14"/>
        <v>0</v>
      </c>
      <c r="R78" s="106">
        <f t="shared" si="14"/>
        <v>0</v>
      </c>
      <c r="S78" s="106">
        <f t="shared" si="14"/>
        <v>0</v>
      </c>
      <c r="T78" s="106">
        <f t="shared" si="14"/>
        <v>0</v>
      </c>
      <c r="U78" s="106">
        <f t="shared" si="14"/>
        <v>0</v>
      </c>
      <c r="V78" s="106">
        <f t="shared" si="14"/>
        <v>0</v>
      </c>
      <c r="W78" s="106">
        <f t="shared" si="14"/>
        <v>0</v>
      </c>
      <c r="X78" s="106">
        <f t="shared" si="14"/>
        <v>0</v>
      </c>
      <c r="Y78" s="106">
        <f t="shared" si="14"/>
        <v>0</v>
      </c>
      <c r="Z78" s="106">
        <f t="shared" si="14"/>
        <v>0</v>
      </c>
      <c r="AA78" s="106">
        <f t="shared" si="14"/>
        <v>0</v>
      </c>
    </row>
    <row r="79" spans="1:27" x14ac:dyDescent="0.25">
      <c r="E79" s="106" t="str">
        <f t="shared" ref="E79:E80" si="15">E72</f>
        <v>Pumps / Valves</v>
      </c>
      <c r="F79" s="47" t="s">
        <v>639</v>
      </c>
      <c r="G79" s="106">
        <f t="shared" si="14"/>
        <v>0</v>
      </c>
      <c r="H79" s="106">
        <f t="shared" si="14"/>
        <v>0</v>
      </c>
      <c r="I79" s="106">
        <f t="shared" si="14"/>
        <v>0</v>
      </c>
      <c r="J79" s="106">
        <f t="shared" si="14"/>
        <v>0</v>
      </c>
      <c r="K79" s="106">
        <f t="shared" si="14"/>
        <v>0</v>
      </c>
      <c r="L79" s="106">
        <f t="shared" si="14"/>
        <v>0</v>
      </c>
      <c r="M79" s="106">
        <f t="shared" si="14"/>
        <v>0</v>
      </c>
      <c r="N79" s="106">
        <f t="shared" si="14"/>
        <v>0</v>
      </c>
      <c r="O79" s="106">
        <f t="shared" si="14"/>
        <v>0</v>
      </c>
      <c r="P79" s="106">
        <f t="shared" si="14"/>
        <v>0</v>
      </c>
      <c r="Q79" s="106">
        <f t="shared" si="14"/>
        <v>0</v>
      </c>
      <c r="R79" s="106">
        <f t="shared" si="14"/>
        <v>0</v>
      </c>
      <c r="S79" s="106">
        <f t="shared" si="14"/>
        <v>0</v>
      </c>
      <c r="T79" s="106">
        <f t="shared" si="14"/>
        <v>0</v>
      </c>
      <c r="U79" s="106">
        <f t="shared" si="14"/>
        <v>0</v>
      </c>
      <c r="V79" s="106">
        <f t="shared" si="14"/>
        <v>0</v>
      </c>
      <c r="W79" s="106">
        <f t="shared" si="14"/>
        <v>0</v>
      </c>
      <c r="X79" s="106">
        <f t="shared" si="14"/>
        <v>0</v>
      </c>
      <c r="Y79" s="106">
        <f t="shared" si="14"/>
        <v>0</v>
      </c>
      <c r="Z79" s="106">
        <f t="shared" si="14"/>
        <v>0</v>
      </c>
      <c r="AA79" s="106">
        <f t="shared" si="14"/>
        <v>0</v>
      </c>
    </row>
    <row r="80" spans="1:27" x14ac:dyDescent="0.25">
      <c r="E80" s="106" t="str">
        <f t="shared" si="15"/>
        <v>Treatment</v>
      </c>
      <c r="F80" s="47" t="s">
        <v>639</v>
      </c>
      <c r="G80" s="106">
        <f t="shared" si="14"/>
        <v>0</v>
      </c>
      <c r="H80" s="106">
        <f t="shared" si="14"/>
        <v>0</v>
      </c>
      <c r="I80" s="106">
        <f t="shared" si="14"/>
        <v>0</v>
      </c>
      <c r="J80" s="106">
        <f t="shared" si="14"/>
        <v>0</v>
      </c>
      <c r="K80" s="106">
        <f t="shared" si="14"/>
        <v>0</v>
      </c>
      <c r="L80" s="106">
        <f t="shared" si="14"/>
        <v>0</v>
      </c>
      <c r="M80" s="106">
        <f t="shared" si="14"/>
        <v>0</v>
      </c>
      <c r="N80" s="106">
        <f t="shared" si="14"/>
        <v>0</v>
      </c>
      <c r="O80" s="106">
        <f t="shared" si="14"/>
        <v>0</v>
      </c>
      <c r="P80" s="106">
        <f t="shared" si="14"/>
        <v>0</v>
      </c>
      <c r="Q80" s="106">
        <f t="shared" si="14"/>
        <v>0</v>
      </c>
      <c r="R80" s="106">
        <f t="shared" si="14"/>
        <v>0</v>
      </c>
      <c r="S80" s="106">
        <f t="shared" si="14"/>
        <v>0</v>
      </c>
      <c r="T80" s="106">
        <f t="shared" si="14"/>
        <v>0</v>
      </c>
      <c r="U80" s="106">
        <f t="shared" si="14"/>
        <v>0</v>
      </c>
      <c r="V80" s="106">
        <f t="shared" si="14"/>
        <v>0</v>
      </c>
      <c r="W80" s="106">
        <f t="shared" si="14"/>
        <v>0</v>
      </c>
      <c r="X80" s="106">
        <f t="shared" si="14"/>
        <v>0</v>
      </c>
      <c r="Y80" s="106">
        <f t="shared" si="14"/>
        <v>0</v>
      </c>
      <c r="Z80" s="106">
        <f t="shared" si="14"/>
        <v>0</v>
      </c>
      <c r="AA80" s="106">
        <f t="shared" si="14"/>
        <v>0</v>
      </c>
    </row>
    <row r="82" spans="1:27" x14ac:dyDescent="0.25">
      <c r="D82" s="47" t="s">
        <v>649</v>
      </c>
      <c r="F82" s="47" t="s">
        <v>639</v>
      </c>
      <c r="G82" s="106">
        <f>SUM($G$77:G80)</f>
        <v>0</v>
      </c>
      <c r="H82" s="106">
        <f>SUM($G$77:H80)</f>
        <v>0</v>
      </c>
      <c r="I82" s="106">
        <f>SUM($G$77:I80)</f>
        <v>0</v>
      </c>
      <c r="J82" s="106">
        <f>SUM($G$77:J80)</f>
        <v>0</v>
      </c>
      <c r="K82" s="106">
        <f>SUM($G$77:K80)</f>
        <v>0</v>
      </c>
      <c r="L82" s="106">
        <f>SUM($G$77:L80)</f>
        <v>0</v>
      </c>
      <c r="M82" s="106">
        <f>SUM($G$77:M80)</f>
        <v>0</v>
      </c>
      <c r="N82" s="106">
        <f>SUM($G$77:N80)</f>
        <v>0</v>
      </c>
      <c r="O82" s="106">
        <f>SUM($G$77:O80)</f>
        <v>0</v>
      </c>
      <c r="P82" s="106">
        <f>SUM($G$77:P80)</f>
        <v>0</v>
      </c>
      <c r="Q82" s="106">
        <f>SUM($G$77:Q80)</f>
        <v>0</v>
      </c>
      <c r="R82" s="106">
        <f>SUM($G$77:R80)</f>
        <v>0</v>
      </c>
      <c r="S82" s="106">
        <f>SUM($G$77:S80)</f>
        <v>0</v>
      </c>
      <c r="T82" s="106">
        <f>SUM($G$77:T80)</f>
        <v>0</v>
      </c>
      <c r="U82" s="106">
        <f>SUM($G$77:U80)</f>
        <v>0</v>
      </c>
      <c r="V82" s="106">
        <f>SUM($G$77:V80)</f>
        <v>0</v>
      </c>
      <c r="W82" s="106">
        <f>SUM($G$77:W80)</f>
        <v>0</v>
      </c>
      <c r="X82" s="106">
        <f>SUM($G$77:X80)</f>
        <v>0</v>
      </c>
      <c r="Y82" s="106">
        <f>SUM($G$77:Y80)</f>
        <v>0</v>
      </c>
      <c r="Z82" s="106">
        <f>SUM($G$77:Z80)</f>
        <v>0</v>
      </c>
      <c r="AA82" s="106">
        <f>SUM($G$77:AA80)</f>
        <v>0</v>
      </c>
    </row>
    <row r="83" spans="1:27" x14ac:dyDescent="0.25">
      <c r="G83" s="106"/>
      <c r="H83" s="106"/>
      <c r="I83" s="106"/>
      <c r="J83" s="106"/>
      <c r="K83" s="106"/>
      <c r="L83" s="106"/>
      <c r="M83" s="106"/>
      <c r="N83" s="106"/>
      <c r="O83" s="106"/>
      <c r="P83" s="106"/>
      <c r="Q83" s="106"/>
      <c r="R83" s="106"/>
      <c r="S83" s="106"/>
      <c r="T83" s="106"/>
      <c r="U83" s="106"/>
      <c r="V83" s="106"/>
      <c r="W83" s="106"/>
      <c r="X83" s="106"/>
      <c r="Y83" s="106"/>
      <c r="Z83" s="106"/>
      <c r="AA83" s="106"/>
    </row>
    <row r="84" spans="1:27" x14ac:dyDescent="0.25">
      <c r="D84" s="47" t="s">
        <v>651</v>
      </c>
      <c r="F84" s="47" t="s">
        <v>639</v>
      </c>
      <c r="G84" s="106">
        <f t="shared" ref="G84:AA84" si="16">G61-G75</f>
        <v>0</v>
      </c>
      <c r="H84" s="106">
        <f t="shared" si="16"/>
        <v>0</v>
      </c>
      <c r="I84" s="106">
        <f t="shared" si="16"/>
        <v>0</v>
      </c>
      <c r="J84" s="106">
        <f t="shared" si="16"/>
        <v>0</v>
      </c>
      <c r="K84" s="106">
        <f t="shared" si="16"/>
        <v>0</v>
      </c>
      <c r="L84" s="106">
        <f t="shared" si="16"/>
        <v>0</v>
      </c>
      <c r="M84" s="106">
        <f t="shared" si="16"/>
        <v>0</v>
      </c>
      <c r="N84" s="106">
        <f t="shared" si="16"/>
        <v>0</v>
      </c>
      <c r="O84" s="106">
        <f t="shared" si="16"/>
        <v>0</v>
      </c>
      <c r="P84" s="106">
        <f t="shared" si="16"/>
        <v>0</v>
      </c>
      <c r="Q84" s="106">
        <f t="shared" si="16"/>
        <v>0</v>
      </c>
      <c r="R84" s="106">
        <f t="shared" si="16"/>
        <v>0</v>
      </c>
      <c r="S84" s="106">
        <f t="shared" si="16"/>
        <v>0</v>
      </c>
      <c r="T84" s="106">
        <f t="shared" si="16"/>
        <v>0</v>
      </c>
      <c r="U84" s="106">
        <f t="shared" si="16"/>
        <v>0</v>
      </c>
      <c r="V84" s="106">
        <f t="shared" si="16"/>
        <v>0</v>
      </c>
      <c r="W84" s="106">
        <f t="shared" si="16"/>
        <v>0</v>
      </c>
      <c r="X84" s="106">
        <f t="shared" si="16"/>
        <v>0</v>
      </c>
      <c r="Y84" s="106">
        <f t="shared" si="16"/>
        <v>0</v>
      </c>
      <c r="Z84" s="106">
        <f t="shared" si="16"/>
        <v>0</v>
      </c>
      <c r="AA84" s="106">
        <f t="shared" si="16"/>
        <v>0</v>
      </c>
    </row>
    <row r="85" spans="1:27" x14ac:dyDescent="0.25">
      <c r="D85" s="47" t="s">
        <v>652</v>
      </c>
      <c r="F85" s="47" t="s">
        <v>639</v>
      </c>
      <c r="G85" s="106">
        <f t="shared" ref="G85:AA85" si="17">-G68+G82</f>
        <v>0</v>
      </c>
      <c r="H85" s="106">
        <f t="shared" si="17"/>
        <v>0</v>
      </c>
      <c r="I85" s="106">
        <f t="shared" si="17"/>
        <v>0</v>
      </c>
      <c r="J85" s="106">
        <f t="shared" si="17"/>
        <v>0</v>
      </c>
      <c r="K85" s="106">
        <f t="shared" si="17"/>
        <v>0</v>
      </c>
      <c r="L85" s="106">
        <f t="shared" si="17"/>
        <v>0</v>
      </c>
      <c r="M85" s="106">
        <f t="shared" si="17"/>
        <v>0</v>
      </c>
      <c r="N85" s="106">
        <f t="shared" si="17"/>
        <v>0</v>
      </c>
      <c r="O85" s="106">
        <f t="shared" si="17"/>
        <v>0</v>
      </c>
      <c r="P85" s="106">
        <f t="shared" si="17"/>
        <v>0</v>
      </c>
      <c r="Q85" s="106">
        <f t="shared" si="17"/>
        <v>0</v>
      </c>
      <c r="R85" s="106">
        <f t="shared" si="17"/>
        <v>0</v>
      </c>
      <c r="S85" s="106">
        <f t="shared" si="17"/>
        <v>0</v>
      </c>
      <c r="T85" s="106">
        <f t="shared" si="17"/>
        <v>0</v>
      </c>
      <c r="U85" s="106">
        <f t="shared" si="17"/>
        <v>0</v>
      </c>
      <c r="V85" s="106">
        <f t="shared" si="17"/>
        <v>0</v>
      </c>
      <c r="W85" s="106">
        <f t="shared" si="17"/>
        <v>0</v>
      </c>
      <c r="X85" s="106">
        <f t="shared" si="17"/>
        <v>0</v>
      </c>
      <c r="Y85" s="106">
        <f t="shared" si="17"/>
        <v>0</v>
      </c>
      <c r="Z85" s="106">
        <f t="shared" si="17"/>
        <v>0</v>
      </c>
      <c r="AA85" s="106">
        <f t="shared" si="17"/>
        <v>0</v>
      </c>
    </row>
    <row r="87" spans="1:27" x14ac:dyDescent="0.25">
      <c r="C87" s="100" t="str">
        <f>"Incremental "&amp;G4&amp;" Service Revenue"</f>
        <v>Incremental Water Service Revenue</v>
      </c>
      <c r="D87" s="100"/>
    </row>
    <row r="88" spans="1:27" x14ac:dyDescent="0.25">
      <c r="C88" s="100"/>
      <c r="D88" s="100"/>
    </row>
    <row r="89" spans="1:27" x14ac:dyDescent="0.25">
      <c r="C89" s="100"/>
      <c r="D89" s="47" t="s">
        <v>653</v>
      </c>
    </row>
    <row r="90" spans="1:27" x14ac:dyDescent="0.25">
      <c r="A90" s="101">
        <v>15</v>
      </c>
      <c r="B90" s="107" t="s">
        <v>262</v>
      </c>
      <c r="C90" s="47" t="s">
        <v>405</v>
      </c>
      <c r="D90" s="100" t="str">
        <f>$G$4</f>
        <v>Water</v>
      </c>
      <c r="E90" s="47" t="s">
        <v>654</v>
      </c>
      <c r="F90" s="47" t="s">
        <v>655</v>
      </c>
      <c r="H90" s="102">
        <f>IF($G$4="Water and sewer",SUMIFS('INPUT Growth'!AD$64:AD$115,'INPUT Growth'!$B$64:$B$115,$A$1,'INPUT Growth'!$F$64:$F$115,$B90,'INPUT Growth'!$E$64:$E$115,$C90),SUMIFS('INPUT Growth'!AD$64:AD$115,'INPUT Growth'!$A$64:$A$115,$A$1,'INPUT Growth'!$F$64:$F$115,$B90,'INPUT Growth'!$E$64:$E$115,$C90))</f>
        <v>12831.413056321864</v>
      </c>
      <c r="I90" s="102">
        <f>IF($G$4="Water and sewer",SUMIFS('INPUT Growth'!AE$64:AE$115,'INPUT Growth'!$B$64:$B$115,$A$1,'INPUT Growth'!$F$64:$F$115,$B90,'INPUT Growth'!$E$64:$E$115,$C90),SUMIFS('INPUT Growth'!AE$64:AE$115,'INPUT Growth'!$A$64:$A$115,$A$1,'INPUT Growth'!$F$64:$F$115,$B90,'INPUT Growth'!$E$64:$E$115,$C90))</f>
        <v>13393.730870201682</v>
      </c>
      <c r="J90" s="102">
        <f>IF($G$4="Water and sewer",SUMIFS('INPUT Growth'!AF$64:AF$115,'INPUT Growth'!$B$64:$B$115,$A$1,'INPUT Growth'!$F$64:$F$115,$B90,'INPUT Growth'!$E$64:$E$115,$C90),SUMIFS('INPUT Growth'!AF$64:AF$115,'INPUT Growth'!$A$64:$A$115,$A$1,'INPUT Growth'!$F$64:$F$115,$B90,'INPUT Growth'!$E$64:$E$115,$C90))</f>
        <v>11418.121883796382</v>
      </c>
      <c r="K90" s="102">
        <f>IF($G$4="Water and sewer",SUMIFS('INPUT Growth'!AG$64:AG$115,'INPUT Growth'!$B$64:$B$115,$A$1,'INPUT Growth'!$F$64:$F$115,$B90,'INPUT Growth'!$E$64:$E$115,$C90),SUMIFS('INPUT Growth'!AG$64:AG$115,'INPUT Growth'!$A$64:$A$115,$A$1,'INPUT Growth'!$F$64:$F$115,$B90,'INPUT Growth'!$E$64:$E$115,$C90))</f>
        <v>11435.052488475943</v>
      </c>
      <c r="L90" s="102">
        <f>IF($G$4="Water and sewer",SUMIFS('INPUT Growth'!AH$64:AH$115,'INPUT Growth'!$B$64:$B$115,$A$1,'INPUT Growth'!$F$64:$F$115,$B90,'INPUT Growth'!$E$64:$E$115,$C90),SUMIFS('INPUT Growth'!AH$64:AH$115,'INPUT Growth'!$A$64:$A$115,$A$1,'INPUT Growth'!$F$64:$F$115,$B90,'INPUT Growth'!$E$64:$E$115,$C90))</f>
        <v>11192.10780680574</v>
      </c>
      <c r="M90" s="102">
        <f>IF($G$4="Water and sewer",SUMIFS('INPUT Growth'!AI$64:AI$115,'INPUT Growth'!$B$64:$B$115,$A$1,'INPUT Growth'!$F$64:$F$115,$B90,'INPUT Growth'!$E$64:$E$115,$C90),SUMIFS('INPUT Growth'!AI$64:AI$115,'INPUT Growth'!$A$64:$A$115,$A$1,'INPUT Growth'!$F$64:$F$115,$B90,'INPUT Growth'!$E$64:$E$115,$C90))</f>
        <v>10943.219234170574</v>
      </c>
      <c r="N90" s="102">
        <f>IF($G$4="Water and sewer",SUMIFS('INPUT Growth'!AJ$64:AJ$115,'INPUT Growth'!$B$64:$B$115,$A$1,'INPUT Growth'!$F$64:$F$115,$B90,'INPUT Growth'!$E$64:$E$115,$C90),SUMIFS('INPUT Growth'!AJ$64:AJ$115,'INPUT Growth'!$A$64:$A$115,$A$1,'INPUT Growth'!$F$64:$F$115,$B90,'INPUT Growth'!$E$64:$E$115,$C90))</f>
        <v>10928.714494089014</v>
      </c>
      <c r="O90" s="102">
        <f>IF($G$4="Water and sewer",SUMIFS('INPUT Growth'!AK$64:AK$115,'INPUT Growth'!$B$64:$B$115,$A$1,'INPUT Growth'!$F$64:$F$115,$B90,'INPUT Growth'!$E$64:$E$115,$C90),SUMIFS('INPUT Growth'!AK$64:AK$115,'INPUT Growth'!$A$64:$A$115,$A$1,'INPUT Growth'!$F$64:$F$115,$B90,'INPUT Growth'!$E$64:$E$115,$C90))</f>
        <v>11286.972735453368</v>
      </c>
      <c r="P90" s="102">
        <f>IF($G$4="Water and sewer",SUMIFS('INPUT Growth'!AL$64:AL$115,'INPUT Growth'!$B$64:$B$115,$A$1,'INPUT Growth'!$F$64:$F$115,$B90,'INPUT Growth'!$E$64:$E$115,$C90),SUMIFS('INPUT Growth'!AL$64:AL$115,'INPUT Growth'!$A$64:$A$115,$A$1,'INPUT Growth'!$F$64:$F$115,$B90,'INPUT Growth'!$E$64:$E$115,$C90))</f>
        <v>11560.452580544908</v>
      </c>
      <c r="Q90" s="102">
        <f>IF($G$4="Water and sewer",SUMIFS('INPUT Growth'!AM$64:AM$115,'INPUT Growth'!$B$64:$B$115,$A$1,'INPUT Growth'!$F$64:$F$115,$B90,'INPUT Growth'!$E$64:$E$115,$C90),SUMIFS('INPUT Growth'!AM$64:AM$115,'INPUT Growth'!$A$64:$A$115,$A$1,'INPUT Growth'!$F$64:$F$115,$B90,'INPUT Growth'!$E$64:$E$115,$C90))</f>
        <v>11873.170677270638</v>
      </c>
      <c r="R90" s="102">
        <f>IF($G$4="Water and sewer",SUMIFS('INPUT Growth'!AN$64:AN$115,'INPUT Growth'!$B$64:$B$115,$A$1,'INPUT Growth'!$F$64:$F$115,$B90,'INPUT Growth'!$E$64:$E$115,$C90),SUMIFS('INPUT Growth'!AN$64:AN$115,'INPUT Growth'!$A$64:$A$115,$A$1,'INPUT Growth'!$F$64:$F$115,$B90,'INPUT Growth'!$E$64:$E$115,$C90))</f>
        <v>12124.444533356407</v>
      </c>
      <c r="S90" s="102">
        <f>IF($G$4="Water and sewer",SUMIFS('INPUT Growth'!AO$64:AO$115,'INPUT Growth'!$B$64:$B$115,$A$1,'INPUT Growth'!$F$64:$F$115,$B90,'INPUT Growth'!$E$64:$E$115,$C90),SUMIFS('INPUT Growth'!AO$64:AO$115,'INPUT Growth'!$A$64:$A$115,$A$1,'INPUT Growth'!$F$64:$F$115,$B90,'INPUT Growth'!$E$64:$E$115,$C90))</f>
        <v>12335.195491874503</v>
      </c>
      <c r="T90" s="102">
        <f>IF($G$4="Water and sewer",SUMIFS('INPUT Growth'!AP$64:AP$115,'INPUT Growth'!$B$64:$B$115,$A$1,'INPUT Growth'!$F$64:$F$115,$B90,'INPUT Growth'!$E$64:$E$115,$C90),SUMIFS('INPUT Growth'!AP$64:AP$115,'INPUT Growth'!$A$64:$A$115,$A$1,'INPUT Growth'!$F$64:$F$115,$B90,'INPUT Growth'!$E$64:$E$115,$C90))</f>
        <v>12524.896378125501</v>
      </c>
      <c r="U90" s="102">
        <f>IF($G$4="Water and sewer",SUMIFS('INPUT Growth'!AQ$64:AQ$115,'INPUT Growth'!$B$64:$B$115,$A$1,'INPUT Growth'!$F$64:$F$115,$B90,'INPUT Growth'!$E$64:$E$115,$C90),SUMIFS('INPUT Growth'!AQ$64:AQ$115,'INPUT Growth'!$A$64:$A$115,$A$1,'INPUT Growth'!$F$64:$F$115,$B90,'INPUT Growth'!$E$64:$E$115,$C90))</f>
        <v>12600.082215049479</v>
      </c>
      <c r="V90" s="102">
        <f>IF($G$4="Water and sewer",SUMIFS('INPUT Growth'!AR$64:AR$115,'INPUT Growth'!$B$64:$B$115,$A$1,'INPUT Growth'!$F$64:$F$115,$B90,'INPUT Growth'!$E$64:$E$115,$C90),SUMIFS('INPUT Growth'!AR$64:AR$115,'INPUT Growth'!$A$64:$A$115,$A$1,'INPUT Growth'!$F$64:$F$115,$B90,'INPUT Growth'!$E$64:$E$115,$C90))</f>
        <v>12676.839343894913</v>
      </c>
      <c r="W90" s="102">
        <f>IF($G$4="Water and sewer",SUMIFS('INPUT Growth'!AS$64:AS$115,'INPUT Growth'!$B$64:$B$115,$A$1,'INPUT Growth'!$F$64:$F$115,$B90,'INPUT Growth'!$E$64:$E$115,$C90),SUMIFS('INPUT Growth'!AS$64:AS$115,'INPUT Growth'!$A$64:$A$115,$A$1,'INPUT Growth'!$F$64:$F$115,$B90,'INPUT Growth'!$E$64:$E$115,$C90))</f>
        <v>12707.895768667353</v>
      </c>
      <c r="X90" s="102">
        <f>IF($G$4="Water and sewer",SUMIFS('INPUT Growth'!AT$64:AT$115,'INPUT Growth'!$B$64:$B$115,$A$1,'INPUT Growth'!$F$64:$F$115,$B90,'INPUT Growth'!$E$64:$E$115,$C90),SUMIFS('INPUT Growth'!AT$64:AT$115,'INPUT Growth'!$A$64:$A$115,$A$1,'INPUT Growth'!$F$64:$F$115,$B90,'INPUT Growth'!$E$64:$E$115,$C90))</f>
        <v>12707.106168853323</v>
      </c>
      <c r="Y90" s="102">
        <f>IF($G$4="Water and sewer",SUMIFS('INPUT Growth'!AU$64:AU$115,'INPUT Growth'!$B$64:$B$115,$A$1,'INPUT Growth'!$F$64:$F$115,$B90,'INPUT Growth'!$E$64:$E$115,$C90),SUMIFS('INPUT Growth'!AU$64:AU$115,'INPUT Growth'!$A$64:$A$115,$A$1,'INPUT Growth'!$F$64:$F$115,$B90,'INPUT Growth'!$E$64:$E$115,$C90))</f>
        <v>12574.469226112327</v>
      </c>
      <c r="Z90" s="102">
        <f>IF($G$4="Water and sewer",SUMIFS('INPUT Growth'!AV$64:AV$115,'INPUT Growth'!$B$64:$B$115,$A$1,'INPUT Growth'!$F$64:$F$115,$B90,'INPUT Growth'!$E$64:$E$115,$C90),SUMIFS('INPUT Growth'!AV$64:AV$115,'INPUT Growth'!$A$64:$A$115,$A$1,'INPUT Growth'!$F$64:$F$115,$B90,'INPUT Growth'!$E$64:$E$115,$C90))</f>
        <v>12503.813243388126</v>
      </c>
      <c r="AA90" s="102">
        <f>IF($G$4="Water and sewer",SUMIFS('INPUT Growth'!AW$64:AW$115,'INPUT Growth'!$B$64:$B$115,$A$1,'INPUT Growth'!$F$64:$F$115,$B90,'INPUT Growth'!$E$64:$E$115,$C90),SUMIFS('INPUT Growth'!AW$64:AW$115,'INPUT Growth'!$A$64:$A$115,$A$1,'INPUT Growth'!$F$64:$F$115,$B90,'INPUT Growth'!$E$64:$E$115,$C90))</f>
        <v>12467.159200358423</v>
      </c>
    </row>
    <row r="91" spans="1:27" x14ac:dyDescent="0.25">
      <c r="C91" s="100"/>
      <c r="D91" s="100"/>
      <c r="E91" s="47" t="s">
        <v>656</v>
      </c>
      <c r="F91" s="47" t="s">
        <v>655</v>
      </c>
      <c r="H91" s="106">
        <f>G91+H90</f>
        <v>12831.413056321864</v>
      </c>
      <c r="I91" s="106">
        <f t="shared" ref="I91:AA91" si="18">H91+I90</f>
        <v>26225.143926523546</v>
      </c>
      <c r="J91" s="106">
        <f t="shared" si="18"/>
        <v>37643.265810319928</v>
      </c>
      <c r="K91" s="106">
        <f t="shared" si="18"/>
        <v>49078.318298795872</v>
      </c>
      <c r="L91" s="106">
        <f t="shared" si="18"/>
        <v>60270.426105601611</v>
      </c>
      <c r="M91" s="106">
        <f t="shared" si="18"/>
        <v>71213.645339772193</v>
      </c>
      <c r="N91" s="106">
        <f t="shared" si="18"/>
        <v>82142.359833861206</v>
      </c>
      <c r="O91" s="106">
        <f t="shared" si="18"/>
        <v>93429.332569314574</v>
      </c>
      <c r="P91" s="106">
        <f t="shared" si="18"/>
        <v>104989.78514985948</v>
      </c>
      <c r="Q91" s="106">
        <f t="shared" si="18"/>
        <v>116862.95582713012</v>
      </c>
      <c r="R91" s="106">
        <f t="shared" si="18"/>
        <v>128987.40036048653</v>
      </c>
      <c r="S91" s="106">
        <f t="shared" si="18"/>
        <v>141322.59585236103</v>
      </c>
      <c r="T91" s="106">
        <f t="shared" si="18"/>
        <v>153847.49223048653</v>
      </c>
      <c r="U91" s="106">
        <f t="shared" si="18"/>
        <v>166447.57444553601</v>
      </c>
      <c r="V91" s="106">
        <f t="shared" si="18"/>
        <v>179124.41378943092</v>
      </c>
      <c r="W91" s="106">
        <f t="shared" si="18"/>
        <v>191832.30955809826</v>
      </c>
      <c r="X91" s="106">
        <f t="shared" si="18"/>
        <v>204539.41572695159</v>
      </c>
      <c r="Y91" s="106">
        <f t="shared" si="18"/>
        <v>217113.88495306391</v>
      </c>
      <c r="Z91" s="106">
        <f t="shared" si="18"/>
        <v>229617.69819645205</v>
      </c>
      <c r="AA91" s="106">
        <f t="shared" si="18"/>
        <v>242084.85739681049</v>
      </c>
    </row>
    <row r="92" spans="1:27" x14ac:dyDescent="0.25">
      <c r="A92" s="101">
        <v>16</v>
      </c>
      <c r="C92" s="100"/>
      <c r="D92" s="100"/>
      <c r="E92" s="47" t="s">
        <v>657</v>
      </c>
      <c r="F92" s="47" t="s">
        <v>655</v>
      </c>
      <c r="G92" s="102">
        <v>1</v>
      </c>
    </row>
    <row r="93" spans="1:27" x14ac:dyDescent="0.25">
      <c r="C93" s="100"/>
      <c r="D93" s="100"/>
      <c r="E93" s="47" t="s">
        <v>658</v>
      </c>
      <c r="F93" s="47" t="s">
        <v>655</v>
      </c>
      <c r="H93" s="47">
        <f>H90*$G92</f>
        <v>12831.413056321864</v>
      </c>
      <c r="I93" s="47">
        <f t="shared" ref="I93:AA93" si="19">I90*$G92</f>
        <v>13393.730870201682</v>
      </c>
      <c r="J93" s="47">
        <f t="shared" si="19"/>
        <v>11418.121883796382</v>
      </c>
      <c r="K93" s="47">
        <f t="shared" si="19"/>
        <v>11435.052488475943</v>
      </c>
      <c r="L93" s="47">
        <f t="shared" si="19"/>
        <v>11192.10780680574</v>
      </c>
      <c r="M93" s="47">
        <f t="shared" si="19"/>
        <v>10943.219234170574</v>
      </c>
      <c r="N93" s="47">
        <f t="shared" si="19"/>
        <v>10928.714494089014</v>
      </c>
      <c r="O93" s="47">
        <f t="shared" si="19"/>
        <v>11286.972735453368</v>
      </c>
      <c r="P93" s="47">
        <f t="shared" si="19"/>
        <v>11560.452580544908</v>
      </c>
      <c r="Q93" s="47">
        <f t="shared" si="19"/>
        <v>11873.170677270638</v>
      </c>
      <c r="R93" s="47">
        <f t="shared" si="19"/>
        <v>12124.444533356407</v>
      </c>
      <c r="S93" s="47">
        <f t="shared" si="19"/>
        <v>12335.195491874503</v>
      </c>
      <c r="T93" s="47">
        <f t="shared" si="19"/>
        <v>12524.896378125501</v>
      </c>
      <c r="U93" s="47">
        <f t="shared" si="19"/>
        <v>12600.082215049479</v>
      </c>
      <c r="V93" s="47">
        <f t="shared" si="19"/>
        <v>12676.839343894913</v>
      </c>
      <c r="W93" s="47">
        <f t="shared" si="19"/>
        <v>12707.895768667353</v>
      </c>
      <c r="X93" s="47">
        <f t="shared" si="19"/>
        <v>12707.106168853323</v>
      </c>
      <c r="Y93" s="47">
        <f t="shared" si="19"/>
        <v>12574.469226112327</v>
      </c>
      <c r="Z93" s="47">
        <f t="shared" si="19"/>
        <v>12503.813243388126</v>
      </c>
      <c r="AA93" s="47">
        <f t="shared" si="19"/>
        <v>12467.159200358423</v>
      </c>
    </row>
    <row r="94" spans="1:27" x14ac:dyDescent="0.25">
      <c r="C94" s="100"/>
      <c r="D94" s="100"/>
      <c r="E94" s="47" t="s">
        <v>659</v>
      </c>
      <c r="F94" s="47" t="s">
        <v>655</v>
      </c>
      <c r="H94" s="47">
        <f>H91*$G92</f>
        <v>12831.413056321864</v>
      </c>
      <c r="I94" s="47">
        <f t="shared" ref="I94:AA94" si="20">I91*$G92</f>
        <v>26225.143926523546</v>
      </c>
      <c r="J94" s="47">
        <f t="shared" si="20"/>
        <v>37643.265810319928</v>
      </c>
      <c r="K94" s="47">
        <f t="shared" si="20"/>
        <v>49078.318298795872</v>
      </c>
      <c r="L94" s="47">
        <f t="shared" si="20"/>
        <v>60270.426105601611</v>
      </c>
      <c r="M94" s="47">
        <f t="shared" si="20"/>
        <v>71213.645339772193</v>
      </c>
      <c r="N94" s="47">
        <f t="shared" si="20"/>
        <v>82142.359833861206</v>
      </c>
      <c r="O94" s="47">
        <f t="shared" si="20"/>
        <v>93429.332569314574</v>
      </c>
      <c r="P94" s="47">
        <f t="shared" si="20"/>
        <v>104989.78514985948</v>
      </c>
      <c r="Q94" s="47">
        <f t="shared" si="20"/>
        <v>116862.95582713012</v>
      </c>
      <c r="R94" s="47">
        <f t="shared" si="20"/>
        <v>128987.40036048653</v>
      </c>
      <c r="S94" s="47">
        <f t="shared" si="20"/>
        <v>141322.59585236103</v>
      </c>
      <c r="T94" s="47">
        <f t="shared" si="20"/>
        <v>153847.49223048653</v>
      </c>
      <c r="U94" s="47">
        <f t="shared" si="20"/>
        <v>166447.57444553601</v>
      </c>
      <c r="V94" s="47">
        <f t="shared" si="20"/>
        <v>179124.41378943092</v>
      </c>
      <c r="W94" s="47">
        <f t="shared" si="20"/>
        <v>191832.30955809826</v>
      </c>
      <c r="X94" s="47">
        <f t="shared" si="20"/>
        <v>204539.41572695159</v>
      </c>
      <c r="Y94" s="47">
        <f t="shared" si="20"/>
        <v>217113.88495306391</v>
      </c>
      <c r="Z94" s="47">
        <f t="shared" si="20"/>
        <v>229617.69819645205</v>
      </c>
      <c r="AA94" s="47">
        <f t="shared" si="20"/>
        <v>242084.85739681049</v>
      </c>
    </row>
    <row r="95" spans="1:27" x14ac:dyDescent="0.25">
      <c r="A95" s="101">
        <v>17</v>
      </c>
      <c r="B95" s="47" t="str">
        <f>B90</f>
        <v>Central</v>
      </c>
      <c r="C95" s="47" t="str">
        <f>C90</f>
        <v>R</v>
      </c>
      <c r="D95" s="47" t="str">
        <f>D90</f>
        <v>Water</v>
      </c>
      <c r="E95" s="47" t="s">
        <v>660</v>
      </c>
      <c r="F95" s="47" t="s">
        <v>661</v>
      </c>
      <c r="G95" s="283"/>
      <c r="H95" s="102">
        <f>IF(OR($D95=W,$D95=WS),'INPUT Reg'!AD113,IF($D95=RW,'INPUT Reg'!AD117,0))</f>
        <v>130.87254215836683</v>
      </c>
      <c r="I95" s="102">
        <f>IF(OR($D95=W,$D95=WS),'INPUT Reg'!AE113,IF($D95=RW,'INPUT Reg'!AE117,0))</f>
        <v>130.9304572418996</v>
      </c>
      <c r="J95" s="102">
        <f>IF(OR($D95=W,$D95=WS),'INPUT Reg'!AF113,IF($D95=RW,'INPUT Reg'!AF117,0))</f>
        <v>128.32012463785938</v>
      </c>
      <c r="K95" s="102">
        <f>IF(OR($D95=W,$D95=WS),'INPUT Reg'!AG113,IF($D95=RW,'INPUT Reg'!AG117,0))</f>
        <v>127.36557580042182</v>
      </c>
      <c r="L95" s="102">
        <f>IF(OR($D95=W,$D95=WS),'INPUT Reg'!AH113,IF($D95=RW,'INPUT Reg'!AH117,0))</f>
        <v>126.44551181569685</v>
      </c>
      <c r="M95" s="102">
        <f>IF(OR($D95=W,$D95=WS),'INPUT Reg'!AI113,IF($D95=RW,'INPUT Reg'!AI117,0))</f>
        <v>124.14959329831383</v>
      </c>
      <c r="N95" s="102">
        <f>IF(OR($D95=W,$D95=WS),'INPUT Reg'!AJ113,IF($D95=RW,'INPUT Reg'!AJ117,0))</f>
        <v>124.68106583406338</v>
      </c>
      <c r="O95" s="102">
        <f>IF(OR($D95=W,$D95=WS),'INPUT Reg'!AK113,IF($D95=RW,'INPUT Reg'!AK117,0))</f>
        <v>123.80768278743128</v>
      </c>
      <c r="P95" s="102">
        <f>IF(OR($D95=W,$D95=WS),'INPUT Reg'!AL113,IF($D95=RW,'INPUT Reg'!AL117,0))</f>
        <v>122.95675931515683</v>
      </c>
      <c r="Q95" s="102">
        <f>IF(OR($D95=W,$D95=WS),'INPUT Reg'!AM113,IF($D95=RW,'INPUT Reg'!AM117,0))</f>
        <v>120.62498921677354</v>
      </c>
      <c r="R95" s="102">
        <f>IF(OR($D95=W,$D95=WS),'INPUT Reg'!AN113,IF($D95=RW,'INPUT Reg'!AN117,0))</f>
        <v>119.79286586906213</v>
      </c>
      <c r="S95" s="102">
        <f>IF(OR($D95=W,$D95=WS),'INPUT Reg'!AO113,IF($D95=RW,'INPUT Reg'!AO117,0))</f>
        <v>118.98813463210472</v>
      </c>
      <c r="T95" s="102">
        <f>IF(OR($D95=W,$D95=WS),'INPUT Reg'!AP113,IF($D95=RW,'INPUT Reg'!AP117,0))</f>
        <v>118.20476724223678</v>
      </c>
      <c r="U95" s="102">
        <f>IF(OR($D95=W,$D95=WS),'INPUT Reg'!AQ113,IF($D95=RW,'INPUT Reg'!AQ117,0))</f>
        <v>117.44370468514018</v>
      </c>
      <c r="V95" s="102">
        <f>IF(OR($D95=W,$D95=WS),'INPUT Reg'!AR113,IF($D95=RW,'INPUT Reg'!AR117,0))</f>
        <v>116.69996220664642</v>
      </c>
      <c r="W95" s="102">
        <f>IF(OR($D95=W,$D95=WS),'INPUT Reg'!AS113,IF($D95=RW,'INPUT Reg'!AS117,0))</f>
        <v>115.96840868261178</v>
      </c>
      <c r="X95" s="102">
        <f>IF(OR($D95=W,$D95=WS),'INPUT Reg'!AT113,IF($D95=RW,'INPUT Reg'!AT117,0))</f>
        <v>114.69237365956346</v>
      </c>
      <c r="Y95" s="102">
        <f>IF(OR($D95=W,$D95=WS),'INPUT Reg'!AU113,IF($D95=RW,'INPUT Reg'!AU117,0))</f>
        <v>114.04823695325099</v>
      </c>
      <c r="Z95" s="102">
        <f>IF(OR($D95=W,$D95=WS),'INPUT Reg'!AV113,IF($D95=RW,'INPUT Reg'!AV117,0))</f>
        <v>113.43247552103075</v>
      </c>
      <c r="AA95" s="102">
        <f>IF(OR($D95=W,$D95=WS),'INPUT Reg'!AW113,IF($D95=RW,'INPUT Reg'!AW117,0))</f>
        <v>113.43247552103075</v>
      </c>
    </row>
    <row r="96" spans="1:27" x14ac:dyDescent="0.25">
      <c r="B96" s="47" t="str">
        <f>B90</f>
        <v>Central</v>
      </c>
      <c r="C96" s="47" t="str">
        <f t="shared" ref="C96:D96" si="21">C90</f>
        <v>R</v>
      </c>
      <c r="D96" s="47" t="str">
        <f t="shared" si="21"/>
        <v>Water</v>
      </c>
      <c r="E96" s="47" t="s">
        <v>662</v>
      </c>
      <c r="F96" s="47" t="s">
        <v>661</v>
      </c>
      <c r="H96" s="102">
        <f>IF(OR($D96=W,$D96=WS),'INPUT Reg'!AD114,0)</f>
        <v>0</v>
      </c>
      <c r="I96" s="102">
        <f>IF(OR($D96=W,$D96=WS),'INPUT Reg'!AE114,0)</f>
        <v>0</v>
      </c>
      <c r="J96" s="102">
        <f>IF(OR($D96=W,$D96=WS),'INPUT Reg'!AF114,0)</f>
        <v>0</v>
      </c>
      <c r="K96" s="102">
        <f>IF(OR($D96=W,$D96=WS),'INPUT Reg'!AG114,0)</f>
        <v>0</v>
      </c>
      <c r="L96" s="102">
        <f>IF(OR($D96=W,$D96=WS),'INPUT Reg'!AH114,0)</f>
        <v>0</v>
      </c>
      <c r="M96" s="102">
        <f>IF(OR($D96=W,$D96=WS),'INPUT Reg'!AI114,0)</f>
        <v>0</v>
      </c>
      <c r="N96" s="102">
        <f>IF(OR($D96=W,$D96=WS),'INPUT Reg'!AJ114,0)</f>
        <v>0</v>
      </c>
      <c r="O96" s="102">
        <f>IF(OR($D96=W,$D96=WS),'INPUT Reg'!AK114,0)</f>
        <v>0</v>
      </c>
      <c r="P96" s="102">
        <f>IF(OR($D96=W,$D96=WS),'INPUT Reg'!AL114,0)</f>
        <v>0</v>
      </c>
      <c r="Q96" s="102">
        <f>IF(OR($D96=W,$D96=WS),'INPUT Reg'!AM114,0)</f>
        <v>0</v>
      </c>
      <c r="R96" s="102">
        <f>IF(OR($D96=W,$D96=WS),'INPUT Reg'!AN114,0)</f>
        <v>0</v>
      </c>
      <c r="S96" s="102">
        <f>IF(OR($D96=W,$D96=WS),'INPUT Reg'!AO114,0)</f>
        <v>0</v>
      </c>
      <c r="T96" s="102">
        <f>IF(OR($D96=W,$D96=WS),'INPUT Reg'!AP114,0)</f>
        <v>0</v>
      </c>
      <c r="U96" s="102">
        <f>IF(OR($D96=W,$D96=WS),'INPUT Reg'!AQ114,0)</f>
        <v>0</v>
      </c>
      <c r="V96" s="102">
        <f>IF(OR($D96=W,$D96=WS),'INPUT Reg'!AR114,0)</f>
        <v>0</v>
      </c>
      <c r="W96" s="102">
        <f>IF(OR($D96=W,$D96=WS),'INPUT Reg'!AS114,0)</f>
        <v>0</v>
      </c>
      <c r="X96" s="102">
        <f>IF(OR($D96=W,$D96=WS),'INPUT Reg'!AT114,0)</f>
        <v>0</v>
      </c>
      <c r="Y96" s="102">
        <f>IF(OR($D96=W,$D96=WS),'INPUT Reg'!AU114,0)</f>
        <v>0</v>
      </c>
      <c r="Z96" s="102">
        <f>IF(OR($D96=W,$D96=WS),'INPUT Reg'!AV114,0)</f>
        <v>0</v>
      </c>
      <c r="AA96" s="102">
        <f>IF(OR($D96=W,$D96=WS),'INPUT Reg'!AW114,0)</f>
        <v>0</v>
      </c>
    </row>
    <row r="97" spans="1:27" x14ac:dyDescent="0.25">
      <c r="B97" s="47" t="str">
        <f>B90</f>
        <v>Central</v>
      </c>
      <c r="C97" s="47" t="str">
        <f t="shared" ref="C97:D97" si="22">C90</f>
        <v>R</v>
      </c>
      <c r="D97" s="47" t="str">
        <f t="shared" si="22"/>
        <v>Water</v>
      </c>
      <c r="E97" s="47" t="s">
        <v>663</v>
      </c>
      <c r="F97" s="47" t="s">
        <v>661</v>
      </c>
      <c r="H97" s="102">
        <f>IF(OR($D97=S,$D97=WS),'INPUT Reg'!AD116,0)</f>
        <v>0</v>
      </c>
      <c r="I97" s="102">
        <f>IF(OR($D97=S,$D97=WS),'INPUT Reg'!AE116,0)</f>
        <v>0</v>
      </c>
      <c r="J97" s="102">
        <f>IF(OR($D97=S,$D97=WS),'INPUT Reg'!AF116,0)</f>
        <v>0</v>
      </c>
      <c r="K97" s="102">
        <f>IF(OR($D97=S,$D97=WS),'INPUT Reg'!AG116,0)</f>
        <v>0</v>
      </c>
      <c r="L97" s="102">
        <f>IF(OR($D97=S,$D97=WS),'INPUT Reg'!AH116,0)</f>
        <v>0</v>
      </c>
      <c r="M97" s="102">
        <f>IF(OR($D97=S,$D97=WS),'INPUT Reg'!AI116,0)</f>
        <v>0</v>
      </c>
      <c r="N97" s="102">
        <f>IF(OR($D97=S,$D97=WS),'INPUT Reg'!AJ116,0)</f>
        <v>0</v>
      </c>
      <c r="O97" s="102">
        <f>IF(OR($D97=S,$D97=WS),'INPUT Reg'!AK116,0)</f>
        <v>0</v>
      </c>
      <c r="P97" s="102">
        <f>IF(OR($D97=S,$D97=WS),'INPUT Reg'!AL116,0)</f>
        <v>0</v>
      </c>
      <c r="Q97" s="102">
        <f>IF(OR($D97=S,$D97=WS),'INPUT Reg'!AM116,0)</f>
        <v>0</v>
      </c>
      <c r="R97" s="102">
        <f>IF(OR($D97=S,$D97=WS),'INPUT Reg'!AN116,0)</f>
        <v>0</v>
      </c>
      <c r="S97" s="102">
        <f>IF(OR($D97=S,$D97=WS),'INPUT Reg'!AO116,0)</f>
        <v>0</v>
      </c>
      <c r="T97" s="102">
        <f>IF(OR($D97=S,$D97=WS),'INPUT Reg'!AP116,0)</f>
        <v>0</v>
      </c>
      <c r="U97" s="102">
        <f>IF(OR($D97=S,$D97=WS),'INPUT Reg'!AQ116,0)</f>
        <v>0</v>
      </c>
      <c r="V97" s="102">
        <f>IF(OR($D97=S,$D97=WS),'INPUT Reg'!AR116,0)</f>
        <v>0</v>
      </c>
      <c r="W97" s="102">
        <f>IF(OR($D97=S,$D97=WS),'INPUT Reg'!AS116,0)</f>
        <v>0</v>
      </c>
      <c r="X97" s="102">
        <f>IF(OR($D97=S,$D97=WS),'INPUT Reg'!AT116,0)</f>
        <v>0</v>
      </c>
      <c r="Y97" s="102">
        <f>IF(OR($D97=S,$D97=WS),'INPUT Reg'!AU116,0)</f>
        <v>0</v>
      </c>
      <c r="Z97" s="102">
        <f>IF(OR($D97=S,$D97=WS),'INPUT Reg'!AV116,0)</f>
        <v>0</v>
      </c>
      <c r="AA97" s="102">
        <f>IF(OR($D97=S,$D97=WS),'INPUT Reg'!AW116,0)</f>
        <v>0</v>
      </c>
    </row>
    <row r="98" spans="1:27" x14ac:dyDescent="0.25">
      <c r="C98" s="100"/>
      <c r="D98" s="100"/>
      <c r="E98" s="47" t="s">
        <v>664</v>
      </c>
      <c r="F98" s="47" t="s">
        <v>665</v>
      </c>
      <c r="H98" s="106">
        <f>H91*H95</f>
        <v>1679279.6461649018</v>
      </c>
      <c r="I98" s="106">
        <f t="shared" ref="I98:AA98" si="23">I91*I95</f>
        <v>3433670.0855343542</v>
      </c>
      <c r="J98" s="106">
        <f t="shared" si="23"/>
        <v>4830388.5605563242</v>
      </c>
      <c r="K98" s="106">
        <f t="shared" si="23"/>
        <v>6250888.2694425154</v>
      </c>
      <c r="L98" s="106">
        <f t="shared" si="23"/>
        <v>7620924.8762729326</v>
      </c>
      <c r="M98" s="106">
        <f t="shared" si="23"/>
        <v>8841145.1062230803</v>
      </c>
      <c r="N98" s="106">
        <f t="shared" si="23"/>
        <v>10241596.974210972</v>
      </c>
      <c r="O98" s="106">
        <f t="shared" si="23"/>
        <v>11567269.169783121</v>
      </c>
      <c r="P98" s="106">
        <f t="shared" si="23"/>
        <v>12909203.7432213</v>
      </c>
      <c r="Q98" s="106">
        <f t="shared" si="23"/>
        <v>14096592.786487853</v>
      </c>
      <c r="R98" s="106">
        <f t="shared" si="23"/>
        <v>15451770.350182779</v>
      </c>
      <c r="S98" s="106">
        <f t="shared" si="23"/>
        <v>16815712.061839256</v>
      </c>
      <c r="T98" s="106">
        <f t="shared" si="23"/>
        <v>18185507.009906493</v>
      </c>
      <c r="U98" s="106">
        <f t="shared" si="23"/>
        <v>19548219.778739415</v>
      </c>
      <c r="V98" s="106">
        <f t="shared" si="23"/>
        <v>20903812.319514282</v>
      </c>
      <c r="W98" s="106">
        <f t="shared" si="23"/>
        <v>22246487.673362833</v>
      </c>
      <c r="X98" s="106">
        <f t="shared" si="23"/>
        <v>23459111.096664321</v>
      </c>
      <c r="Y98" s="106">
        <f t="shared" si="23"/>
        <v>24761455.796967909</v>
      </c>
      <c r="Z98" s="106">
        <f t="shared" si="23"/>
        <v>26046103.929864474</v>
      </c>
      <c r="AA98" s="106">
        <f t="shared" si="23"/>
        <v>27460284.660675928</v>
      </c>
    </row>
    <row r="99" spans="1:27" x14ac:dyDescent="0.25">
      <c r="C99" s="100"/>
      <c r="D99" s="100"/>
      <c r="E99" s="47" t="s">
        <v>666</v>
      </c>
      <c r="F99" s="47" t="s">
        <v>665</v>
      </c>
      <c r="H99" s="106">
        <f>H91*H96</f>
        <v>0</v>
      </c>
      <c r="I99" s="106">
        <f t="shared" ref="I99:AA99" si="24">I91*I96</f>
        <v>0</v>
      </c>
      <c r="J99" s="106">
        <f t="shared" si="24"/>
        <v>0</v>
      </c>
      <c r="K99" s="106">
        <f t="shared" si="24"/>
        <v>0</v>
      </c>
      <c r="L99" s="106">
        <f t="shared" si="24"/>
        <v>0</v>
      </c>
      <c r="M99" s="106">
        <f t="shared" si="24"/>
        <v>0</v>
      </c>
      <c r="N99" s="106">
        <f t="shared" si="24"/>
        <v>0</v>
      </c>
      <c r="O99" s="106">
        <f t="shared" si="24"/>
        <v>0</v>
      </c>
      <c r="P99" s="106">
        <f t="shared" si="24"/>
        <v>0</v>
      </c>
      <c r="Q99" s="106">
        <f t="shared" si="24"/>
        <v>0</v>
      </c>
      <c r="R99" s="106">
        <f t="shared" si="24"/>
        <v>0</v>
      </c>
      <c r="S99" s="106">
        <f t="shared" si="24"/>
        <v>0</v>
      </c>
      <c r="T99" s="106">
        <f t="shared" si="24"/>
        <v>0</v>
      </c>
      <c r="U99" s="106">
        <f t="shared" si="24"/>
        <v>0</v>
      </c>
      <c r="V99" s="106">
        <f t="shared" si="24"/>
        <v>0</v>
      </c>
      <c r="W99" s="106">
        <f t="shared" si="24"/>
        <v>0</v>
      </c>
      <c r="X99" s="106">
        <f t="shared" si="24"/>
        <v>0</v>
      </c>
      <c r="Y99" s="106">
        <f t="shared" si="24"/>
        <v>0</v>
      </c>
      <c r="Z99" s="106">
        <f t="shared" si="24"/>
        <v>0</v>
      </c>
      <c r="AA99" s="106">
        <f t="shared" si="24"/>
        <v>0</v>
      </c>
    </row>
    <row r="100" spans="1:27" x14ac:dyDescent="0.25">
      <c r="C100" s="100"/>
      <c r="D100" s="100"/>
      <c r="E100" s="47" t="s">
        <v>667</v>
      </c>
      <c r="F100" s="47" t="s">
        <v>665</v>
      </c>
      <c r="H100" s="106">
        <f>H91*H97</f>
        <v>0</v>
      </c>
      <c r="I100" s="106">
        <f t="shared" ref="I100:AA100" si="25">I91*I97</f>
        <v>0</v>
      </c>
      <c r="J100" s="106">
        <f t="shared" si="25"/>
        <v>0</v>
      </c>
      <c r="K100" s="106">
        <f t="shared" si="25"/>
        <v>0</v>
      </c>
      <c r="L100" s="106">
        <f t="shared" si="25"/>
        <v>0</v>
      </c>
      <c r="M100" s="106">
        <f t="shared" si="25"/>
        <v>0</v>
      </c>
      <c r="N100" s="106">
        <f t="shared" si="25"/>
        <v>0</v>
      </c>
      <c r="O100" s="106">
        <f t="shared" si="25"/>
        <v>0</v>
      </c>
      <c r="P100" s="106">
        <f t="shared" si="25"/>
        <v>0</v>
      </c>
      <c r="Q100" s="106">
        <f t="shared" si="25"/>
        <v>0</v>
      </c>
      <c r="R100" s="106">
        <f t="shared" si="25"/>
        <v>0</v>
      </c>
      <c r="S100" s="106">
        <f t="shared" si="25"/>
        <v>0</v>
      </c>
      <c r="T100" s="106">
        <f t="shared" si="25"/>
        <v>0</v>
      </c>
      <c r="U100" s="106">
        <f t="shared" si="25"/>
        <v>0</v>
      </c>
      <c r="V100" s="106">
        <f t="shared" si="25"/>
        <v>0</v>
      </c>
      <c r="W100" s="106">
        <f t="shared" si="25"/>
        <v>0</v>
      </c>
      <c r="X100" s="106">
        <f t="shared" si="25"/>
        <v>0</v>
      </c>
      <c r="Y100" s="106">
        <f t="shared" si="25"/>
        <v>0</v>
      </c>
      <c r="Z100" s="106">
        <f t="shared" si="25"/>
        <v>0</v>
      </c>
      <c r="AA100" s="106">
        <f t="shared" si="25"/>
        <v>0</v>
      </c>
    </row>
    <row r="101" spans="1:27" x14ac:dyDescent="0.25">
      <c r="A101" s="101">
        <v>18</v>
      </c>
      <c r="B101" s="47" t="str">
        <f>B95</f>
        <v>Central</v>
      </c>
      <c r="C101" s="47" t="str">
        <f t="shared" ref="C101:D101" si="26">C95</f>
        <v>R</v>
      </c>
      <c r="D101" s="47" t="str">
        <f t="shared" si="26"/>
        <v>Water</v>
      </c>
      <c r="E101" s="47" t="s">
        <v>668</v>
      </c>
      <c r="F101" s="47" t="s">
        <v>633</v>
      </c>
      <c r="H101" s="105">
        <f>SUMIFS('INPUT Reg'!AD$94:AD$109,'INPUT Reg'!$D$94:$D$109,$D101,'INPUT Reg'!$C$94:$C$109,$C101,'INPUT Reg'!$B$94:$B$109,$B101)</f>
        <v>0.10914442561920001</v>
      </c>
      <c r="I101" s="105">
        <f>SUMIFS('INPUT Reg'!AE$94:AE$109,'INPUT Reg'!$D$94:$D$109,$D101,'INPUT Reg'!$C$94:$C$109,$C101,'INPUT Reg'!$B$94:$B$109,$B101)</f>
        <v>0</v>
      </c>
      <c r="J101" s="105">
        <f>SUMIFS('INPUT Reg'!AF$94:AF$109,'INPUT Reg'!$D$94:$D$109,$D101,'INPUT Reg'!$C$94:$C$109,$C101,'INPUT Reg'!$B$94:$B$109,$B101)</f>
        <v>0</v>
      </c>
      <c r="K101" s="105">
        <f>SUMIFS('INPUT Reg'!AG$94:AG$109,'INPUT Reg'!$D$94:$D$109,$D101,'INPUT Reg'!$C$94:$C$109,$C101,'INPUT Reg'!$B$94:$B$109,$B101)</f>
        <v>0</v>
      </c>
      <c r="L101" s="105">
        <f>SUMIFS('INPUT Reg'!AH$94:AH$109,'INPUT Reg'!$D$94:$D$109,$D101,'INPUT Reg'!$C$94:$C$109,$C101,'INPUT Reg'!$B$94:$B$109,$B101)</f>
        <v>-1.3827480402770487E-2</v>
      </c>
      <c r="M101" s="105">
        <f>SUMIFS('INPUT Reg'!AI$94:AI$109,'INPUT Reg'!$D$94:$D$109,$D101,'INPUT Reg'!$C$94:$C$109,$C101,'INPUT Reg'!$B$94:$B$109,$B101)</f>
        <v>0</v>
      </c>
      <c r="N101" s="105">
        <f>SUMIFS('INPUT Reg'!AJ$94:AJ$109,'INPUT Reg'!$D$94:$D$109,$D101,'INPUT Reg'!$C$94:$C$109,$C101,'INPUT Reg'!$B$94:$B$109,$B101)</f>
        <v>0</v>
      </c>
      <c r="O101" s="105">
        <f>SUMIFS('INPUT Reg'!AK$94:AK$109,'INPUT Reg'!$D$94:$D$109,$D101,'INPUT Reg'!$C$94:$C$109,$C101,'INPUT Reg'!$B$94:$B$109,$B101)</f>
        <v>0</v>
      </c>
      <c r="P101" s="105">
        <f>SUMIFS('INPUT Reg'!AL$94:AL$109,'INPUT Reg'!$D$94:$D$109,$D101,'INPUT Reg'!$C$94:$C$109,$C101,'INPUT Reg'!$B$94:$B$109,$B101)</f>
        <v>0</v>
      </c>
      <c r="Q101" s="105">
        <f>SUMIFS('INPUT Reg'!AM$94:AM$109,'INPUT Reg'!$D$94:$D$109,$D101,'INPUT Reg'!$C$94:$C$109,$C101,'INPUT Reg'!$B$94:$B$109,$B101)</f>
        <v>-0.11315100396622813</v>
      </c>
      <c r="R101" s="105">
        <f>SUMIFS('INPUT Reg'!AN$94:AN$109,'INPUT Reg'!$D$94:$D$109,$D101,'INPUT Reg'!$C$94:$C$109,$C101,'INPUT Reg'!$B$94:$B$109,$B101)</f>
        <v>0</v>
      </c>
      <c r="S101" s="105">
        <f>SUMIFS('INPUT Reg'!AO$94:AO$109,'INPUT Reg'!$D$94:$D$109,$D101,'INPUT Reg'!$C$94:$C$109,$C101,'INPUT Reg'!$B$94:$B$109,$B101)</f>
        <v>0</v>
      </c>
      <c r="T101" s="105">
        <f>SUMIFS('INPUT Reg'!AP$94:AP$109,'INPUT Reg'!$D$94:$D$109,$D101,'INPUT Reg'!$C$94:$C$109,$C101,'INPUT Reg'!$B$94:$B$109,$B101)</f>
        <v>0</v>
      </c>
      <c r="U101" s="105">
        <f>SUMIFS('INPUT Reg'!AQ$94:AQ$109,'INPUT Reg'!$D$94:$D$109,$D101,'INPUT Reg'!$C$94:$C$109,$C101,'INPUT Reg'!$B$94:$B$109,$B101)</f>
        <v>0</v>
      </c>
      <c r="V101" s="105">
        <f>SUMIFS('INPUT Reg'!AR$94:AR$109,'INPUT Reg'!$D$94:$D$109,$D101,'INPUT Reg'!$C$94:$C$109,$C101,'INPUT Reg'!$B$94:$B$109,$B101)</f>
        <v>-7.0264957239180137E-2</v>
      </c>
      <c r="W101" s="105">
        <f>SUMIFS('INPUT Reg'!AS$94:AS$109,'INPUT Reg'!$D$94:$D$109,$D101,'INPUT Reg'!$C$94:$C$109,$C101,'INPUT Reg'!$B$94:$B$109,$B101)</f>
        <v>0</v>
      </c>
      <c r="X101" s="105">
        <f>SUMIFS('INPUT Reg'!AT$94:AT$109,'INPUT Reg'!$D$94:$D$109,$D101,'INPUT Reg'!$C$94:$C$109,$C101,'INPUT Reg'!$B$94:$B$109,$B101)</f>
        <v>0</v>
      </c>
      <c r="Y101" s="105">
        <f>SUMIFS('INPUT Reg'!AU$94:AU$109,'INPUT Reg'!$D$94:$D$109,$D101,'INPUT Reg'!$C$94:$C$109,$C101,'INPUT Reg'!$B$94:$B$109,$B101)</f>
        <v>0</v>
      </c>
      <c r="Z101" s="105">
        <f>SUMIFS('INPUT Reg'!AV$94:AV$109,'INPUT Reg'!$D$94:$D$109,$D101,'INPUT Reg'!$C$94:$C$109,$C101,'INPUT Reg'!$B$94:$B$109,$B101)</f>
        <v>0</v>
      </c>
      <c r="AA101" s="105">
        <f>SUMIFS('INPUT Reg'!AW$94:AW$109,'INPUT Reg'!$D$94:$D$109,$D101,'INPUT Reg'!$C$94:$C$109,$C101,'INPUT Reg'!$B$94:$B$109,$B101)</f>
        <v>0</v>
      </c>
    </row>
    <row r="102" spans="1:27" x14ac:dyDescent="0.25">
      <c r="A102" s="101">
        <v>19</v>
      </c>
      <c r="B102" s="47" t="str">
        <f>B90</f>
        <v>Central</v>
      </c>
      <c r="C102" s="47" t="str">
        <f t="shared" ref="C102:D102" si="27">C90</f>
        <v>R</v>
      </c>
      <c r="D102" s="47" t="str">
        <f t="shared" si="27"/>
        <v>Water</v>
      </c>
      <c r="E102" s="47" t="s">
        <v>669</v>
      </c>
      <c r="F102" s="47" t="s">
        <v>670</v>
      </c>
      <c r="G102" s="108">
        <f>IF(D102=W,CWW_R_W_N,IF(D102=S,CWW_R_S_N,IF(D102=WS,CWW_R_W_N+CWW_R_S_N,CWW_R_R_N)))</f>
        <v>206.4</v>
      </c>
      <c r="H102" s="106">
        <f>G102*(1+$G$14)*(1+H101)</f>
        <v>228.92740944780289</v>
      </c>
      <c r="I102" s="106">
        <f t="shared" ref="I102:AA102" si="28">H102*(1+$G$14)*(1+I101)</f>
        <v>228.92740944780289</v>
      </c>
      <c r="J102" s="106">
        <f t="shared" si="28"/>
        <v>228.92740944780289</v>
      </c>
      <c r="K102" s="106">
        <f t="shared" si="28"/>
        <v>228.92740944780289</v>
      </c>
      <c r="L102" s="106">
        <f t="shared" si="28"/>
        <v>225.76192018000637</v>
      </c>
      <c r="M102" s="106">
        <f t="shared" si="28"/>
        <v>225.76192018000637</v>
      </c>
      <c r="N102" s="106">
        <f t="shared" si="28"/>
        <v>225.76192018000637</v>
      </c>
      <c r="O102" s="106">
        <f t="shared" si="28"/>
        <v>225.76192018000637</v>
      </c>
      <c r="P102" s="106">
        <f t="shared" si="28"/>
        <v>225.76192018000637</v>
      </c>
      <c r="Q102" s="106">
        <f t="shared" si="28"/>
        <v>200.21673225429518</v>
      </c>
      <c r="R102" s="106">
        <f t="shared" si="28"/>
        <v>200.21673225429518</v>
      </c>
      <c r="S102" s="106">
        <f t="shared" si="28"/>
        <v>200.21673225429518</v>
      </c>
      <c r="T102" s="106">
        <f t="shared" si="28"/>
        <v>200.21673225429518</v>
      </c>
      <c r="U102" s="106">
        <f t="shared" si="28"/>
        <v>200.21673225429518</v>
      </c>
      <c r="V102" s="106">
        <f t="shared" si="28"/>
        <v>186.14851212387876</v>
      </c>
      <c r="W102" s="106">
        <f t="shared" si="28"/>
        <v>186.14851212387876</v>
      </c>
      <c r="X102" s="106">
        <f t="shared" si="28"/>
        <v>186.14851212387876</v>
      </c>
      <c r="Y102" s="106">
        <f t="shared" si="28"/>
        <v>186.14851212387876</v>
      </c>
      <c r="Z102" s="106">
        <f t="shared" si="28"/>
        <v>186.14851212387876</v>
      </c>
      <c r="AA102" s="106">
        <f t="shared" si="28"/>
        <v>186.14851212387876</v>
      </c>
    </row>
    <row r="103" spans="1:27" x14ac:dyDescent="0.25">
      <c r="B103" s="47" t="str">
        <f>B90</f>
        <v>Central</v>
      </c>
      <c r="C103" s="47" t="str">
        <f t="shared" ref="C103:D103" si="29">C90</f>
        <v>R</v>
      </c>
      <c r="D103" s="47" t="str">
        <f t="shared" si="29"/>
        <v>Water</v>
      </c>
      <c r="E103" s="47" t="s">
        <v>671</v>
      </c>
      <c r="F103" s="47" t="s">
        <v>672</v>
      </c>
      <c r="G103" s="109">
        <f>IF(OR(D103=W,D103=WS),CWW_T1,IF(D103=RW,CWW_R_R_V,0))</f>
        <v>2.9499</v>
      </c>
      <c r="H103" s="110">
        <f>G103*(1+$G$14)*(1+H101)</f>
        <v>3.2718651411340782</v>
      </c>
      <c r="I103" s="110">
        <f t="shared" ref="I103:AA103" si="30">H103*(1+$G$14)*(1+I101)</f>
        <v>3.2718651411340782</v>
      </c>
      <c r="J103" s="110">
        <f t="shared" si="30"/>
        <v>3.2718651411340782</v>
      </c>
      <c r="K103" s="110">
        <f t="shared" si="30"/>
        <v>3.2718651411340782</v>
      </c>
      <c r="L103" s="110">
        <f t="shared" si="30"/>
        <v>3.2266234900145387</v>
      </c>
      <c r="M103" s="110">
        <f t="shared" si="30"/>
        <v>3.2266234900145387</v>
      </c>
      <c r="N103" s="110">
        <f t="shared" si="30"/>
        <v>3.2266234900145387</v>
      </c>
      <c r="O103" s="110">
        <f t="shared" si="30"/>
        <v>3.2266234900145387</v>
      </c>
      <c r="P103" s="110">
        <f t="shared" si="30"/>
        <v>3.2266234900145387</v>
      </c>
      <c r="Q103" s="110">
        <f t="shared" si="30"/>
        <v>2.861527802698379</v>
      </c>
      <c r="R103" s="110">
        <f t="shared" si="30"/>
        <v>2.861527802698379</v>
      </c>
      <c r="S103" s="110">
        <f t="shared" si="30"/>
        <v>2.861527802698379</v>
      </c>
      <c r="T103" s="110">
        <f t="shared" si="30"/>
        <v>2.861527802698379</v>
      </c>
      <c r="U103" s="110">
        <f t="shared" si="30"/>
        <v>2.861527802698379</v>
      </c>
      <c r="V103" s="110">
        <f t="shared" si="30"/>
        <v>2.6604626740030524</v>
      </c>
      <c r="W103" s="110">
        <f t="shared" si="30"/>
        <v>2.6604626740030524</v>
      </c>
      <c r="X103" s="110">
        <f t="shared" si="30"/>
        <v>2.6604626740030524</v>
      </c>
      <c r="Y103" s="110">
        <f t="shared" si="30"/>
        <v>2.6604626740030524</v>
      </c>
      <c r="Z103" s="110">
        <f t="shared" si="30"/>
        <v>2.6604626740030524</v>
      </c>
      <c r="AA103" s="110">
        <f t="shared" si="30"/>
        <v>2.6604626740030524</v>
      </c>
    </row>
    <row r="104" spans="1:27" x14ac:dyDescent="0.25">
      <c r="B104" s="47" t="str">
        <f>B90</f>
        <v>Central</v>
      </c>
      <c r="C104" s="47" t="str">
        <f t="shared" ref="C104:D104" si="31">C90</f>
        <v>R</v>
      </c>
      <c r="D104" s="47" t="str">
        <f t="shared" si="31"/>
        <v>Water</v>
      </c>
      <c r="E104" s="47" t="s">
        <v>673</v>
      </c>
      <c r="F104" s="47" t="s">
        <v>672</v>
      </c>
      <c r="G104" s="109">
        <f>IF(OR(D104=W,D104=WS),CWW_T2,0)</f>
        <v>3.4722</v>
      </c>
      <c r="H104" s="110">
        <f>G104*(1+$G$14)*(1+H101)</f>
        <v>3.8511712746349862</v>
      </c>
      <c r="I104" s="110">
        <f t="shared" ref="I104:AA104" si="32">H104*(1+$G$14)*(1+I101)</f>
        <v>3.8511712746349862</v>
      </c>
      <c r="J104" s="110">
        <f t="shared" si="32"/>
        <v>3.8511712746349862</v>
      </c>
      <c r="K104" s="110">
        <f t="shared" si="32"/>
        <v>3.8511712746349862</v>
      </c>
      <c r="L104" s="110">
        <f t="shared" si="32"/>
        <v>3.7979192793072585</v>
      </c>
      <c r="M104" s="110">
        <f t="shared" si="32"/>
        <v>3.7979192793072585</v>
      </c>
      <c r="N104" s="110">
        <f t="shared" si="32"/>
        <v>3.7979192793072585</v>
      </c>
      <c r="O104" s="110">
        <f t="shared" si="32"/>
        <v>3.7979192793072585</v>
      </c>
      <c r="P104" s="110">
        <f t="shared" si="32"/>
        <v>3.7979192793072585</v>
      </c>
      <c r="Q104" s="110">
        <f t="shared" si="32"/>
        <v>3.3681808998709486</v>
      </c>
      <c r="R104" s="110">
        <f t="shared" si="32"/>
        <v>3.3681808998709486</v>
      </c>
      <c r="S104" s="110">
        <f t="shared" si="32"/>
        <v>3.3681808998709486</v>
      </c>
      <c r="T104" s="110">
        <f t="shared" si="32"/>
        <v>3.3681808998709486</v>
      </c>
      <c r="U104" s="110">
        <f t="shared" si="32"/>
        <v>3.3681808998709486</v>
      </c>
      <c r="V104" s="110">
        <f t="shared" si="32"/>
        <v>3.131515812967693</v>
      </c>
      <c r="W104" s="110">
        <f t="shared" si="32"/>
        <v>3.131515812967693</v>
      </c>
      <c r="X104" s="110">
        <f t="shared" si="32"/>
        <v>3.131515812967693</v>
      </c>
      <c r="Y104" s="110">
        <f t="shared" si="32"/>
        <v>3.131515812967693</v>
      </c>
      <c r="Z104" s="110">
        <f t="shared" si="32"/>
        <v>3.131515812967693</v>
      </c>
      <c r="AA104" s="110">
        <f t="shared" si="32"/>
        <v>3.131515812967693</v>
      </c>
    </row>
    <row r="105" spans="1:27" x14ac:dyDescent="0.25">
      <c r="B105" s="47" t="str">
        <f>B90</f>
        <v>Central</v>
      </c>
      <c r="C105" s="47" t="str">
        <f t="shared" ref="C105:D105" si="33">C90</f>
        <v>R</v>
      </c>
      <c r="D105" s="47" t="str">
        <f t="shared" si="33"/>
        <v>Water</v>
      </c>
      <c r="E105" s="47" t="s">
        <v>674</v>
      </c>
      <c r="F105" s="47" t="s">
        <v>672</v>
      </c>
      <c r="G105" s="109">
        <f>IF(OR(D105=S,D105=WS),CWW_R_SDC,0)</f>
        <v>0</v>
      </c>
      <c r="H105" s="110">
        <f>G105*(1+$G$14)*(1+H101)</f>
        <v>0</v>
      </c>
      <c r="I105" s="110">
        <f t="shared" ref="I105:AA105" si="34">H105*(1+$G$14)*(1+I101)</f>
        <v>0</v>
      </c>
      <c r="J105" s="110">
        <f t="shared" si="34"/>
        <v>0</v>
      </c>
      <c r="K105" s="110">
        <f t="shared" si="34"/>
        <v>0</v>
      </c>
      <c r="L105" s="110">
        <f t="shared" si="34"/>
        <v>0</v>
      </c>
      <c r="M105" s="110">
        <f t="shared" si="34"/>
        <v>0</v>
      </c>
      <c r="N105" s="110">
        <f t="shared" si="34"/>
        <v>0</v>
      </c>
      <c r="O105" s="110">
        <f t="shared" si="34"/>
        <v>0</v>
      </c>
      <c r="P105" s="110">
        <f t="shared" si="34"/>
        <v>0</v>
      </c>
      <c r="Q105" s="110">
        <f t="shared" si="34"/>
        <v>0</v>
      </c>
      <c r="R105" s="110">
        <f t="shared" si="34"/>
        <v>0</v>
      </c>
      <c r="S105" s="110">
        <f t="shared" si="34"/>
        <v>0</v>
      </c>
      <c r="T105" s="110">
        <f t="shared" si="34"/>
        <v>0</v>
      </c>
      <c r="U105" s="110">
        <f t="shared" si="34"/>
        <v>0</v>
      </c>
      <c r="V105" s="110">
        <f t="shared" si="34"/>
        <v>0</v>
      </c>
      <c r="W105" s="110">
        <f t="shared" si="34"/>
        <v>0</v>
      </c>
      <c r="X105" s="110">
        <f t="shared" si="34"/>
        <v>0</v>
      </c>
      <c r="Y105" s="110">
        <f t="shared" si="34"/>
        <v>0</v>
      </c>
      <c r="Z105" s="110">
        <f t="shared" si="34"/>
        <v>0</v>
      </c>
      <c r="AA105" s="110">
        <f t="shared" si="34"/>
        <v>0</v>
      </c>
    </row>
    <row r="106" spans="1:27" x14ac:dyDescent="0.25">
      <c r="C106" s="100"/>
      <c r="D106" s="100"/>
    </row>
    <row r="107" spans="1:27" x14ac:dyDescent="0.25">
      <c r="C107" s="100"/>
      <c r="D107" s="100"/>
      <c r="E107" s="47" t="s">
        <v>675</v>
      </c>
      <c r="F107" s="47" t="s">
        <v>676</v>
      </c>
      <c r="H107" s="106">
        <f>SUM(H98:H100)/1000</f>
        <v>1679.2796461649018</v>
      </c>
      <c r="I107" s="106">
        <f t="shared" ref="I107:AA107" si="35">SUM(I98:I100)/1000</f>
        <v>3433.6700855343543</v>
      </c>
      <c r="J107" s="106">
        <f t="shared" si="35"/>
        <v>4830.3885605563246</v>
      </c>
      <c r="K107" s="106">
        <f t="shared" si="35"/>
        <v>6250.8882694425156</v>
      </c>
      <c r="L107" s="106">
        <f t="shared" si="35"/>
        <v>7620.924876272933</v>
      </c>
      <c r="M107" s="106">
        <f t="shared" si="35"/>
        <v>8841.1451062230808</v>
      </c>
      <c r="N107" s="106">
        <f t="shared" si="35"/>
        <v>10241.596974210972</v>
      </c>
      <c r="O107" s="106">
        <f t="shared" si="35"/>
        <v>11567.269169783121</v>
      </c>
      <c r="P107" s="106">
        <f t="shared" si="35"/>
        <v>12909.2037432213</v>
      </c>
      <c r="Q107" s="106">
        <f t="shared" si="35"/>
        <v>14096.592786487854</v>
      </c>
      <c r="R107" s="106">
        <f t="shared" si="35"/>
        <v>15451.77035018278</v>
      </c>
      <c r="S107" s="106">
        <f t="shared" si="35"/>
        <v>16815.712061839258</v>
      </c>
      <c r="T107" s="106">
        <f t="shared" si="35"/>
        <v>18185.507009906494</v>
      </c>
      <c r="U107" s="106">
        <f t="shared" si="35"/>
        <v>19548.219778739414</v>
      </c>
      <c r="V107" s="106">
        <f t="shared" si="35"/>
        <v>20903.812319514283</v>
      </c>
      <c r="W107" s="106">
        <f t="shared" si="35"/>
        <v>22246.487673362833</v>
      </c>
      <c r="X107" s="106">
        <f t="shared" si="35"/>
        <v>23459.111096664321</v>
      </c>
      <c r="Y107" s="106">
        <f t="shared" si="35"/>
        <v>24761.455796967908</v>
      </c>
      <c r="Z107" s="106">
        <f t="shared" si="35"/>
        <v>26046.103929864472</v>
      </c>
      <c r="AA107" s="106">
        <f t="shared" si="35"/>
        <v>27460.284660675927</v>
      </c>
    </row>
    <row r="108" spans="1:27" x14ac:dyDescent="0.25">
      <c r="C108" s="100"/>
      <c r="D108" s="100"/>
      <c r="E108" s="47" t="s">
        <v>677</v>
      </c>
      <c r="F108" s="47" t="s">
        <v>639</v>
      </c>
      <c r="H108" s="106">
        <f>H91*H102+H98*H103+H99*H104+H100*H105</f>
        <v>8431838.6870413907</v>
      </c>
      <c r="I108" s="106">
        <f t="shared" ref="I108:AA108" si="36">I91*I102+I98*I103+I99*I104+I100*I105</f>
        <v>17238159.72050954</v>
      </c>
      <c r="J108" s="106">
        <f t="shared" si="36"/>
        <v>24421955.274528645</v>
      </c>
      <c r="K108" s="106">
        <f t="shared" si="36"/>
        <v>31687435.698110931</v>
      </c>
      <c r="L108" s="106">
        <f t="shared" si="36"/>
        <v>38196622.349086195</v>
      </c>
      <c r="M108" s="106">
        <f t="shared" si="36"/>
        <v>44604375.793291405</v>
      </c>
      <c r="N108" s="106">
        <f t="shared" si="36"/>
        <v>51590394.256460488</v>
      </c>
      <c r="O108" s="106">
        <f t="shared" si="36"/>
        <v>58416007.940528058</v>
      </c>
      <c r="P108" s="106">
        <f t="shared" si="36"/>
        <v>65355835.529980056</v>
      </c>
      <c r="Q108" s="106">
        <f t="shared" si="36"/>
        <v>63735711.319138445</v>
      </c>
      <c r="R108" s="106">
        <f t="shared" si="36"/>
        <v>70041106.2601116</v>
      </c>
      <c r="S108" s="106">
        <f t="shared" si="36"/>
        <v>76413775.922377646</v>
      </c>
      <c r="T108" s="106">
        <f t="shared" si="36"/>
        <v>82841176.074919775</v>
      </c>
      <c r="U108" s="106">
        <f t="shared" si="36"/>
        <v>89263363.837259948</v>
      </c>
      <c r="V108" s="106">
        <f t="shared" si="36"/>
        <v>88957555.532397479</v>
      </c>
      <c r="W108" s="106">
        <f t="shared" si="36"/>
        <v>94895249.08417815</v>
      </c>
      <c r="X108" s="106">
        <f t="shared" si="36"/>
        <v>100486797.34622577</v>
      </c>
      <c r="Y108" s="106">
        <f t="shared" si="36"/>
        <v>106292355.54725745</v>
      </c>
      <c r="Z108" s="106">
        <f t="shared" si="36"/>
        <v>112037680.18518804</v>
      </c>
      <c r="AA108" s="106">
        <f t="shared" si="36"/>
        <v>118120798.36936451</v>
      </c>
    </row>
    <row r="109" spans="1:27" x14ac:dyDescent="0.25">
      <c r="C109" s="100"/>
      <c r="D109" s="100"/>
    </row>
    <row r="110" spans="1:27" x14ac:dyDescent="0.25">
      <c r="C110" s="100"/>
      <c r="D110" s="47" t="s">
        <v>678</v>
      </c>
    </row>
    <row r="111" spans="1:27" x14ac:dyDescent="0.25">
      <c r="A111" s="101">
        <v>20</v>
      </c>
      <c r="B111" s="107" t="s">
        <v>262</v>
      </c>
      <c r="C111" s="47" t="s">
        <v>407</v>
      </c>
      <c r="D111" s="100" t="str">
        <f>$G$4</f>
        <v>Water</v>
      </c>
      <c r="E111" s="47" t="s">
        <v>654</v>
      </c>
      <c r="F111" s="47" t="s">
        <v>655</v>
      </c>
      <c r="H111" s="102">
        <f>IF($G$4="Water and sewer",SUMIFS('INPUT Growth'!AD$64:AD$115,'INPUT Growth'!$B$64:$B$115,$A$1,'INPUT Growth'!$F$64:$F$115,$B111,'INPUT Growth'!$E$64:$E$115,$C111),SUMIFS('INPUT Growth'!AD$64:AD$115,'INPUT Growth'!$A$64:$A$115,$A$1,'INPUT Growth'!$F$64:$F$115,$B111,'INPUT Growth'!$E$64:$E$115,$C111))</f>
        <v>977.5123923556921</v>
      </c>
      <c r="I111" s="102">
        <f>IF($G$4="Water and sewer",SUMIFS('INPUT Growth'!AE$64:AE$115,'INPUT Growth'!$B$64:$B$115,$A$1,'INPUT Growth'!$F$64:$F$115,$B111,'INPUT Growth'!$E$64:$E$115,$C111),SUMIFS('INPUT Growth'!AE$64:AE$115,'INPUT Growth'!$A$64:$A$115,$A$1,'INPUT Growth'!$F$64:$F$115,$B111,'INPUT Growth'!$E$64:$E$115,$C111))</f>
        <v>1019.1965097238076</v>
      </c>
      <c r="J111" s="102">
        <f>IF($G$4="Water and sewer",SUMIFS('INPUT Growth'!AF$64:AF$115,'INPUT Growth'!$B$64:$B$115,$A$1,'INPUT Growth'!$F$64:$F$115,$B111,'INPUT Growth'!$E$64:$E$115,$C111),SUMIFS('INPUT Growth'!AF$64:AF$115,'INPUT Growth'!$A$64:$A$115,$A$1,'INPUT Growth'!$F$64:$F$115,$B111,'INPUT Growth'!$E$64:$E$115,$C111))</f>
        <v>855.2193106803702</v>
      </c>
      <c r="K111" s="102">
        <f>IF($G$4="Water and sewer",SUMIFS('INPUT Growth'!AG$64:AG$115,'INPUT Growth'!$B$64:$B$115,$A$1,'INPUT Growth'!$F$64:$F$115,$B111,'INPUT Growth'!$E$64:$E$115,$C111),SUMIFS('INPUT Growth'!AG$64:AG$115,'INPUT Growth'!$A$64:$A$115,$A$1,'INPUT Growth'!$F$64:$F$115,$B111,'INPUT Growth'!$E$64:$E$115,$C111))</f>
        <v>852.08499198321124</v>
      </c>
      <c r="L111" s="102">
        <f>IF($G$4="Water and sewer",SUMIFS('INPUT Growth'!AH$64:AH$115,'INPUT Growth'!$B$64:$B$115,$A$1,'INPUT Growth'!$F$64:$F$115,$B111,'INPUT Growth'!$E$64:$E$115,$C111),SUMIFS('INPUT Growth'!AH$64:AH$115,'INPUT Growth'!$A$64:$A$115,$A$1,'INPUT Growth'!$F$64:$F$115,$B111,'INPUT Growth'!$E$64:$E$115,$C111))</f>
        <v>839.02522668192751</v>
      </c>
      <c r="M111" s="102">
        <f>IF($G$4="Water and sewer",SUMIFS('INPUT Growth'!AI$64:AI$115,'INPUT Growth'!$B$64:$B$115,$A$1,'INPUT Growth'!$F$64:$F$115,$B111,'INPUT Growth'!$E$64:$E$115,$C111),SUMIFS('INPUT Growth'!AI$64:AI$115,'INPUT Growth'!$A$64:$A$115,$A$1,'INPUT Growth'!$F$64:$F$115,$B111,'INPUT Growth'!$E$64:$E$115,$C111))</f>
        <v>821.71562457331311</v>
      </c>
      <c r="N111" s="102">
        <f>IF($G$4="Water and sewer",SUMIFS('INPUT Growth'!AJ$64:AJ$115,'INPUT Growth'!$B$64:$B$115,$A$1,'INPUT Growth'!$F$64:$F$115,$B111,'INPUT Growth'!$E$64:$E$115,$C111),SUMIFS('INPUT Growth'!AJ$64:AJ$115,'INPUT Growth'!$A$64:$A$115,$A$1,'INPUT Growth'!$F$64:$F$115,$B111,'INPUT Growth'!$E$64:$E$115,$C111))</f>
        <v>827.87877966655878</v>
      </c>
      <c r="O111" s="102">
        <f>IF($G$4="Water and sewer",SUMIFS('INPUT Growth'!AK$64:AK$115,'INPUT Growth'!$B$64:$B$115,$A$1,'INPUT Growth'!$F$64:$F$115,$B111,'INPUT Growth'!$E$64:$E$115,$C111),SUMIFS('INPUT Growth'!AK$64:AK$115,'INPUT Growth'!$A$64:$A$115,$A$1,'INPUT Growth'!$F$64:$F$115,$B111,'INPUT Growth'!$E$64:$E$115,$C111))</f>
        <v>850.79730689092275</v>
      </c>
      <c r="P111" s="102">
        <f>IF($G$4="Water and sewer",SUMIFS('INPUT Growth'!AL$64:AL$115,'INPUT Growth'!$B$64:$B$115,$A$1,'INPUT Growth'!$F$64:$F$115,$B111,'INPUT Growth'!$E$64:$E$115,$C111),SUMIFS('INPUT Growth'!AL$64:AL$115,'INPUT Growth'!$A$64:$A$115,$A$1,'INPUT Growth'!$F$64:$F$115,$B111,'INPUT Growth'!$E$64:$E$115,$C111))</f>
        <v>866.69430354299675</v>
      </c>
      <c r="Q111" s="102">
        <f>IF($G$4="Water and sewer",SUMIFS('INPUT Growth'!AM$64:AM$115,'INPUT Growth'!$B$64:$B$115,$A$1,'INPUT Growth'!$F$64:$F$115,$B111,'INPUT Growth'!$E$64:$E$115,$C111),SUMIFS('INPUT Growth'!AM$64:AM$115,'INPUT Growth'!$A$64:$A$115,$A$1,'INPUT Growth'!$F$64:$F$115,$B111,'INPUT Growth'!$E$64:$E$115,$C111))</f>
        <v>891.42915587317657</v>
      </c>
      <c r="R111" s="102">
        <f>IF($G$4="Water and sewer",SUMIFS('INPUT Growth'!AN$64:AN$115,'INPUT Growth'!$B$64:$B$115,$A$1,'INPUT Growth'!$F$64:$F$115,$B111,'INPUT Growth'!$E$64:$E$115,$C111),SUMIFS('INPUT Growth'!AN$64:AN$115,'INPUT Growth'!$A$64:$A$115,$A$1,'INPUT Growth'!$F$64:$F$115,$B111,'INPUT Growth'!$E$64:$E$115,$C111))</f>
        <v>914.96508955648642</v>
      </c>
      <c r="S111" s="102">
        <f>IF($G$4="Water and sewer",SUMIFS('INPUT Growth'!AO$64:AO$115,'INPUT Growth'!$B$64:$B$115,$A$1,'INPUT Growth'!$F$64:$F$115,$B111,'INPUT Growth'!$E$64:$E$115,$C111),SUMIFS('INPUT Growth'!AO$64:AO$115,'INPUT Growth'!$A$64:$A$115,$A$1,'INPUT Growth'!$F$64:$F$115,$B111,'INPUT Growth'!$E$64:$E$115,$C111))</f>
        <v>941.31635655509672</v>
      </c>
      <c r="T111" s="102">
        <f>IF($G$4="Water and sewer",SUMIFS('INPUT Growth'!AP$64:AP$115,'INPUT Growth'!$B$64:$B$115,$A$1,'INPUT Growth'!$F$64:$F$115,$B111,'INPUT Growth'!$E$64:$E$115,$C111),SUMIFS('INPUT Growth'!AP$64:AP$115,'INPUT Growth'!$A$64:$A$115,$A$1,'INPUT Growth'!$F$64:$F$115,$B111,'INPUT Growth'!$E$64:$E$115,$C111))</f>
        <v>970.24199280405082</v>
      </c>
      <c r="U111" s="102">
        <f>IF($G$4="Water and sewer",SUMIFS('INPUT Growth'!AQ$64:AQ$115,'INPUT Growth'!$B$64:$B$115,$A$1,'INPUT Growth'!$F$64:$F$115,$B111,'INPUT Growth'!$E$64:$E$115,$C111),SUMIFS('INPUT Growth'!AQ$64:AQ$115,'INPUT Growth'!$A$64:$A$115,$A$1,'INPUT Growth'!$F$64:$F$115,$B111,'INPUT Growth'!$E$64:$E$115,$C111))</f>
        <v>988.77398405737404</v>
      </c>
      <c r="V111" s="102">
        <f>IF($G$4="Water and sewer",SUMIFS('INPUT Growth'!AR$64:AR$115,'INPUT Growth'!$B$64:$B$115,$A$1,'INPUT Growth'!$F$64:$F$115,$B111,'INPUT Growth'!$E$64:$E$115,$C111),SUMIFS('INPUT Growth'!AR$64:AR$115,'INPUT Growth'!$A$64:$A$115,$A$1,'INPUT Growth'!$F$64:$F$115,$B111,'INPUT Growth'!$E$64:$E$115,$C111))</f>
        <v>1004.1442936284484</v>
      </c>
      <c r="W111" s="102">
        <f>IF($G$4="Water and sewer",SUMIFS('INPUT Growth'!AS$64:AS$115,'INPUT Growth'!$B$64:$B$115,$A$1,'INPUT Growth'!$F$64:$F$115,$B111,'INPUT Growth'!$E$64:$E$115,$C111),SUMIFS('INPUT Growth'!AS$64:AS$115,'INPUT Growth'!$A$64:$A$115,$A$1,'INPUT Growth'!$F$64:$F$115,$B111,'INPUT Growth'!$E$64:$E$115,$C111))</f>
        <v>1007.5881732922608</v>
      </c>
      <c r="X111" s="102">
        <f>IF($G$4="Water and sewer",SUMIFS('INPUT Growth'!AT$64:AT$115,'INPUT Growth'!$B$64:$B$115,$A$1,'INPUT Growth'!$F$64:$F$115,$B111,'INPUT Growth'!$E$64:$E$115,$C111),SUMIFS('INPUT Growth'!AT$64:AT$115,'INPUT Growth'!$A$64:$A$115,$A$1,'INPUT Growth'!$F$64:$F$115,$B111,'INPUT Growth'!$E$64:$E$115,$C111))</f>
        <v>1021.1542582505936</v>
      </c>
      <c r="Y111" s="102">
        <f>IF($G$4="Water and sewer",SUMIFS('INPUT Growth'!AU$64:AU$115,'INPUT Growth'!$B$64:$B$115,$A$1,'INPUT Growth'!$F$64:$F$115,$B111,'INPUT Growth'!$E$64:$E$115,$C111),SUMIFS('INPUT Growth'!AU$64:AU$115,'INPUT Growth'!$A$64:$A$115,$A$1,'INPUT Growth'!$F$64:$F$115,$B111,'INPUT Growth'!$E$64:$E$115,$C111))</f>
        <v>1029.747473770165</v>
      </c>
      <c r="Z111" s="102">
        <f>IF($G$4="Water and sewer",SUMIFS('INPUT Growth'!AV$64:AV$115,'INPUT Growth'!$B$64:$B$115,$A$1,'INPUT Growth'!$F$64:$F$115,$B111,'INPUT Growth'!$E$64:$E$115,$C111),SUMIFS('INPUT Growth'!AV$64:AV$115,'INPUT Growth'!$A$64:$A$115,$A$1,'INPUT Growth'!$F$64:$F$115,$B111,'INPUT Growth'!$E$64:$E$115,$C111))</f>
        <v>1040.916129844989</v>
      </c>
      <c r="AA111" s="102">
        <f>IF($G$4="Water and sewer",SUMIFS('INPUT Growth'!AW$64:AW$115,'INPUT Growth'!$B$64:$B$115,$A$1,'INPUT Growth'!$F$64:$F$115,$B111,'INPUT Growth'!$E$64:$E$115,$C111),SUMIFS('INPUT Growth'!AW$64:AW$115,'INPUT Growth'!$A$64:$A$115,$A$1,'INPUT Growth'!$F$64:$F$115,$B111,'INPUT Growth'!$E$64:$E$115,$C111))</f>
        <v>1051.7787671592541</v>
      </c>
    </row>
    <row r="112" spans="1:27" x14ac:dyDescent="0.25">
      <c r="C112" s="100"/>
      <c r="D112" s="100"/>
      <c r="E112" s="47" t="s">
        <v>656</v>
      </c>
      <c r="F112" s="47" t="s">
        <v>655</v>
      </c>
      <c r="H112" s="106">
        <f>G112+H111</f>
        <v>977.5123923556921</v>
      </c>
      <c r="I112" s="106">
        <f t="shared" ref="I112:AA112" si="37">H112+I111</f>
        <v>1996.7089020794997</v>
      </c>
      <c r="J112" s="106">
        <f t="shared" si="37"/>
        <v>2851.9282127598699</v>
      </c>
      <c r="K112" s="106">
        <f t="shared" si="37"/>
        <v>3704.0132047430811</v>
      </c>
      <c r="L112" s="106">
        <f t="shared" si="37"/>
        <v>4543.0384314250086</v>
      </c>
      <c r="M112" s="106">
        <f t="shared" si="37"/>
        <v>5364.7540559983217</v>
      </c>
      <c r="N112" s="106">
        <f t="shared" si="37"/>
        <v>6192.632835664881</v>
      </c>
      <c r="O112" s="106">
        <f t="shared" si="37"/>
        <v>7043.4301425558042</v>
      </c>
      <c r="P112" s="106">
        <f t="shared" si="37"/>
        <v>7910.1244460988009</v>
      </c>
      <c r="Q112" s="106">
        <f t="shared" si="37"/>
        <v>8801.5536019719766</v>
      </c>
      <c r="R112" s="106">
        <f t="shared" si="37"/>
        <v>9716.518691528463</v>
      </c>
      <c r="S112" s="106">
        <f t="shared" si="37"/>
        <v>10657.83504808356</v>
      </c>
      <c r="T112" s="106">
        <f t="shared" si="37"/>
        <v>11628.077040887611</v>
      </c>
      <c r="U112" s="106">
        <f t="shared" si="37"/>
        <v>12616.851024944985</v>
      </c>
      <c r="V112" s="106">
        <f t="shared" si="37"/>
        <v>13620.995318573434</v>
      </c>
      <c r="W112" s="106">
        <f t="shared" si="37"/>
        <v>14628.583491865695</v>
      </c>
      <c r="X112" s="106">
        <f t="shared" si="37"/>
        <v>15649.737750116288</v>
      </c>
      <c r="Y112" s="106">
        <f t="shared" si="37"/>
        <v>16679.485223886455</v>
      </c>
      <c r="Z112" s="106">
        <f t="shared" si="37"/>
        <v>17720.401353731446</v>
      </c>
      <c r="AA112" s="106">
        <f t="shared" si="37"/>
        <v>18772.180120890698</v>
      </c>
    </row>
    <row r="113" spans="1:27" x14ac:dyDescent="0.25">
      <c r="A113" s="101">
        <v>21</v>
      </c>
      <c r="C113" s="100"/>
      <c r="D113" s="100"/>
      <c r="E113" s="47" t="s">
        <v>657</v>
      </c>
      <c r="F113" s="47" t="s">
        <v>655</v>
      </c>
      <c r="G113" s="102">
        <v>2</v>
      </c>
    </row>
    <row r="114" spans="1:27" x14ac:dyDescent="0.25">
      <c r="C114" s="100"/>
      <c r="D114" s="100"/>
      <c r="E114" s="47" t="s">
        <v>658</v>
      </c>
      <c r="F114" s="47" t="s">
        <v>655</v>
      </c>
      <c r="H114" s="47">
        <f>H111*$G113</f>
        <v>1955.0247847113842</v>
      </c>
      <c r="I114" s="47">
        <f t="shared" ref="I114:AA114" si="38">I111*$G113</f>
        <v>2038.3930194476152</v>
      </c>
      <c r="J114" s="47">
        <f t="shared" si="38"/>
        <v>1710.4386213607404</v>
      </c>
      <c r="K114" s="47">
        <f t="shared" si="38"/>
        <v>1704.1699839664225</v>
      </c>
      <c r="L114" s="47">
        <f t="shared" si="38"/>
        <v>1678.050453363855</v>
      </c>
      <c r="M114" s="47">
        <f t="shared" si="38"/>
        <v>1643.4312491466262</v>
      </c>
      <c r="N114" s="47">
        <f t="shared" si="38"/>
        <v>1655.7575593331176</v>
      </c>
      <c r="O114" s="47">
        <f t="shared" si="38"/>
        <v>1701.5946137818455</v>
      </c>
      <c r="P114" s="47">
        <f t="shared" si="38"/>
        <v>1733.3886070859935</v>
      </c>
      <c r="Q114" s="47">
        <f t="shared" si="38"/>
        <v>1782.8583117463531</v>
      </c>
      <c r="R114" s="47">
        <f t="shared" si="38"/>
        <v>1829.9301791129728</v>
      </c>
      <c r="S114" s="47">
        <f t="shared" si="38"/>
        <v>1882.6327131101934</v>
      </c>
      <c r="T114" s="47">
        <f t="shared" si="38"/>
        <v>1940.4839856081016</v>
      </c>
      <c r="U114" s="47">
        <f t="shared" si="38"/>
        <v>1977.5479681147481</v>
      </c>
      <c r="V114" s="47">
        <f t="shared" si="38"/>
        <v>2008.2885872568968</v>
      </c>
      <c r="W114" s="47">
        <f t="shared" si="38"/>
        <v>2015.1763465845215</v>
      </c>
      <c r="X114" s="47">
        <f t="shared" si="38"/>
        <v>2042.3085165011871</v>
      </c>
      <c r="Y114" s="47">
        <f t="shared" si="38"/>
        <v>2059.49494754033</v>
      </c>
      <c r="Z114" s="47">
        <f t="shared" si="38"/>
        <v>2081.8322596899779</v>
      </c>
      <c r="AA114" s="47">
        <f t="shared" si="38"/>
        <v>2103.5575343185083</v>
      </c>
    </row>
    <row r="115" spans="1:27" x14ac:dyDescent="0.25">
      <c r="C115" s="100"/>
      <c r="D115" s="100"/>
      <c r="E115" s="47" t="s">
        <v>659</v>
      </c>
      <c r="F115" s="47" t="s">
        <v>655</v>
      </c>
      <c r="H115" s="47">
        <f>H112*$G113</f>
        <v>1955.0247847113842</v>
      </c>
      <c r="I115" s="47">
        <f t="shared" ref="I115:AA115" si="39">I112*$G113</f>
        <v>3993.4178041589994</v>
      </c>
      <c r="J115" s="47">
        <f t="shared" si="39"/>
        <v>5703.8564255197398</v>
      </c>
      <c r="K115" s="47">
        <f t="shared" si="39"/>
        <v>7408.0264094861623</v>
      </c>
      <c r="L115" s="47">
        <f t="shared" si="39"/>
        <v>9086.0768628500173</v>
      </c>
      <c r="M115" s="47">
        <f t="shared" si="39"/>
        <v>10729.508111996643</v>
      </c>
      <c r="N115" s="47">
        <f t="shared" si="39"/>
        <v>12385.265671329762</v>
      </c>
      <c r="O115" s="47">
        <f t="shared" si="39"/>
        <v>14086.860285111608</v>
      </c>
      <c r="P115" s="47">
        <f t="shared" si="39"/>
        <v>15820.248892197602</v>
      </c>
      <c r="Q115" s="47">
        <f t="shared" si="39"/>
        <v>17603.107203943953</v>
      </c>
      <c r="R115" s="47">
        <f t="shared" si="39"/>
        <v>19433.037383056926</v>
      </c>
      <c r="S115" s="47">
        <f t="shared" si="39"/>
        <v>21315.670096167119</v>
      </c>
      <c r="T115" s="47">
        <f t="shared" si="39"/>
        <v>23256.154081775221</v>
      </c>
      <c r="U115" s="47">
        <f t="shared" si="39"/>
        <v>25233.702049889969</v>
      </c>
      <c r="V115" s="47">
        <f t="shared" si="39"/>
        <v>27241.990637146868</v>
      </c>
      <c r="W115" s="47">
        <f t="shared" si="39"/>
        <v>29257.166983731389</v>
      </c>
      <c r="X115" s="47">
        <f t="shared" si="39"/>
        <v>31299.475500232576</v>
      </c>
      <c r="Y115" s="47">
        <f t="shared" si="39"/>
        <v>33358.97044777291</v>
      </c>
      <c r="Z115" s="47">
        <f t="shared" si="39"/>
        <v>35440.802707462892</v>
      </c>
      <c r="AA115" s="47">
        <f t="shared" si="39"/>
        <v>37544.360241781396</v>
      </c>
    </row>
    <row r="116" spans="1:27" x14ac:dyDescent="0.25">
      <c r="A116" s="101">
        <v>22</v>
      </c>
      <c r="B116" s="47" t="str">
        <f>B111</f>
        <v>Central</v>
      </c>
      <c r="C116" s="47" t="str">
        <f>C111</f>
        <v>N</v>
      </c>
      <c r="D116" s="47" t="str">
        <f>D111</f>
        <v>Water</v>
      </c>
      <c r="E116" s="47" t="s">
        <v>660</v>
      </c>
      <c r="F116" s="47" t="s">
        <v>661</v>
      </c>
      <c r="H116" s="102">
        <f>IF(OR($D116=W,$D116=WS),'INPUT Reg'!AD$118,IF($D116=RW,'INPUT Reg'!AD$120,0))</f>
        <v>944.75608962439071</v>
      </c>
      <c r="I116" s="102">
        <f>IF(OR($D116=W,$D116=WS),'INPUT Reg'!AE$118,IF($D116=RW,'INPUT Reg'!AE$120,0))</f>
        <v>948.76571570384965</v>
      </c>
      <c r="J116" s="102">
        <f>IF(OR($D116=W,$D116=WS),'INPUT Reg'!AF$118,IF($D116=RW,'INPUT Reg'!AF$120,0))</f>
        <v>936.54922401113686</v>
      </c>
      <c r="K116" s="102">
        <f>IF(OR($D116=W,$D116=WS),'INPUT Reg'!AG$118,IF($D116=RW,'INPUT Reg'!AG$120,0))</f>
        <v>923.17479464394307</v>
      </c>
      <c r="L116" s="102">
        <f>IF(OR($D116=W,$D116=WS),'INPUT Reg'!AH$118,IF($D116=RW,'INPUT Reg'!AH$120,0))</f>
        <v>910.50362986974699</v>
      </c>
      <c r="M116" s="102">
        <f>IF(OR($D116=W,$D116=WS),'INPUT Reg'!AI$118,IF($D116=RW,'INPUT Reg'!AI$120,0))</f>
        <v>898.52528910626188</v>
      </c>
      <c r="N116" s="102">
        <f>IF(OR($D116=W,$D116=WS),'INPUT Reg'!AJ$118,IF($D116=RW,'INPUT Reg'!AJ$120,0))</f>
        <v>886.96688129728079</v>
      </c>
      <c r="O116" s="102">
        <f>IF(OR($D116=W,$D116=WS),'INPUT Reg'!AK$118,IF($D116=RW,'INPUT Reg'!AK$120,0))</f>
        <v>875.6605181395189</v>
      </c>
      <c r="P116" s="102">
        <f>IF(OR($D116=W,$D116=WS),'INPUT Reg'!AL$118,IF($D116=RW,'INPUT Reg'!AL$120,0))</f>
        <v>864.67108778784313</v>
      </c>
      <c r="Q116" s="102">
        <f>IF(OR($D116=W,$D116=WS),'INPUT Reg'!AM$118,IF($D116=RW,'INPUT Reg'!AM$120,0))</f>
        <v>853.91863681816892</v>
      </c>
      <c r="R116" s="102">
        <f>IF(OR($D116=W,$D116=WS),'INPUT Reg'!AN$118,IF($D116=RW,'INPUT Reg'!AN$120,0))</f>
        <v>843.41395758521662</v>
      </c>
      <c r="S116" s="102">
        <f>IF(OR($D116=W,$D116=WS),'INPUT Reg'!AO$118,IF($D116=RW,'INPUT Reg'!AO$120,0))</f>
        <v>833.13687474852838</v>
      </c>
      <c r="T116" s="102">
        <f>IF(OR($D116=W,$D116=WS),'INPUT Reg'!AP$118,IF($D116=RW,'INPUT Reg'!AP$120,0))</f>
        <v>823.07248431484913</v>
      </c>
      <c r="U116" s="102">
        <f>IF(OR($D116=W,$D116=WS),'INPUT Reg'!AQ$118,IF($D116=RW,'INPUT Reg'!AQ$120,0))</f>
        <v>813.29575898270082</v>
      </c>
      <c r="V116" s="102">
        <f>IF(OR($D116=W,$D116=WS),'INPUT Reg'!AR$118,IF($D116=RW,'INPUT Reg'!AR$120,0))</f>
        <v>803.82041674399068</v>
      </c>
      <c r="W116" s="102">
        <f>IF(OR($D116=W,$D116=WS),'INPUT Reg'!AS$118,IF($D116=RW,'INPUT Reg'!AS$120,0))</f>
        <v>794.7099536102487</v>
      </c>
      <c r="X116" s="102">
        <f>IF(OR($D116=W,$D116=WS),'INPUT Reg'!AT$118,IF($D116=RW,'INPUT Reg'!AT$120,0))</f>
        <v>785.88605886926632</v>
      </c>
      <c r="Y116" s="102">
        <f>IF(OR($D116=W,$D116=WS),'INPUT Reg'!AU$118,IF($D116=RW,'INPUT Reg'!AU$120,0))</f>
        <v>777.36656882932596</v>
      </c>
      <c r="Z116" s="102">
        <f>IF(OR($D116=W,$D116=WS),'INPUT Reg'!AV$118,IF($D116=RW,'INPUT Reg'!AV$120,0))</f>
        <v>769.12435845205675</v>
      </c>
      <c r="AA116" s="102">
        <f>IF(OR($D116=W,$D116=WS),'INPUT Reg'!AW$118,IF($D116=RW,'INPUT Reg'!AW$120,0))</f>
        <v>769.12435845205675</v>
      </c>
    </row>
    <row r="117" spans="1:27" x14ac:dyDescent="0.25">
      <c r="B117" s="47" t="str">
        <f>B111</f>
        <v>Central</v>
      </c>
      <c r="C117" s="47" t="str">
        <f t="shared" ref="C117:D117" si="40">C111</f>
        <v>N</v>
      </c>
      <c r="D117" s="47" t="str">
        <f t="shared" si="40"/>
        <v>Water</v>
      </c>
      <c r="E117" s="47" t="s">
        <v>662</v>
      </c>
      <c r="F117" s="47" t="s">
        <v>661</v>
      </c>
      <c r="H117" s="102"/>
      <c r="I117" s="102"/>
      <c r="J117" s="102"/>
      <c r="K117" s="102"/>
      <c r="L117" s="102"/>
      <c r="M117" s="102"/>
      <c r="N117" s="102"/>
      <c r="O117" s="102"/>
      <c r="P117" s="102"/>
      <c r="Q117" s="102"/>
      <c r="R117" s="102"/>
      <c r="S117" s="102"/>
      <c r="T117" s="102"/>
      <c r="U117" s="102"/>
      <c r="V117" s="102"/>
      <c r="W117" s="102"/>
      <c r="X117" s="102"/>
      <c r="Y117" s="102"/>
      <c r="Z117" s="102"/>
      <c r="AA117" s="102"/>
    </row>
    <row r="118" spans="1:27" x14ac:dyDescent="0.25">
      <c r="B118" s="47" t="str">
        <f>B111</f>
        <v>Central</v>
      </c>
      <c r="C118" s="47" t="str">
        <f t="shared" ref="C118:D118" si="41">C111</f>
        <v>N</v>
      </c>
      <c r="D118" s="47" t="str">
        <f t="shared" si="41"/>
        <v>Water</v>
      </c>
      <c r="E118" s="47" t="s">
        <v>663</v>
      </c>
      <c r="F118" s="47" t="s">
        <v>661</v>
      </c>
      <c r="H118" s="102">
        <f>IF(OR($D118=S,$D118=WS),'INPUT Reg'!AD$119,0)</f>
        <v>0</v>
      </c>
      <c r="I118" s="102">
        <f>IF(OR($D118=S,$D118=WS),'INPUT Reg'!AE$119,0)</f>
        <v>0</v>
      </c>
      <c r="J118" s="102">
        <f>IF(OR($D118=S,$D118=WS),'INPUT Reg'!AF$119,0)</f>
        <v>0</v>
      </c>
      <c r="K118" s="102">
        <f>IF(OR($D118=S,$D118=WS),'INPUT Reg'!AG$119,0)</f>
        <v>0</v>
      </c>
      <c r="L118" s="102">
        <f>IF(OR($D118=S,$D118=WS),'INPUT Reg'!AH$119,0)</f>
        <v>0</v>
      </c>
      <c r="M118" s="102">
        <f>IF(OR($D118=S,$D118=WS),'INPUT Reg'!AI$119,0)</f>
        <v>0</v>
      </c>
      <c r="N118" s="102">
        <f>IF(OR($D118=S,$D118=WS),'INPUT Reg'!AJ$119,0)</f>
        <v>0</v>
      </c>
      <c r="O118" s="102">
        <f>IF(OR($D118=S,$D118=WS),'INPUT Reg'!AK$119,0)</f>
        <v>0</v>
      </c>
      <c r="P118" s="102">
        <f>IF(OR($D118=S,$D118=WS),'INPUT Reg'!AL$119,0)</f>
        <v>0</v>
      </c>
      <c r="Q118" s="102">
        <f>IF(OR($D118=S,$D118=WS),'INPUT Reg'!AM$119,0)</f>
        <v>0</v>
      </c>
      <c r="R118" s="102">
        <f>IF(OR($D118=S,$D118=WS),'INPUT Reg'!AN$119,0)</f>
        <v>0</v>
      </c>
      <c r="S118" s="102">
        <f>IF(OR($D118=S,$D118=WS),'INPUT Reg'!AO$119,0)</f>
        <v>0</v>
      </c>
      <c r="T118" s="102">
        <f>IF(OR($D118=S,$D118=WS),'INPUT Reg'!AP$119,0)</f>
        <v>0</v>
      </c>
      <c r="U118" s="102">
        <f>IF(OR($D118=S,$D118=WS),'INPUT Reg'!AQ$119,0)</f>
        <v>0</v>
      </c>
      <c r="V118" s="102">
        <f>IF(OR($D118=S,$D118=WS),'INPUT Reg'!AR$119,0)</f>
        <v>0</v>
      </c>
      <c r="W118" s="102">
        <f>IF(OR($D118=S,$D118=WS),'INPUT Reg'!AS$119,0)</f>
        <v>0</v>
      </c>
      <c r="X118" s="102">
        <f>IF(OR($D118=S,$D118=WS),'INPUT Reg'!AT$119,0)</f>
        <v>0</v>
      </c>
      <c r="Y118" s="102">
        <f>IF(OR($D118=S,$D118=WS),'INPUT Reg'!AU$119,0)</f>
        <v>0</v>
      </c>
      <c r="Z118" s="102">
        <f>IF(OR($D118=S,$D118=WS),'INPUT Reg'!AV$119,0)</f>
        <v>0</v>
      </c>
      <c r="AA118" s="102">
        <f>IF(OR($D118=S,$D118=WS),'INPUT Reg'!AW$119,0)</f>
        <v>0</v>
      </c>
    </row>
    <row r="119" spans="1:27" x14ac:dyDescent="0.25">
      <c r="C119" s="100"/>
      <c r="D119" s="100"/>
      <c r="E119" s="47" t="s">
        <v>664</v>
      </c>
      <c r="F119" s="47" t="s">
        <v>665</v>
      </c>
      <c r="H119" s="106">
        <f>H112*H116</f>
        <v>923510.78536134679</v>
      </c>
      <c r="I119" s="106">
        <f t="shared" ref="I119:AA119" si="42">I112*I116</f>
        <v>1894408.9505337044</v>
      </c>
      <c r="J119" s="106">
        <f t="shared" si="42"/>
        <v>2670971.1545957248</v>
      </c>
      <c r="K119" s="106">
        <f t="shared" si="42"/>
        <v>3419451.6296471474</v>
      </c>
      <c r="L119" s="106">
        <f t="shared" si="42"/>
        <v>4136452.9824502319</v>
      </c>
      <c r="M119" s="106">
        <f t="shared" si="42"/>
        <v>4820367.1891498826</v>
      </c>
      <c r="N119" s="106">
        <f t="shared" si="42"/>
        <v>5492660.233268816</v>
      </c>
      <c r="O119" s="106">
        <f t="shared" si="42"/>
        <v>6167653.6881099213</v>
      </c>
      <c r="P119" s="106">
        <f t="shared" si="42"/>
        <v>6839655.9093454601</v>
      </c>
      <c r="Q119" s="106">
        <f t="shared" si="42"/>
        <v>7515810.6536779543</v>
      </c>
      <c r="R119" s="106">
        <f t="shared" si="42"/>
        <v>8195047.4835727513</v>
      </c>
      <c r="S119" s="106">
        <f t="shared" si="42"/>
        <v>8879435.3835456688</v>
      </c>
      <c r="T119" s="106">
        <f t="shared" si="42"/>
        <v>9570750.2578478251</v>
      </c>
      <c r="U119" s="106">
        <f t="shared" si="42"/>
        <v>10261231.430304298</v>
      </c>
      <c r="V119" s="106">
        <f t="shared" si="42"/>
        <v>10948834.133443644</v>
      </c>
      <c r="W119" s="106">
        <f t="shared" si="42"/>
        <v>11625480.908204237</v>
      </c>
      <c r="X119" s="106">
        <f t="shared" si="42"/>
        <v>12298910.722776469</v>
      </c>
      <c r="Y119" s="106">
        <f t="shared" si="42"/>
        <v>12966074.198332055</v>
      </c>
      <c r="Z119" s="106">
        <f t="shared" si="42"/>
        <v>13629192.322701657</v>
      </c>
      <c r="AA119" s="106">
        <f t="shared" si="42"/>
        <v>14438140.992226511</v>
      </c>
    </row>
    <row r="120" spans="1:27" x14ac:dyDescent="0.25">
      <c r="C120" s="100"/>
      <c r="D120" s="100"/>
      <c r="E120" s="47" t="s">
        <v>666</v>
      </c>
      <c r="F120" s="47" t="s">
        <v>665</v>
      </c>
      <c r="H120" s="106">
        <f>H112*H117</f>
        <v>0</v>
      </c>
      <c r="I120" s="106">
        <f t="shared" ref="I120:AA120" si="43">I112*I117</f>
        <v>0</v>
      </c>
      <c r="J120" s="106">
        <f t="shared" si="43"/>
        <v>0</v>
      </c>
      <c r="K120" s="106">
        <f t="shared" si="43"/>
        <v>0</v>
      </c>
      <c r="L120" s="106">
        <f t="shared" si="43"/>
        <v>0</v>
      </c>
      <c r="M120" s="106">
        <f t="shared" si="43"/>
        <v>0</v>
      </c>
      <c r="N120" s="106">
        <f t="shared" si="43"/>
        <v>0</v>
      </c>
      <c r="O120" s="106">
        <f t="shared" si="43"/>
        <v>0</v>
      </c>
      <c r="P120" s="106">
        <f t="shared" si="43"/>
        <v>0</v>
      </c>
      <c r="Q120" s="106">
        <f t="shared" si="43"/>
        <v>0</v>
      </c>
      <c r="R120" s="106">
        <f t="shared" si="43"/>
        <v>0</v>
      </c>
      <c r="S120" s="106">
        <f t="shared" si="43"/>
        <v>0</v>
      </c>
      <c r="T120" s="106">
        <f t="shared" si="43"/>
        <v>0</v>
      </c>
      <c r="U120" s="106">
        <f t="shared" si="43"/>
        <v>0</v>
      </c>
      <c r="V120" s="106">
        <f t="shared" si="43"/>
        <v>0</v>
      </c>
      <c r="W120" s="106">
        <f t="shared" si="43"/>
        <v>0</v>
      </c>
      <c r="X120" s="106">
        <f t="shared" si="43"/>
        <v>0</v>
      </c>
      <c r="Y120" s="106">
        <f t="shared" si="43"/>
        <v>0</v>
      </c>
      <c r="Z120" s="106">
        <f t="shared" si="43"/>
        <v>0</v>
      </c>
      <c r="AA120" s="106">
        <f t="shared" si="43"/>
        <v>0</v>
      </c>
    </row>
    <row r="121" spans="1:27" x14ac:dyDescent="0.25">
      <c r="C121" s="100"/>
      <c r="D121" s="100"/>
      <c r="E121" s="47" t="s">
        <v>667</v>
      </c>
      <c r="F121" s="47" t="s">
        <v>665</v>
      </c>
      <c r="H121" s="106">
        <f>H112*H118</f>
        <v>0</v>
      </c>
      <c r="I121" s="106">
        <f t="shared" ref="I121:AA121" si="44">I112*I118</f>
        <v>0</v>
      </c>
      <c r="J121" s="106">
        <f t="shared" si="44"/>
        <v>0</v>
      </c>
      <c r="K121" s="106">
        <f t="shared" si="44"/>
        <v>0</v>
      </c>
      <c r="L121" s="106">
        <f t="shared" si="44"/>
        <v>0</v>
      </c>
      <c r="M121" s="106">
        <f t="shared" si="44"/>
        <v>0</v>
      </c>
      <c r="N121" s="106">
        <f t="shared" si="44"/>
        <v>0</v>
      </c>
      <c r="O121" s="106">
        <f t="shared" si="44"/>
        <v>0</v>
      </c>
      <c r="P121" s="106">
        <f t="shared" si="44"/>
        <v>0</v>
      </c>
      <c r="Q121" s="106">
        <f t="shared" si="44"/>
        <v>0</v>
      </c>
      <c r="R121" s="106">
        <f t="shared" si="44"/>
        <v>0</v>
      </c>
      <c r="S121" s="106">
        <f t="shared" si="44"/>
        <v>0</v>
      </c>
      <c r="T121" s="106">
        <f t="shared" si="44"/>
        <v>0</v>
      </c>
      <c r="U121" s="106">
        <f t="shared" si="44"/>
        <v>0</v>
      </c>
      <c r="V121" s="106">
        <f t="shared" si="44"/>
        <v>0</v>
      </c>
      <c r="W121" s="106">
        <f t="shared" si="44"/>
        <v>0</v>
      </c>
      <c r="X121" s="106">
        <f t="shared" si="44"/>
        <v>0</v>
      </c>
      <c r="Y121" s="106">
        <f t="shared" si="44"/>
        <v>0</v>
      </c>
      <c r="Z121" s="106">
        <f t="shared" si="44"/>
        <v>0</v>
      </c>
      <c r="AA121" s="106">
        <f t="shared" si="44"/>
        <v>0</v>
      </c>
    </row>
    <row r="122" spans="1:27" x14ac:dyDescent="0.25">
      <c r="A122" s="101">
        <v>23</v>
      </c>
      <c r="B122" s="47" t="str">
        <f>B116</f>
        <v>Central</v>
      </c>
      <c r="C122" s="47" t="str">
        <f t="shared" ref="C122:D122" si="45">C116</f>
        <v>N</v>
      </c>
      <c r="D122" s="47" t="str">
        <f t="shared" si="45"/>
        <v>Water</v>
      </c>
      <c r="E122" s="47" t="s">
        <v>668</v>
      </c>
      <c r="F122" s="47" t="s">
        <v>633</v>
      </c>
      <c r="H122" s="105">
        <f>SUMIFS('INPUT Reg'!AD$94:AD$109,'INPUT Reg'!$D$94:$D$109,$D122,'INPUT Reg'!$C$94:$C$109,$C122,'INPUT Reg'!$B$94:$B$109,$B122)</f>
        <v>4.5454238661206681E-3</v>
      </c>
      <c r="I122" s="105">
        <f>SUMIFS('INPUT Reg'!AE$94:AE$109,'INPUT Reg'!$D$94:$D$109,$D122,'INPUT Reg'!$C$94:$C$109,$C122,'INPUT Reg'!$B$94:$B$109,$B122)</f>
        <v>2.0680555934404765E-6</v>
      </c>
      <c r="J122" s="105">
        <f>SUMIFS('INPUT Reg'!AF$94:AF$109,'INPUT Reg'!$D$94:$D$109,$D122,'INPUT Reg'!$C$94:$C$109,$C122,'INPUT Reg'!$B$94:$B$109,$B122)</f>
        <v>8.848651128268159E-6</v>
      </c>
      <c r="K122" s="105">
        <f>SUMIFS('INPUT Reg'!AG$94:AG$109,'INPUT Reg'!$D$94:$D$109,$D122,'INPUT Reg'!$C$94:$C$109,$C122,'INPUT Reg'!$B$94:$B$109,$B122)</f>
        <v>6.2551866268911738E-6</v>
      </c>
      <c r="L122" s="105">
        <f>SUMIFS('INPUT Reg'!AH$94:AH$109,'INPUT Reg'!$D$94:$D$109,$D122,'INPUT Reg'!$C$94:$C$109,$C122,'INPUT Reg'!$B$94:$B$109,$B122)</f>
        <v>-1.3051756733446607E-2</v>
      </c>
      <c r="M122" s="105">
        <f>SUMIFS('INPUT Reg'!AI$94:AI$109,'INPUT Reg'!$D$94:$D$109,$D122,'INPUT Reg'!$C$94:$C$109,$C122,'INPUT Reg'!$B$94:$B$109,$B122)</f>
        <v>7.6238383328597337E-6</v>
      </c>
      <c r="N122" s="105">
        <f>SUMIFS('INPUT Reg'!AJ$94:AJ$109,'INPUT Reg'!$D$94:$D$109,$D122,'INPUT Reg'!$C$94:$C$109,$C122,'INPUT Reg'!$B$94:$B$109,$B122)</f>
        <v>2.4675246539374029E-6</v>
      </c>
      <c r="O122" s="105">
        <f>SUMIFS('INPUT Reg'!AK$94:AK$109,'INPUT Reg'!$D$94:$D$109,$D122,'INPUT Reg'!$C$94:$C$109,$C122,'INPUT Reg'!$B$94:$B$109,$B122)</f>
        <v>4.9581656709207778E-6</v>
      </c>
      <c r="P122" s="105">
        <f>SUMIFS('INPUT Reg'!AL$94:AL$109,'INPUT Reg'!$D$94:$D$109,$D122,'INPUT Reg'!$C$94:$C$109,$C122,'INPUT Reg'!$B$94:$B$109,$B122)</f>
        <v>3.3108836265949293E-6</v>
      </c>
      <c r="Q122" s="105">
        <f>SUMIFS('INPUT Reg'!AM$94:AM$109,'INPUT Reg'!$D$94:$D$109,$D122,'INPUT Reg'!$C$94:$C$109,$C122,'INPUT Reg'!$B$94:$B$109,$B122)</f>
        <v>-0.15570316982708454</v>
      </c>
      <c r="R122" s="105">
        <f>SUMIFS('INPUT Reg'!AN$94:AN$109,'INPUT Reg'!$D$94:$D$109,$D122,'INPUT Reg'!$C$94:$C$109,$C122,'INPUT Reg'!$B$94:$B$109,$B122)</f>
        <v>3.0675017312908892E-6</v>
      </c>
      <c r="S122" s="105">
        <f>SUMIFS('INPUT Reg'!AO$94:AO$109,'INPUT Reg'!$D$94:$D$109,$D122,'INPUT Reg'!$C$94:$C$109,$C122,'INPUT Reg'!$B$94:$B$109,$B122)</f>
        <v>3.2343018576685978E-6</v>
      </c>
      <c r="T122" s="105">
        <f>SUMIFS('INPUT Reg'!AP$94:AP$109,'INPUT Reg'!$D$94:$D$109,$D122,'INPUT Reg'!$C$94:$C$109,$C122,'INPUT Reg'!$B$94:$B$109,$B122)</f>
        <v>1.866704844921685E-6</v>
      </c>
      <c r="U122" s="105">
        <f>SUMIFS('INPUT Reg'!AQ$94:AQ$109,'INPUT Reg'!$D$94:$D$109,$D122,'INPUT Reg'!$C$94:$C$109,$C122,'INPUT Reg'!$B$94:$B$109,$B122)</f>
        <v>2.2263772827546546E-6</v>
      </c>
      <c r="V122" s="105">
        <f>SUMIFS('INPUT Reg'!AR$94:AR$109,'INPUT Reg'!$D$94:$D$109,$D122,'INPUT Reg'!$C$94:$C$109,$C122,'INPUT Reg'!$B$94:$B$109,$B122)</f>
        <v>-9.5560552361957929E-2</v>
      </c>
      <c r="W122" s="105">
        <f>SUMIFS('INPUT Reg'!AS$94:AS$109,'INPUT Reg'!$D$94:$D$109,$D122,'INPUT Reg'!$C$94:$C$109,$C122,'INPUT Reg'!$B$94:$B$109,$B122)</f>
        <v>2.5335813824689524E-6</v>
      </c>
      <c r="X122" s="105">
        <f>SUMIFS('INPUT Reg'!AT$94:AT$109,'INPUT Reg'!$D$94:$D$109,$D122,'INPUT Reg'!$C$94:$C$109,$C122,'INPUT Reg'!$B$94:$B$109,$B122)</f>
        <v>1.9077809212397767E-6</v>
      </c>
      <c r="Y122" s="105">
        <f>SUMIFS('INPUT Reg'!AU$94:AU$109,'INPUT Reg'!$D$94:$D$109,$D122,'INPUT Reg'!$C$94:$C$109,$C122,'INPUT Reg'!$B$94:$B$109,$B122)</f>
        <v>1.9829017385841752E-6</v>
      </c>
      <c r="Z122" s="105">
        <f>SUMIFS('INPUT Reg'!AV$94:AV$109,'INPUT Reg'!$D$94:$D$109,$D122,'INPUT Reg'!$C$94:$C$109,$C122,'INPUT Reg'!$B$94:$B$109,$B122)</f>
        <v>1.7939016760948334E-6</v>
      </c>
      <c r="AA122" s="105">
        <f>SUMIFS('INPUT Reg'!AW$94:AW$109,'INPUT Reg'!$D$94:$D$109,$D122,'INPUT Reg'!$C$94:$C$109,$C122,'INPUT Reg'!$B$94:$B$109,$B122)</f>
        <v>0</v>
      </c>
    </row>
    <row r="123" spans="1:27" x14ac:dyDescent="0.25">
      <c r="A123" s="101">
        <v>24</v>
      </c>
      <c r="B123" s="47" t="str">
        <f>B111</f>
        <v>Central</v>
      </c>
      <c r="C123" s="47" t="str">
        <f t="shared" ref="C123:D123" si="46">C111</f>
        <v>N</v>
      </c>
      <c r="D123" s="47" t="str">
        <f t="shared" si="46"/>
        <v>Water</v>
      </c>
      <c r="E123" s="47" t="s">
        <v>669</v>
      </c>
      <c r="F123" s="47" t="s">
        <v>670</v>
      </c>
      <c r="G123" s="108">
        <f>IF(D123=W,CWW_N_W_N,IF(D123=S,CWW_N_S_N,IF(D123=WS, CWW_N_W_N+CWW_N_S_N,CWW_N_R_F)))</f>
        <v>299.2</v>
      </c>
      <c r="H123" s="106">
        <f>G123*(1+$G$14)*(1+H122)</f>
        <v>300.55999082074328</v>
      </c>
      <c r="I123" s="106">
        <f t="shared" ref="I123:AA123" si="47">H123*(1+$G$14)*(1+I122)</f>
        <v>300.56061239551349</v>
      </c>
      <c r="J123" s="106">
        <f t="shared" si="47"/>
        <v>300.56327195151545</v>
      </c>
      <c r="K123" s="106">
        <f t="shared" si="47"/>
        <v>300.56515203087469</v>
      </c>
      <c r="L123" s="106">
        <f t="shared" si="47"/>
        <v>296.64224878401632</v>
      </c>
      <c r="M123" s="106">
        <f t="shared" si="47"/>
        <v>296.64451033656377</v>
      </c>
      <c r="N123" s="106">
        <f t="shared" si="47"/>
        <v>296.64524231420648</v>
      </c>
      <c r="O123" s="106">
        <f t="shared" si="47"/>
        <v>296.64671313046335</v>
      </c>
      <c r="P123" s="106">
        <f t="shared" si="47"/>
        <v>296.64769529320876</v>
      </c>
      <c r="Q123" s="106">
        <f t="shared" si="47"/>
        <v>250.45870881415703</v>
      </c>
      <c r="R123" s="106">
        <f t="shared" si="47"/>
        <v>250.45947709667993</v>
      </c>
      <c r="S123" s="106">
        <f t="shared" si="47"/>
        <v>250.46028715823198</v>
      </c>
      <c r="T123" s="106">
        <f t="shared" si="47"/>
        <v>250.46075469366349</v>
      </c>
      <c r="U123" s="106">
        <f t="shared" si="47"/>
        <v>250.46131231379795</v>
      </c>
      <c r="V123" s="106">
        <f t="shared" si="47"/>
        <v>226.52709096379056</v>
      </c>
      <c r="W123" s="106">
        <f t="shared" si="47"/>
        <v>226.52766488861084</v>
      </c>
      <c r="X123" s="106">
        <f t="shared" si="47"/>
        <v>226.52809705376805</v>
      </c>
      <c r="Y123" s="106">
        <f t="shared" si="47"/>
        <v>226.52854623672553</v>
      </c>
      <c r="Z123" s="106">
        <f t="shared" si="47"/>
        <v>226.52895260666432</v>
      </c>
      <c r="AA123" s="106">
        <f t="shared" si="47"/>
        <v>226.52895260666432</v>
      </c>
    </row>
    <row r="124" spans="1:27" x14ac:dyDescent="0.25">
      <c r="B124" s="47" t="str">
        <f>B111</f>
        <v>Central</v>
      </c>
      <c r="C124" s="47" t="str">
        <f t="shared" ref="C124:D124" si="48">C111</f>
        <v>N</v>
      </c>
      <c r="D124" s="47" t="str">
        <f t="shared" si="48"/>
        <v>Water</v>
      </c>
      <c r="E124" s="47" t="s">
        <v>671</v>
      </c>
      <c r="F124" s="47" t="s">
        <v>672</v>
      </c>
      <c r="G124" s="109">
        <f>IF(OR(D124=W,D124=WS),CWW_N_W_V,IF(D124=RW,CWW_N_R_V,0))</f>
        <v>3.0762</v>
      </c>
      <c r="H124" s="110">
        <f>G124*(1+$G$14)*(1+H122)</f>
        <v>3.0901826328969606</v>
      </c>
      <c r="I124" s="110">
        <f t="shared" ref="I124:AA124" si="49">H124*(1+$G$14)*(1+I122)</f>
        <v>3.0901890235664391</v>
      </c>
      <c r="J124" s="110">
        <f t="shared" si="49"/>
        <v>3.090216367571029</v>
      </c>
      <c r="K124" s="110">
        <f t="shared" si="49"/>
        <v>3.0902356974511256</v>
      </c>
      <c r="L124" s="110">
        <f t="shared" si="49"/>
        <v>3.0499026928789807</v>
      </c>
      <c r="M124" s="110">
        <f t="shared" si="49"/>
        <v>3.0499259448440421</v>
      </c>
      <c r="N124" s="110">
        <f t="shared" si="49"/>
        <v>3.0499334706115038</v>
      </c>
      <c r="O124" s="110">
        <f t="shared" si="49"/>
        <v>3.0499485926869365</v>
      </c>
      <c r="P124" s="110">
        <f t="shared" si="49"/>
        <v>3.0499586907117942</v>
      </c>
      <c r="Q124" s="110">
        <f t="shared" si="49"/>
        <v>2.5750704547263035</v>
      </c>
      <c r="R124" s="110">
        <f t="shared" si="49"/>
        <v>2.5750783537593813</v>
      </c>
      <c r="S124" s="110">
        <f t="shared" si="49"/>
        <v>2.5750866823400846</v>
      </c>
      <c r="T124" s="110">
        <f t="shared" si="49"/>
        <v>2.5750914892668706</v>
      </c>
      <c r="U124" s="110">
        <f t="shared" si="49"/>
        <v>2.5750972223920634</v>
      </c>
      <c r="V124" s="110">
        <f t="shared" si="49"/>
        <v>2.3290195094345343</v>
      </c>
      <c r="W124" s="110">
        <f t="shared" si="49"/>
        <v>2.329025410195003</v>
      </c>
      <c r="X124" s="110">
        <f t="shared" si="49"/>
        <v>2.3290298534652458</v>
      </c>
      <c r="Y124" s="110">
        <f t="shared" si="49"/>
        <v>2.3290344717025913</v>
      </c>
      <c r="Z124" s="110">
        <f t="shared" si="49"/>
        <v>2.3290386497614337</v>
      </c>
      <c r="AA124" s="110">
        <f t="shared" si="49"/>
        <v>2.3290386497614337</v>
      </c>
    </row>
    <row r="125" spans="1:27" x14ac:dyDescent="0.25">
      <c r="B125" s="47" t="str">
        <f>B111</f>
        <v>Central</v>
      </c>
      <c r="C125" s="47" t="str">
        <f t="shared" ref="C125:D125" si="50">C111</f>
        <v>N</v>
      </c>
      <c r="D125" s="47" t="str">
        <f t="shared" si="50"/>
        <v>Water</v>
      </c>
      <c r="E125" s="47" t="s">
        <v>673</v>
      </c>
      <c r="F125" s="47" t="s">
        <v>672</v>
      </c>
      <c r="G125" s="109"/>
      <c r="H125" s="110">
        <f>G125*(1+$G$14)*(1+H122)</f>
        <v>0</v>
      </c>
      <c r="I125" s="110">
        <f t="shared" ref="I125:AA125" si="51">H125*(1+$G$14)*(1+I122)</f>
        <v>0</v>
      </c>
      <c r="J125" s="110">
        <f t="shared" si="51"/>
        <v>0</v>
      </c>
      <c r="K125" s="110">
        <f t="shared" si="51"/>
        <v>0</v>
      </c>
      <c r="L125" s="110">
        <f t="shared" si="51"/>
        <v>0</v>
      </c>
      <c r="M125" s="110">
        <f t="shared" si="51"/>
        <v>0</v>
      </c>
      <c r="N125" s="110">
        <f t="shared" si="51"/>
        <v>0</v>
      </c>
      <c r="O125" s="110">
        <f t="shared" si="51"/>
        <v>0</v>
      </c>
      <c r="P125" s="110">
        <f t="shared" si="51"/>
        <v>0</v>
      </c>
      <c r="Q125" s="110">
        <f t="shared" si="51"/>
        <v>0</v>
      </c>
      <c r="R125" s="110">
        <f t="shared" si="51"/>
        <v>0</v>
      </c>
      <c r="S125" s="110">
        <f t="shared" si="51"/>
        <v>0</v>
      </c>
      <c r="T125" s="110">
        <f t="shared" si="51"/>
        <v>0</v>
      </c>
      <c r="U125" s="110">
        <f t="shared" si="51"/>
        <v>0</v>
      </c>
      <c r="V125" s="110">
        <f t="shared" si="51"/>
        <v>0</v>
      </c>
      <c r="W125" s="110">
        <f t="shared" si="51"/>
        <v>0</v>
      </c>
      <c r="X125" s="110">
        <f t="shared" si="51"/>
        <v>0</v>
      </c>
      <c r="Y125" s="110">
        <f t="shared" si="51"/>
        <v>0</v>
      </c>
      <c r="Z125" s="110">
        <f t="shared" si="51"/>
        <v>0</v>
      </c>
      <c r="AA125" s="110">
        <f t="shared" si="51"/>
        <v>0</v>
      </c>
    </row>
    <row r="126" spans="1:27" x14ac:dyDescent="0.25">
      <c r="B126" s="47" t="str">
        <f>B111</f>
        <v>Central</v>
      </c>
      <c r="C126" s="47" t="str">
        <f t="shared" ref="C126:D126" si="52">C111</f>
        <v>N</v>
      </c>
      <c r="D126" s="47" t="str">
        <f t="shared" si="52"/>
        <v>Water</v>
      </c>
      <c r="E126" s="47" t="s">
        <v>674</v>
      </c>
      <c r="F126" s="47" t="s">
        <v>672</v>
      </c>
      <c r="G126" s="109">
        <f>IF(OR(D126=S,D126=WS),CWW_N_SDC,0)</f>
        <v>0</v>
      </c>
      <c r="H126" s="110">
        <f>G126*(1+$G$14)*(1+H122)</f>
        <v>0</v>
      </c>
      <c r="I126" s="110">
        <f t="shared" ref="I126:AA126" si="53">H126*(1+$G$14)*(1+I122)</f>
        <v>0</v>
      </c>
      <c r="J126" s="110">
        <f t="shared" si="53"/>
        <v>0</v>
      </c>
      <c r="K126" s="110">
        <f t="shared" si="53"/>
        <v>0</v>
      </c>
      <c r="L126" s="110">
        <f t="shared" si="53"/>
        <v>0</v>
      </c>
      <c r="M126" s="110">
        <f t="shared" si="53"/>
        <v>0</v>
      </c>
      <c r="N126" s="110">
        <f t="shared" si="53"/>
        <v>0</v>
      </c>
      <c r="O126" s="110">
        <f t="shared" si="53"/>
        <v>0</v>
      </c>
      <c r="P126" s="110">
        <f t="shared" si="53"/>
        <v>0</v>
      </c>
      <c r="Q126" s="110">
        <f t="shared" si="53"/>
        <v>0</v>
      </c>
      <c r="R126" s="110">
        <f t="shared" si="53"/>
        <v>0</v>
      </c>
      <c r="S126" s="110">
        <f t="shared" si="53"/>
        <v>0</v>
      </c>
      <c r="T126" s="110">
        <f t="shared" si="53"/>
        <v>0</v>
      </c>
      <c r="U126" s="110">
        <f t="shared" si="53"/>
        <v>0</v>
      </c>
      <c r="V126" s="110">
        <f t="shared" si="53"/>
        <v>0</v>
      </c>
      <c r="W126" s="110">
        <f t="shared" si="53"/>
        <v>0</v>
      </c>
      <c r="X126" s="110">
        <f t="shared" si="53"/>
        <v>0</v>
      </c>
      <c r="Y126" s="110">
        <f t="shared" si="53"/>
        <v>0</v>
      </c>
      <c r="Z126" s="110">
        <f t="shared" si="53"/>
        <v>0</v>
      </c>
      <c r="AA126" s="110">
        <f t="shared" si="53"/>
        <v>0</v>
      </c>
    </row>
    <row r="127" spans="1:27" x14ac:dyDescent="0.25">
      <c r="C127" s="100"/>
      <c r="D127" s="100"/>
    </row>
    <row r="128" spans="1:27" x14ac:dyDescent="0.25">
      <c r="C128" s="100"/>
      <c r="D128" s="100"/>
      <c r="E128" s="47" t="s">
        <v>679</v>
      </c>
      <c r="F128" s="47" t="s">
        <v>676</v>
      </c>
      <c r="H128" s="106">
        <f>SUM(H119:H121)/1000</f>
        <v>923.51078536134673</v>
      </c>
      <c r="I128" s="106">
        <f t="shared" ref="I128:AA128" si="54">SUM(I119:I121)/1000</f>
        <v>1894.4089505337045</v>
      </c>
      <c r="J128" s="106">
        <f t="shared" si="54"/>
        <v>2670.9711545957248</v>
      </c>
      <c r="K128" s="106">
        <f t="shared" si="54"/>
        <v>3419.4516296471475</v>
      </c>
      <c r="L128" s="106">
        <f t="shared" si="54"/>
        <v>4136.4529824502315</v>
      </c>
      <c r="M128" s="106">
        <f t="shared" si="54"/>
        <v>4820.3671891498825</v>
      </c>
      <c r="N128" s="106">
        <f t="shared" si="54"/>
        <v>5492.6602332688162</v>
      </c>
      <c r="O128" s="106">
        <f t="shared" si="54"/>
        <v>6167.6536881099209</v>
      </c>
      <c r="P128" s="106">
        <f t="shared" si="54"/>
        <v>6839.6559093454598</v>
      </c>
      <c r="Q128" s="106">
        <f t="shared" si="54"/>
        <v>7515.8106536779542</v>
      </c>
      <c r="R128" s="106">
        <f t="shared" si="54"/>
        <v>8195.0474835727509</v>
      </c>
      <c r="S128" s="106">
        <f t="shared" si="54"/>
        <v>8879.4353835456695</v>
      </c>
      <c r="T128" s="106">
        <f t="shared" si="54"/>
        <v>9570.7502578478252</v>
      </c>
      <c r="U128" s="106">
        <f t="shared" si="54"/>
        <v>10261.231430304299</v>
      </c>
      <c r="V128" s="106">
        <f t="shared" si="54"/>
        <v>10948.834133443645</v>
      </c>
      <c r="W128" s="106">
        <f t="shared" si="54"/>
        <v>11625.480908204237</v>
      </c>
      <c r="X128" s="106">
        <f t="shared" si="54"/>
        <v>12298.910722776469</v>
      </c>
      <c r="Y128" s="106">
        <f t="shared" si="54"/>
        <v>12966.074198332055</v>
      </c>
      <c r="Z128" s="106">
        <f t="shared" si="54"/>
        <v>13629.192322701658</v>
      </c>
      <c r="AA128" s="106">
        <f t="shared" si="54"/>
        <v>14438.140992226512</v>
      </c>
    </row>
    <row r="129" spans="1:27" x14ac:dyDescent="0.25">
      <c r="C129" s="100"/>
      <c r="D129" s="100"/>
      <c r="E129" s="47" t="s">
        <v>680</v>
      </c>
      <c r="F129" s="47" t="s">
        <v>639</v>
      </c>
      <c r="H129" s="106">
        <f>H112*H123+H119*H124+H120*H125+H121*H126</f>
        <v>3147618.1058902559</v>
      </c>
      <c r="I129" s="106">
        <f t="shared" ref="I129:AA129" si="55">I112*I123+I119*I124+I120*I125+I121*I126</f>
        <v>6454213.7954698578</v>
      </c>
      <c r="J129" s="106">
        <f t="shared" si="55"/>
        <v>9111063.6542397421</v>
      </c>
      <c r="K129" s="106">
        <f t="shared" si="55"/>
        <v>11680208.783651013</v>
      </c>
      <c r="L129" s="106">
        <f t="shared" si="55"/>
        <v>13963436.226752378</v>
      </c>
      <c r="M129" s="106">
        <f t="shared" si="55"/>
        <v>16293187.793880893</v>
      </c>
      <c r="N129" s="106">
        <f t="shared" si="55"/>
        <v>18589263.356242072</v>
      </c>
      <c r="O129" s="106">
        <f t="shared" si="55"/>
        <v>20900437.087184459</v>
      </c>
      <c r="P129" s="106">
        <f t="shared" si="55"/>
        <v>23207188.168604147</v>
      </c>
      <c r="Q129" s="106">
        <f t="shared" si="55"/>
        <v>21558167.708311781</v>
      </c>
      <c r="R129" s="106">
        <f t="shared" si="55"/>
        <v>23536483.573658817</v>
      </c>
      <c r="S129" s="106">
        <f t="shared" si="55"/>
        <v>25534680.229495853</v>
      </c>
      <c r="T129" s="106">
        <f t="shared" si="55"/>
        <v>27557934.486179415</v>
      </c>
      <c r="U129" s="106">
        <f t="shared" si="55"/>
        <v>29583701.619474147</v>
      </c>
      <c r="V129" s="106">
        <f t="shared" si="55"/>
        <v>28585572.747900851</v>
      </c>
      <c r="W129" s="106">
        <f t="shared" si="55"/>
        <v>30389819.299984965</v>
      </c>
      <c r="X129" s="106">
        <f t="shared" si="55"/>
        <v>32189635.550374579</v>
      </c>
      <c r="Y129" s="106">
        <f t="shared" si="55"/>
        <v>33976813.310312837</v>
      </c>
      <c r="Z129" s="106">
        <f t="shared" si="55"/>
        <v>35757099.643034466</v>
      </c>
      <c r="AA129" s="106">
        <f t="shared" si="55"/>
        <v>37879430.70252946</v>
      </c>
    </row>
    <row r="130" spans="1:27" x14ac:dyDescent="0.25">
      <c r="C130" s="100"/>
      <c r="D130" s="100"/>
    </row>
    <row r="131" spans="1:27" x14ac:dyDescent="0.25">
      <c r="C131" s="100"/>
      <c r="D131" s="47" t="s">
        <v>681</v>
      </c>
    </row>
    <row r="132" spans="1:27" x14ac:dyDescent="0.25">
      <c r="A132" s="101">
        <v>25</v>
      </c>
      <c r="B132" s="47" t="s">
        <v>265</v>
      </c>
      <c r="C132" s="100" t="s">
        <v>405</v>
      </c>
      <c r="D132" s="100" t="str">
        <f>$G$4</f>
        <v>Water</v>
      </c>
      <c r="E132" s="47" t="s">
        <v>654</v>
      </c>
      <c r="F132" s="47" t="s">
        <v>655</v>
      </c>
      <c r="H132" s="102">
        <f>IF($G$4="Water and sewer",SUMIFS('INPUT Growth'!AD$64:AD$115,'INPUT Growth'!$B$64:$B$115,$A$1,'INPUT Growth'!$F$64:$F$115,$B132,'INPUT Growth'!$E$64:$E$115,$C132),SUMIFS('INPUT Growth'!AD$64:AD$115,'INPUT Growth'!$A$64:$A$115,$A$1,'INPUT Growth'!$F$64:$F$115,$B132,'INPUT Growth'!$E$64:$E$115,$C132))</f>
        <v>641.33743430731556</v>
      </c>
      <c r="I132" s="102">
        <f>IF($G$4="Water and sewer",SUMIFS('INPUT Growth'!AE$64:AE$115,'INPUT Growth'!$B$64:$B$115,$A$1,'INPUT Growth'!$F$64:$F$115,$B132,'INPUT Growth'!$E$64:$E$115,$C132),SUMIFS('INPUT Growth'!AE$64:AE$115,'INPUT Growth'!$A$64:$A$115,$A$1,'INPUT Growth'!$F$64:$F$115,$B132,'INPUT Growth'!$E$64:$E$115,$C132))</f>
        <v>768.82932971043192</v>
      </c>
      <c r="J132" s="102">
        <f>IF($G$4="Water and sewer",SUMIFS('INPUT Growth'!AF$64:AF$115,'INPUT Growth'!$B$64:$B$115,$A$1,'INPUT Growth'!$F$64:$F$115,$B132,'INPUT Growth'!$E$64:$E$115,$C132),SUMIFS('INPUT Growth'!AF$64:AF$115,'INPUT Growth'!$A$64:$A$115,$A$1,'INPUT Growth'!$F$64:$F$115,$B132,'INPUT Growth'!$E$64:$E$115,$C132))</f>
        <v>691.17207673125085</v>
      </c>
      <c r="K132" s="102">
        <f>IF($G$4="Water and sewer",SUMIFS('INPUT Growth'!AG$64:AG$115,'INPUT Growth'!$B$64:$B$115,$A$1,'INPUT Growth'!$F$64:$F$115,$B132,'INPUT Growth'!$E$64:$E$115,$C132),SUMIFS('INPUT Growth'!AG$64:AG$115,'INPUT Growth'!$A$64:$A$115,$A$1,'INPUT Growth'!$F$64:$F$115,$B132,'INPUT Growth'!$E$64:$E$115,$C132))</f>
        <v>756.94161678494129</v>
      </c>
      <c r="L132" s="102">
        <f>IF($G$4="Water and sewer",SUMIFS('INPUT Growth'!AH$64:AH$115,'INPUT Growth'!$B$64:$B$115,$A$1,'INPUT Growth'!$F$64:$F$115,$B132,'INPUT Growth'!$E$64:$E$115,$C132),SUMIFS('INPUT Growth'!AH$64:AH$115,'INPUT Growth'!$A$64:$A$115,$A$1,'INPUT Growth'!$F$64:$F$115,$B132,'INPUT Growth'!$E$64:$E$115,$C132))</f>
        <v>883.71641645321506</v>
      </c>
      <c r="M132" s="102">
        <f>IF($G$4="Water and sewer",SUMIFS('INPUT Growth'!AI$64:AI$115,'INPUT Growth'!$B$64:$B$115,$A$1,'INPUT Growth'!$F$64:$F$115,$B132,'INPUT Growth'!$E$64:$E$115,$C132),SUMIFS('INPUT Growth'!AI$64:AI$115,'INPUT Growth'!$A$64:$A$115,$A$1,'INPUT Growth'!$F$64:$F$115,$B132,'INPUT Growth'!$E$64:$E$115,$C132))</f>
        <v>893.13094966088829</v>
      </c>
      <c r="N132" s="102">
        <f>IF($G$4="Water and sewer",SUMIFS('INPUT Growth'!AJ$64:AJ$115,'INPUT Growth'!$B$64:$B$115,$A$1,'INPUT Growth'!$F$64:$F$115,$B132,'INPUT Growth'!$E$64:$E$115,$C132),SUMIFS('INPUT Growth'!AJ$64:AJ$115,'INPUT Growth'!$A$64:$A$115,$A$1,'INPUT Growth'!$F$64:$F$115,$B132,'INPUT Growth'!$E$64:$E$115,$C132))</f>
        <v>845.92926274734782</v>
      </c>
      <c r="O132" s="102">
        <f>IF($G$4="Water and sewer",SUMIFS('INPUT Growth'!AK$64:AK$115,'INPUT Growth'!$B$64:$B$115,$A$1,'INPUT Growth'!$F$64:$F$115,$B132,'INPUT Growth'!$E$64:$E$115,$C132),SUMIFS('INPUT Growth'!AK$64:AK$115,'INPUT Growth'!$A$64:$A$115,$A$1,'INPUT Growth'!$F$64:$F$115,$B132,'INPUT Growth'!$E$64:$E$115,$C132))</f>
        <v>731.45123569898715</v>
      </c>
      <c r="P132" s="102">
        <f>IF($G$4="Water and sewer",SUMIFS('INPUT Growth'!AL$64:AL$115,'INPUT Growth'!$B$64:$B$115,$A$1,'INPUT Growth'!$F$64:$F$115,$B132,'INPUT Growth'!$E$64:$E$115,$C132),SUMIFS('INPUT Growth'!AL$64:AL$115,'INPUT Growth'!$A$64:$A$115,$A$1,'INPUT Growth'!$F$64:$F$115,$B132,'INPUT Growth'!$E$64:$E$115,$C132))</f>
        <v>649.35518409479118</v>
      </c>
      <c r="Q132" s="102">
        <f>IF($G$4="Water and sewer",SUMIFS('INPUT Growth'!AM$64:AM$115,'INPUT Growth'!$B$64:$B$115,$A$1,'INPUT Growth'!$F$64:$F$115,$B132,'INPUT Growth'!$E$64:$E$115,$C132),SUMIFS('INPUT Growth'!AM$64:AM$115,'INPUT Growth'!$A$64:$A$115,$A$1,'INPUT Growth'!$F$64:$F$115,$B132,'INPUT Growth'!$E$64:$E$115,$C132))</f>
        <v>602.63854126013757</v>
      </c>
      <c r="R132" s="102">
        <f>IF($G$4="Water and sewer",SUMIFS('INPUT Growth'!AN$64:AN$115,'INPUT Growth'!$B$64:$B$115,$A$1,'INPUT Growth'!$F$64:$F$115,$B132,'INPUT Growth'!$E$64:$E$115,$C132),SUMIFS('INPUT Growth'!AN$64:AN$115,'INPUT Growth'!$A$64:$A$115,$A$1,'INPUT Growth'!$F$64:$F$115,$B132,'INPUT Growth'!$E$64:$E$115,$C132))</f>
        <v>623.50893499855738</v>
      </c>
      <c r="S132" s="102">
        <f>IF($G$4="Water and sewer",SUMIFS('INPUT Growth'!AO$64:AO$115,'INPUT Growth'!$B$64:$B$115,$A$1,'INPUT Growth'!$F$64:$F$115,$B132,'INPUT Growth'!$E$64:$E$115,$C132),SUMIFS('INPUT Growth'!AO$64:AO$115,'INPUT Growth'!$A$64:$A$115,$A$1,'INPUT Growth'!$F$64:$F$115,$B132,'INPUT Growth'!$E$64:$E$115,$C132))</f>
        <v>601.77966659538652</v>
      </c>
      <c r="T132" s="102">
        <f>IF($G$4="Water and sewer",SUMIFS('INPUT Growth'!AP$64:AP$115,'INPUT Growth'!$B$64:$B$115,$A$1,'INPUT Growth'!$F$64:$F$115,$B132,'INPUT Growth'!$E$64:$E$115,$C132),SUMIFS('INPUT Growth'!AP$64:AP$115,'INPUT Growth'!$A$64:$A$115,$A$1,'INPUT Growth'!$F$64:$F$115,$B132,'INPUT Growth'!$E$64:$E$115,$C132))</f>
        <v>567.96801216393942</v>
      </c>
      <c r="U132" s="102">
        <f>IF($G$4="Water and sewer",SUMIFS('INPUT Growth'!AQ$64:AQ$115,'INPUT Growth'!$B$64:$B$115,$A$1,'INPUT Growth'!$F$64:$F$115,$B132,'INPUT Growth'!$E$64:$E$115,$C132),SUMIFS('INPUT Growth'!AQ$64:AQ$115,'INPUT Growth'!$A$64:$A$115,$A$1,'INPUT Growth'!$F$64:$F$115,$B132,'INPUT Growth'!$E$64:$E$115,$C132))</f>
        <v>574.35191014196607</v>
      </c>
      <c r="V132" s="102">
        <f>IF($G$4="Water and sewer",SUMIFS('INPUT Growth'!AR$64:AR$115,'INPUT Growth'!$B$64:$B$115,$A$1,'INPUT Growth'!$F$64:$F$115,$B132,'INPUT Growth'!$E$64:$E$115,$C132),SUMIFS('INPUT Growth'!AR$64:AR$115,'INPUT Growth'!$A$64:$A$115,$A$1,'INPUT Growth'!$F$64:$F$115,$B132,'INPUT Growth'!$E$64:$E$115,$C132))</f>
        <v>579.9306364832737</v>
      </c>
      <c r="W132" s="102">
        <f>IF($G$4="Water and sewer",SUMIFS('INPUT Growth'!AS$64:AS$115,'INPUT Growth'!$B$64:$B$115,$A$1,'INPUT Growth'!$F$64:$F$115,$B132,'INPUT Growth'!$E$64:$E$115,$C132),SUMIFS('INPUT Growth'!AS$64:AS$115,'INPUT Growth'!$A$64:$A$115,$A$1,'INPUT Growth'!$F$64:$F$115,$B132,'INPUT Growth'!$E$64:$E$115,$C132))</f>
        <v>564.49229769782687</v>
      </c>
      <c r="X132" s="102">
        <f>IF($G$4="Water and sewer",SUMIFS('INPUT Growth'!AT$64:AT$115,'INPUT Growth'!$B$64:$B$115,$A$1,'INPUT Growth'!$F$64:$F$115,$B132,'INPUT Growth'!$E$64:$E$115,$C132),SUMIFS('INPUT Growth'!AT$64:AT$115,'INPUT Growth'!$A$64:$A$115,$A$1,'INPUT Growth'!$F$64:$F$115,$B132,'INPUT Growth'!$E$64:$E$115,$C132))</f>
        <v>611.78898107289569</v>
      </c>
      <c r="Y132" s="102">
        <f>IF($G$4="Water and sewer",SUMIFS('INPUT Growth'!AU$64:AU$115,'INPUT Growth'!$B$64:$B$115,$A$1,'INPUT Growth'!$F$64:$F$115,$B132,'INPUT Growth'!$E$64:$E$115,$C132),SUMIFS('INPUT Growth'!AU$64:AU$115,'INPUT Growth'!$A$64:$A$115,$A$1,'INPUT Growth'!$F$64:$F$115,$B132,'INPUT Growth'!$E$64:$E$115,$C132))</f>
        <v>647.44148078805301</v>
      </c>
      <c r="Z132" s="102">
        <f>IF($G$4="Water and sewer",SUMIFS('INPUT Growth'!AV$64:AV$115,'INPUT Growth'!$B$64:$B$115,$A$1,'INPUT Growth'!$F$64:$F$115,$B132,'INPUT Growth'!$E$64:$E$115,$C132),SUMIFS('INPUT Growth'!AV$64:AV$115,'INPUT Growth'!$A$64:$A$115,$A$1,'INPUT Growth'!$F$64:$F$115,$B132,'INPUT Growth'!$E$64:$E$115,$C132))</f>
        <v>721.61844094030675</v>
      </c>
      <c r="AA132" s="102">
        <f>IF($G$4="Water and sewer",SUMIFS('INPUT Growth'!AW$64:AW$115,'INPUT Growth'!$B$64:$B$115,$A$1,'INPUT Growth'!$F$64:$F$115,$B132,'INPUT Growth'!$E$64:$E$115,$C132),SUMIFS('INPUT Growth'!AW$64:AW$115,'INPUT Growth'!$A$64:$A$115,$A$1,'INPUT Growth'!$F$64:$F$115,$B132,'INPUT Growth'!$E$64:$E$115,$C132))</f>
        <v>863.87338186166744</v>
      </c>
    </row>
    <row r="133" spans="1:27" x14ac:dyDescent="0.25">
      <c r="C133" s="100"/>
      <c r="D133" s="100"/>
      <c r="E133" s="47" t="s">
        <v>656</v>
      </c>
      <c r="F133" s="47" t="s">
        <v>655</v>
      </c>
      <c r="H133" s="106">
        <f>G133+H132</f>
        <v>641.33743430731556</v>
      </c>
      <c r="I133" s="106">
        <f t="shared" ref="I133:AA133" si="56">H133+I132</f>
        <v>1410.1667640177475</v>
      </c>
      <c r="J133" s="106">
        <f t="shared" si="56"/>
        <v>2101.3388407489983</v>
      </c>
      <c r="K133" s="106">
        <f t="shared" si="56"/>
        <v>2858.2804575339396</v>
      </c>
      <c r="L133" s="106">
        <f t="shared" si="56"/>
        <v>3741.9968739871547</v>
      </c>
      <c r="M133" s="106">
        <f t="shared" si="56"/>
        <v>4635.127823648043</v>
      </c>
      <c r="N133" s="106">
        <f t="shared" si="56"/>
        <v>5481.0570863953908</v>
      </c>
      <c r="O133" s="106">
        <f t="shared" si="56"/>
        <v>6212.5083220943779</v>
      </c>
      <c r="P133" s="106">
        <f t="shared" si="56"/>
        <v>6861.8635061891691</v>
      </c>
      <c r="Q133" s="106">
        <f t="shared" si="56"/>
        <v>7464.5020474493067</v>
      </c>
      <c r="R133" s="106">
        <f t="shared" si="56"/>
        <v>8088.0109824478641</v>
      </c>
      <c r="S133" s="106">
        <f t="shared" si="56"/>
        <v>8689.7906490432506</v>
      </c>
      <c r="T133" s="106">
        <f t="shared" si="56"/>
        <v>9257.75866120719</v>
      </c>
      <c r="U133" s="106">
        <f t="shared" si="56"/>
        <v>9832.1105713491561</v>
      </c>
      <c r="V133" s="106">
        <f t="shared" si="56"/>
        <v>10412.04120783243</v>
      </c>
      <c r="W133" s="106">
        <f t="shared" si="56"/>
        <v>10976.533505530257</v>
      </c>
      <c r="X133" s="106">
        <f t="shared" si="56"/>
        <v>11588.322486603152</v>
      </c>
      <c r="Y133" s="106">
        <f t="shared" si="56"/>
        <v>12235.763967391205</v>
      </c>
      <c r="Z133" s="106">
        <f t="shared" si="56"/>
        <v>12957.382408331512</v>
      </c>
      <c r="AA133" s="106">
        <f t="shared" si="56"/>
        <v>13821.25579019318</v>
      </c>
    </row>
    <row r="134" spans="1:27" x14ac:dyDescent="0.25">
      <c r="A134" s="101">
        <v>26</v>
      </c>
      <c r="C134" s="100"/>
      <c r="D134" s="100"/>
      <c r="E134" s="47" t="s">
        <v>657</v>
      </c>
      <c r="F134" s="47" t="s">
        <v>655</v>
      </c>
      <c r="G134" s="102">
        <v>1</v>
      </c>
    </row>
    <row r="135" spans="1:27" x14ac:dyDescent="0.25">
      <c r="C135" s="100"/>
      <c r="D135" s="100"/>
      <c r="E135" s="47" t="s">
        <v>658</v>
      </c>
      <c r="F135" s="47" t="s">
        <v>655</v>
      </c>
      <c r="H135" s="47">
        <f>H132*$G134</f>
        <v>641.33743430731556</v>
      </c>
      <c r="I135" s="47">
        <f t="shared" ref="I135:AA135" si="57">I132*$G134</f>
        <v>768.82932971043192</v>
      </c>
      <c r="J135" s="47">
        <f t="shared" si="57"/>
        <v>691.17207673125085</v>
      </c>
      <c r="K135" s="47">
        <f t="shared" si="57"/>
        <v>756.94161678494129</v>
      </c>
      <c r="L135" s="47">
        <f t="shared" si="57"/>
        <v>883.71641645321506</v>
      </c>
      <c r="M135" s="47">
        <f t="shared" si="57"/>
        <v>893.13094966088829</v>
      </c>
      <c r="N135" s="47">
        <f t="shared" si="57"/>
        <v>845.92926274734782</v>
      </c>
      <c r="O135" s="47">
        <f t="shared" si="57"/>
        <v>731.45123569898715</v>
      </c>
      <c r="P135" s="47">
        <f t="shared" si="57"/>
        <v>649.35518409479118</v>
      </c>
      <c r="Q135" s="47">
        <f t="shared" si="57"/>
        <v>602.63854126013757</v>
      </c>
      <c r="R135" s="47">
        <f t="shared" si="57"/>
        <v>623.50893499855738</v>
      </c>
      <c r="S135" s="47">
        <f t="shared" si="57"/>
        <v>601.77966659538652</v>
      </c>
      <c r="T135" s="47">
        <f t="shared" si="57"/>
        <v>567.96801216393942</v>
      </c>
      <c r="U135" s="47">
        <f t="shared" si="57"/>
        <v>574.35191014196607</v>
      </c>
      <c r="V135" s="47">
        <f t="shared" si="57"/>
        <v>579.9306364832737</v>
      </c>
      <c r="W135" s="47">
        <f t="shared" si="57"/>
        <v>564.49229769782687</v>
      </c>
      <c r="X135" s="47">
        <f t="shared" si="57"/>
        <v>611.78898107289569</v>
      </c>
      <c r="Y135" s="47">
        <f t="shared" si="57"/>
        <v>647.44148078805301</v>
      </c>
      <c r="Z135" s="47">
        <f t="shared" si="57"/>
        <v>721.61844094030675</v>
      </c>
      <c r="AA135" s="47">
        <f t="shared" si="57"/>
        <v>863.87338186166744</v>
      </c>
    </row>
    <row r="136" spans="1:27" x14ac:dyDescent="0.25">
      <c r="C136" s="100"/>
      <c r="D136" s="100"/>
      <c r="E136" s="47" t="s">
        <v>659</v>
      </c>
      <c r="F136" s="47" t="s">
        <v>655</v>
      </c>
      <c r="H136" s="47">
        <f>H133*$G134</f>
        <v>641.33743430731556</v>
      </c>
      <c r="I136" s="47">
        <f t="shared" ref="I136:AA136" si="58">I133*$G134</f>
        <v>1410.1667640177475</v>
      </c>
      <c r="J136" s="47">
        <f t="shared" si="58"/>
        <v>2101.3388407489983</v>
      </c>
      <c r="K136" s="47">
        <f t="shared" si="58"/>
        <v>2858.2804575339396</v>
      </c>
      <c r="L136" s="47">
        <f t="shared" si="58"/>
        <v>3741.9968739871547</v>
      </c>
      <c r="M136" s="47">
        <f t="shared" si="58"/>
        <v>4635.127823648043</v>
      </c>
      <c r="N136" s="47">
        <f t="shared" si="58"/>
        <v>5481.0570863953908</v>
      </c>
      <c r="O136" s="47">
        <f t="shared" si="58"/>
        <v>6212.5083220943779</v>
      </c>
      <c r="P136" s="47">
        <f t="shared" si="58"/>
        <v>6861.8635061891691</v>
      </c>
      <c r="Q136" s="47">
        <f t="shared" si="58"/>
        <v>7464.5020474493067</v>
      </c>
      <c r="R136" s="47">
        <f t="shared" si="58"/>
        <v>8088.0109824478641</v>
      </c>
      <c r="S136" s="47">
        <f t="shared" si="58"/>
        <v>8689.7906490432506</v>
      </c>
      <c r="T136" s="47">
        <f t="shared" si="58"/>
        <v>9257.75866120719</v>
      </c>
      <c r="U136" s="47">
        <f t="shared" si="58"/>
        <v>9832.1105713491561</v>
      </c>
      <c r="V136" s="47">
        <f t="shared" si="58"/>
        <v>10412.04120783243</v>
      </c>
      <c r="W136" s="47">
        <f t="shared" si="58"/>
        <v>10976.533505530257</v>
      </c>
      <c r="X136" s="47">
        <f t="shared" si="58"/>
        <v>11588.322486603152</v>
      </c>
      <c r="Y136" s="47">
        <f t="shared" si="58"/>
        <v>12235.763967391205</v>
      </c>
      <c r="Z136" s="47">
        <f t="shared" si="58"/>
        <v>12957.382408331512</v>
      </c>
      <c r="AA136" s="47">
        <f t="shared" si="58"/>
        <v>13821.25579019318</v>
      </c>
    </row>
    <row r="137" spans="1:27" x14ac:dyDescent="0.25">
      <c r="A137" s="101">
        <v>27</v>
      </c>
      <c r="B137" s="47" t="str">
        <f>B132</f>
        <v>Western</v>
      </c>
      <c r="C137" s="47" t="str">
        <f>C132</f>
        <v>R</v>
      </c>
      <c r="D137" s="47" t="str">
        <f>D132</f>
        <v>Water</v>
      </c>
      <c r="E137" s="47" t="s">
        <v>660</v>
      </c>
      <c r="F137" s="47" t="s">
        <v>661</v>
      </c>
      <c r="H137" s="102">
        <f>IF(OR($D137=W,$D137=WS),'INPUT Reg'!AD121,IF($D137=RW,'INPUT Reg'!AD125,0))</f>
        <v>150.8131004246452</v>
      </c>
      <c r="I137" s="102">
        <f>IF(OR($D137=W,$D137=WS),'INPUT Reg'!AE121,IF($D137=RW,'INPUT Reg'!AE125,0))</f>
        <v>149.27265598558674</v>
      </c>
      <c r="J137" s="102">
        <f>IF(OR($D137=W,$D137=WS),'INPUT Reg'!AF121,IF($D137=RW,'INPUT Reg'!AF125,0))</f>
        <v>148.88853768937167</v>
      </c>
      <c r="K137" s="102">
        <f>IF(OR($D137=W,$D137=WS),'INPUT Reg'!AG121,IF($D137=RW,'INPUT Reg'!AG125,0))</f>
        <v>148.68546175229565</v>
      </c>
      <c r="L137" s="102">
        <f>IF(OR($D137=W,$D137=WS),'INPUT Reg'!AH121,IF($D137=RW,'INPUT Reg'!AH125,0))</f>
        <v>148.00299604443001</v>
      </c>
      <c r="M137" s="102">
        <f>IF(OR($D137=W,$D137=WS),'INPUT Reg'!AI121,IF($D137=RW,'INPUT Reg'!AI125,0))</f>
        <v>147.39044968338055</v>
      </c>
      <c r="N137" s="102">
        <f>IF(OR($D137=W,$D137=WS),'INPUT Reg'!AJ121,IF($D137=RW,'INPUT Reg'!AJ125,0))</f>
        <v>146.65887160420652</v>
      </c>
      <c r="O137" s="102">
        <f>IF(OR($D137=W,$D137=WS),'INPUT Reg'!AK121,IF($D137=RW,'INPUT Reg'!AK125,0))</f>
        <v>146.20875280609891</v>
      </c>
      <c r="P137" s="102">
        <f>IF(OR($D137=W,$D137=WS),'INPUT Reg'!AL121,IF($D137=RW,'INPUT Reg'!AL125,0))</f>
        <v>145.13685322790656</v>
      </c>
      <c r="Q137" s="102">
        <f>IF(OR($D137=W,$D137=WS),'INPUT Reg'!AM121,IF($D137=RW,'INPUT Reg'!AM125,0))</f>
        <v>144.37596094683801</v>
      </c>
      <c r="R137" s="102">
        <f>IF(OR($D137=W,$D137=WS),'INPUT Reg'!AN121,IF($D137=RW,'INPUT Reg'!AN125,0))</f>
        <v>143.63593283603137</v>
      </c>
      <c r="S137" s="102">
        <f>IF(OR($D137=W,$D137=WS),'INPUT Reg'!AO121,IF($D137=RW,'INPUT Reg'!AO125,0))</f>
        <v>143.20256386257466</v>
      </c>
      <c r="T137" s="102">
        <f>IF(OR($D137=W,$D137=WS),'INPUT Reg'!AP121,IF($D137=RW,'INPUT Reg'!AP125,0))</f>
        <v>142.20398195315397</v>
      </c>
      <c r="U137" s="102">
        <f>IF(OR($D137=W,$D137=WS),'INPUT Reg'!AQ121,IF($D137=RW,'INPUT Reg'!AQ125,0))</f>
        <v>141.53353009691222</v>
      </c>
      <c r="V137" s="102">
        <f>IF(OR($D137=W,$D137=WS),'INPUT Reg'!AR121,IF($D137=RW,'INPUT Reg'!AR125,0))</f>
        <v>140.92450771160904</v>
      </c>
      <c r="W137" s="102">
        <f>IF(OR($D137=W,$D137=WS),'INPUT Reg'!AS121,IF($D137=RW,'INPUT Reg'!AS125,0))</f>
        <v>140.65986022385155</v>
      </c>
      <c r="X137" s="102">
        <f>IF(OR($D137=W,$D137=WS),'INPUT Reg'!AT121,IF($D137=RW,'INPUT Reg'!AT125,0))</f>
        <v>139.4281786131647</v>
      </c>
      <c r="Y137" s="102">
        <f>IF(OR($D137=W,$D137=WS),'INPUT Reg'!AU121,IF($D137=RW,'INPUT Reg'!AU125,0))</f>
        <v>138.89159006550341</v>
      </c>
      <c r="Z137" s="102">
        <f>IF(OR($D137=W,$D137=WS),'INPUT Reg'!AV121,IF($D137=RW,'INPUT Reg'!AV125,0))</f>
        <v>138.38242984277764</v>
      </c>
      <c r="AA137" s="102">
        <f>IF(OR($D137=W,$D137=WS),'INPUT Reg'!AW121,IF($D137=RW,'INPUT Reg'!AW125,0))</f>
        <v>138.38242984277764</v>
      </c>
    </row>
    <row r="138" spans="1:27" x14ac:dyDescent="0.25">
      <c r="B138" s="47" t="str">
        <f>B132</f>
        <v>Western</v>
      </c>
      <c r="C138" s="47" t="str">
        <f t="shared" ref="C138:D138" si="59">C132</f>
        <v>R</v>
      </c>
      <c r="D138" s="47" t="str">
        <f t="shared" si="59"/>
        <v>Water</v>
      </c>
      <c r="E138" s="47" t="s">
        <v>662</v>
      </c>
      <c r="F138" s="47" t="s">
        <v>661</v>
      </c>
      <c r="H138" s="102">
        <f>IF(OR($D138=W,$D138=WS),'INPUT Reg'!AD122,0)</f>
        <v>6.9069868847918272</v>
      </c>
      <c r="I138" s="102">
        <f>IF(OR($D138=W,$D138=WS),'INPUT Reg'!AE122,0)</f>
        <v>5.0164414368564536</v>
      </c>
      <c r="J138" s="102">
        <f>IF(OR($D138=W,$D138=WS),'INPUT Reg'!AF122,0)</f>
        <v>4.5450235278652187</v>
      </c>
      <c r="K138" s="102">
        <f>IF(OR($D138=W,$D138=WS),'INPUT Reg'!AG122,0)</f>
        <v>4.2957939687264712</v>
      </c>
      <c r="L138" s="102">
        <f>IF(OR($D138=W,$D138=WS),'INPUT Reg'!AH122,0)</f>
        <v>3.4582224181640981</v>
      </c>
      <c r="M138" s="102">
        <f>IF(OR($D138=W,$D138=WS),'INPUT Reg'!AI122,0)</f>
        <v>2.9561798733522124</v>
      </c>
      <c r="N138" s="102">
        <f>IF(OR($D138=W,$D138=WS),'INPUT Reg'!AJ122,0)</f>
        <v>2.6635486416826026</v>
      </c>
      <c r="O138" s="102">
        <f>IF(OR($D138=W,$D138=WS),'INPUT Reg'!AK122,0)</f>
        <v>2.48350112243957</v>
      </c>
      <c r="P138" s="102">
        <f>IF(OR($D138=W,$D138=WS),'INPUT Reg'!AL122,0)</f>
        <v>2.0547412911626211</v>
      </c>
      <c r="Q138" s="102">
        <f>IF(OR($D138=W,$D138=WS),'INPUT Reg'!AM122,0)</f>
        <v>1.7503843787351911</v>
      </c>
      <c r="R138" s="102">
        <f>IF(OR($D138=W,$D138=WS),'INPUT Reg'!AN122,0)</f>
        <v>1.4543731344125419</v>
      </c>
      <c r="S138" s="102">
        <f>IF(OR($D138=W,$D138=WS),'INPUT Reg'!AO122,0)</f>
        <v>1.2810255450298698</v>
      </c>
      <c r="T138" s="102">
        <f>IF(OR($D138=W,$D138=WS),'INPUT Reg'!AP122,0)</f>
        <v>0.88159278126158824</v>
      </c>
      <c r="U138" s="102">
        <f>IF(OR($D138=W,$D138=WS),'INPUT Reg'!AQ122,0)</f>
        <v>0.61341203876487782</v>
      </c>
      <c r="V138" s="102">
        <f>IF(OR($D138=W,$D138=WS),'INPUT Reg'!AR122,0)</f>
        <v>0.369803084643614</v>
      </c>
      <c r="W138" s="102">
        <f>IF(OR($D138=W,$D138=WS),'INPUT Reg'!AS122,0)</f>
        <v>0.26394408954062243</v>
      </c>
      <c r="X138" s="102">
        <f>IF(OR($D138=W,$D138=WS),'INPUT Reg'!AT122,0)</f>
        <v>0</v>
      </c>
      <c r="Y138" s="102">
        <f>IF(OR($D138=W,$D138=WS),'INPUT Reg'!AU122,0)</f>
        <v>0</v>
      </c>
      <c r="Z138" s="102">
        <f>IF(OR($D138=W,$D138=WS),'INPUT Reg'!AV122,0)</f>
        <v>0</v>
      </c>
      <c r="AA138" s="102">
        <f>IF(OR($D138=W,$D138=WS),'INPUT Reg'!AW122,0)</f>
        <v>0</v>
      </c>
    </row>
    <row r="139" spans="1:27" x14ac:dyDescent="0.25">
      <c r="A139" s="101">
        <v>28</v>
      </c>
      <c r="B139" s="47" t="str">
        <f>B132</f>
        <v>Western</v>
      </c>
      <c r="C139" s="47" t="str">
        <f t="shared" ref="C139:D139" si="60">C132</f>
        <v>R</v>
      </c>
      <c r="D139" s="47" t="str">
        <f t="shared" si="60"/>
        <v>Water</v>
      </c>
      <c r="E139" s="47" t="s">
        <v>663</v>
      </c>
      <c r="F139" s="47" t="s">
        <v>661</v>
      </c>
      <c r="H139" s="102">
        <f>IF(OR($D139=S,$D139=WS),'INPUT Reg'!AD124,0)</f>
        <v>0</v>
      </c>
      <c r="I139" s="102">
        <f>IF(OR($D139=S,$D139=WS),'INPUT Reg'!AE124,0)</f>
        <v>0</v>
      </c>
      <c r="J139" s="102">
        <f>IF(OR($D139=S,$D139=WS),'INPUT Reg'!AF124,0)</f>
        <v>0</v>
      </c>
      <c r="K139" s="102">
        <f>IF(OR($D139=S,$D139=WS),'INPUT Reg'!AG124,0)</f>
        <v>0</v>
      </c>
      <c r="L139" s="102">
        <f>IF(OR($D139=S,$D139=WS),'INPUT Reg'!AH124,0)</f>
        <v>0</v>
      </c>
      <c r="M139" s="102">
        <f>IF(OR($D139=S,$D139=WS),'INPUT Reg'!AI124,0)</f>
        <v>0</v>
      </c>
      <c r="N139" s="102">
        <f>IF(OR($D139=S,$D139=WS),'INPUT Reg'!AJ124,0)</f>
        <v>0</v>
      </c>
      <c r="O139" s="102">
        <f>IF(OR($D139=S,$D139=WS),'INPUT Reg'!AK124,0)</f>
        <v>0</v>
      </c>
      <c r="P139" s="102">
        <f>IF(OR($D139=S,$D139=WS),'INPUT Reg'!AL124,0)</f>
        <v>0</v>
      </c>
      <c r="Q139" s="102">
        <f>IF(OR($D139=S,$D139=WS),'INPUT Reg'!AM124,0)</f>
        <v>0</v>
      </c>
      <c r="R139" s="102">
        <f>IF(OR($D139=S,$D139=WS),'INPUT Reg'!AN124,0)</f>
        <v>0</v>
      </c>
      <c r="S139" s="102">
        <f>IF(OR($D139=S,$D139=WS),'INPUT Reg'!AO124,0)</f>
        <v>0</v>
      </c>
      <c r="T139" s="102">
        <f>IF(OR($D139=S,$D139=WS),'INPUT Reg'!AP124,0)</f>
        <v>0</v>
      </c>
      <c r="U139" s="102">
        <f>IF(OR($D139=S,$D139=WS),'INPUT Reg'!AQ124,0)</f>
        <v>0</v>
      </c>
      <c r="V139" s="102">
        <f>IF(OR($D139=S,$D139=WS),'INPUT Reg'!AR124,0)</f>
        <v>0</v>
      </c>
      <c r="W139" s="102">
        <f>IF(OR($D139=S,$D139=WS),'INPUT Reg'!AS124,0)</f>
        <v>0</v>
      </c>
      <c r="X139" s="102">
        <f>IF(OR($D139=S,$D139=WS),'INPUT Reg'!AT124,0)</f>
        <v>0</v>
      </c>
      <c r="Y139" s="102">
        <f>IF(OR($D139=S,$D139=WS),'INPUT Reg'!AU124,0)</f>
        <v>0</v>
      </c>
      <c r="Z139" s="102">
        <f>IF(OR($D139=S,$D139=WS),'INPUT Reg'!AV124,0)</f>
        <v>0</v>
      </c>
      <c r="AA139" s="102">
        <f>IF(OR($D139=S,$D139=WS),'INPUT Reg'!AW124,0)</f>
        <v>0</v>
      </c>
    </row>
    <row r="140" spans="1:27" x14ac:dyDescent="0.25">
      <c r="C140" s="100"/>
      <c r="D140" s="100"/>
      <c r="E140" s="47" t="s">
        <v>664</v>
      </c>
      <c r="F140" s="47" t="s">
        <v>665</v>
      </c>
      <c r="H140" s="106">
        <f>H133*H137</f>
        <v>96722.086886273479</v>
      </c>
      <c r="I140" s="106">
        <f t="shared" ref="I140:AA140" si="61">I133*I137</f>
        <v>210499.33824752929</v>
      </c>
      <c r="J140" s="106">
        <f t="shared" si="61"/>
        <v>312865.26718899782</v>
      </c>
      <c r="K140" s="106">
        <f t="shared" si="61"/>
        <v>424984.74964599672</v>
      </c>
      <c r="L140" s="106">
        <f t="shared" si="61"/>
        <v>553826.74853899027</v>
      </c>
      <c r="M140" s="106">
        <f t="shared" si="61"/>
        <v>683173.57426743407</v>
      </c>
      <c r="N140" s="106">
        <f t="shared" si="61"/>
        <v>803845.64748898789</v>
      </c>
      <c r="O140" s="106">
        <f t="shared" si="61"/>
        <v>908323.09357092925</v>
      </c>
      <c r="P140" s="106">
        <f t="shared" si="61"/>
        <v>995909.27656770567</v>
      </c>
      <c r="Q140" s="106">
        <f t="shared" si="61"/>
        <v>1077694.6560901334</v>
      </c>
      <c r="R140" s="106">
        <f t="shared" si="61"/>
        <v>1161729.0022519655</v>
      </c>
      <c r="S140" s="106">
        <f t="shared" si="61"/>
        <v>1244400.3003720203</v>
      </c>
      <c r="T140" s="106">
        <f t="shared" si="61"/>
        <v>1316490.1455849621</v>
      </c>
      <c r="U140" s="106">
        <f t="shared" si="61"/>
        <v>1391573.3174662145</v>
      </c>
      <c r="V140" s="106">
        <f t="shared" si="61"/>
        <v>1467311.7814867722</v>
      </c>
      <c r="W140" s="106">
        <f t="shared" si="61"/>
        <v>1543957.6686303092</v>
      </c>
      <c r="X140" s="106">
        <f t="shared" si="61"/>
        <v>1615738.6974890572</v>
      </c>
      <c r="Y140" s="106">
        <f t="shared" si="61"/>
        <v>1699444.713097157</v>
      </c>
      <c r="Z140" s="106">
        <f t="shared" si="61"/>
        <v>1793074.0620669767</v>
      </c>
      <c r="AA140" s="106">
        <f t="shared" si="61"/>
        <v>1912618.9597254919</v>
      </c>
    </row>
    <row r="141" spans="1:27" x14ac:dyDescent="0.25">
      <c r="C141" s="100"/>
      <c r="D141" s="100"/>
      <c r="E141" s="47" t="s">
        <v>666</v>
      </c>
      <c r="F141" s="47" t="s">
        <v>665</v>
      </c>
      <c r="H141" s="106">
        <f>H133*H138</f>
        <v>4429.7092474866686</v>
      </c>
      <c r="I141" s="106">
        <f t="shared" ref="I141:AA141" si="62">I133*I138</f>
        <v>7074.0189878964047</v>
      </c>
      <c r="J141" s="106">
        <f t="shared" si="62"/>
        <v>9550.6344712212212</v>
      </c>
      <c r="K141" s="106">
        <f t="shared" si="62"/>
        <v>12278.583950403037</v>
      </c>
      <c r="L141" s="106">
        <f t="shared" si="62"/>
        <v>12940.657478322355</v>
      </c>
      <c r="M141" s="106">
        <f t="shared" si="62"/>
        <v>13702.271582683188</v>
      </c>
      <c r="N141" s="106">
        <f t="shared" si="62"/>
        <v>14599.062157453247</v>
      </c>
      <c r="O141" s="106">
        <f t="shared" si="62"/>
        <v>15428.771391086557</v>
      </c>
      <c r="P141" s="106">
        <f t="shared" si="62"/>
        <v>14099.354280488804</v>
      </c>
      <c r="Q141" s="106">
        <f t="shared" si="62"/>
        <v>13065.747778892117</v>
      </c>
      <c r="R141" s="106">
        <f t="shared" si="62"/>
        <v>11762.985883705762</v>
      </c>
      <c r="S141" s="106">
        <f t="shared" si="62"/>
        <v>11131.843802386096</v>
      </c>
      <c r="T141" s="106">
        <f t="shared" si="62"/>
        <v>8161.5732063822043</v>
      </c>
      <c r="U141" s="106">
        <f t="shared" si="62"/>
        <v>6031.1349909329938</v>
      </c>
      <c r="V141" s="106">
        <f t="shared" si="62"/>
        <v>3850.4049560928529</v>
      </c>
      <c r="W141" s="106">
        <f t="shared" si="62"/>
        <v>2897.1911424293203</v>
      </c>
      <c r="X141" s="106">
        <f t="shared" si="62"/>
        <v>0</v>
      </c>
      <c r="Y141" s="106">
        <f t="shared" si="62"/>
        <v>0</v>
      </c>
      <c r="Z141" s="106">
        <f t="shared" si="62"/>
        <v>0</v>
      </c>
      <c r="AA141" s="106">
        <f t="shared" si="62"/>
        <v>0</v>
      </c>
    </row>
    <row r="142" spans="1:27" x14ac:dyDescent="0.25">
      <c r="C142" s="100"/>
      <c r="D142" s="100"/>
      <c r="E142" s="47" t="s">
        <v>667</v>
      </c>
      <c r="F142" s="47" t="s">
        <v>665</v>
      </c>
      <c r="H142" s="106">
        <f>H133*H139</f>
        <v>0</v>
      </c>
      <c r="I142" s="106">
        <f t="shared" ref="I142:AA142" si="63">I133*I139</f>
        <v>0</v>
      </c>
      <c r="J142" s="106">
        <f t="shared" si="63"/>
        <v>0</v>
      </c>
      <c r="K142" s="106">
        <f t="shared" si="63"/>
        <v>0</v>
      </c>
      <c r="L142" s="106">
        <f t="shared" si="63"/>
        <v>0</v>
      </c>
      <c r="M142" s="106">
        <f t="shared" si="63"/>
        <v>0</v>
      </c>
      <c r="N142" s="106">
        <f t="shared" si="63"/>
        <v>0</v>
      </c>
      <c r="O142" s="106">
        <f t="shared" si="63"/>
        <v>0</v>
      </c>
      <c r="P142" s="106">
        <f t="shared" si="63"/>
        <v>0</v>
      </c>
      <c r="Q142" s="106">
        <f t="shared" si="63"/>
        <v>0</v>
      </c>
      <c r="R142" s="106">
        <f t="shared" si="63"/>
        <v>0</v>
      </c>
      <c r="S142" s="106">
        <f t="shared" si="63"/>
        <v>0</v>
      </c>
      <c r="T142" s="106">
        <f t="shared" si="63"/>
        <v>0</v>
      </c>
      <c r="U142" s="106">
        <f t="shared" si="63"/>
        <v>0</v>
      </c>
      <c r="V142" s="106">
        <f t="shared" si="63"/>
        <v>0</v>
      </c>
      <c r="W142" s="106">
        <f t="shared" si="63"/>
        <v>0</v>
      </c>
      <c r="X142" s="106">
        <f t="shared" si="63"/>
        <v>0</v>
      </c>
      <c r="Y142" s="106">
        <f t="shared" si="63"/>
        <v>0</v>
      </c>
      <c r="Z142" s="106">
        <f t="shared" si="63"/>
        <v>0</v>
      </c>
      <c r="AA142" s="106">
        <f t="shared" si="63"/>
        <v>0</v>
      </c>
    </row>
    <row r="143" spans="1:27" x14ac:dyDescent="0.25">
      <c r="A143" s="101">
        <v>29</v>
      </c>
      <c r="B143" s="47" t="str">
        <f>B137</f>
        <v>Western</v>
      </c>
      <c r="C143" s="47" t="str">
        <f t="shared" ref="C143:D143" si="64">C137</f>
        <v>R</v>
      </c>
      <c r="D143" s="47" t="str">
        <f t="shared" si="64"/>
        <v>Water</v>
      </c>
      <c r="E143" s="47" t="s">
        <v>668</v>
      </c>
      <c r="F143" s="47" t="s">
        <v>633</v>
      </c>
      <c r="H143" s="105">
        <f>SUMIFS('INPUT Reg'!AD$94:AD$109,'INPUT Reg'!$D$94:$D$109,$D143,'INPUT Reg'!$C$94:$C$109,$C143,'INPUT Reg'!$B$94:$B$109,$B143)</f>
        <v>2.2388561062879342E-2</v>
      </c>
      <c r="I143" s="105">
        <f>SUMIFS('INPUT Reg'!AE$94:AE$109,'INPUT Reg'!$D$94:$D$109,$D143,'INPUT Reg'!$C$94:$C$109,$C143,'INPUT Reg'!$B$94:$B$109,$B143)</f>
        <v>1.1472169333581084E-2</v>
      </c>
      <c r="J143" s="105">
        <f>SUMIFS('INPUT Reg'!AF$94:AF$109,'INPUT Reg'!$D$94:$D$109,$D143,'INPUT Reg'!$C$94:$C$109,$C143,'INPUT Reg'!$B$94:$B$109,$B143)</f>
        <v>1.1342051399337638E-2</v>
      </c>
      <c r="K143" s="105">
        <f>SUMIFS('INPUT Reg'!AG$94:AG$109,'INPUT Reg'!$D$94:$D$109,$D143,'INPUT Reg'!$C$94:$C$109,$C143,'INPUT Reg'!$B$94:$B$109,$B143)</f>
        <v>1.1214851971837136E-2</v>
      </c>
      <c r="L143" s="105">
        <f>SUMIFS('INPUT Reg'!AH$94:AH$109,'INPUT Reg'!$D$94:$D$109,$D143,'INPUT Reg'!$C$94:$C$109,$C143,'INPUT Reg'!$B$94:$B$109,$B143)</f>
        <v>1.164834600476583E-2</v>
      </c>
      <c r="M143" s="105">
        <f>SUMIFS('INPUT Reg'!AI$94:AI$109,'INPUT Reg'!$D$94:$D$109,$D143,'INPUT Reg'!$C$94:$C$109,$C143,'INPUT Reg'!$B$94:$B$109,$B143)</f>
        <v>1.1514224335726908E-2</v>
      </c>
      <c r="N143" s="105">
        <f>SUMIFS('INPUT Reg'!AJ$94:AJ$109,'INPUT Reg'!$D$94:$D$109,$D143,'INPUT Reg'!$C$94:$C$109,$C143,'INPUT Reg'!$B$94:$B$109,$B143)</f>
        <v>1.1383156122483751E-2</v>
      </c>
      <c r="O143" s="105">
        <f>SUMIFS('INPUT Reg'!AK$94:AK$109,'INPUT Reg'!$D$94:$D$109,$D143,'INPUT Reg'!$C$94:$C$109,$C143,'INPUT Reg'!$B$94:$B$109,$B143)</f>
        <v>1.1255038264751827E-2</v>
      </c>
      <c r="P143" s="105">
        <f>SUMIFS('INPUT Reg'!AL$94:AL$109,'INPUT Reg'!$D$94:$D$109,$D143,'INPUT Reg'!$C$94:$C$109,$C143,'INPUT Reg'!$B$94:$B$109,$B143)</f>
        <v>1.1129772252175485E-2</v>
      </c>
      <c r="Q143" s="105">
        <f>SUMIFS('INPUT Reg'!AM$94:AM$109,'INPUT Reg'!$D$94:$D$109,$D143,'INPUT Reg'!$C$94:$C$109,$C143,'INPUT Reg'!$B$94:$B$109,$B143)</f>
        <v>1.3115939238830032E-2</v>
      </c>
      <c r="R143" s="105">
        <f>SUMIFS('INPUT Reg'!AN$94:AN$109,'INPUT Reg'!$D$94:$D$109,$D143,'INPUT Reg'!$C$94:$C$109,$C143,'INPUT Reg'!$B$94:$B$109,$B143)</f>
        <v>0</v>
      </c>
      <c r="S143" s="105">
        <f>SUMIFS('INPUT Reg'!AO$94:AO$109,'INPUT Reg'!$D$94:$D$109,$D143,'INPUT Reg'!$C$94:$C$109,$C143,'INPUT Reg'!$B$94:$B$109,$B143)</f>
        <v>0</v>
      </c>
      <c r="T143" s="105">
        <f>SUMIFS('INPUT Reg'!AP$94:AP$109,'INPUT Reg'!$D$94:$D$109,$D143,'INPUT Reg'!$C$94:$C$109,$C143,'INPUT Reg'!$B$94:$B$109,$B143)</f>
        <v>0</v>
      </c>
      <c r="U143" s="105">
        <f>SUMIFS('INPUT Reg'!AQ$94:AQ$109,'INPUT Reg'!$D$94:$D$109,$D143,'INPUT Reg'!$C$94:$C$109,$C143,'INPUT Reg'!$B$94:$B$109,$B143)</f>
        <v>0</v>
      </c>
      <c r="V143" s="105">
        <f>SUMIFS('INPUT Reg'!AR$94:AR$109,'INPUT Reg'!$D$94:$D$109,$D143,'INPUT Reg'!$C$94:$C$109,$C143,'INPUT Reg'!$B$94:$B$109,$B143)</f>
        <v>-7.5007761969994813E-2</v>
      </c>
      <c r="W143" s="105">
        <f>SUMIFS('INPUT Reg'!AS$94:AS$109,'INPUT Reg'!$D$94:$D$109,$D143,'INPUT Reg'!$C$94:$C$109,$C143,'INPUT Reg'!$B$94:$B$109,$B143)</f>
        <v>0</v>
      </c>
      <c r="X143" s="105">
        <f>SUMIFS('INPUT Reg'!AT$94:AT$109,'INPUT Reg'!$D$94:$D$109,$D143,'INPUT Reg'!$C$94:$C$109,$C143,'INPUT Reg'!$B$94:$B$109,$B143)</f>
        <v>0</v>
      </c>
      <c r="Y143" s="105">
        <f>SUMIFS('INPUT Reg'!AU$94:AU$109,'INPUT Reg'!$D$94:$D$109,$D143,'INPUT Reg'!$C$94:$C$109,$C143,'INPUT Reg'!$B$94:$B$109,$B143)</f>
        <v>0</v>
      </c>
      <c r="Z143" s="105">
        <f>SUMIFS('INPUT Reg'!AV$94:AV$109,'INPUT Reg'!$D$94:$D$109,$D143,'INPUT Reg'!$C$94:$C$109,$C143,'INPUT Reg'!$B$94:$B$109,$B143)</f>
        <v>0</v>
      </c>
      <c r="AA143" s="105">
        <f>SUMIFS('INPUT Reg'!AW$94:AW$109,'INPUT Reg'!$D$94:$D$109,$D143,'INPUT Reg'!$C$94:$C$109,$C143,'INPUT Reg'!$B$94:$B$109,$B143)</f>
        <v>0</v>
      </c>
    </row>
    <row r="144" spans="1:27" x14ac:dyDescent="0.25">
      <c r="A144" s="101">
        <v>30</v>
      </c>
      <c r="B144" s="47" t="str">
        <f>B132</f>
        <v>Western</v>
      </c>
      <c r="C144" s="47" t="str">
        <f t="shared" ref="C144:D144" si="65">C132</f>
        <v>R</v>
      </c>
      <c r="D144" s="47" t="str">
        <f t="shared" si="65"/>
        <v>Water</v>
      </c>
      <c r="E144" s="47" t="s">
        <v>669</v>
      </c>
      <c r="F144" s="47" t="s">
        <v>670</v>
      </c>
      <c r="G144" s="108">
        <f>IF(D144=W,WW_R_W_N,IF(D144=S,WW_R_S_N,IF(D144=WS,WW_R_W_N+WW_R_S_N,WW_R_R_N)))</f>
        <v>206.37100000000001</v>
      </c>
      <c r="H144" s="106">
        <f>G144*(1+$G$14)*(1+H143)</f>
        <v>210.99134973510749</v>
      </c>
      <c r="I144" s="106">
        <f t="shared" ref="I144:AA144" si="66">H144*(1+$G$14)*(1+I143)</f>
        <v>213.41187822718948</v>
      </c>
      <c r="J144" s="106">
        <f t="shared" si="66"/>
        <v>215.83240671927143</v>
      </c>
      <c r="K144" s="106">
        <f t="shared" si="66"/>
        <v>218.25293521135342</v>
      </c>
      <c r="L144" s="106">
        <f t="shared" si="66"/>
        <v>220.79522091725102</v>
      </c>
      <c r="M144" s="106">
        <f t="shared" si="66"/>
        <v>223.33750662314861</v>
      </c>
      <c r="N144" s="106">
        <f t="shared" si="66"/>
        <v>225.87979232904615</v>
      </c>
      <c r="O144" s="106">
        <f t="shared" si="66"/>
        <v>228.42207803494375</v>
      </c>
      <c r="P144" s="106">
        <f t="shared" si="66"/>
        <v>230.96436374084132</v>
      </c>
      <c r="Q144" s="106">
        <f t="shared" si="66"/>
        <v>233.99367830200123</v>
      </c>
      <c r="R144" s="106">
        <f t="shared" si="66"/>
        <v>233.99367830200123</v>
      </c>
      <c r="S144" s="106">
        <f t="shared" si="66"/>
        <v>233.99367830200123</v>
      </c>
      <c r="T144" s="106">
        <f t="shared" si="66"/>
        <v>233.99367830200123</v>
      </c>
      <c r="U144" s="106">
        <f t="shared" si="66"/>
        <v>233.99367830200123</v>
      </c>
      <c r="V144" s="106">
        <f t="shared" si="66"/>
        <v>216.44233617744118</v>
      </c>
      <c r="W144" s="106">
        <f t="shared" si="66"/>
        <v>216.44233617744118</v>
      </c>
      <c r="X144" s="106">
        <f t="shared" si="66"/>
        <v>216.44233617744118</v>
      </c>
      <c r="Y144" s="106">
        <f t="shared" si="66"/>
        <v>216.44233617744118</v>
      </c>
      <c r="Z144" s="106">
        <f t="shared" si="66"/>
        <v>216.44233617744118</v>
      </c>
      <c r="AA144" s="106">
        <f t="shared" si="66"/>
        <v>216.44233617744118</v>
      </c>
    </row>
    <row r="145" spans="1:27" x14ac:dyDescent="0.25">
      <c r="B145" s="47" t="str">
        <f>B132</f>
        <v>Western</v>
      </c>
      <c r="C145" s="47" t="str">
        <f t="shared" ref="C145:D145" si="67">C132</f>
        <v>R</v>
      </c>
      <c r="D145" s="47" t="str">
        <f t="shared" si="67"/>
        <v>Water</v>
      </c>
      <c r="E145" s="47" t="s">
        <v>671</v>
      </c>
      <c r="F145" s="47" t="s">
        <v>672</v>
      </c>
      <c r="G145" s="109">
        <f>IF(OR(D145=W,D145=WS),WW_T1,IF(D145=RW,WW_R_R_V,0))</f>
        <v>2.3071000000000002</v>
      </c>
      <c r="H145" s="110">
        <f>G145*(1+$G$14)*(1+H143)</f>
        <v>2.358752649228169</v>
      </c>
      <c r="I145" s="110">
        <f t="shared" ref="I145:AA145" si="68">H145*(1+$G$14)*(1+I143)</f>
        <v>2.3858126590361475</v>
      </c>
      <c r="J145" s="110">
        <f t="shared" si="68"/>
        <v>2.412872668844126</v>
      </c>
      <c r="K145" s="110">
        <f t="shared" si="68"/>
        <v>2.4399326786521045</v>
      </c>
      <c r="L145" s="110">
        <f t="shared" si="68"/>
        <v>2.4683538587213794</v>
      </c>
      <c r="M145" s="110">
        <f t="shared" si="68"/>
        <v>2.4967750387906547</v>
      </c>
      <c r="N145" s="110">
        <f t="shared" si="68"/>
        <v>2.5251962188599291</v>
      </c>
      <c r="O145" s="110">
        <f t="shared" si="68"/>
        <v>2.5536173989292044</v>
      </c>
      <c r="P145" s="110">
        <f t="shared" si="68"/>
        <v>2.5820385789984792</v>
      </c>
      <c r="Q145" s="110">
        <f t="shared" si="68"/>
        <v>2.6159044401129381</v>
      </c>
      <c r="R145" s="110">
        <f t="shared" si="68"/>
        <v>2.6159044401129381</v>
      </c>
      <c r="S145" s="110">
        <f t="shared" si="68"/>
        <v>2.6159044401129381</v>
      </c>
      <c r="T145" s="110">
        <f t="shared" si="68"/>
        <v>2.6159044401129381</v>
      </c>
      <c r="U145" s="110">
        <f t="shared" si="68"/>
        <v>2.6159044401129381</v>
      </c>
      <c r="V145" s="110">
        <f t="shared" si="68"/>
        <v>2.4196913025326943</v>
      </c>
      <c r="W145" s="110">
        <f t="shared" si="68"/>
        <v>2.4196913025326943</v>
      </c>
      <c r="X145" s="110">
        <f t="shared" si="68"/>
        <v>2.4196913025326943</v>
      </c>
      <c r="Y145" s="110">
        <f t="shared" si="68"/>
        <v>2.4196913025326943</v>
      </c>
      <c r="Z145" s="110">
        <f t="shared" si="68"/>
        <v>2.4196913025326943</v>
      </c>
      <c r="AA145" s="110">
        <f t="shared" si="68"/>
        <v>2.4196913025326943</v>
      </c>
    </row>
    <row r="146" spans="1:27" x14ac:dyDescent="0.25">
      <c r="B146" s="47" t="str">
        <f>B132</f>
        <v>Western</v>
      </c>
      <c r="C146" s="47" t="str">
        <f t="shared" ref="C146:D146" si="69">C132</f>
        <v>R</v>
      </c>
      <c r="D146" s="47" t="str">
        <f t="shared" si="69"/>
        <v>Water</v>
      </c>
      <c r="E146" s="47" t="s">
        <v>673</v>
      </c>
      <c r="F146" s="47" t="s">
        <v>672</v>
      </c>
      <c r="G146" s="109">
        <f>IF(OR(D146=W,D146=WS),WW_T2,0)</f>
        <v>3.0611000000000002</v>
      </c>
      <c r="H146" s="110">
        <f>G146*(1+$G$14)*(1+H143)</f>
        <v>3.1296336242695801</v>
      </c>
      <c r="I146" s="110">
        <f t="shared" ref="I146:AA146" si="70">H146*(1+$G$14)*(1+I143)</f>
        <v>3.16553731115927</v>
      </c>
      <c r="J146" s="110">
        <f t="shared" si="70"/>
        <v>3.2014409980489593</v>
      </c>
      <c r="K146" s="110">
        <f t="shared" si="70"/>
        <v>3.2373446849386491</v>
      </c>
      <c r="L146" s="110">
        <f t="shared" si="70"/>
        <v>3.2750543959655043</v>
      </c>
      <c r="M146" s="110">
        <f t="shared" si="70"/>
        <v>3.3127641069923599</v>
      </c>
      <c r="N146" s="110">
        <f t="shared" si="70"/>
        <v>3.3504738180192142</v>
      </c>
      <c r="O146" s="110">
        <f t="shared" si="70"/>
        <v>3.3881835290460698</v>
      </c>
      <c r="P146" s="110">
        <f t="shared" si="70"/>
        <v>3.425893240072925</v>
      </c>
      <c r="Q146" s="110">
        <f t="shared" si="70"/>
        <v>3.4708270476484402</v>
      </c>
      <c r="R146" s="110">
        <f t="shared" si="70"/>
        <v>3.4708270476484402</v>
      </c>
      <c r="S146" s="110">
        <f t="shared" si="70"/>
        <v>3.4708270476484402</v>
      </c>
      <c r="T146" s="110">
        <f t="shared" si="70"/>
        <v>3.4708270476484402</v>
      </c>
      <c r="U146" s="110">
        <f t="shared" si="70"/>
        <v>3.4708270476484402</v>
      </c>
      <c r="V146" s="110">
        <f t="shared" si="70"/>
        <v>3.2104880786194063</v>
      </c>
      <c r="W146" s="110">
        <f t="shared" si="70"/>
        <v>3.2104880786194063</v>
      </c>
      <c r="X146" s="110">
        <f t="shared" si="70"/>
        <v>3.2104880786194063</v>
      </c>
      <c r="Y146" s="110">
        <f t="shared" si="70"/>
        <v>3.2104880786194063</v>
      </c>
      <c r="Z146" s="110">
        <f t="shared" si="70"/>
        <v>3.2104880786194063</v>
      </c>
      <c r="AA146" s="110">
        <f t="shared" si="70"/>
        <v>3.2104880786194063</v>
      </c>
    </row>
    <row r="147" spans="1:27" x14ac:dyDescent="0.25">
      <c r="B147" s="47" t="str">
        <f>B132</f>
        <v>Western</v>
      </c>
      <c r="C147" s="47" t="str">
        <f t="shared" ref="C147:D147" si="71">C132</f>
        <v>R</v>
      </c>
      <c r="D147" s="47" t="str">
        <f t="shared" si="71"/>
        <v>Water</v>
      </c>
      <c r="E147" s="47" t="s">
        <v>674</v>
      </c>
      <c r="F147" s="47" t="s">
        <v>672</v>
      </c>
      <c r="G147" s="109">
        <f>IF(OR(D147=S,D147=WS), WW_R_SDC,0)</f>
        <v>0</v>
      </c>
      <c r="H147" s="110">
        <f>G147*(1+$G$14)*(1+H143)</f>
        <v>0</v>
      </c>
      <c r="I147" s="110">
        <f t="shared" ref="I147:AA147" si="72">H147*(1+$G$14)*(1+I143)</f>
        <v>0</v>
      </c>
      <c r="J147" s="110">
        <f t="shared" si="72"/>
        <v>0</v>
      </c>
      <c r="K147" s="110">
        <f t="shared" si="72"/>
        <v>0</v>
      </c>
      <c r="L147" s="110">
        <f t="shared" si="72"/>
        <v>0</v>
      </c>
      <c r="M147" s="110">
        <f t="shared" si="72"/>
        <v>0</v>
      </c>
      <c r="N147" s="110">
        <f t="shared" si="72"/>
        <v>0</v>
      </c>
      <c r="O147" s="110">
        <f t="shared" si="72"/>
        <v>0</v>
      </c>
      <c r="P147" s="110">
        <f t="shared" si="72"/>
        <v>0</v>
      </c>
      <c r="Q147" s="110">
        <f t="shared" si="72"/>
        <v>0</v>
      </c>
      <c r="R147" s="110">
        <f t="shared" si="72"/>
        <v>0</v>
      </c>
      <c r="S147" s="110">
        <f t="shared" si="72"/>
        <v>0</v>
      </c>
      <c r="T147" s="110">
        <f t="shared" si="72"/>
        <v>0</v>
      </c>
      <c r="U147" s="110">
        <f t="shared" si="72"/>
        <v>0</v>
      </c>
      <c r="V147" s="110">
        <f t="shared" si="72"/>
        <v>0</v>
      </c>
      <c r="W147" s="110">
        <f t="shared" si="72"/>
        <v>0</v>
      </c>
      <c r="X147" s="110">
        <f t="shared" si="72"/>
        <v>0</v>
      </c>
      <c r="Y147" s="110">
        <f t="shared" si="72"/>
        <v>0</v>
      </c>
      <c r="Z147" s="110">
        <f t="shared" si="72"/>
        <v>0</v>
      </c>
      <c r="AA147" s="110">
        <f t="shared" si="72"/>
        <v>0</v>
      </c>
    </row>
    <row r="148" spans="1:27" x14ac:dyDescent="0.25">
      <c r="C148" s="100"/>
      <c r="D148" s="100"/>
    </row>
    <row r="149" spans="1:27" x14ac:dyDescent="0.25">
      <c r="C149" s="100"/>
      <c r="D149" s="100"/>
      <c r="E149" s="47" t="s">
        <v>682</v>
      </c>
      <c r="F149" s="47" t="s">
        <v>676</v>
      </c>
      <c r="H149" s="106">
        <f>SUM(H140:H142)/1000</f>
        <v>101.15179613376014</v>
      </c>
      <c r="I149" s="106">
        <f t="shared" ref="I149:AA149" si="73">SUM(I140:I142)/1000</f>
        <v>217.5733572354257</v>
      </c>
      <c r="J149" s="106">
        <f t="shared" si="73"/>
        <v>322.41590166021905</v>
      </c>
      <c r="K149" s="106">
        <f t="shared" si="73"/>
        <v>437.26333359639978</v>
      </c>
      <c r="L149" s="106">
        <f t="shared" si="73"/>
        <v>566.76740601731262</v>
      </c>
      <c r="M149" s="106">
        <f t="shared" si="73"/>
        <v>696.87584585011723</v>
      </c>
      <c r="N149" s="106">
        <f t="shared" si="73"/>
        <v>818.4447096464412</v>
      </c>
      <c r="O149" s="106">
        <f t="shared" si="73"/>
        <v>923.75186496201582</v>
      </c>
      <c r="P149" s="106">
        <f t="shared" si="73"/>
        <v>1010.0086308481945</v>
      </c>
      <c r="Q149" s="106">
        <f t="shared" si="73"/>
        <v>1090.7604038690254</v>
      </c>
      <c r="R149" s="106">
        <f t="shared" si="73"/>
        <v>1173.4919881356711</v>
      </c>
      <c r="S149" s="106">
        <f t="shared" si="73"/>
        <v>1255.5321441744065</v>
      </c>
      <c r="T149" s="106">
        <f t="shared" si="73"/>
        <v>1324.6517187913441</v>
      </c>
      <c r="U149" s="106">
        <f t="shared" si="73"/>
        <v>1397.6044524571473</v>
      </c>
      <c r="V149" s="106">
        <f t="shared" si="73"/>
        <v>1471.162186442865</v>
      </c>
      <c r="W149" s="106">
        <f t="shared" si="73"/>
        <v>1546.8548597727386</v>
      </c>
      <c r="X149" s="106">
        <f t="shared" si="73"/>
        <v>1615.7386974890571</v>
      </c>
      <c r="Y149" s="106">
        <f t="shared" si="73"/>
        <v>1699.4447130971569</v>
      </c>
      <c r="Z149" s="106">
        <f t="shared" si="73"/>
        <v>1793.0740620669767</v>
      </c>
      <c r="AA149" s="106">
        <f t="shared" si="73"/>
        <v>1912.618959725492</v>
      </c>
    </row>
    <row r="150" spans="1:27" x14ac:dyDescent="0.25">
      <c r="C150" s="100"/>
      <c r="D150" s="100"/>
      <c r="E150" s="47" t="s">
        <v>683</v>
      </c>
      <c r="F150" s="47" t="s">
        <v>639</v>
      </c>
      <c r="H150" s="106">
        <f>H133*H144+H140*H145+H141*H146+H142*H147</f>
        <v>377323.49658869824</v>
      </c>
      <c r="I150" s="106">
        <f t="shared" ref="I150:AA150" si="74">I133*I144+I140*I145+I141*I146+I142*I147</f>
        <v>825551.39467830781</v>
      </c>
      <c r="J150" s="106">
        <f t="shared" si="74"/>
        <v>1239016.8643160351</v>
      </c>
      <c r="K150" s="106">
        <f t="shared" si="74"/>
        <v>1700512.2865944933</v>
      </c>
      <c r="L150" s="106">
        <f t="shared" si="74"/>
        <v>2235636.7754440522</v>
      </c>
      <c r="M150" s="106">
        <f t="shared" si="74"/>
        <v>2786321.0118888323</v>
      </c>
      <c r="N150" s="106">
        <f t="shared" si="74"/>
        <v>3316841.8015310238</v>
      </c>
      <c r="O150" s="106">
        <f t="shared" si="74"/>
        <v>3790859.2254348006</v>
      </c>
      <c r="P150" s="106">
        <f t="shared" si="74"/>
        <v>4204624.9945826828</v>
      </c>
      <c r="Q150" s="106">
        <f t="shared" si="74"/>
        <v>4611141.4775163801</v>
      </c>
      <c r="R150" s="106">
        <f t="shared" si="74"/>
        <v>4972342.7846951205</v>
      </c>
      <c r="S150" s="106">
        <f t="shared" si="74"/>
        <v>5327225.0532245254</v>
      </c>
      <c r="T150" s="106">
        <f t="shared" si="74"/>
        <v>5638396.8282047845</v>
      </c>
      <c r="U150" s="106">
        <f t="shared" si="74"/>
        <v>5961807.5644190907</v>
      </c>
      <c r="V150" s="106">
        <f t="shared" si="74"/>
        <v>5816409.7583757266</v>
      </c>
      <c r="W150" s="106">
        <f t="shared" si="74"/>
        <v>6120988.8949545929</v>
      </c>
      <c r="X150" s="106">
        <f t="shared" si="74"/>
        <v>6417792.4648577366</v>
      </c>
      <c r="Y150" s="106">
        <f t="shared" si="74"/>
        <v>6760468.9294342697</v>
      </c>
      <c r="Z150" s="106">
        <f t="shared" si="74"/>
        <v>7143211.8319841828</v>
      </c>
      <c r="AA150" s="106">
        <f t="shared" si="74"/>
        <v>7619452.3540423</v>
      </c>
    </row>
    <row r="151" spans="1:27" x14ac:dyDescent="0.25">
      <c r="C151" s="100"/>
      <c r="D151" s="100"/>
    </row>
    <row r="152" spans="1:27" x14ac:dyDescent="0.25">
      <c r="C152" s="100"/>
      <c r="D152" s="47" t="s">
        <v>684</v>
      </c>
    </row>
    <row r="153" spans="1:27" x14ac:dyDescent="0.25">
      <c r="A153" s="101">
        <v>31</v>
      </c>
      <c r="B153" s="47" t="s">
        <v>265</v>
      </c>
      <c r="C153" s="100" t="s">
        <v>407</v>
      </c>
      <c r="D153" s="100" t="str">
        <f>$G$4</f>
        <v>Water</v>
      </c>
      <c r="E153" s="47" t="s">
        <v>654</v>
      </c>
      <c r="F153" s="47" t="s">
        <v>655</v>
      </c>
      <c r="H153" s="102">
        <f>IF($G$4="Water and sewer",SUMIFS('INPUT Growth'!AD$64:AD$115,'INPUT Growth'!$B$64:$B$115,$A$1,'INPUT Growth'!$F$64:$F$115,$B153,'INPUT Growth'!$E$64:$E$115,$C153),SUMIFS('INPUT Growth'!AD$64:AD$115,'INPUT Growth'!$A$64:$A$115,$A$1,'INPUT Growth'!$F$64:$F$115,$B153,'INPUT Growth'!$E$64:$E$115,$C153))</f>
        <v>58.597907536807725</v>
      </c>
      <c r="I153" s="102">
        <f>IF($G$4="Water and sewer",SUMIFS('INPUT Growth'!AE$64:AE$115,'INPUT Growth'!$B$64:$B$115,$A$1,'INPUT Growth'!$F$64:$F$115,$B153,'INPUT Growth'!$E$64:$E$115,$C153),SUMIFS('INPUT Growth'!AE$64:AE$115,'INPUT Growth'!$A$64:$A$115,$A$1,'INPUT Growth'!$F$64:$F$115,$B153,'INPUT Growth'!$E$64:$E$115,$C153))</f>
        <v>67.999407373427175</v>
      </c>
      <c r="J153" s="102">
        <f>IF($G$4="Water and sewer",SUMIFS('INPUT Growth'!AF$64:AF$115,'INPUT Growth'!$B$64:$B$115,$A$1,'INPUT Growth'!$F$64:$F$115,$B153,'INPUT Growth'!$E$64:$E$115,$C153),SUMIFS('INPUT Growth'!AF$64:AF$115,'INPUT Growth'!$A$64:$A$115,$A$1,'INPUT Growth'!$F$64:$F$115,$B153,'INPUT Growth'!$E$64:$E$115,$C153))</f>
        <v>59.15605798544243</v>
      </c>
      <c r="K153" s="102">
        <f>IF($G$4="Water and sewer",SUMIFS('INPUT Growth'!AG$64:AG$115,'INPUT Growth'!$B$64:$B$115,$A$1,'INPUT Growth'!$F$64:$F$115,$B153,'INPUT Growth'!$E$64:$E$115,$C153),SUMIFS('INPUT Growth'!AG$64:AG$115,'INPUT Growth'!$A$64:$A$115,$A$1,'INPUT Growth'!$F$64:$F$115,$B153,'INPUT Growth'!$E$64:$E$115,$C153))</f>
        <v>67.815253233698286</v>
      </c>
      <c r="L153" s="102">
        <f>IF($G$4="Water and sewer",SUMIFS('INPUT Growth'!AH$64:AH$115,'INPUT Growth'!$B$64:$B$115,$A$1,'INPUT Growth'!$F$64:$F$115,$B153,'INPUT Growth'!$E$64:$E$115,$C153),SUMIFS('INPUT Growth'!AH$64:AH$115,'INPUT Growth'!$A$64:$A$115,$A$1,'INPUT Growth'!$F$64:$F$115,$B153,'INPUT Growth'!$E$64:$E$115,$C153))</f>
        <v>91.78828534648278</v>
      </c>
      <c r="M153" s="102">
        <f>IF($G$4="Water and sewer",SUMIFS('INPUT Growth'!AI$64:AI$115,'INPUT Growth'!$B$64:$B$115,$A$1,'INPUT Growth'!$F$64:$F$115,$B153,'INPUT Growth'!$E$64:$E$115,$C153),SUMIFS('INPUT Growth'!AI$64:AI$115,'INPUT Growth'!$A$64:$A$115,$A$1,'INPUT Growth'!$F$64:$F$115,$B153,'INPUT Growth'!$E$64:$E$115,$C153))</f>
        <v>102.81773396705876</v>
      </c>
      <c r="N153" s="102">
        <f>IF($G$4="Water and sewer",SUMIFS('INPUT Growth'!AJ$64:AJ$115,'INPUT Growth'!$B$64:$B$115,$A$1,'INPUT Growth'!$F$64:$F$115,$B153,'INPUT Growth'!$E$64:$E$115,$C153),SUMIFS('INPUT Growth'!AJ$64:AJ$115,'INPUT Growth'!$A$64:$A$115,$A$1,'INPUT Growth'!$F$64:$F$115,$B153,'INPUT Growth'!$E$64:$E$115,$C153))</f>
        <v>92.294860787927519</v>
      </c>
      <c r="O153" s="102">
        <f>IF($G$4="Water and sewer",SUMIFS('INPUT Growth'!AK$64:AK$115,'INPUT Growth'!$B$64:$B$115,$A$1,'INPUT Growth'!$F$64:$F$115,$B153,'INPUT Growth'!$E$64:$E$115,$C153),SUMIFS('INPUT Growth'!AK$64:AK$115,'INPUT Growth'!$A$64:$A$115,$A$1,'INPUT Growth'!$F$64:$F$115,$B153,'INPUT Growth'!$E$64:$E$115,$C153))</f>
        <v>84.113893170428128</v>
      </c>
      <c r="P153" s="102">
        <f>IF($G$4="Water and sewer",SUMIFS('INPUT Growth'!AL$64:AL$115,'INPUT Growth'!$B$64:$B$115,$A$1,'INPUT Growth'!$F$64:$F$115,$B153,'INPUT Growth'!$E$64:$E$115,$C153),SUMIFS('INPUT Growth'!AL$64:AL$115,'INPUT Growth'!$A$64:$A$115,$A$1,'INPUT Growth'!$F$64:$F$115,$B153,'INPUT Growth'!$E$64:$E$115,$C153))</f>
        <v>83.533620369101754</v>
      </c>
      <c r="Q153" s="102">
        <f>IF($G$4="Water and sewer",SUMIFS('INPUT Growth'!AM$64:AM$115,'INPUT Growth'!$B$64:$B$115,$A$1,'INPUT Growth'!$F$64:$F$115,$B153,'INPUT Growth'!$E$64:$E$115,$C153),SUMIFS('INPUT Growth'!AM$64:AM$115,'INPUT Growth'!$A$64:$A$115,$A$1,'INPUT Growth'!$F$64:$F$115,$B153,'INPUT Growth'!$E$64:$E$115,$C153))</f>
        <v>83.700040142852686</v>
      </c>
      <c r="R153" s="102">
        <f>IF($G$4="Water and sewer",SUMIFS('INPUT Growth'!AN$64:AN$115,'INPUT Growth'!$B$64:$B$115,$A$1,'INPUT Growth'!$F$64:$F$115,$B153,'INPUT Growth'!$E$64:$E$115,$C153),SUMIFS('INPUT Growth'!AN$64:AN$115,'INPUT Growth'!$A$64:$A$115,$A$1,'INPUT Growth'!$F$64:$F$115,$B153,'INPUT Growth'!$E$64:$E$115,$C153))</f>
        <v>84.614394544883453</v>
      </c>
      <c r="S153" s="102">
        <f>IF($G$4="Water and sewer",SUMIFS('INPUT Growth'!AO$64:AO$115,'INPUT Growth'!$B$64:$B$115,$A$1,'INPUT Growth'!$F$64:$F$115,$B153,'INPUT Growth'!$E$64:$E$115,$C153),SUMIFS('INPUT Growth'!AO$64:AO$115,'INPUT Growth'!$A$64:$A$115,$A$1,'INPUT Growth'!$F$64:$F$115,$B153,'INPUT Growth'!$E$64:$E$115,$C153))</f>
        <v>85.40195214630694</v>
      </c>
      <c r="T153" s="102">
        <f>IF($G$4="Water and sewer",SUMIFS('INPUT Growth'!AP$64:AP$115,'INPUT Growth'!$B$64:$B$115,$A$1,'INPUT Growth'!$F$64:$F$115,$B153,'INPUT Growth'!$E$64:$E$115,$C153),SUMIFS('INPUT Growth'!AP$64:AP$115,'INPUT Growth'!$A$64:$A$115,$A$1,'INPUT Growth'!$F$64:$F$115,$B153,'INPUT Growth'!$E$64:$E$115,$C153))</f>
        <v>88.495473492543624</v>
      </c>
      <c r="U153" s="102">
        <f>IF($G$4="Water and sewer",SUMIFS('INPUT Growth'!AQ$64:AQ$115,'INPUT Growth'!$B$64:$B$115,$A$1,'INPUT Growth'!$F$64:$F$115,$B153,'INPUT Growth'!$E$64:$E$115,$C153),SUMIFS('INPUT Growth'!AQ$64:AQ$115,'INPUT Growth'!$A$64:$A$115,$A$1,'INPUT Growth'!$F$64:$F$115,$B153,'INPUT Growth'!$E$64:$E$115,$C153))</f>
        <v>96.814526258227488</v>
      </c>
      <c r="V153" s="102">
        <f>IF($G$4="Water and sewer",SUMIFS('INPUT Growth'!AR$64:AR$115,'INPUT Growth'!$B$64:$B$115,$A$1,'INPUT Growth'!$F$64:$F$115,$B153,'INPUT Growth'!$E$64:$E$115,$C153),SUMIFS('INPUT Growth'!AR$64:AR$115,'INPUT Growth'!$A$64:$A$115,$A$1,'INPUT Growth'!$F$64:$F$115,$B153,'INPUT Growth'!$E$64:$E$115,$C153))</f>
        <v>100.72971692195006</v>
      </c>
      <c r="W153" s="102">
        <f>IF($G$4="Water and sewer",SUMIFS('INPUT Growth'!AS$64:AS$115,'INPUT Growth'!$B$64:$B$115,$A$1,'INPUT Growth'!$F$64:$F$115,$B153,'INPUT Growth'!$E$64:$E$115,$C153),SUMIFS('INPUT Growth'!AS$64:AS$115,'INPUT Growth'!$A$64:$A$115,$A$1,'INPUT Growth'!$F$64:$F$115,$B153,'INPUT Growth'!$E$64:$E$115,$C153))</f>
        <v>109.59661314604455</v>
      </c>
      <c r="X153" s="102">
        <f>IF($G$4="Water and sewer",SUMIFS('INPUT Growth'!AT$64:AT$115,'INPUT Growth'!$B$64:$B$115,$A$1,'INPUT Growth'!$F$64:$F$115,$B153,'INPUT Growth'!$E$64:$E$115,$C153),SUMIFS('INPUT Growth'!AT$64:AT$115,'INPUT Growth'!$A$64:$A$115,$A$1,'INPUT Growth'!$F$64:$F$115,$B153,'INPUT Growth'!$E$64:$E$115,$C153))</f>
        <v>120.19647465952994</v>
      </c>
      <c r="Y153" s="102">
        <f>IF($G$4="Water and sewer",SUMIFS('INPUT Growth'!AU$64:AU$115,'INPUT Growth'!$B$64:$B$115,$A$1,'INPUT Growth'!$F$64:$F$115,$B153,'INPUT Growth'!$E$64:$E$115,$C153),SUMIFS('INPUT Growth'!AU$64:AU$115,'INPUT Growth'!$A$64:$A$115,$A$1,'INPUT Growth'!$F$64:$F$115,$B153,'INPUT Growth'!$E$64:$E$115,$C153))</f>
        <v>117.74644212976318</v>
      </c>
      <c r="Z153" s="102">
        <f>IF($G$4="Water and sewer",SUMIFS('INPUT Growth'!AV$64:AV$115,'INPUT Growth'!$B$64:$B$115,$A$1,'INPUT Growth'!$F$64:$F$115,$B153,'INPUT Growth'!$E$64:$E$115,$C153),SUMIFS('INPUT Growth'!AV$64:AV$115,'INPUT Growth'!$A$64:$A$115,$A$1,'INPUT Growth'!$F$64:$F$115,$B153,'INPUT Growth'!$E$64:$E$115,$C153))</f>
        <v>114.30954973144435</v>
      </c>
      <c r="AA153" s="102">
        <f>IF($G$4="Water and sewer",SUMIFS('INPUT Growth'!AW$64:AW$115,'INPUT Growth'!$B$64:$B$115,$A$1,'INPUT Growth'!$F$64:$F$115,$B153,'INPUT Growth'!$E$64:$E$115,$C153),SUMIFS('INPUT Growth'!AW$64:AW$115,'INPUT Growth'!$A$64:$A$115,$A$1,'INPUT Growth'!$F$64:$F$115,$B153,'INPUT Growth'!$E$64:$E$115,$C153))</f>
        <v>110.11029069180313</v>
      </c>
    </row>
    <row r="154" spans="1:27" x14ac:dyDescent="0.25">
      <c r="C154" s="100"/>
      <c r="D154" s="100"/>
      <c r="E154" s="47" t="s">
        <v>656</v>
      </c>
      <c r="F154" s="47" t="s">
        <v>655</v>
      </c>
      <c r="H154" s="106">
        <f>G154+H153</f>
        <v>58.597907536807725</v>
      </c>
      <c r="I154" s="106">
        <f t="shared" ref="I154:AA154" si="75">H154+I153</f>
        <v>126.5973149102349</v>
      </c>
      <c r="J154" s="106">
        <f t="shared" si="75"/>
        <v>185.75337289567733</v>
      </c>
      <c r="K154" s="106">
        <f t="shared" si="75"/>
        <v>253.56862612937562</v>
      </c>
      <c r="L154" s="106">
        <f t="shared" si="75"/>
        <v>345.3569114758584</v>
      </c>
      <c r="M154" s="106">
        <f t="shared" si="75"/>
        <v>448.17464544291715</v>
      </c>
      <c r="N154" s="106">
        <f t="shared" si="75"/>
        <v>540.46950623084467</v>
      </c>
      <c r="O154" s="106">
        <f t="shared" si="75"/>
        <v>624.5833994012728</v>
      </c>
      <c r="P154" s="106">
        <f t="shared" si="75"/>
        <v>708.11701977037455</v>
      </c>
      <c r="Q154" s="106">
        <f t="shared" si="75"/>
        <v>791.81705991322724</v>
      </c>
      <c r="R154" s="106">
        <f t="shared" si="75"/>
        <v>876.43145445811069</v>
      </c>
      <c r="S154" s="106">
        <f t="shared" si="75"/>
        <v>961.83340660441763</v>
      </c>
      <c r="T154" s="106">
        <f t="shared" si="75"/>
        <v>1050.3288800969613</v>
      </c>
      <c r="U154" s="106">
        <f t="shared" si="75"/>
        <v>1147.1434063551887</v>
      </c>
      <c r="V154" s="106">
        <f t="shared" si="75"/>
        <v>1247.8731232771388</v>
      </c>
      <c r="W154" s="106">
        <f t="shared" si="75"/>
        <v>1357.4697364231833</v>
      </c>
      <c r="X154" s="106">
        <f t="shared" si="75"/>
        <v>1477.6662110827133</v>
      </c>
      <c r="Y154" s="106">
        <f t="shared" si="75"/>
        <v>1595.4126532124765</v>
      </c>
      <c r="Z154" s="106">
        <f t="shared" si="75"/>
        <v>1709.7222029439208</v>
      </c>
      <c r="AA154" s="106">
        <f t="shared" si="75"/>
        <v>1819.8324936357239</v>
      </c>
    </row>
    <row r="155" spans="1:27" x14ac:dyDescent="0.25">
      <c r="A155" s="101">
        <v>32</v>
      </c>
      <c r="C155" s="100"/>
      <c r="D155" s="100"/>
      <c r="E155" s="47" t="s">
        <v>657</v>
      </c>
      <c r="F155" s="47" t="s">
        <v>655</v>
      </c>
      <c r="G155" s="102">
        <v>2</v>
      </c>
    </row>
    <row r="156" spans="1:27" x14ac:dyDescent="0.25">
      <c r="C156" s="100"/>
      <c r="D156" s="100"/>
      <c r="E156" s="47" t="s">
        <v>658</v>
      </c>
      <c r="F156" s="47" t="s">
        <v>655</v>
      </c>
      <c r="H156" s="47">
        <f>H153*$G155</f>
        <v>117.19581507361545</v>
      </c>
      <c r="I156" s="47">
        <f t="shared" ref="I156:AA156" si="76">I153*$G155</f>
        <v>135.99881474685435</v>
      </c>
      <c r="J156" s="47">
        <f t="shared" si="76"/>
        <v>118.31211597088486</v>
      </c>
      <c r="K156" s="47">
        <f t="shared" si="76"/>
        <v>135.63050646739657</v>
      </c>
      <c r="L156" s="47">
        <f t="shared" si="76"/>
        <v>183.57657069296556</v>
      </c>
      <c r="M156" s="47">
        <f t="shared" si="76"/>
        <v>205.63546793411751</v>
      </c>
      <c r="N156" s="47">
        <f t="shared" si="76"/>
        <v>184.58972157585504</v>
      </c>
      <c r="O156" s="47">
        <f t="shared" si="76"/>
        <v>168.22778634085626</v>
      </c>
      <c r="P156" s="47">
        <f t="shared" si="76"/>
        <v>167.06724073820351</v>
      </c>
      <c r="Q156" s="47">
        <f t="shared" si="76"/>
        <v>167.40008028570537</v>
      </c>
      <c r="R156" s="47">
        <f t="shared" si="76"/>
        <v>169.22878908976691</v>
      </c>
      <c r="S156" s="47">
        <f t="shared" si="76"/>
        <v>170.80390429261388</v>
      </c>
      <c r="T156" s="47">
        <f t="shared" si="76"/>
        <v>176.99094698508725</v>
      </c>
      <c r="U156" s="47">
        <f t="shared" si="76"/>
        <v>193.62905251645498</v>
      </c>
      <c r="V156" s="47">
        <f t="shared" si="76"/>
        <v>201.45943384390011</v>
      </c>
      <c r="W156" s="47">
        <f t="shared" si="76"/>
        <v>219.19322629208909</v>
      </c>
      <c r="X156" s="47">
        <f t="shared" si="76"/>
        <v>240.39294931905988</v>
      </c>
      <c r="Y156" s="47">
        <f t="shared" si="76"/>
        <v>235.49288425952636</v>
      </c>
      <c r="Z156" s="47">
        <f t="shared" si="76"/>
        <v>228.6190994628887</v>
      </c>
      <c r="AA156" s="47">
        <f t="shared" si="76"/>
        <v>220.22058138360626</v>
      </c>
    </row>
    <row r="157" spans="1:27" x14ac:dyDescent="0.25">
      <c r="C157" s="100"/>
      <c r="D157" s="100"/>
      <c r="E157" s="47" t="s">
        <v>659</v>
      </c>
      <c r="F157" s="47" t="s">
        <v>655</v>
      </c>
      <c r="H157" s="47">
        <f>H154*$G155</f>
        <v>117.19581507361545</v>
      </c>
      <c r="I157" s="47">
        <f t="shared" ref="I157:AA157" si="77">I154*$G155</f>
        <v>253.1946298204698</v>
      </c>
      <c r="J157" s="47">
        <f t="shared" si="77"/>
        <v>371.50674579135466</v>
      </c>
      <c r="K157" s="47">
        <f t="shared" si="77"/>
        <v>507.13725225875123</v>
      </c>
      <c r="L157" s="47">
        <f t="shared" si="77"/>
        <v>690.71382295171679</v>
      </c>
      <c r="M157" s="47">
        <f t="shared" si="77"/>
        <v>896.34929088583431</v>
      </c>
      <c r="N157" s="47">
        <f t="shared" si="77"/>
        <v>1080.9390124616893</v>
      </c>
      <c r="O157" s="47">
        <f t="shared" si="77"/>
        <v>1249.1667988025456</v>
      </c>
      <c r="P157" s="47">
        <f t="shared" si="77"/>
        <v>1416.2340395407491</v>
      </c>
      <c r="Q157" s="47">
        <f t="shared" si="77"/>
        <v>1583.6341198264545</v>
      </c>
      <c r="R157" s="47">
        <f t="shared" si="77"/>
        <v>1752.8629089162214</v>
      </c>
      <c r="S157" s="47">
        <f t="shared" si="77"/>
        <v>1923.6668132088353</v>
      </c>
      <c r="T157" s="47">
        <f t="shared" si="77"/>
        <v>2100.6577601939225</v>
      </c>
      <c r="U157" s="47">
        <f t="shared" si="77"/>
        <v>2294.2868127103775</v>
      </c>
      <c r="V157" s="47">
        <f t="shared" si="77"/>
        <v>2495.7462465542776</v>
      </c>
      <c r="W157" s="47">
        <f t="shared" si="77"/>
        <v>2714.9394728463667</v>
      </c>
      <c r="X157" s="47">
        <f t="shared" si="77"/>
        <v>2955.3324221654266</v>
      </c>
      <c r="Y157" s="47">
        <f t="shared" si="77"/>
        <v>3190.8253064249529</v>
      </c>
      <c r="Z157" s="47">
        <f t="shared" si="77"/>
        <v>3419.4444058878416</v>
      </c>
      <c r="AA157" s="47">
        <f t="shared" si="77"/>
        <v>3639.6649872714479</v>
      </c>
    </row>
    <row r="158" spans="1:27" x14ac:dyDescent="0.25">
      <c r="A158" s="101">
        <v>33</v>
      </c>
      <c r="B158" s="47" t="str">
        <f>B153</f>
        <v>Western</v>
      </c>
      <c r="C158" s="47" t="str">
        <f>C153</f>
        <v>N</v>
      </c>
      <c r="D158" s="47" t="str">
        <f>D153</f>
        <v>Water</v>
      </c>
      <c r="E158" s="47" t="s">
        <v>660</v>
      </c>
      <c r="F158" s="47" t="s">
        <v>661</v>
      </c>
      <c r="H158" s="102">
        <f>IF(OR($D158=W,$D158=WS),'INPUT Reg'!AD126,IF($D158=RW,'INPUT Reg'!AD128,0))</f>
        <v>725.26314061491541</v>
      </c>
      <c r="I158" s="102">
        <f>IF(OR($D158=W,$D158=WS),'INPUT Reg'!AE126,IF($D158=RW,'INPUT Reg'!AE128,0))</f>
        <v>720.38675976632203</v>
      </c>
      <c r="J158" s="102">
        <f>IF(OR($D158=W,$D158=WS),'INPUT Reg'!AF126,IF($D158=RW,'INPUT Reg'!AF128,0))</f>
        <v>722.38717380811977</v>
      </c>
      <c r="K158" s="102">
        <f>IF(OR($D158=W,$D158=WS),'INPUT Reg'!AG126,IF($D158=RW,'INPUT Reg'!AG128,0))</f>
        <v>722.97270777527478</v>
      </c>
      <c r="L158" s="102">
        <f>IF(OR($D158=W,$D158=WS),'INPUT Reg'!AH126,IF($D158=RW,'INPUT Reg'!AH128,0))</f>
        <v>715.12355392202323</v>
      </c>
      <c r="M158" s="102">
        <f>IF(OR($D158=W,$D158=WS),'INPUT Reg'!AI126,IF($D158=RW,'INPUT Reg'!AI128,0))</f>
        <v>707.10324870306999</v>
      </c>
      <c r="N158" s="102">
        <f>IF(OR($D158=W,$D158=WS),'INPUT Reg'!AJ126,IF($D158=RW,'INPUT Reg'!AJ128,0))</f>
        <v>700.62391442557316</v>
      </c>
      <c r="O158" s="102">
        <f>IF(OR($D158=W,$D158=WS),'INPUT Reg'!AK126,IF($D158=RW,'INPUT Reg'!AK128,0))</f>
        <v>696.12019036745801</v>
      </c>
      <c r="P158" s="102">
        <f>IF(OR($D158=W,$D158=WS),'INPUT Reg'!AL126,IF($D158=RW,'INPUT Reg'!AL128,0))</f>
        <v>687.87815145965703</v>
      </c>
      <c r="Q158" s="102">
        <f>IF(OR($D158=W,$D158=WS),'INPUT Reg'!AM126,IF($D158=RW,'INPUT Reg'!AM128,0))</f>
        <v>681.73049016159177</v>
      </c>
      <c r="R158" s="102">
        <f>IF(OR($D158=W,$D158=WS),'INPUT Reg'!AN126,IF($D158=RW,'INPUT Reg'!AN128,0))</f>
        <v>676.6414581467385</v>
      </c>
      <c r="S158" s="102">
        <f>IF(OR($D158=W,$D158=WS),'INPUT Reg'!AO126,IF($D158=RW,'INPUT Reg'!AO128,0))</f>
        <v>674.73844482879599</v>
      </c>
      <c r="T158" s="102">
        <f>IF(OR($D158=W,$D158=WS),'INPUT Reg'!AP126,IF($D158=RW,'INPUT Reg'!AP128,0))</f>
        <v>669.50819507426456</v>
      </c>
      <c r="U158" s="102">
        <f>IF(OR($D158=W,$D158=WS),'INPUT Reg'!AQ126,IF($D158=RW,'INPUT Reg'!AQ128,0))</f>
        <v>666.40240091028261</v>
      </c>
      <c r="V158" s="102">
        <f>IF(OR($D158=W,$D158=WS),'INPUT Reg'!AR126,IF($D158=RW,'INPUT Reg'!AR128,0))</f>
        <v>663.10981119008693</v>
      </c>
      <c r="W158" s="102">
        <f>IF(OR($D158=W,$D158=WS),'INPUT Reg'!AS126,IF($D158=RW,'INPUT Reg'!AS128,0))</f>
        <v>662.73126309413988</v>
      </c>
      <c r="X158" s="102">
        <f>IF(OR($D158=W,$D158=WS),'INPUT Reg'!AT126,IF($D158=RW,'INPUT Reg'!AT128,0))</f>
        <v>659.53219841068676</v>
      </c>
      <c r="Y158" s="102">
        <f>IF(OR($D158=W,$D158=WS),'INPUT Reg'!AU126,IF($D158=RW,'INPUT Reg'!AU128,0))</f>
        <v>658.85039903993788</v>
      </c>
      <c r="Z158" s="102">
        <f>IF(OR($D158=W,$D158=WS),'INPUT Reg'!AV126,IF($D158=RW,'INPUT Reg'!AV128,0))</f>
        <v>659.25179707460791</v>
      </c>
      <c r="AA158" s="102">
        <f>IF(OR($D158=W,$D158=WS),'INPUT Reg'!AW126,IF($D158=RW,'INPUT Reg'!AW128,0))</f>
        <v>659.25179707460791</v>
      </c>
    </row>
    <row r="159" spans="1:27" x14ac:dyDescent="0.25">
      <c r="B159" s="47" t="str">
        <f>B153</f>
        <v>Western</v>
      </c>
      <c r="C159" s="47" t="str">
        <f t="shared" ref="C159:D159" si="78">C153</f>
        <v>N</v>
      </c>
      <c r="D159" s="47" t="str">
        <f t="shared" si="78"/>
        <v>Water</v>
      </c>
      <c r="E159" s="47" t="s">
        <v>662</v>
      </c>
      <c r="F159" s="47" t="s">
        <v>661</v>
      </c>
      <c r="H159" s="102"/>
      <c r="I159" s="102"/>
      <c r="J159" s="102"/>
      <c r="K159" s="102"/>
      <c r="L159" s="102"/>
      <c r="M159" s="102"/>
      <c r="N159" s="102"/>
      <c r="O159" s="102"/>
      <c r="P159" s="102"/>
      <c r="Q159" s="102"/>
      <c r="R159" s="102"/>
      <c r="S159" s="102"/>
      <c r="T159" s="102"/>
      <c r="U159" s="102"/>
      <c r="V159" s="102"/>
      <c r="W159" s="102"/>
      <c r="X159" s="102"/>
      <c r="Y159" s="102"/>
      <c r="Z159" s="102"/>
      <c r="AA159" s="102"/>
    </row>
    <row r="160" spans="1:27" x14ac:dyDescent="0.25">
      <c r="A160" s="101">
        <v>34</v>
      </c>
      <c r="B160" s="47" t="str">
        <f>B153</f>
        <v>Western</v>
      </c>
      <c r="C160" s="47" t="str">
        <f t="shared" ref="C160:D160" si="79">C153</f>
        <v>N</v>
      </c>
      <c r="D160" s="47" t="str">
        <f t="shared" si="79"/>
        <v>Water</v>
      </c>
      <c r="E160" s="47" t="s">
        <v>663</v>
      </c>
      <c r="F160" s="47" t="s">
        <v>661</v>
      </c>
      <c r="H160" s="102">
        <f>IF(OR($D160=S,$D160=WS),'INPUT Reg'!AD127,0)</f>
        <v>0</v>
      </c>
      <c r="I160" s="102">
        <f>IF(OR($D160=S,$D160=WS),'INPUT Reg'!AE127,0)</f>
        <v>0</v>
      </c>
      <c r="J160" s="102">
        <f>IF(OR($D160=S,$D160=WS),'INPUT Reg'!AF127,0)</f>
        <v>0</v>
      </c>
      <c r="K160" s="102">
        <f>IF(OR($D160=S,$D160=WS),'INPUT Reg'!AG127,0)</f>
        <v>0</v>
      </c>
      <c r="L160" s="102">
        <f>IF(OR($D160=S,$D160=WS),'INPUT Reg'!AH127,0)</f>
        <v>0</v>
      </c>
      <c r="M160" s="102">
        <f>IF(OR($D160=S,$D160=WS),'INPUT Reg'!AI127,0)</f>
        <v>0</v>
      </c>
      <c r="N160" s="102">
        <f>IF(OR($D160=S,$D160=WS),'INPUT Reg'!AJ127,0)</f>
        <v>0</v>
      </c>
      <c r="O160" s="102">
        <f>IF(OR($D160=S,$D160=WS),'INPUT Reg'!AK127,0)</f>
        <v>0</v>
      </c>
      <c r="P160" s="102">
        <f>IF(OR($D160=S,$D160=WS),'INPUT Reg'!AL127,0)</f>
        <v>0</v>
      </c>
      <c r="Q160" s="102">
        <f>IF(OR($D160=S,$D160=WS),'INPUT Reg'!AM127,0)</f>
        <v>0</v>
      </c>
      <c r="R160" s="102">
        <f>IF(OR($D160=S,$D160=WS),'INPUT Reg'!AN127,0)</f>
        <v>0</v>
      </c>
      <c r="S160" s="102">
        <f>IF(OR($D160=S,$D160=WS),'INPUT Reg'!AO127,0)</f>
        <v>0</v>
      </c>
      <c r="T160" s="102">
        <f>IF(OR($D160=S,$D160=WS),'INPUT Reg'!AP127,0)</f>
        <v>0</v>
      </c>
      <c r="U160" s="102">
        <f>IF(OR($D160=S,$D160=WS),'INPUT Reg'!AQ127,0)</f>
        <v>0</v>
      </c>
      <c r="V160" s="102">
        <f>IF(OR($D160=S,$D160=WS),'INPUT Reg'!AR127,0)</f>
        <v>0</v>
      </c>
      <c r="W160" s="102">
        <f>IF(OR($D160=S,$D160=WS),'INPUT Reg'!AS127,0)</f>
        <v>0</v>
      </c>
      <c r="X160" s="102">
        <f>IF(OR($D160=S,$D160=WS),'INPUT Reg'!AT127,0)</f>
        <v>0</v>
      </c>
      <c r="Y160" s="102">
        <f>IF(OR($D160=S,$D160=WS),'INPUT Reg'!AU127,0)</f>
        <v>0</v>
      </c>
      <c r="Z160" s="102">
        <f>IF(OR($D160=S,$D160=WS),'INPUT Reg'!AV127,0)</f>
        <v>0</v>
      </c>
      <c r="AA160" s="102">
        <f>IF(OR($D160=S,$D160=WS),'INPUT Reg'!AW127,0)</f>
        <v>0</v>
      </c>
    </row>
    <row r="161" spans="1:27" x14ac:dyDescent="0.25">
      <c r="C161" s="100"/>
      <c r="D161" s="100"/>
      <c r="E161" s="47" t="s">
        <v>664</v>
      </c>
      <c r="F161" s="47" t="s">
        <v>665</v>
      </c>
      <c r="H161" s="106">
        <f>H154*H158</f>
        <v>42498.902453607596</v>
      </c>
      <c r="I161" s="106">
        <f t="shared" ref="I161:AA161" si="80">I154*I158</f>
        <v>91199.029483300808</v>
      </c>
      <c r="J161" s="106">
        <f t="shared" si="80"/>
        <v>134185.85407143415</v>
      </c>
      <c r="K161" s="106">
        <f t="shared" si="80"/>
        <v>183323.19623961099</v>
      </c>
      <c r="L161" s="106">
        <f t="shared" si="80"/>
        <v>246972.86190614942</v>
      </c>
      <c r="M161" s="106">
        <f t="shared" si="80"/>
        <v>316905.74777903326</v>
      </c>
      <c r="N161" s="106">
        <f t="shared" si="80"/>
        <v>378665.86108311109</v>
      </c>
      <c r="O161" s="106">
        <f t="shared" si="80"/>
        <v>434785.11489156808</v>
      </c>
      <c r="P161" s="106">
        <f t="shared" si="80"/>
        <v>487098.22657676664</v>
      </c>
      <c r="Q161" s="106">
        <f t="shared" si="80"/>
        <v>539805.83237295493</v>
      </c>
      <c r="R161" s="106">
        <f t="shared" si="80"/>
        <v>593029.8573102029</v>
      </c>
      <c r="S161" s="106">
        <f t="shared" si="80"/>
        <v>648985.9769566477</v>
      </c>
      <c r="T161" s="106">
        <f t="shared" si="80"/>
        <v>703203.79274809023</v>
      </c>
      <c r="U161" s="106">
        <f t="shared" si="80"/>
        <v>764459.12018349767</v>
      </c>
      <c r="V161" s="106">
        <f t="shared" si="80"/>
        <v>827476.9111654876</v>
      </c>
      <c r="W161" s="106">
        <f t="shared" si="80"/>
        <v>899637.6330318054</v>
      </c>
      <c r="X161" s="106">
        <f t="shared" si="80"/>
        <v>974568.4447125718</v>
      </c>
      <c r="Y161" s="106">
        <f t="shared" si="80"/>
        <v>1051138.2632024062</v>
      </c>
      <c r="Z161" s="106">
        <f t="shared" si="80"/>
        <v>1127137.4347891372</v>
      </c>
      <c r="AA161" s="106">
        <f t="shared" si="80"/>
        <v>1199727.841804116</v>
      </c>
    </row>
    <row r="162" spans="1:27" x14ac:dyDescent="0.25">
      <c r="C162" s="100"/>
      <c r="D162" s="100"/>
      <c r="E162" s="47" t="s">
        <v>666</v>
      </c>
      <c r="F162" s="47" t="s">
        <v>665</v>
      </c>
      <c r="H162" s="106">
        <f>H154*H159</f>
        <v>0</v>
      </c>
      <c r="I162" s="106">
        <f t="shared" ref="I162:AA162" si="81">I154*I159</f>
        <v>0</v>
      </c>
      <c r="J162" s="106">
        <f t="shared" si="81"/>
        <v>0</v>
      </c>
      <c r="K162" s="106">
        <f t="shared" si="81"/>
        <v>0</v>
      </c>
      <c r="L162" s="106">
        <f t="shared" si="81"/>
        <v>0</v>
      </c>
      <c r="M162" s="106">
        <f t="shared" si="81"/>
        <v>0</v>
      </c>
      <c r="N162" s="106">
        <f t="shared" si="81"/>
        <v>0</v>
      </c>
      <c r="O162" s="106">
        <f t="shared" si="81"/>
        <v>0</v>
      </c>
      <c r="P162" s="106">
        <f t="shared" si="81"/>
        <v>0</v>
      </c>
      <c r="Q162" s="106">
        <f t="shared" si="81"/>
        <v>0</v>
      </c>
      <c r="R162" s="106">
        <f t="shared" si="81"/>
        <v>0</v>
      </c>
      <c r="S162" s="106">
        <f t="shared" si="81"/>
        <v>0</v>
      </c>
      <c r="T162" s="106">
        <f t="shared" si="81"/>
        <v>0</v>
      </c>
      <c r="U162" s="106">
        <f t="shared" si="81"/>
        <v>0</v>
      </c>
      <c r="V162" s="106">
        <f t="shared" si="81"/>
        <v>0</v>
      </c>
      <c r="W162" s="106">
        <f t="shared" si="81"/>
        <v>0</v>
      </c>
      <c r="X162" s="106">
        <f t="shared" si="81"/>
        <v>0</v>
      </c>
      <c r="Y162" s="106">
        <f t="shared" si="81"/>
        <v>0</v>
      </c>
      <c r="Z162" s="106">
        <f t="shared" si="81"/>
        <v>0</v>
      </c>
      <c r="AA162" s="106">
        <f t="shared" si="81"/>
        <v>0</v>
      </c>
    </row>
    <row r="163" spans="1:27" x14ac:dyDescent="0.25">
      <c r="C163" s="100"/>
      <c r="D163" s="100"/>
      <c r="E163" s="47" t="s">
        <v>667</v>
      </c>
      <c r="F163" s="47" t="s">
        <v>665</v>
      </c>
      <c r="H163" s="106">
        <f>H154*H160</f>
        <v>0</v>
      </c>
      <c r="I163" s="106">
        <f t="shared" ref="I163:AA163" si="82">I154*I160</f>
        <v>0</v>
      </c>
      <c r="J163" s="106">
        <f t="shared" si="82"/>
        <v>0</v>
      </c>
      <c r="K163" s="106">
        <f t="shared" si="82"/>
        <v>0</v>
      </c>
      <c r="L163" s="106">
        <f t="shared" si="82"/>
        <v>0</v>
      </c>
      <c r="M163" s="106">
        <f t="shared" si="82"/>
        <v>0</v>
      </c>
      <c r="N163" s="106">
        <f t="shared" si="82"/>
        <v>0</v>
      </c>
      <c r="O163" s="106">
        <f t="shared" si="82"/>
        <v>0</v>
      </c>
      <c r="P163" s="106">
        <f t="shared" si="82"/>
        <v>0</v>
      </c>
      <c r="Q163" s="106">
        <f t="shared" si="82"/>
        <v>0</v>
      </c>
      <c r="R163" s="106">
        <f t="shared" si="82"/>
        <v>0</v>
      </c>
      <c r="S163" s="106">
        <f t="shared" si="82"/>
        <v>0</v>
      </c>
      <c r="T163" s="106">
        <f t="shared" si="82"/>
        <v>0</v>
      </c>
      <c r="U163" s="106">
        <f t="shared" si="82"/>
        <v>0</v>
      </c>
      <c r="V163" s="106">
        <f t="shared" si="82"/>
        <v>0</v>
      </c>
      <c r="W163" s="106">
        <f t="shared" si="82"/>
        <v>0</v>
      </c>
      <c r="X163" s="106">
        <f t="shared" si="82"/>
        <v>0</v>
      </c>
      <c r="Y163" s="106">
        <f t="shared" si="82"/>
        <v>0</v>
      </c>
      <c r="Z163" s="106">
        <f t="shared" si="82"/>
        <v>0</v>
      </c>
      <c r="AA163" s="106">
        <f t="shared" si="82"/>
        <v>0</v>
      </c>
    </row>
    <row r="164" spans="1:27" x14ac:dyDescent="0.25">
      <c r="A164" s="101">
        <v>35</v>
      </c>
      <c r="B164" s="47" t="str">
        <f>B158</f>
        <v>Western</v>
      </c>
      <c r="C164" s="47" t="str">
        <f t="shared" ref="C164:D164" si="83">C158</f>
        <v>N</v>
      </c>
      <c r="D164" s="47" t="str">
        <f t="shared" si="83"/>
        <v>Water</v>
      </c>
      <c r="E164" s="47" t="s">
        <v>668</v>
      </c>
      <c r="F164" s="47" t="s">
        <v>633</v>
      </c>
      <c r="H164" s="105">
        <f>SUMIFS('INPUT Reg'!AD$94:AD$109,'INPUT Reg'!$D$94:$D$109,$D164,'INPUT Reg'!$C$94:$C$109,$C164,'INPUT Reg'!$B$94:$B$109,$B164)</f>
        <v>3.0446328262496714E-3</v>
      </c>
      <c r="I164" s="105">
        <f>SUMIFS('INPUT Reg'!AE$94:AE$109,'INPUT Reg'!$D$94:$D$109,$D164,'INPUT Reg'!$C$94:$C$109,$C164,'INPUT Reg'!$B$94:$B$109,$B164)</f>
        <v>1.9890298224023439E-6</v>
      </c>
      <c r="J164" s="105">
        <f>SUMIFS('INPUT Reg'!AF$94:AF$109,'INPUT Reg'!$D$94:$D$109,$D164,'INPUT Reg'!$C$94:$C$109,$C164,'INPUT Reg'!$B$94:$B$109,$B164)</f>
        <v>8.5105218776693192E-6</v>
      </c>
      <c r="K164" s="105">
        <f>SUMIFS('INPUT Reg'!AG$94:AG$109,'INPUT Reg'!$D$94:$D$109,$D164,'INPUT Reg'!$C$94:$C$109,$C164,'INPUT Reg'!$B$94:$B$109,$B164)</f>
        <v>6.0161622221777122E-6</v>
      </c>
      <c r="L164" s="105">
        <f>SUMIFS('INPUT Reg'!AH$94:AH$109,'INPUT Reg'!$D$94:$D$109,$D164,'INPUT Reg'!$C$94:$C$109,$C164,'INPUT Reg'!$B$94:$B$109,$B164)</f>
        <v>-1.2553023474354608E-2</v>
      </c>
      <c r="M164" s="105">
        <f>SUMIFS('INPUT Reg'!AI$94:AI$109,'INPUT Reg'!$D$94:$D$109,$D164,'INPUT Reg'!$C$94:$C$109,$C164,'INPUT Reg'!$B$94:$B$109,$B164)</f>
        <v>7.3288130368887039E-6</v>
      </c>
      <c r="N164" s="105">
        <f>SUMIFS('INPUT Reg'!AJ$94:AJ$109,'INPUT Reg'!$D$94:$D$109,$D164,'INPUT Reg'!$C$94:$C$109,$C164,'INPUT Reg'!$B$94:$B$109,$B164)</f>
        <v>2.3720377317903996E-6</v>
      </c>
      <c r="O164" s="105">
        <f>SUMIFS('INPUT Reg'!AK$94:AK$109,'INPUT Reg'!$D$94:$D$109,$D164,'INPUT Reg'!$C$94:$C$109,$C164,'INPUT Reg'!$B$94:$B$109,$B164)</f>
        <v>4.766297737823777E-6</v>
      </c>
      <c r="P164" s="105">
        <f>SUMIFS('INPUT Reg'!AL$94:AL$109,'INPUT Reg'!$D$94:$D$109,$D164,'INPUT Reg'!$C$94:$C$109,$C164,'INPUT Reg'!$B$94:$B$109,$B164)</f>
        <v>3.1827617739121905E-6</v>
      </c>
      <c r="Q164" s="105">
        <f>SUMIFS('INPUT Reg'!AM$94:AM$109,'INPUT Reg'!$D$94:$D$109,$D164,'INPUT Reg'!$C$94:$C$109,$C164,'INPUT Reg'!$B$94:$B$109,$B164)</f>
        <v>-0.14967791575421019</v>
      </c>
      <c r="R164" s="105">
        <f>SUMIFS('INPUT Reg'!AN$94:AN$109,'INPUT Reg'!$D$94:$D$109,$D164,'INPUT Reg'!$C$94:$C$109,$C164,'INPUT Reg'!$B$94:$B$109,$B164)</f>
        <v>2.9279037079277259E-6</v>
      </c>
      <c r="S164" s="105">
        <f>SUMIFS('INPUT Reg'!AO$94:AO$109,'INPUT Reg'!$D$94:$D$109,$D164,'INPUT Reg'!$C$94:$C$109,$C164,'INPUT Reg'!$B$94:$B$109,$B164)</f>
        <v>3.087113408239972E-6</v>
      </c>
      <c r="T164" s="105">
        <f>SUMIFS('INPUT Reg'!AP$94:AP$109,'INPUT Reg'!$D$94:$D$109,$D164,'INPUT Reg'!$C$94:$C$109,$C164,'INPUT Reg'!$B$94:$B$109,$B164)</f>
        <v>1.7817540407527588E-6</v>
      </c>
      <c r="U164" s="105">
        <f>SUMIFS('INPUT Reg'!AQ$94:AQ$109,'INPUT Reg'!$D$94:$D$109,$D164,'INPUT Reg'!$C$94:$C$109,$C164,'INPUT Reg'!$B$94:$B$109,$B164)</f>
        <v>2.1250585315879533E-6</v>
      </c>
      <c r="V164" s="105">
        <f>SUMIFS('INPUT Reg'!AR$94:AR$109,'INPUT Reg'!$D$94:$D$109,$D164,'INPUT Reg'!$C$94:$C$109,$C164,'INPUT Reg'!$B$94:$B$109,$B164)</f>
        <v>-9.1211758773769636E-2</v>
      </c>
      <c r="W164" s="105">
        <f>SUMIFS('INPUT Reg'!AS$94:AS$109,'INPUT Reg'!$D$94:$D$109,$D164,'INPUT Reg'!$C$94:$C$109,$C164,'INPUT Reg'!$B$94:$B$109,$B164)</f>
        <v>2.4067103998604011E-6</v>
      </c>
      <c r="X164" s="105">
        <f>SUMIFS('INPUT Reg'!AT$94:AT$109,'INPUT Reg'!$D$94:$D$109,$D164,'INPUT Reg'!$C$94:$C$109,$C164,'INPUT Reg'!$B$94:$B$109,$B164)</f>
        <v>1.8122475946569239E-6</v>
      </c>
      <c r="Y164" s="105">
        <f>SUMIFS('INPUT Reg'!AU$94:AU$109,'INPUT Reg'!$D$94:$D$109,$D164,'INPUT Reg'!$C$94:$C$109,$C164,'INPUT Reg'!$B$94:$B$109,$B164)</f>
        <v>1.8836068700345265E-6</v>
      </c>
      <c r="Z164" s="105">
        <f>SUMIFS('INPUT Reg'!AV$94:AV$109,'INPUT Reg'!$D$94:$D$109,$D164,'INPUT Reg'!$C$94:$C$109,$C164,'INPUT Reg'!$B$94:$B$109,$B164)</f>
        <v>1.7040712561033899E-6</v>
      </c>
      <c r="AA164" s="105">
        <f>SUMIFS('INPUT Reg'!AW$94:AW$109,'INPUT Reg'!$D$94:$D$109,$D164,'INPUT Reg'!$C$94:$C$109,$C164,'INPUT Reg'!$B$94:$B$109,$B164)</f>
        <v>0</v>
      </c>
    </row>
    <row r="165" spans="1:27" x14ac:dyDescent="0.25">
      <c r="A165" s="101">
        <v>36</v>
      </c>
      <c r="B165" s="47" t="str">
        <f>B153</f>
        <v>Western</v>
      </c>
      <c r="C165" s="47" t="str">
        <f t="shared" ref="C165:D165" si="84">C153</f>
        <v>N</v>
      </c>
      <c r="D165" s="47" t="str">
        <f t="shared" si="84"/>
        <v>Water</v>
      </c>
      <c r="E165" s="47" t="s">
        <v>669</v>
      </c>
      <c r="F165" s="47" t="s">
        <v>670</v>
      </c>
      <c r="G165" s="108">
        <f>IF(D165=W,WW_N_W_N,IF(D165=S,WW_N_S_N,IF(D165=WS,WW_N_W_N+WW_N_S_N,WW_N_R_N)))</f>
        <v>340.18</v>
      </c>
      <c r="H165" s="106">
        <f>G165*(1+$G$14)*(1+H164)</f>
        <v>341.21572319483363</v>
      </c>
      <c r="I165" s="106">
        <f t="shared" ref="I165:AA165" si="85">H165*(1+$G$14)*(1+I164)</f>
        <v>341.21640188308294</v>
      </c>
      <c r="J165" s="106">
        <f t="shared" si="85"/>
        <v>341.2193058127362</v>
      </c>
      <c r="K165" s="106">
        <f t="shared" si="85"/>
        <v>341.22135864343329</v>
      </c>
      <c r="L165" s="106">
        <f t="shared" si="85"/>
        <v>336.93799891843111</v>
      </c>
      <c r="M165" s="106">
        <f t="shared" si="85"/>
        <v>336.9404682740302</v>
      </c>
      <c r="N165" s="106">
        <f t="shared" si="85"/>
        <v>336.94126750953433</v>
      </c>
      <c r="O165" s="106">
        <f t="shared" si="85"/>
        <v>336.94287347193546</v>
      </c>
      <c r="P165" s="106">
        <f t="shared" si="85"/>
        <v>336.94394588083316</v>
      </c>
      <c r="Q165" s="106">
        <f t="shared" si="85"/>
        <v>286.51087833539066</v>
      </c>
      <c r="R165" s="106">
        <f t="shared" si="85"/>
        <v>286.51171721165372</v>
      </c>
      <c r="S165" s="106">
        <f t="shared" si="85"/>
        <v>286.51260170581753</v>
      </c>
      <c r="T165" s="106">
        <f t="shared" si="85"/>
        <v>286.51311220080333</v>
      </c>
      <c r="U165" s="106">
        <f t="shared" si="85"/>
        <v>286.51372105793683</v>
      </c>
      <c r="V165" s="106">
        <f t="shared" si="85"/>
        <v>260.3803006474252</v>
      </c>
      <c r="W165" s="106">
        <f t="shared" si="85"/>
        <v>260.38092730740271</v>
      </c>
      <c r="X165" s="106">
        <f t="shared" si="85"/>
        <v>260.38139918211192</v>
      </c>
      <c r="Y165" s="106">
        <f t="shared" si="85"/>
        <v>260.38188963830424</v>
      </c>
      <c r="Z165" s="106">
        <f t="shared" si="85"/>
        <v>260.38233334759798</v>
      </c>
      <c r="AA165" s="106">
        <f t="shared" si="85"/>
        <v>260.38233334759798</v>
      </c>
    </row>
    <row r="166" spans="1:27" x14ac:dyDescent="0.25">
      <c r="B166" s="47" t="str">
        <f>B153</f>
        <v>Western</v>
      </c>
      <c r="C166" s="47" t="str">
        <f t="shared" ref="C166:D166" si="86">C153</f>
        <v>N</v>
      </c>
      <c r="D166" s="47" t="str">
        <f t="shared" si="86"/>
        <v>Water</v>
      </c>
      <c r="E166" s="47" t="s">
        <v>671</v>
      </c>
      <c r="F166" s="47" t="s">
        <v>672</v>
      </c>
      <c r="G166" s="109">
        <f>IF(OR(D166=W,D166=WS),WW_N_W_V,IF(D166=RW,WW_N_R_V,0))</f>
        <v>3.0611000000000002</v>
      </c>
      <c r="H166" s="110">
        <f>G166*(1+$G$14)*(1+H164)</f>
        <v>3.0704199255444329</v>
      </c>
      <c r="I166" s="110">
        <f t="shared" ref="I166:AA166" si="87">H166*(1+$G$14)*(1+I164)</f>
        <v>3.0704260327012323</v>
      </c>
      <c r="J166" s="110">
        <f t="shared" si="87"/>
        <v>3.0704521636291573</v>
      </c>
      <c r="K166" s="110">
        <f t="shared" si="87"/>
        <v>3.0704706359674692</v>
      </c>
      <c r="L166" s="110">
        <f t="shared" si="87"/>
        <v>3.0319269459968532</v>
      </c>
      <c r="M166" s="110">
        <f t="shared" si="87"/>
        <v>3.0319491664225819</v>
      </c>
      <c r="N166" s="110">
        <f t="shared" si="87"/>
        <v>3.0319563583204054</v>
      </c>
      <c r="O166" s="110">
        <f t="shared" si="87"/>
        <v>3.0319708095271372</v>
      </c>
      <c r="P166" s="110">
        <f t="shared" si="87"/>
        <v>3.0319804595679294</v>
      </c>
      <c r="Q166" s="110">
        <f t="shared" si="87"/>
        <v>2.5781599437723095</v>
      </c>
      <c r="R166" s="110">
        <f t="shared" si="87"/>
        <v>2.5781674923763687</v>
      </c>
      <c r="S166" s="110">
        <f t="shared" si="87"/>
        <v>2.5781754514718029</v>
      </c>
      <c r="T166" s="110">
        <f t="shared" si="87"/>
        <v>2.5781800451463313</v>
      </c>
      <c r="U166" s="110">
        <f t="shared" si="87"/>
        <v>2.5781855239298324</v>
      </c>
      <c r="V166" s="110">
        <f t="shared" si="87"/>
        <v>2.3430246878471195</v>
      </c>
      <c r="W166" s="110">
        <f t="shared" si="87"/>
        <v>2.3430303268290027</v>
      </c>
      <c r="X166" s="110">
        <f t="shared" si="87"/>
        <v>2.3430345729800766</v>
      </c>
      <c r="Y166" s="110">
        <f t="shared" si="87"/>
        <v>2.343038986336095</v>
      </c>
      <c r="Z166" s="110">
        <f t="shared" si="87"/>
        <v>2.3430429790414835</v>
      </c>
      <c r="AA166" s="110">
        <f t="shared" si="87"/>
        <v>2.3430429790414835</v>
      </c>
    </row>
    <row r="167" spans="1:27" x14ac:dyDescent="0.25">
      <c r="B167" s="47" t="str">
        <f>B153</f>
        <v>Western</v>
      </c>
      <c r="C167" s="47" t="str">
        <f t="shared" ref="C167:D167" si="88">C153</f>
        <v>N</v>
      </c>
      <c r="D167" s="47" t="str">
        <f t="shared" si="88"/>
        <v>Water</v>
      </c>
      <c r="E167" s="47" t="s">
        <v>673</v>
      </c>
      <c r="F167" s="47" t="s">
        <v>672</v>
      </c>
      <c r="G167" s="109"/>
      <c r="H167" s="110">
        <f>G167*(1+$G$14)*(1+H164)</f>
        <v>0</v>
      </c>
      <c r="I167" s="110">
        <f t="shared" ref="I167:AA167" si="89">H167*(1+$G$14)*(1+I164)</f>
        <v>0</v>
      </c>
      <c r="J167" s="110">
        <f t="shared" si="89"/>
        <v>0</v>
      </c>
      <c r="K167" s="110">
        <f t="shared" si="89"/>
        <v>0</v>
      </c>
      <c r="L167" s="110">
        <f t="shared" si="89"/>
        <v>0</v>
      </c>
      <c r="M167" s="110">
        <f t="shared" si="89"/>
        <v>0</v>
      </c>
      <c r="N167" s="110">
        <f t="shared" si="89"/>
        <v>0</v>
      </c>
      <c r="O167" s="110">
        <f t="shared" si="89"/>
        <v>0</v>
      </c>
      <c r="P167" s="110">
        <f t="shared" si="89"/>
        <v>0</v>
      </c>
      <c r="Q167" s="110">
        <f t="shared" si="89"/>
        <v>0</v>
      </c>
      <c r="R167" s="110">
        <f t="shared" si="89"/>
        <v>0</v>
      </c>
      <c r="S167" s="110">
        <f t="shared" si="89"/>
        <v>0</v>
      </c>
      <c r="T167" s="110">
        <f t="shared" si="89"/>
        <v>0</v>
      </c>
      <c r="U167" s="110">
        <f t="shared" si="89"/>
        <v>0</v>
      </c>
      <c r="V167" s="110">
        <f t="shared" si="89"/>
        <v>0</v>
      </c>
      <c r="W167" s="110">
        <f t="shared" si="89"/>
        <v>0</v>
      </c>
      <c r="X167" s="110">
        <f t="shared" si="89"/>
        <v>0</v>
      </c>
      <c r="Y167" s="110">
        <f t="shared" si="89"/>
        <v>0</v>
      </c>
      <c r="Z167" s="110">
        <f t="shared" si="89"/>
        <v>0</v>
      </c>
      <c r="AA167" s="110">
        <f t="shared" si="89"/>
        <v>0</v>
      </c>
    </row>
    <row r="168" spans="1:27" x14ac:dyDescent="0.25">
      <c r="B168" s="47" t="str">
        <f>B153</f>
        <v>Western</v>
      </c>
      <c r="C168" s="47" t="str">
        <f t="shared" ref="C168:D168" si="90">C153</f>
        <v>N</v>
      </c>
      <c r="D168" s="47" t="str">
        <f t="shared" si="90"/>
        <v>Water</v>
      </c>
      <c r="E168" s="47" t="s">
        <v>674</v>
      </c>
      <c r="F168" s="47" t="s">
        <v>672</v>
      </c>
      <c r="G168" s="109">
        <f>IF(OR(D168=S,D168=WS),WW_N_SDC,0)</f>
        <v>0</v>
      </c>
      <c r="H168" s="110">
        <f>G168*(1+$G$14)*(1+H164)</f>
        <v>0</v>
      </c>
      <c r="I168" s="110">
        <f t="shared" ref="I168:AA168" si="91">H168*(1+$G$14)*(1+I164)</f>
        <v>0</v>
      </c>
      <c r="J168" s="110">
        <f t="shared" si="91"/>
        <v>0</v>
      </c>
      <c r="K168" s="110">
        <f t="shared" si="91"/>
        <v>0</v>
      </c>
      <c r="L168" s="110">
        <f t="shared" si="91"/>
        <v>0</v>
      </c>
      <c r="M168" s="110">
        <f t="shared" si="91"/>
        <v>0</v>
      </c>
      <c r="N168" s="110">
        <f t="shared" si="91"/>
        <v>0</v>
      </c>
      <c r="O168" s="110">
        <f t="shared" si="91"/>
        <v>0</v>
      </c>
      <c r="P168" s="110">
        <f t="shared" si="91"/>
        <v>0</v>
      </c>
      <c r="Q168" s="110">
        <f t="shared" si="91"/>
        <v>0</v>
      </c>
      <c r="R168" s="110">
        <f t="shared" si="91"/>
        <v>0</v>
      </c>
      <c r="S168" s="110">
        <f t="shared" si="91"/>
        <v>0</v>
      </c>
      <c r="T168" s="110">
        <f t="shared" si="91"/>
        <v>0</v>
      </c>
      <c r="U168" s="110">
        <f t="shared" si="91"/>
        <v>0</v>
      </c>
      <c r="V168" s="110">
        <f t="shared" si="91"/>
        <v>0</v>
      </c>
      <c r="W168" s="110">
        <f t="shared" si="91"/>
        <v>0</v>
      </c>
      <c r="X168" s="110">
        <f t="shared" si="91"/>
        <v>0</v>
      </c>
      <c r="Y168" s="110">
        <f t="shared" si="91"/>
        <v>0</v>
      </c>
      <c r="Z168" s="110">
        <f t="shared" si="91"/>
        <v>0</v>
      </c>
      <c r="AA168" s="110">
        <f t="shared" si="91"/>
        <v>0</v>
      </c>
    </row>
    <row r="169" spans="1:27" x14ac:dyDescent="0.25">
      <c r="C169" s="100"/>
      <c r="D169" s="100"/>
    </row>
    <row r="170" spans="1:27" x14ac:dyDescent="0.25">
      <c r="C170" s="100"/>
      <c r="D170" s="100"/>
      <c r="E170" s="47" t="s">
        <v>685</v>
      </c>
      <c r="F170" s="47" t="s">
        <v>676</v>
      </c>
      <c r="H170" s="106">
        <f>SUM(H161:H163)/1000</f>
        <v>42.498902453607599</v>
      </c>
      <c r="I170" s="106">
        <f t="shared" ref="I170:AA170" si="92">SUM(I161:I163)/1000</f>
        <v>91.199029483300805</v>
      </c>
      <c r="J170" s="106">
        <f t="shared" si="92"/>
        <v>134.18585407143416</v>
      </c>
      <c r="K170" s="106">
        <f t="shared" si="92"/>
        <v>183.32319623961098</v>
      </c>
      <c r="L170" s="106">
        <f t="shared" si="92"/>
        <v>246.97286190614943</v>
      </c>
      <c r="M170" s="106">
        <f t="shared" si="92"/>
        <v>316.90574777903328</v>
      </c>
      <c r="N170" s="106">
        <f t="shared" si="92"/>
        <v>378.66586108311111</v>
      </c>
      <c r="O170" s="106">
        <f t="shared" si="92"/>
        <v>434.78511489156807</v>
      </c>
      <c r="P170" s="106">
        <f t="shared" si="92"/>
        <v>487.09822657676665</v>
      </c>
      <c r="Q170" s="106">
        <f t="shared" si="92"/>
        <v>539.80583237295491</v>
      </c>
      <c r="R170" s="106">
        <f t="shared" si="92"/>
        <v>593.02985731020294</v>
      </c>
      <c r="S170" s="106">
        <f t="shared" si="92"/>
        <v>648.98597695664773</v>
      </c>
      <c r="T170" s="106">
        <f t="shared" si="92"/>
        <v>703.20379274809022</v>
      </c>
      <c r="U170" s="106">
        <f t="shared" si="92"/>
        <v>764.4591201834977</v>
      </c>
      <c r="V170" s="106">
        <f t="shared" si="92"/>
        <v>827.47691116548765</v>
      </c>
      <c r="W170" s="106">
        <f t="shared" si="92"/>
        <v>899.63763303180542</v>
      </c>
      <c r="X170" s="106">
        <f t="shared" si="92"/>
        <v>974.56844471257182</v>
      </c>
      <c r="Y170" s="106">
        <f t="shared" si="92"/>
        <v>1051.1382632024063</v>
      </c>
      <c r="Z170" s="106">
        <f t="shared" si="92"/>
        <v>1127.1374347891372</v>
      </c>
      <c r="AA170" s="106">
        <f t="shared" si="92"/>
        <v>1199.727841804116</v>
      </c>
    </row>
    <row r="171" spans="1:27" x14ac:dyDescent="0.25">
      <c r="C171" s="100"/>
      <c r="D171" s="100"/>
      <c r="E171" s="47" t="s">
        <v>686</v>
      </c>
      <c r="F171" s="47" t="s">
        <v>639</v>
      </c>
      <c r="H171" s="106">
        <f>H154*H165+H161*H166+H162*H167+H163*H168</f>
        <v>150484.00430520179</v>
      </c>
      <c r="I171" s="106">
        <f t="shared" ref="I171:AA171" si="93">I154*I165+I161*I166+I162*I167+I163*I168</f>
        <v>323216.95456434396</v>
      </c>
      <c r="J171" s="106">
        <f t="shared" si="93"/>
        <v>475393.88291389868</v>
      </c>
      <c r="K171" s="106">
        <f t="shared" si="93"/>
        <v>649411.5220626418</v>
      </c>
      <c r="L171" s="106">
        <f t="shared" si="93"/>
        <v>865167.54160853964</v>
      </c>
      <c r="M171" s="106">
        <f t="shared" si="93"/>
        <v>1111850.2927172489</v>
      </c>
      <c r="N171" s="106">
        <f t="shared" si="93"/>
        <v>1330204.8456694831</v>
      </c>
      <c r="O171" s="106">
        <f t="shared" si="93"/>
        <v>1528704.7020852715</v>
      </c>
      <c r="P171" s="106">
        <f t="shared" si="93"/>
        <v>1715468.047657754</v>
      </c>
      <c r="Q171" s="106">
        <f t="shared" si="93"/>
        <v>1618569.9757553076</v>
      </c>
      <c r="R171" s="106">
        <f t="shared" si="93"/>
        <v>1780038.1811608623</v>
      </c>
      <c r="S171" s="106">
        <f t="shared" si="93"/>
        <v>1948777.1058728755</v>
      </c>
      <c r="T171" s="106">
        <f t="shared" si="93"/>
        <v>2113918.9824053072</v>
      </c>
      <c r="U171" s="106">
        <f t="shared" si="93"/>
        <v>2299589.7632351317</v>
      </c>
      <c r="V171" s="106">
        <f t="shared" si="93"/>
        <v>2263720.410492958</v>
      </c>
      <c r="W171" s="106">
        <f t="shared" si="93"/>
        <v>2461337.4861117853</v>
      </c>
      <c r="X171" s="106">
        <f t="shared" si="93"/>
        <v>2668204.3552628248</v>
      </c>
      <c r="Y171" s="106">
        <f t="shared" si="93"/>
        <v>2878274.4921091744</v>
      </c>
      <c r="Z171" s="106">
        <f t="shared" si="93"/>
        <v>3086112.9095762493</v>
      </c>
      <c r="AA171" s="106">
        <f t="shared" si="93"/>
        <v>3284866.1274943729</v>
      </c>
    </row>
    <row r="172" spans="1:27" x14ac:dyDescent="0.25">
      <c r="C172" s="100"/>
      <c r="D172" s="100"/>
    </row>
    <row r="173" spans="1:27" x14ac:dyDescent="0.25">
      <c r="C173" s="100"/>
      <c r="D173" s="47" t="s">
        <v>687</v>
      </c>
    </row>
    <row r="174" spans="1:27" x14ac:dyDescent="0.25">
      <c r="C174" s="100"/>
      <c r="E174" s="47" t="s">
        <v>688</v>
      </c>
      <c r="F174" s="47" t="s">
        <v>655</v>
      </c>
      <c r="H174" s="47">
        <f t="shared" ref="H174:AA175" si="94">SUM(H93,H114,H135,H156)</f>
        <v>15544.971090414179</v>
      </c>
      <c r="I174" s="47">
        <f t="shared" si="94"/>
        <v>16336.952034106584</v>
      </c>
      <c r="J174" s="47">
        <f t="shared" si="94"/>
        <v>13938.044697859257</v>
      </c>
      <c r="K174" s="47">
        <f t="shared" si="94"/>
        <v>14031.794595694702</v>
      </c>
      <c r="L174" s="47">
        <f t="shared" si="94"/>
        <v>13937.451247315776</v>
      </c>
      <c r="M174" s="47">
        <f t="shared" si="94"/>
        <v>13685.416900912205</v>
      </c>
      <c r="N174" s="47">
        <f t="shared" si="94"/>
        <v>13614.991037745334</v>
      </c>
      <c r="O174" s="47">
        <f t="shared" si="94"/>
        <v>13888.246371275058</v>
      </c>
      <c r="P174" s="47">
        <f t="shared" si="94"/>
        <v>14110.263612463896</v>
      </c>
      <c r="Q174" s="47">
        <f t="shared" si="94"/>
        <v>14426.067610562834</v>
      </c>
      <c r="R174" s="47">
        <f t="shared" si="94"/>
        <v>14747.112436557705</v>
      </c>
      <c r="S174" s="47">
        <f t="shared" si="94"/>
        <v>14990.411775872697</v>
      </c>
      <c r="T174" s="47">
        <f t="shared" si="94"/>
        <v>15210.339322882628</v>
      </c>
      <c r="U174" s="47">
        <f t="shared" si="94"/>
        <v>15345.611145822648</v>
      </c>
      <c r="V174" s="47">
        <f t="shared" si="94"/>
        <v>15466.518001478984</v>
      </c>
      <c r="W174" s="47">
        <f t="shared" si="94"/>
        <v>15506.75763924179</v>
      </c>
      <c r="X174" s="47">
        <f t="shared" si="94"/>
        <v>15601.596615746465</v>
      </c>
      <c r="Y174" s="47">
        <f t="shared" si="94"/>
        <v>15516.898538700236</v>
      </c>
      <c r="Z174" s="47">
        <f t="shared" si="94"/>
        <v>15535.883043481299</v>
      </c>
      <c r="AA174" s="47">
        <f t="shared" si="94"/>
        <v>15654.810697922205</v>
      </c>
    </row>
    <row r="175" spans="1:27" x14ac:dyDescent="0.25">
      <c r="C175" s="100"/>
      <c r="D175" s="100"/>
      <c r="E175" s="47" t="s">
        <v>689</v>
      </c>
      <c r="F175" s="47" t="s">
        <v>655</v>
      </c>
      <c r="H175" s="47">
        <f t="shared" si="94"/>
        <v>15544.971090414179</v>
      </c>
      <c r="I175" s="47">
        <f t="shared" si="94"/>
        <v>31881.923124520763</v>
      </c>
      <c r="J175" s="47">
        <f t="shared" si="94"/>
        <v>45819.967822380022</v>
      </c>
      <c r="K175" s="47">
        <f t="shared" si="94"/>
        <v>59851.762418074723</v>
      </c>
      <c r="L175" s="47">
        <f t="shared" si="94"/>
        <v>73789.213665390504</v>
      </c>
      <c r="M175" s="47">
        <f t="shared" si="94"/>
        <v>87474.630566302716</v>
      </c>
      <c r="N175" s="47">
        <f t="shared" si="94"/>
        <v>101089.62160404805</v>
      </c>
      <c r="O175" s="47">
        <f t="shared" si="94"/>
        <v>114977.86797532311</v>
      </c>
      <c r="P175" s="47">
        <f t="shared" si="94"/>
        <v>129088.13158778701</v>
      </c>
      <c r="Q175" s="47">
        <f t="shared" si="94"/>
        <v>143514.19919834982</v>
      </c>
      <c r="R175" s="47">
        <f t="shared" si="94"/>
        <v>158261.31163490753</v>
      </c>
      <c r="S175" s="47">
        <f t="shared" si="94"/>
        <v>173251.72341078025</v>
      </c>
      <c r="T175" s="47">
        <f t="shared" si="94"/>
        <v>188462.06273366287</v>
      </c>
      <c r="U175" s="47">
        <f t="shared" si="94"/>
        <v>203807.67387948552</v>
      </c>
      <c r="V175" s="47">
        <f t="shared" si="94"/>
        <v>219274.1918809645</v>
      </c>
      <c r="W175" s="47">
        <f t="shared" si="94"/>
        <v>234780.94952020628</v>
      </c>
      <c r="X175" s="47">
        <f t="shared" si="94"/>
        <v>250382.54613595275</v>
      </c>
      <c r="Y175" s="47">
        <f t="shared" si="94"/>
        <v>265899.44467465294</v>
      </c>
      <c r="Z175" s="47">
        <f t="shared" si="94"/>
        <v>281435.32771813427</v>
      </c>
      <c r="AA175" s="47">
        <f t="shared" si="94"/>
        <v>297090.13841605652</v>
      </c>
    </row>
    <row r="176" spans="1:27" x14ac:dyDescent="0.25">
      <c r="C176" s="100"/>
      <c r="D176" s="100"/>
      <c r="E176" s="47" t="s">
        <v>690</v>
      </c>
      <c r="F176" s="47" t="s">
        <v>676</v>
      </c>
      <c r="H176" s="106">
        <f t="shared" ref="H176:AA177" si="95">SUM(H107,H128,H149,H170)</f>
        <v>2746.4411301136161</v>
      </c>
      <c r="I176" s="106">
        <f t="shared" si="95"/>
        <v>5636.8514227867845</v>
      </c>
      <c r="J176" s="106">
        <f t="shared" si="95"/>
        <v>7957.9614708837025</v>
      </c>
      <c r="K176" s="106">
        <f t="shared" si="95"/>
        <v>10290.926428925675</v>
      </c>
      <c r="L176" s="106">
        <f t="shared" si="95"/>
        <v>12571.118126646626</v>
      </c>
      <c r="M176" s="106">
        <f t="shared" si="95"/>
        <v>14675.293889002114</v>
      </c>
      <c r="N176" s="106">
        <f t="shared" si="95"/>
        <v>16931.36777820934</v>
      </c>
      <c r="O176" s="106">
        <f t="shared" si="95"/>
        <v>19093.459837746625</v>
      </c>
      <c r="P176" s="106">
        <f t="shared" si="95"/>
        <v>21245.966509991722</v>
      </c>
      <c r="Q176" s="106">
        <f t="shared" si="95"/>
        <v>23242.969676407789</v>
      </c>
      <c r="R176" s="106">
        <f t="shared" si="95"/>
        <v>25413.339679201406</v>
      </c>
      <c r="S176" s="106">
        <f t="shared" si="95"/>
        <v>27599.665566515981</v>
      </c>
      <c r="T176" s="106">
        <f t="shared" si="95"/>
        <v>29784.112779293755</v>
      </c>
      <c r="U176" s="106">
        <f t="shared" si="95"/>
        <v>31971.51478168436</v>
      </c>
      <c r="V176" s="106">
        <f t="shared" si="95"/>
        <v>34151.285550566281</v>
      </c>
      <c r="W176" s="106">
        <f t="shared" si="95"/>
        <v>36318.461074371611</v>
      </c>
      <c r="X176" s="106">
        <f t="shared" si="95"/>
        <v>38348.328961642423</v>
      </c>
      <c r="Y176" s="106">
        <f t="shared" si="95"/>
        <v>40478.112971599527</v>
      </c>
      <c r="Z176" s="106">
        <f t="shared" si="95"/>
        <v>42595.507749422242</v>
      </c>
      <c r="AA176" s="106">
        <f t="shared" si="95"/>
        <v>45010.772454432052</v>
      </c>
    </row>
    <row r="177" spans="1:27" x14ac:dyDescent="0.25">
      <c r="C177" s="100"/>
      <c r="D177" s="100"/>
      <c r="E177" s="47" t="s">
        <v>691</v>
      </c>
      <c r="F177" s="47" t="s">
        <v>639</v>
      </c>
      <c r="H177" s="106">
        <f t="shared" si="95"/>
        <v>12107264.293825546</v>
      </c>
      <c r="I177" s="106">
        <f t="shared" si="95"/>
        <v>24841141.865222052</v>
      </c>
      <c r="J177" s="106">
        <f t="shared" si="95"/>
        <v>35247429.67599833</v>
      </c>
      <c r="K177" s="106">
        <f t="shared" si="95"/>
        <v>45717568.290419087</v>
      </c>
      <c r="L177" s="106">
        <f t="shared" si="95"/>
        <v>55260862.892891169</v>
      </c>
      <c r="M177" s="106">
        <f t="shared" si="95"/>
        <v>64795734.89177838</v>
      </c>
      <c r="N177" s="106">
        <f t="shared" si="95"/>
        <v>74826704.259903058</v>
      </c>
      <c r="O177" s="106">
        <f t="shared" si="95"/>
        <v>84636008.95523259</v>
      </c>
      <c r="P177" s="106">
        <f t="shared" si="95"/>
        <v>94483116.74082464</v>
      </c>
      <c r="Q177" s="106">
        <f t="shared" si="95"/>
        <v>91523590.480721921</v>
      </c>
      <c r="R177" s="106">
        <f t="shared" si="95"/>
        <v>100329970.79962641</v>
      </c>
      <c r="S177" s="106">
        <f t="shared" si="95"/>
        <v>109224458.31097089</v>
      </c>
      <c r="T177" s="106">
        <f t="shared" si="95"/>
        <v>118151426.37170927</v>
      </c>
      <c r="U177" s="106">
        <f t="shared" si="95"/>
        <v>127108462.78438832</v>
      </c>
      <c r="V177" s="106">
        <f t="shared" si="95"/>
        <v>125623258.44916701</v>
      </c>
      <c r="W177" s="106">
        <f t="shared" si="95"/>
        <v>133867394.76522949</v>
      </c>
      <c r="X177" s="106">
        <f t="shared" si="95"/>
        <v>141762429.71672091</v>
      </c>
      <c r="Y177" s="106">
        <f t="shared" si="95"/>
        <v>149907912.27911374</v>
      </c>
      <c r="Z177" s="106">
        <f t="shared" si="95"/>
        <v>158024104.56978294</v>
      </c>
      <c r="AA177" s="106">
        <f t="shared" si="95"/>
        <v>166904547.55343065</v>
      </c>
    </row>
    <row r="178" spans="1:27" x14ac:dyDescent="0.25">
      <c r="C178" s="100"/>
      <c r="D178" s="100"/>
    </row>
    <row r="179" spans="1:27" x14ac:dyDescent="0.25">
      <c r="C179" s="100"/>
      <c r="D179" s="100"/>
      <c r="E179" s="111" t="s">
        <v>692</v>
      </c>
      <c r="F179" s="111" t="s">
        <v>693</v>
      </c>
      <c r="G179" s="111"/>
      <c r="H179" s="112">
        <f>H176*1000/H175</f>
        <v>176.67714620628735</v>
      </c>
      <c r="I179" s="112">
        <f t="shared" ref="I179:AA179" si="96">I176*1000/I175</f>
        <v>176.80399644560384</v>
      </c>
      <c r="J179" s="112">
        <f t="shared" si="96"/>
        <v>173.67889697636946</v>
      </c>
      <c r="K179" s="112">
        <f t="shared" si="96"/>
        <v>171.94024057373292</v>
      </c>
      <c r="L179" s="112">
        <f t="shared" si="96"/>
        <v>170.36525397400843</v>
      </c>
      <c r="M179" s="112">
        <f t="shared" si="96"/>
        <v>167.76628599624385</v>
      </c>
      <c r="N179" s="112">
        <f t="shared" si="96"/>
        <v>167.48868488722621</v>
      </c>
      <c r="O179" s="112">
        <f t="shared" si="96"/>
        <v>166.06204458274107</v>
      </c>
      <c r="P179" s="112">
        <f t="shared" si="96"/>
        <v>164.58497189994029</v>
      </c>
      <c r="Q179" s="112">
        <f t="shared" si="96"/>
        <v>161.95588872905788</v>
      </c>
      <c r="R179" s="112">
        <f t="shared" si="96"/>
        <v>160.57834613318099</v>
      </c>
      <c r="S179" s="112">
        <f t="shared" si="96"/>
        <v>159.30384427447865</v>
      </c>
      <c r="T179" s="112">
        <f t="shared" si="96"/>
        <v>158.03770980361742</v>
      </c>
      <c r="U179" s="112">
        <f t="shared" si="96"/>
        <v>156.87100575314739</v>
      </c>
      <c r="V179" s="112">
        <f t="shared" si="96"/>
        <v>155.74694521781976</v>
      </c>
      <c r="W179" s="112">
        <f t="shared" si="96"/>
        <v>154.69083479128653</v>
      </c>
      <c r="X179" s="112">
        <f t="shared" si="96"/>
        <v>153.15895438182835</v>
      </c>
      <c r="Y179" s="112">
        <f t="shared" si="96"/>
        <v>152.23090451026479</v>
      </c>
      <c r="Z179" s="112">
        <f t="shared" si="96"/>
        <v>151.35096256317507</v>
      </c>
      <c r="AA179" s="112">
        <f t="shared" si="96"/>
        <v>151.50544105707485</v>
      </c>
    </row>
    <row r="180" spans="1:27" x14ac:dyDescent="0.25">
      <c r="C180" s="100"/>
      <c r="D180" s="100"/>
      <c r="E180" s="111" t="s">
        <v>694</v>
      </c>
      <c r="F180" s="111" t="s">
        <v>695</v>
      </c>
      <c r="G180" s="111"/>
      <c r="H180" s="112">
        <f>H177/H175</f>
        <v>778.85408878576186</v>
      </c>
      <c r="I180" s="112">
        <f t="shared" ref="I180:AA180" si="97">I177/I175</f>
        <v>779.16071023069617</v>
      </c>
      <c r="J180" s="112">
        <f t="shared" si="97"/>
        <v>769.2591538395252</v>
      </c>
      <c r="K180" s="112">
        <f t="shared" si="97"/>
        <v>763.84665118253508</v>
      </c>
      <c r="L180" s="112">
        <f t="shared" si="97"/>
        <v>748.90163680942271</v>
      </c>
      <c r="M180" s="112">
        <f t="shared" si="97"/>
        <v>740.73745121638979</v>
      </c>
      <c r="N180" s="112">
        <f t="shared" si="97"/>
        <v>740.20164555553822</v>
      </c>
      <c r="O180" s="112">
        <f t="shared" si="97"/>
        <v>736.10696080568675</v>
      </c>
      <c r="P180" s="112">
        <f t="shared" si="97"/>
        <v>731.9272157608923</v>
      </c>
      <c r="Q180" s="112">
        <f t="shared" si="97"/>
        <v>637.73195260092632</v>
      </c>
      <c r="R180" s="112">
        <f t="shared" si="97"/>
        <v>633.95134138074923</v>
      </c>
      <c r="S180" s="112">
        <f t="shared" si="97"/>
        <v>630.43793251048612</v>
      </c>
      <c r="T180" s="112">
        <f t="shared" si="97"/>
        <v>626.92419183951347</v>
      </c>
      <c r="U180" s="112">
        <f t="shared" si="97"/>
        <v>623.66867922524557</v>
      </c>
      <c r="V180" s="112">
        <f t="shared" si="97"/>
        <v>572.90489761495974</v>
      </c>
      <c r="W180" s="112">
        <f t="shared" si="97"/>
        <v>570.17997004781807</v>
      </c>
      <c r="X180" s="112">
        <f t="shared" si="97"/>
        <v>566.18335384985949</v>
      </c>
      <c r="Y180" s="112">
        <f t="shared" si="97"/>
        <v>563.77670311623569</v>
      </c>
      <c r="Z180" s="112">
        <f t="shared" si="97"/>
        <v>561.49349071076358</v>
      </c>
      <c r="AA180" s="112">
        <f t="shared" si="97"/>
        <v>561.79767003807797</v>
      </c>
    </row>
    <row r="181" spans="1:27" x14ac:dyDescent="0.25">
      <c r="C181" s="100"/>
      <c r="D181" s="100"/>
      <c r="E181" s="111" t="s">
        <v>696</v>
      </c>
      <c r="F181" s="111" t="s">
        <v>697</v>
      </c>
      <c r="G181" s="111"/>
      <c r="H181" s="112">
        <f>H177/H176</f>
        <v>4408.3465547738451</v>
      </c>
      <c r="I181" s="112">
        <f t="shared" ref="I181:AA181" si="98">I177/I176</f>
        <v>4406.9179763728671</v>
      </c>
      <c r="J181" s="112">
        <f t="shared" si="98"/>
        <v>4429.203358794879</v>
      </c>
      <c r="K181" s="112">
        <f t="shared" si="98"/>
        <v>4442.5124021794982</v>
      </c>
      <c r="L181" s="112">
        <f t="shared" si="98"/>
        <v>4395.8590108032122</v>
      </c>
      <c r="M181" s="112">
        <f t="shared" si="98"/>
        <v>4415.2938525024892</v>
      </c>
      <c r="N181" s="112">
        <f t="shared" si="98"/>
        <v>4419.4128460315524</v>
      </c>
      <c r="O181" s="112">
        <f t="shared" si="98"/>
        <v>4432.7224963132285</v>
      </c>
      <c r="P181" s="112">
        <f t="shared" si="98"/>
        <v>4447.1084286229279</v>
      </c>
      <c r="Q181" s="112">
        <f t="shared" si="98"/>
        <v>3937.6891918256347</v>
      </c>
      <c r="R181" s="112">
        <f t="shared" si="98"/>
        <v>3947.9254622224134</v>
      </c>
      <c r="S181" s="112">
        <f t="shared" si="98"/>
        <v>3957.4558629247454</v>
      </c>
      <c r="T181" s="112">
        <f t="shared" si="98"/>
        <v>3966.9278466421015</v>
      </c>
      <c r="U181" s="112">
        <f t="shared" si="98"/>
        <v>3975.6784641685294</v>
      </c>
      <c r="V181" s="112">
        <f t="shared" si="98"/>
        <v>3678.4342499541422</v>
      </c>
      <c r="W181" s="112">
        <f t="shared" si="98"/>
        <v>3685.9324653404437</v>
      </c>
      <c r="X181" s="112">
        <f t="shared" si="98"/>
        <v>3696.7042255874439</v>
      </c>
      <c r="Y181" s="112">
        <f t="shared" si="98"/>
        <v>3703.431342866525</v>
      </c>
      <c r="Z181" s="112">
        <f t="shared" si="98"/>
        <v>3709.8772363366497</v>
      </c>
      <c r="AA181" s="112">
        <f t="shared" si="98"/>
        <v>3708.1022709041767</v>
      </c>
    </row>
    <row r="182" spans="1:27" x14ac:dyDescent="0.25">
      <c r="C182" s="100"/>
      <c r="D182" s="100"/>
    </row>
    <row r="183" spans="1:27" x14ac:dyDescent="0.25">
      <c r="C183" s="100" t="str">
        <f>"Incremental "&amp;VLOOKUP(G4,E320:F323,2,FALSE)&amp;" Charges"</f>
        <v>Incremental Bulk Water Charges</v>
      </c>
      <c r="H183" s="106"/>
      <c r="I183" s="106"/>
      <c r="J183" s="106"/>
      <c r="K183" s="106"/>
      <c r="L183" s="106"/>
      <c r="M183" s="106"/>
      <c r="N183" s="106"/>
      <c r="O183" s="106"/>
      <c r="P183" s="106"/>
      <c r="Q183" s="106"/>
      <c r="R183" s="106"/>
      <c r="S183" s="106"/>
      <c r="T183" s="106"/>
      <c r="U183" s="106"/>
      <c r="V183" s="106"/>
      <c r="W183" s="106"/>
      <c r="X183" s="106"/>
      <c r="Y183" s="106"/>
      <c r="Z183" s="106"/>
      <c r="AA183" s="106"/>
    </row>
    <row r="184" spans="1:27" x14ac:dyDescent="0.25">
      <c r="A184" s="101">
        <v>37</v>
      </c>
      <c r="E184" s="47" t="s">
        <v>698</v>
      </c>
      <c r="F184" s="47" t="s">
        <v>633</v>
      </c>
      <c r="H184" s="113">
        <f>IFERROR(SUMIFS('INPUT Opex'!AD$63:AD$72,'INPUT Opex'!$A$63:$A$72,$A$1)/SUMIFS('INPUT Opex'!AC$63:AC$72,'INPUT Opex'!$A$63:$A$72,$A$1)-1,0)</f>
        <v>7.2419359233533154E-3</v>
      </c>
      <c r="I184" s="113">
        <f>IFERROR(SUMIFS('INPUT Opex'!AE$63:AE$72,'INPUT Opex'!$A$63:$A$72,$A$1)/SUMIFS('INPUT Opex'!AD$63:AD$72,'INPUT Opex'!$A$63:$A$72,$A$1)-1,0)</f>
        <v>6.9045137656178479E-3</v>
      </c>
      <c r="J184" s="113">
        <f>IFERROR(SUMIFS('INPUT Opex'!AF$63:AF$72,'INPUT Opex'!$A$63:$A$72,$A$1)/SUMIFS('INPUT Opex'!AE$63:AE$72,'INPUT Opex'!$A$63:$A$72,$A$1)-1,0)</f>
        <v>-1.2933423236149988E-4</v>
      </c>
      <c r="K184" s="113">
        <f>IFERROR(SUMIFS('INPUT Opex'!AG$63:AG$72,'INPUT Opex'!$A$63:$A$72,$A$1)/SUMIFS('INPUT Opex'!AF$63:AF$72,'INPUT Opex'!$A$63:$A$72,$A$1)-1,0)</f>
        <v>-2.7163567031252001E-4</v>
      </c>
      <c r="L184" s="113">
        <f>IFERROR(SUMIFS('INPUT Opex'!AH$63:AH$72,'INPUT Opex'!$A$63:$A$72,$A$1)/SUMIFS('INPUT Opex'!AG$63:AG$72,'INPUT Opex'!$A$63:$A$72,$A$1)-1,0)</f>
        <v>-2.2619390604416978E-4</v>
      </c>
      <c r="M184" s="113">
        <f>IFERROR(SUMIFS('INPUT Opex'!AI$63:AI$72,'INPUT Opex'!$A$63:$A$72,$A$1)/SUMIFS('INPUT Opex'!AH$63:AH$72,'INPUT Opex'!$A$63:$A$72,$A$1)-1,0)</f>
        <v>-6.0083177057479453E-4</v>
      </c>
      <c r="N184" s="113">
        <f>IFERROR(SUMIFS('INPUT Opex'!AJ$63:AJ$72,'INPUT Opex'!$A$63:$A$72,$A$1)/SUMIFS('INPUT Opex'!AI$63:AI$72,'INPUT Opex'!$A$63:$A$72,$A$1)-1,0)</f>
        <v>-4.7708085765896246E-4</v>
      </c>
      <c r="O184" s="113">
        <f>IFERROR(SUMIFS('INPUT Opex'!AK$63:AK$72,'INPUT Opex'!$A$63:$A$72,$A$1)/SUMIFS('INPUT Opex'!AJ$63:AJ$72,'INPUT Opex'!$A$63:$A$72,$A$1)-1,0)</f>
        <v>-7.1021332869658504E-4</v>
      </c>
      <c r="P184" s="113">
        <f>IFERROR(SUMIFS('INPUT Opex'!AL$63:AL$72,'INPUT Opex'!$A$63:$A$72,$A$1)/SUMIFS('INPUT Opex'!AK$63:AK$72,'INPUT Opex'!$A$63:$A$72,$A$1)-1,0)</f>
        <v>-4.8745563524288382E-4</v>
      </c>
      <c r="Q184" s="113">
        <f>IFERROR(SUMIFS('INPUT Opex'!AM$63:AM$72,'INPUT Opex'!$A$63:$A$72,$A$1)/SUMIFS('INPUT Opex'!AL$63:AL$72,'INPUT Opex'!$A$63:$A$72,$A$1)-1,0)</f>
        <v>-5.1503431856858573E-4</v>
      </c>
      <c r="R184" s="113">
        <f>IFERROR(SUMIFS('INPUT Opex'!AN$63:AN$72,'INPUT Opex'!$A$63:$A$72,$A$1)/SUMIFS('INPUT Opex'!AM$63:AM$72,'INPUT Opex'!$A$63:$A$72,$A$1)-1,0)</f>
        <v>-9.3703137087808308E-4</v>
      </c>
      <c r="S184" s="113">
        <f>IFERROR(SUMIFS('INPUT Opex'!AO$63:AO$72,'INPUT Opex'!$A$63:$A$72,$A$1)/SUMIFS('INPUT Opex'!AN$63:AN$72,'INPUT Opex'!$A$63:$A$72,$A$1)-1,0)</f>
        <v>-9.5404571141621819E-4</v>
      </c>
      <c r="T184" s="113">
        <f>IFERROR(SUMIFS('INPUT Opex'!AP$63:AP$72,'INPUT Opex'!$A$63:$A$72,$A$1)/SUMIFS('INPUT Opex'!AO$63:AO$72,'INPUT Opex'!$A$63:$A$72,$A$1)-1,0)</f>
        <v>-6.6847154788152174E-4</v>
      </c>
      <c r="U184" s="113">
        <f>IFERROR(SUMIFS('INPUT Opex'!AQ$63:AQ$72,'INPUT Opex'!$A$63:$A$72,$A$1)/SUMIFS('INPUT Opex'!AP$63:AP$72,'INPUT Opex'!$A$63:$A$72,$A$1)-1,0)</f>
        <v>-7.003568836291274E-4</v>
      </c>
      <c r="V184" s="113">
        <f>IFERROR(SUMIFS('INPUT Opex'!AR$63:AR$72,'INPUT Opex'!$A$63:$A$72,$A$1)/SUMIFS('INPUT Opex'!AQ$63:AQ$72,'INPUT Opex'!$A$63:$A$72,$A$1)-1,0)</f>
        <v>-5.225203849450466E-4</v>
      </c>
      <c r="W184" s="113">
        <f>IFERROR(SUMIFS('INPUT Opex'!AS$63:AS$72,'INPUT Opex'!$A$63:$A$72,$A$1)/SUMIFS('INPUT Opex'!AR$63:AR$72,'INPUT Opex'!$A$63:$A$72,$A$1)-1,0)</f>
        <v>-5.2382129538774969E-4</v>
      </c>
      <c r="X184" s="113">
        <f>IFERROR(SUMIFS('INPUT Opex'!AT$63:AT$72,'INPUT Opex'!$A$63:$A$72,$A$1)/SUMIFS('INPUT Opex'!AS$63:AS$72,'INPUT Opex'!$A$63:$A$72,$A$1)-1,0)</f>
        <v>-2.875518361490359E-4</v>
      </c>
      <c r="Y184" s="113">
        <f>IFERROR(SUMIFS('INPUT Opex'!AU$63:AU$72,'INPUT Opex'!$A$63:$A$72,$A$1)/SUMIFS('INPUT Opex'!AT$63:AT$72,'INPUT Opex'!$A$63:$A$72,$A$1)-1,0)</f>
        <v>-7.3519390894638548E-4</v>
      </c>
      <c r="Z184" s="113">
        <f>IFERROR(SUMIFS('INPUT Opex'!AV$63:AV$72,'INPUT Opex'!$A$63:$A$72,$A$1)/SUMIFS('INPUT Opex'!AU$63:AU$72,'INPUT Opex'!$A$63:$A$72,$A$1)-1,0)</f>
        <v>-6.2936031112426072E-4</v>
      </c>
      <c r="AA184" s="113">
        <f>IFERROR(SUMIFS('INPUT Opex'!AW$63:AW$72,'INPUT Opex'!$A$63:$A$72,$A$1)/SUMIFS('INPUT Opex'!AV$63:AV$72,'INPUT Opex'!$A$63:$A$72,$A$1)-1,0)</f>
        <v>-6.8130689736090044E-4</v>
      </c>
    </row>
    <row r="185" spans="1:27" x14ac:dyDescent="0.25">
      <c r="A185" s="101">
        <v>38</v>
      </c>
      <c r="E185" s="47" t="s">
        <v>699</v>
      </c>
      <c r="F185" s="47" t="s">
        <v>697</v>
      </c>
      <c r="G185" s="102">
        <f>SUMIFS('INPUT Opex'!AC$75:AC$80,'INPUT Opex'!$A$75:$A$80,$A$1)</f>
        <v>292.83834137199926</v>
      </c>
      <c r="H185" s="106">
        <f t="shared" ref="H185:AA185" si="99">G185*(1+$G$14)*(1+H184)</f>
        <v>294.95905787611633</v>
      </c>
      <c r="I185" s="106">
        <f t="shared" si="99"/>
        <v>296.99560675151565</v>
      </c>
      <c r="J185" s="106">
        <f t="shared" si="99"/>
        <v>296.95719505270171</v>
      </c>
      <c r="K185" s="106">
        <f t="shared" si="99"/>
        <v>296.87653088596943</v>
      </c>
      <c r="L185" s="106">
        <f t="shared" si="99"/>
        <v>296.80937922383549</v>
      </c>
      <c r="M185" s="106">
        <f t="shared" si="99"/>
        <v>296.63104671899322</v>
      </c>
      <c r="N185" s="106">
        <f t="shared" si="99"/>
        <v>296.48952972481624</v>
      </c>
      <c r="O185" s="106">
        <f t="shared" si="99"/>
        <v>296.27895890898668</v>
      </c>
      <c r="P185" s="106">
        <f t="shared" si="99"/>
        <v>296.13453606086262</v>
      </c>
      <c r="Q185" s="106">
        <f t="shared" si="99"/>
        <v>295.9820166118779</v>
      </c>
      <c r="R185" s="106">
        <f t="shared" si="99"/>
        <v>295.70467217709682</v>
      </c>
      <c r="S185" s="106">
        <f t="shared" si="99"/>
        <v>295.42255640276051</v>
      </c>
      <c r="T185" s="106">
        <f t="shared" si="99"/>
        <v>295.22507482920281</v>
      </c>
      <c r="U185" s="106">
        <f t="shared" si="99"/>
        <v>295.01831191582625</v>
      </c>
      <c r="V185" s="106">
        <f t="shared" si="99"/>
        <v>294.86415883391817</v>
      </c>
      <c r="W185" s="106">
        <f t="shared" si="99"/>
        <v>294.70970270827439</v>
      </c>
      <c r="X185" s="106">
        <f t="shared" si="99"/>
        <v>294.62495839212971</v>
      </c>
      <c r="Y185" s="106">
        <f t="shared" si="99"/>
        <v>294.40835191729622</v>
      </c>
      <c r="Z185" s="106">
        <f t="shared" si="99"/>
        <v>294.22306298533596</v>
      </c>
      <c r="AA185" s="106">
        <f t="shared" si="99"/>
        <v>294.02260678316139</v>
      </c>
    </row>
    <row r="186" spans="1:27" x14ac:dyDescent="0.25">
      <c r="A186" s="101">
        <v>39</v>
      </c>
      <c r="E186" s="47" t="s">
        <v>700</v>
      </c>
      <c r="F186" s="47" t="s">
        <v>639</v>
      </c>
      <c r="G186" s="106"/>
      <c r="H186" s="102">
        <f>SUMIFS('INPUT Opex'!AD$44:AD$53,'INPUT Opex'!$A$44:$A$53,$A$1)</f>
        <v>4981881.3228898058</v>
      </c>
      <c r="I186" s="102">
        <f>SUMIFS('INPUT Opex'!AE$44:AE$53,'INPUT Opex'!$A$44:$A$53,$A$1)</f>
        <v>9814728.9006596785</v>
      </c>
      <c r="J186" s="102">
        <f>SUMIFS('INPUT Opex'!AF$44:AF$53,'INPUT Opex'!$A$44:$A$53,$A$1)</f>
        <v>13749659.867254604</v>
      </c>
      <c r="K186" s="102">
        <f>SUMIFS('INPUT Opex'!AG$44:AG$53,'INPUT Opex'!$A$44:$A$53,$A$1)</f>
        <v>17530348.156906243</v>
      </c>
      <c r="L186" s="102">
        <f>SUMIFS('INPUT Opex'!AH$44:AH$53,'INPUT Opex'!$A$44:$A$53,$A$1)</f>
        <v>21098194.595146231</v>
      </c>
      <c r="M186" s="102">
        <f>SUMIFS('INPUT Opex'!AI$44:AI$53,'INPUT Opex'!$A$44:$A$53,$A$1)</f>
        <v>24425998.219896194</v>
      </c>
      <c r="N186" s="102">
        <f>SUMIFS('INPUT Opex'!AJ$44:AJ$53,'INPUT Opex'!$A$44:$A$53,$A$1)</f>
        <v>27601215.848293733</v>
      </c>
      <c r="O186" s="102">
        <f>SUMIFS('INPUT Opex'!AK$44:AK$53,'INPUT Opex'!$A$44:$A$53,$A$1)</f>
        <v>30699506.063811436</v>
      </c>
      <c r="P186" s="102">
        <f>SUMIFS('INPUT Opex'!AL$44:AL$53,'INPUT Opex'!$A$44:$A$53,$A$1)</f>
        <v>33723835.887523741</v>
      </c>
      <c r="Q186" s="102">
        <f>SUMIFS('INPUT Opex'!AM$44:AM$53,'INPUT Opex'!$A$44:$A$53,$A$1)</f>
        <v>36690314.509508841</v>
      </c>
      <c r="R186" s="102">
        <f>SUMIFS('INPUT Opex'!AN$44:AN$53,'INPUT Opex'!$A$44:$A$53,$A$1)</f>
        <v>39597935.610585682</v>
      </c>
      <c r="S186" s="102">
        <f>SUMIFS('INPUT Opex'!AO$44:AO$53,'INPUT Opex'!$A$44:$A$53,$A$1)</f>
        <v>42437560.40402063</v>
      </c>
      <c r="T186" s="102">
        <f>SUMIFS('INPUT Opex'!AP$44:AP$53,'INPUT Opex'!$A$44:$A$53,$A$1)</f>
        <v>45214296.479962669</v>
      </c>
      <c r="U186" s="102">
        <f>SUMIFS('INPUT Opex'!AQ$44:AQ$53,'INPUT Opex'!$A$44:$A$53,$A$1)</f>
        <v>47903738.124363489</v>
      </c>
      <c r="V186" s="102">
        <f>SUMIFS('INPUT Opex'!AR$44:AR$53,'INPUT Opex'!$A$44:$A$53,$A$1)</f>
        <v>50515341.58463493</v>
      </c>
      <c r="W186" s="102">
        <f>SUMIFS('INPUT Opex'!AS$44:AS$53,'INPUT Opex'!$A$44:$A$53,$A$1)</f>
        <v>53036275.340655565</v>
      </c>
      <c r="X186" s="102">
        <f>SUMIFS('INPUT Opex'!AT$44:AT$53,'INPUT Opex'!$A$44:$A$53,$A$1)</f>
        <v>55429955.296274073</v>
      </c>
      <c r="Y186" s="102">
        <f>SUMIFS('INPUT Opex'!AU$44:AU$53,'INPUT Opex'!$A$44:$A$53,$A$1)</f>
        <v>57747495.739329778</v>
      </c>
      <c r="Z186" s="102">
        <f>SUMIFS('INPUT Opex'!AV$44:AV$53,'INPUT Opex'!$A$44:$A$53,$A$1)</f>
        <v>59993503.473609038</v>
      </c>
      <c r="AA186" s="102">
        <f>SUMIFS('INPUT Opex'!AW$44:AW$53,'INPUT Opex'!$A$44:$A$53,$A$1)</f>
        <v>62183072.53682372</v>
      </c>
    </row>
    <row r="187" spans="1:27" x14ac:dyDescent="0.25">
      <c r="E187" s="47" t="s">
        <v>701</v>
      </c>
      <c r="F187" s="47" t="s">
        <v>639</v>
      </c>
      <c r="H187" s="106">
        <f>H185*H176+H186</f>
        <v>5791969.0111403344</v>
      </c>
      <c r="I187" s="106">
        <f t="shared" ref="I187:AA187" si="100">I185*I176+I186</f>
        <v>11488849.009138383</v>
      </c>
      <c r="J187" s="106">
        <f t="shared" si="100"/>
        <v>16112833.7839857</v>
      </c>
      <c r="K187" s="106">
        <f t="shared" si="100"/>
        <v>20585482.694728434</v>
      </c>
      <c r="L187" s="106">
        <f t="shared" si="100"/>
        <v>24829420.362465724</v>
      </c>
      <c r="M187" s="106">
        <f t="shared" si="100"/>
        <v>28779146.007099736</v>
      </c>
      <c r="N187" s="106">
        <f t="shared" si="100"/>
        <v>32621189.118452929</v>
      </c>
      <c r="O187" s="106">
        <f t="shared" si="100"/>
        <v>36356496.466509558</v>
      </c>
      <c r="P187" s="106">
        <f t="shared" si="100"/>
        <v>40015500.323124766</v>
      </c>
      <c r="Q187" s="106">
        <f t="shared" si="100"/>
        <v>43569815.546380743</v>
      </c>
      <c r="R187" s="106">
        <f t="shared" si="100"/>
        <v>47112778.88934914</v>
      </c>
      <c r="S187" s="106">
        <f t="shared" si="100"/>
        <v>50591124.161542028</v>
      </c>
      <c r="T187" s="106">
        <f t="shared" si="100"/>
        <v>54007313.403951086</v>
      </c>
      <c r="U187" s="106">
        <f t="shared" si="100"/>
        <v>57335920.444647893</v>
      </c>
      <c r="V187" s="106">
        <f t="shared" si="100"/>
        <v>60585331.671599597</v>
      </c>
      <c r="W187" s="106">
        <f t="shared" si="100"/>
        <v>63739678.20670566</v>
      </c>
      <c r="X187" s="106">
        <f t="shared" si="100"/>
        <v>66728330.121005677</v>
      </c>
      <c r="Y187" s="106">
        <f t="shared" si="100"/>
        <v>69664590.268020526</v>
      </c>
      <c r="Z187" s="106">
        <f t="shared" si="100"/>
        <v>72526084.23305966</v>
      </c>
      <c r="AA187" s="106">
        <f t="shared" si="100"/>
        <v>75417257.187199548</v>
      </c>
    </row>
    <row r="188" spans="1:27" x14ac:dyDescent="0.25">
      <c r="H188" s="106"/>
      <c r="I188" s="106"/>
      <c r="J188" s="106"/>
      <c r="K188" s="106"/>
      <c r="L188" s="106"/>
      <c r="M188" s="106"/>
      <c r="N188" s="106"/>
      <c r="O188" s="106"/>
      <c r="P188" s="106"/>
      <c r="Q188" s="106"/>
      <c r="R188" s="106"/>
      <c r="S188" s="106"/>
      <c r="T188" s="106"/>
      <c r="U188" s="106"/>
      <c r="V188" s="106"/>
      <c r="W188" s="106"/>
      <c r="X188" s="106"/>
      <c r="Y188" s="106"/>
      <c r="Z188" s="106"/>
      <c r="AA188" s="106"/>
    </row>
    <row r="189" spans="1:27" x14ac:dyDescent="0.25">
      <c r="C189" s="100" t="s">
        <v>702</v>
      </c>
      <c r="G189" s="106"/>
    </row>
    <row r="190" spans="1:27" x14ac:dyDescent="0.25">
      <c r="C190" s="100"/>
      <c r="D190" s="47" t="s">
        <v>703</v>
      </c>
      <c r="G190" s="106"/>
    </row>
    <row r="191" spans="1:27" x14ac:dyDescent="0.25">
      <c r="A191" s="101">
        <v>40</v>
      </c>
      <c r="C191" s="100"/>
      <c r="E191" s="47" t="s">
        <v>704</v>
      </c>
      <c r="G191" s="106"/>
      <c r="H191" s="105">
        <f>SUMIFS('INPUT Opex'!AD$97:AD$100,'INPUT Opex'!$C$97:$C$100,$G$4)</f>
        <v>-1.9057359833210552E-2</v>
      </c>
      <c r="I191" s="105">
        <f>SUMIFS('INPUT Opex'!AE$97:AE$100,'INPUT Opex'!$C$97:$C$100,$G$4)</f>
        <v>-2.9278761105415385E-2</v>
      </c>
      <c r="J191" s="105">
        <f>SUMIFS('INPUT Opex'!AF$97:AF$100,'INPUT Opex'!$C$97:$C$100,$G$4)</f>
        <v>-2.5036762703973814E-2</v>
      </c>
      <c r="K191" s="105">
        <f>SUMIFS('INPUT Opex'!AG$97:AG$100,'INPUT Opex'!$C$97:$C$100,$G$4)</f>
        <v>-1.7460758340258731E-2</v>
      </c>
      <c r="L191" s="105">
        <f>SUMIFS('INPUT Opex'!AH$97:AH$100,'INPUT Opex'!$C$97:$C$100,$G$4)</f>
        <v>-1.4449368353551373E-2</v>
      </c>
      <c r="M191" s="105">
        <f>SUMIFS('INPUT Opex'!AI$97:AI$100,'INPUT Opex'!$C$97:$C$100,$G$4)</f>
        <v>-1.4414924226396675E-2</v>
      </c>
      <c r="N191" s="105">
        <f>SUMIFS('INPUT Opex'!AJ$97:AJ$100,'INPUT Opex'!$C$97:$C$100,$G$4)</f>
        <v>-1.4371220590543077E-2</v>
      </c>
      <c r="O191" s="105">
        <f>SUMIFS('INPUT Opex'!AK$97:AK$100,'INPUT Opex'!$C$97:$C$100,$G$4)</f>
        <v>-1.4368035038630489E-2</v>
      </c>
      <c r="P191" s="105">
        <f>SUMIFS('INPUT Opex'!AL$97:AL$100,'INPUT Opex'!$C$97:$C$100,$G$4)</f>
        <v>-1.4350252639717898E-2</v>
      </c>
      <c r="Q191" s="105">
        <f>SUMIFS('INPUT Opex'!AM$97:AM$100,'INPUT Opex'!$C$97:$C$100,$G$4)</f>
        <v>0</v>
      </c>
      <c r="R191" s="105">
        <f>SUMIFS('INPUT Opex'!AN$97:AN$100,'INPUT Opex'!$C$97:$C$100,$G$4)</f>
        <v>0</v>
      </c>
      <c r="S191" s="105">
        <f>SUMIFS('INPUT Opex'!AO$97:AO$100,'INPUT Opex'!$C$97:$C$100,$G$4)</f>
        <v>0</v>
      </c>
      <c r="T191" s="105">
        <f>SUMIFS('INPUT Opex'!AP$97:AP$100,'INPUT Opex'!$C$97:$C$100,$G$4)</f>
        <v>0</v>
      </c>
      <c r="U191" s="105">
        <f>SUMIFS('INPUT Opex'!AQ$97:AQ$100,'INPUT Opex'!$C$97:$C$100,$G$4)</f>
        <v>0</v>
      </c>
      <c r="V191" s="105">
        <f>SUMIFS('INPUT Opex'!AR$97:AR$100,'INPUT Opex'!$C$97:$C$100,$G$4)</f>
        <v>0</v>
      </c>
      <c r="W191" s="105">
        <f>SUMIFS('INPUT Opex'!AS$97:AS$100,'INPUT Opex'!$C$97:$C$100,$G$4)</f>
        <v>0</v>
      </c>
      <c r="X191" s="105">
        <f>SUMIFS('INPUT Opex'!AT$97:AT$100,'INPUT Opex'!$C$97:$C$100,$G$4)</f>
        <v>0</v>
      </c>
      <c r="Y191" s="105">
        <f>SUMIFS('INPUT Opex'!AU$97:AU$100,'INPUT Opex'!$C$97:$C$100,$G$4)</f>
        <v>0</v>
      </c>
      <c r="Z191" s="105">
        <f>SUMIFS('INPUT Opex'!AV$97:AV$100,'INPUT Opex'!$C$97:$C$100,$G$4)</f>
        <v>0</v>
      </c>
      <c r="AA191" s="105">
        <f>SUMIFS('INPUT Opex'!AW$97:AW$100,'INPUT Opex'!$C$97:$C$100,$G$4)</f>
        <v>0</v>
      </c>
    </row>
    <row r="192" spans="1:27" x14ac:dyDescent="0.25">
      <c r="A192" s="101">
        <v>41</v>
      </c>
      <c r="E192" s="47" t="s">
        <v>705</v>
      </c>
      <c r="F192" s="47" t="s">
        <v>695</v>
      </c>
      <c r="G192" s="114">
        <f>SUMIFS('INPUT Opex'!AC$97:AC$100,'INPUT Opex'!$C$97:$C$100,$G$4)</f>
        <v>144.27171521903412</v>
      </c>
      <c r="H192" s="106">
        <f t="shared" ref="H192:W193" si="101">G192*(1+$G$14)*(1+H$191)</f>
        <v>141.5222772283505</v>
      </c>
      <c r="I192" s="106">
        <f t="shared" si="101"/>
        <v>137.37868028228726</v>
      </c>
      <c r="J192" s="106">
        <f t="shared" si="101"/>
        <v>133.93916286347456</v>
      </c>
      <c r="K192" s="106">
        <f t="shared" si="101"/>
        <v>131.60048350841888</v>
      </c>
      <c r="L192" s="106">
        <f t="shared" si="101"/>
        <v>129.69893964670027</v>
      </c>
      <c r="M192" s="106">
        <f t="shared" si="101"/>
        <v>127.82933925944909</v>
      </c>
      <c r="N192" s="106">
        <f t="shared" si="101"/>
        <v>125.99227562700817</v>
      </c>
      <c r="O192" s="106">
        <f t="shared" si="101"/>
        <v>124.18201419620253</v>
      </c>
      <c r="P192" s="106">
        <f t="shared" si="101"/>
        <v>122.39997091917799</v>
      </c>
      <c r="Q192" s="106">
        <f t="shared" si="101"/>
        <v>122.39997091917799</v>
      </c>
      <c r="R192" s="106">
        <f t="shared" si="101"/>
        <v>122.39997091917799</v>
      </c>
      <c r="S192" s="106">
        <f t="shared" si="101"/>
        <v>122.39997091917799</v>
      </c>
      <c r="T192" s="106">
        <f t="shared" si="101"/>
        <v>122.39997091917799</v>
      </c>
      <c r="U192" s="106">
        <f t="shared" si="101"/>
        <v>122.39997091917799</v>
      </c>
      <c r="V192" s="106">
        <f t="shared" si="101"/>
        <v>122.39997091917799</v>
      </c>
      <c r="W192" s="106">
        <f t="shared" si="101"/>
        <v>122.39997091917799</v>
      </c>
      <c r="X192" s="106">
        <f t="shared" ref="X192:AA193" si="102">W192*(1+$G$14)*(1+X$191)</f>
        <v>122.39997091917799</v>
      </c>
      <c r="Y192" s="106">
        <f t="shared" si="102"/>
        <v>122.39997091917799</v>
      </c>
      <c r="Z192" s="106">
        <f t="shared" si="102"/>
        <v>122.39997091917799</v>
      </c>
      <c r="AA192" s="106">
        <f t="shared" si="102"/>
        <v>122.39997091917799</v>
      </c>
    </row>
    <row r="193" spans="1:29" x14ac:dyDescent="0.25">
      <c r="A193" s="101">
        <v>42</v>
      </c>
      <c r="E193" s="47" t="s">
        <v>706</v>
      </c>
      <c r="F193" s="47" t="s">
        <v>697</v>
      </c>
      <c r="G193" s="102"/>
      <c r="H193" s="106">
        <f>G193*(1+$G$14)*(1+H$191)</f>
        <v>0</v>
      </c>
      <c r="I193" s="106">
        <f t="shared" si="101"/>
        <v>0</v>
      </c>
      <c r="J193" s="106">
        <f t="shared" si="101"/>
        <v>0</v>
      </c>
      <c r="K193" s="106">
        <f t="shared" si="101"/>
        <v>0</v>
      </c>
      <c r="L193" s="106">
        <f t="shared" si="101"/>
        <v>0</v>
      </c>
      <c r="M193" s="106">
        <f t="shared" si="101"/>
        <v>0</v>
      </c>
      <c r="N193" s="106">
        <f t="shared" si="101"/>
        <v>0</v>
      </c>
      <c r="O193" s="106">
        <f t="shared" si="101"/>
        <v>0</v>
      </c>
      <c r="P193" s="106">
        <f t="shared" si="101"/>
        <v>0</v>
      </c>
      <c r="Q193" s="106">
        <f t="shared" si="101"/>
        <v>0</v>
      </c>
      <c r="R193" s="106">
        <f t="shared" si="101"/>
        <v>0</v>
      </c>
      <c r="S193" s="106">
        <f t="shared" si="101"/>
        <v>0</v>
      </c>
      <c r="T193" s="106">
        <f t="shared" si="101"/>
        <v>0</v>
      </c>
      <c r="U193" s="106">
        <f t="shared" si="101"/>
        <v>0</v>
      </c>
      <c r="V193" s="106">
        <f t="shared" si="101"/>
        <v>0</v>
      </c>
      <c r="W193" s="106">
        <f t="shared" si="101"/>
        <v>0</v>
      </c>
      <c r="X193" s="106">
        <f t="shared" si="102"/>
        <v>0</v>
      </c>
      <c r="Y193" s="106">
        <f t="shared" si="102"/>
        <v>0</v>
      </c>
      <c r="Z193" s="106">
        <f t="shared" si="102"/>
        <v>0</v>
      </c>
      <c r="AA193" s="106">
        <f t="shared" si="102"/>
        <v>0</v>
      </c>
    </row>
    <row r="194" spans="1:29" x14ac:dyDescent="0.25">
      <c r="A194" s="101">
        <v>43</v>
      </c>
      <c r="E194" s="47" t="s">
        <v>707</v>
      </c>
      <c r="F194" s="47" t="s">
        <v>639</v>
      </c>
      <c r="G194" s="106"/>
      <c r="H194" s="102"/>
      <c r="I194" s="102"/>
      <c r="J194" s="102"/>
      <c r="K194" s="102"/>
      <c r="L194" s="102"/>
      <c r="M194" s="102"/>
      <c r="N194" s="102"/>
      <c r="O194" s="102"/>
      <c r="P194" s="102"/>
      <c r="Q194" s="102"/>
      <c r="R194" s="102"/>
      <c r="S194" s="102"/>
      <c r="T194" s="102"/>
      <c r="U194" s="102"/>
      <c r="V194" s="102"/>
      <c r="W194" s="102"/>
      <c r="X194" s="102"/>
      <c r="Y194" s="102"/>
      <c r="Z194" s="102"/>
      <c r="AA194" s="102"/>
    </row>
    <row r="195" spans="1:29" x14ac:dyDescent="0.25">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row>
    <row r="196" spans="1:29" x14ac:dyDescent="0.25">
      <c r="D196" s="47" t="s">
        <v>708</v>
      </c>
      <c r="G196" s="101"/>
      <c r="H196" s="101"/>
      <c r="I196" s="101"/>
      <c r="J196" s="101"/>
      <c r="K196" s="101"/>
      <c r="L196" s="101"/>
      <c r="M196" s="101"/>
      <c r="N196" s="101"/>
      <c r="O196" s="101"/>
      <c r="P196" s="101"/>
      <c r="Q196" s="101"/>
      <c r="R196" s="101"/>
      <c r="S196" s="101"/>
      <c r="T196" s="101"/>
      <c r="U196" s="101"/>
      <c r="V196" s="101"/>
      <c r="W196" s="101"/>
      <c r="X196" s="101"/>
      <c r="Y196" s="101"/>
      <c r="Z196" s="101"/>
      <c r="AA196" s="101"/>
    </row>
    <row r="197" spans="1:29" x14ac:dyDescent="0.25">
      <c r="A197" s="101">
        <v>44</v>
      </c>
      <c r="E197" s="47" t="s">
        <v>706</v>
      </c>
      <c r="F197" s="47" t="s">
        <v>697</v>
      </c>
      <c r="G197" s="101"/>
      <c r="H197" s="102"/>
      <c r="I197" s="102"/>
      <c r="J197" s="102"/>
      <c r="K197" s="102"/>
      <c r="L197" s="102"/>
      <c r="M197" s="102"/>
      <c r="N197" s="102"/>
      <c r="O197" s="102"/>
      <c r="P197" s="102"/>
      <c r="Q197" s="102"/>
      <c r="R197" s="102"/>
      <c r="S197" s="102"/>
      <c r="T197" s="102"/>
      <c r="U197" s="102"/>
      <c r="V197" s="102"/>
      <c r="W197" s="102"/>
      <c r="X197" s="102"/>
      <c r="Y197" s="102"/>
      <c r="Z197" s="102"/>
      <c r="AA197" s="102"/>
    </row>
    <row r="198" spans="1:29" x14ac:dyDescent="0.25">
      <c r="A198" s="101">
        <v>45</v>
      </c>
      <c r="E198" s="47" t="s">
        <v>707</v>
      </c>
      <c r="F198" s="47" t="s">
        <v>639</v>
      </c>
      <c r="G198" s="106"/>
      <c r="H198" s="102"/>
      <c r="I198" s="102"/>
      <c r="J198" s="102"/>
      <c r="K198" s="102"/>
      <c r="L198" s="102"/>
      <c r="M198" s="102"/>
      <c r="N198" s="102"/>
      <c r="O198" s="102"/>
      <c r="P198" s="102"/>
      <c r="Q198" s="102"/>
      <c r="R198" s="102"/>
      <c r="S198" s="102"/>
      <c r="T198" s="102"/>
      <c r="U198" s="102"/>
      <c r="V198" s="102"/>
      <c r="W198" s="102"/>
      <c r="X198" s="102"/>
      <c r="Y198" s="102"/>
      <c r="Z198" s="102"/>
      <c r="AA198" s="102"/>
    </row>
    <row r="199" spans="1:29" x14ac:dyDescent="0.25">
      <c r="G199" s="106"/>
    </row>
    <row r="200" spans="1:29" x14ac:dyDescent="0.25">
      <c r="E200" s="47" t="s">
        <v>702</v>
      </c>
      <c r="F200" s="47" t="s">
        <v>639</v>
      </c>
      <c r="G200" s="106"/>
      <c r="H200" s="106">
        <f>H192*H175+(H193+H197)*H176+H194+H198</f>
        <v>2199959.7081642896</v>
      </c>
      <c r="I200" s="106">
        <f t="shared" ref="I200:AA200" si="103">I192*I175+(I193+I197)*I176+I194+I198</f>
        <v>4379896.5237079989</v>
      </c>
      <c r="J200" s="106">
        <f t="shared" si="103"/>
        <v>6137088.1325609218</v>
      </c>
      <c r="K200" s="106">
        <f t="shared" si="103"/>
        <v>7876520.8730496475</v>
      </c>
      <c r="L200" s="106">
        <f t="shared" si="103"/>
        <v>9570382.7697649542</v>
      </c>
      <c r="M200" s="106">
        <f t="shared" si="103"/>
        <v>11181824.227254884</v>
      </c>
      <c r="N200" s="106">
        <f t="shared" si="103"/>
        <v>12736511.468167182</v>
      </c>
      <c r="O200" s="106">
        <f t="shared" si="103"/>
        <v>14278183.233160675</v>
      </c>
      <c r="P200" s="106">
        <f t="shared" si="103"/>
        <v>15800383.552356152</v>
      </c>
      <c r="Q200" s="106">
        <f t="shared" si="103"/>
        <v>17566133.808367133</v>
      </c>
      <c r="R200" s="106">
        <f t="shared" si="103"/>
        <v>19371179.941743646</v>
      </c>
      <c r="S200" s="106">
        <f t="shared" si="103"/>
        <v>21206005.907176971</v>
      </c>
      <c r="T200" s="106">
        <f t="shared" si="103"/>
        <v>23067750.997968633</v>
      </c>
      <c r="U200" s="106">
        <f t="shared" si="103"/>
        <v>24946053.355954338</v>
      </c>
      <c r="V200" s="106">
        <f t="shared" si="103"/>
        <v>26839154.709556308</v>
      </c>
      <c r="W200" s="106">
        <f t="shared" si="103"/>
        <v>28737181.393650245</v>
      </c>
      <c r="X200" s="106">
        <f t="shared" si="103"/>
        <v>30646816.365710359</v>
      </c>
      <c r="Y200" s="106">
        <f t="shared" si="103"/>
        <v>32546084.295603096</v>
      </c>
      <c r="Z200" s="106">
        <f t="shared" si="103"/>
        <v>34447675.928328961</v>
      </c>
      <c r="AA200" s="106">
        <f t="shared" si="103"/>
        <v>36363824.302499883</v>
      </c>
    </row>
    <row r="201" spans="1:29" x14ac:dyDescent="0.25">
      <c r="G201" s="106"/>
      <c r="H201" s="106"/>
      <c r="I201" s="106"/>
      <c r="J201" s="106"/>
      <c r="K201" s="106"/>
      <c r="L201" s="106"/>
      <c r="M201" s="106"/>
      <c r="N201" s="106"/>
      <c r="O201" s="106"/>
      <c r="P201" s="106"/>
      <c r="Q201" s="106"/>
      <c r="R201" s="106"/>
      <c r="S201" s="106"/>
      <c r="T201" s="106"/>
      <c r="U201" s="106"/>
      <c r="V201" s="106"/>
      <c r="W201" s="106"/>
      <c r="X201" s="106"/>
      <c r="Y201" s="106"/>
      <c r="Z201" s="106"/>
      <c r="AA201" s="106"/>
    </row>
    <row r="202" spans="1:29" x14ac:dyDescent="0.25">
      <c r="C202" s="100" t="s">
        <v>709</v>
      </c>
      <c r="G202" s="106"/>
      <c r="H202" s="106"/>
      <c r="I202" s="106"/>
      <c r="J202" s="106"/>
      <c r="K202" s="106"/>
      <c r="L202" s="106"/>
      <c r="M202" s="106"/>
      <c r="N202" s="106"/>
      <c r="O202" s="106"/>
      <c r="P202" s="106"/>
      <c r="Q202" s="106"/>
      <c r="R202" s="106"/>
      <c r="S202" s="106"/>
      <c r="T202" s="106"/>
      <c r="U202" s="106"/>
      <c r="V202" s="106"/>
      <c r="W202" s="106"/>
      <c r="X202" s="106"/>
      <c r="Y202" s="106"/>
      <c r="Z202" s="106"/>
      <c r="AA202" s="106"/>
    </row>
    <row r="203" spans="1:29" x14ac:dyDescent="0.25">
      <c r="A203" s="101">
        <v>46</v>
      </c>
      <c r="E203" s="102" t="s">
        <v>710</v>
      </c>
      <c r="F203" s="47" t="s">
        <v>639</v>
      </c>
      <c r="G203" s="106"/>
      <c r="H203" s="102"/>
      <c r="I203" s="102"/>
      <c r="J203" s="102"/>
      <c r="K203" s="102"/>
      <c r="L203" s="102"/>
      <c r="M203" s="102"/>
      <c r="N203" s="102"/>
      <c r="O203" s="102"/>
      <c r="P203" s="102"/>
      <c r="Q203" s="102"/>
      <c r="R203" s="102"/>
      <c r="S203" s="102"/>
      <c r="T203" s="102"/>
      <c r="U203" s="102"/>
      <c r="V203" s="102"/>
      <c r="W203" s="102"/>
      <c r="X203" s="102"/>
      <c r="Y203" s="102"/>
      <c r="Z203" s="102"/>
      <c r="AA203" s="102"/>
    </row>
    <row r="204" spans="1:29" x14ac:dyDescent="0.25">
      <c r="A204" s="101">
        <v>47</v>
      </c>
      <c r="E204" s="102" t="s">
        <v>711</v>
      </c>
      <c r="F204" s="47" t="s">
        <v>639</v>
      </c>
      <c r="G204" s="106"/>
      <c r="H204" s="102"/>
      <c r="I204" s="102"/>
      <c r="J204" s="102"/>
      <c r="K204" s="102"/>
      <c r="L204" s="102"/>
      <c r="M204" s="102"/>
      <c r="N204" s="102"/>
      <c r="O204" s="102"/>
      <c r="P204" s="102"/>
      <c r="Q204" s="102"/>
      <c r="R204" s="102"/>
      <c r="S204" s="102"/>
      <c r="T204" s="102"/>
      <c r="U204" s="102"/>
      <c r="V204" s="102"/>
      <c r="W204" s="102"/>
      <c r="X204" s="102"/>
      <c r="Y204" s="102"/>
      <c r="Z204" s="102"/>
      <c r="AA204" s="102"/>
    </row>
    <row r="205" spans="1:29" x14ac:dyDescent="0.25">
      <c r="A205" s="101">
        <v>48</v>
      </c>
      <c r="E205" s="102" t="s">
        <v>712</v>
      </c>
      <c r="F205" s="47" t="s">
        <v>639</v>
      </c>
      <c r="G205" s="106"/>
      <c r="H205" s="102"/>
      <c r="I205" s="102"/>
      <c r="J205" s="102"/>
      <c r="K205" s="102"/>
      <c r="L205" s="102"/>
      <c r="M205" s="102"/>
      <c r="N205" s="102"/>
      <c r="O205" s="102"/>
      <c r="P205" s="102"/>
      <c r="Q205" s="102"/>
      <c r="R205" s="102"/>
      <c r="S205" s="102"/>
      <c r="T205" s="102"/>
      <c r="U205" s="102"/>
      <c r="V205" s="102"/>
      <c r="W205" s="102"/>
      <c r="X205" s="102"/>
      <c r="Y205" s="102"/>
      <c r="Z205" s="102"/>
      <c r="AA205" s="102"/>
    </row>
    <row r="206" spans="1:29" x14ac:dyDescent="0.25">
      <c r="A206" s="101">
        <v>49</v>
      </c>
      <c r="E206" s="102" t="s">
        <v>713</v>
      </c>
      <c r="F206" s="47" t="s">
        <v>639</v>
      </c>
      <c r="G206" s="106"/>
      <c r="H206" s="102"/>
      <c r="I206" s="102"/>
      <c r="J206" s="102"/>
      <c r="K206" s="102"/>
      <c r="L206" s="102"/>
      <c r="M206" s="102"/>
      <c r="N206" s="102"/>
      <c r="O206" s="102"/>
      <c r="P206" s="102"/>
      <c r="Q206" s="102"/>
      <c r="R206" s="102"/>
      <c r="S206" s="102"/>
      <c r="T206" s="102"/>
      <c r="U206" s="102"/>
      <c r="V206" s="102"/>
      <c r="W206" s="102"/>
      <c r="X206" s="102"/>
      <c r="Y206" s="102"/>
      <c r="Z206" s="102"/>
      <c r="AA206" s="102"/>
    </row>
    <row r="207" spans="1:29" x14ac:dyDescent="0.25">
      <c r="E207" s="47" t="s">
        <v>44</v>
      </c>
      <c r="G207" s="106"/>
      <c r="H207" s="106">
        <f>SUM(H203:H206)</f>
        <v>0</v>
      </c>
      <c r="I207" s="106">
        <f t="shared" ref="I207:AA207" si="104">SUM(I203:I206)</f>
        <v>0</v>
      </c>
      <c r="J207" s="106">
        <f t="shared" si="104"/>
        <v>0</v>
      </c>
      <c r="K207" s="106">
        <f t="shared" si="104"/>
        <v>0</v>
      </c>
      <c r="L207" s="106">
        <f t="shared" si="104"/>
        <v>0</v>
      </c>
      <c r="M207" s="106">
        <f t="shared" si="104"/>
        <v>0</v>
      </c>
      <c r="N207" s="106">
        <f t="shared" si="104"/>
        <v>0</v>
      </c>
      <c r="O207" s="106">
        <f t="shared" si="104"/>
        <v>0</v>
      </c>
      <c r="P207" s="106">
        <f t="shared" si="104"/>
        <v>0</v>
      </c>
      <c r="Q207" s="106">
        <f t="shared" si="104"/>
        <v>0</v>
      </c>
      <c r="R207" s="106">
        <f t="shared" si="104"/>
        <v>0</v>
      </c>
      <c r="S207" s="106">
        <f t="shared" si="104"/>
        <v>0</v>
      </c>
      <c r="T207" s="106">
        <f t="shared" si="104"/>
        <v>0</v>
      </c>
      <c r="U207" s="106">
        <f t="shared" si="104"/>
        <v>0</v>
      </c>
      <c r="V207" s="106">
        <f t="shared" si="104"/>
        <v>0</v>
      </c>
      <c r="W207" s="106">
        <f t="shared" si="104"/>
        <v>0</v>
      </c>
      <c r="X207" s="106">
        <f t="shared" si="104"/>
        <v>0</v>
      </c>
      <c r="Y207" s="106">
        <f t="shared" si="104"/>
        <v>0</v>
      </c>
      <c r="Z207" s="106">
        <f t="shared" si="104"/>
        <v>0</v>
      </c>
      <c r="AA207" s="106">
        <f t="shared" si="104"/>
        <v>0</v>
      </c>
    </row>
    <row r="208" spans="1:29" x14ac:dyDescent="0.25">
      <c r="G208" s="106"/>
      <c r="H208" s="106"/>
      <c r="I208" s="106"/>
      <c r="J208" s="106"/>
      <c r="K208" s="106"/>
      <c r="L208" s="106"/>
      <c r="M208" s="106"/>
      <c r="N208" s="106"/>
      <c r="O208" s="106"/>
      <c r="P208" s="106"/>
      <c r="Q208" s="106"/>
      <c r="R208" s="106"/>
      <c r="S208" s="106"/>
      <c r="T208" s="106"/>
      <c r="U208" s="106"/>
      <c r="V208" s="106"/>
      <c r="W208" s="106"/>
      <c r="X208" s="106"/>
      <c r="Y208" s="106"/>
      <c r="Z208" s="106"/>
      <c r="AA208" s="106"/>
    </row>
    <row r="209" spans="1:27" x14ac:dyDescent="0.25">
      <c r="C209" s="100" t="s">
        <v>714</v>
      </c>
      <c r="G209" s="106"/>
      <c r="H209" s="106"/>
      <c r="I209" s="106"/>
      <c r="J209" s="106"/>
      <c r="K209" s="106"/>
      <c r="L209" s="106"/>
      <c r="M209" s="106"/>
      <c r="N209" s="106"/>
      <c r="O209" s="106"/>
      <c r="P209" s="106"/>
      <c r="Q209" s="106"/>
      <c r="R209" s="106"/>
      <c r="S209" s="106"/>
      <c r="T209" s="106"/>
      <c r="U209" s="106"/>
      <c r="V209" s="106"/>
      <c r="W209" s="106"/>
      <c r="X209" s="106"/>
      <c r="Y209" s="106"/>
      <c r="Z209" s="106"/>
      <c r="AA209" s="106"/>
    </row>
    <row r="210" spans="1:27" x14ac:dyDescent="0.25">
      <c r="A210" s="101">
        <v>50</v>
      </c>
      <c r="E210" s="102" t="s">
        <v>715</v>
      </c>
      <c r="F210" s="47" t="s">
        <v>639</v>
      </c>
      <c r="G210" s="106"/>
      <c r="H210" s="102"/>
      <c r="I210" s="102"/>
      <c r="J210" s="102"/>
      <c r="K210" s="102"/>
      <c r="L210" s="102"/>
      <c r="M210" s="102"/>
      <c r="N210" s="102"/>
      <c r="O210" s="102"/>
      <c r="P210" s="102"/>
      <c r="Q210" s="102"/>
      <c r="R210" s="102"/>
      <c r="S210" s="102"/>
      <c r="T210" s="102"/>
      <c r="U210" s="102"/>
      <c r="V210" s="102"/>
      <c r="W210" s="102"/>
      <c r="X210" s="102"/>
      <c r="Y210" s="102"/>
      <c r="Z210" s="102"/>
      <c r="AA210" s="102"/>
    </row>
    <row r="211" spans="1:27" x14ac:dyDescent="0.25">
      <c r="A211" s="101">
        <v>51</v>
      </c>
      <c r="E211" s="102" t="s">
        <v>716</v>
      </c>
      <c r="F211" s="47" t="s">
        <v>639</v>
      </c>
      <c r="G211" s="106"/>
      <c r="H211" s="102"/>
      <c r="I211" s="102"/>
      <c r="J211" s="102"/>
      <c r="K211" s="102"/>
      <c r="L211" s="102"/>
      <c r="M211" s="102"/>
      <c r="N211" s="102"/>
      <c r="O211" s="102"/>
      <c r="P211" s="102"/>
      <c r="Q211" s="102"/>
      <c r="R211" s="102"/>
      <c r="S211" s="102"/>
      <c r="T211" s="102"/>
      <c r="U211" s="102"/>
      <c r="V211" s="102"/>
      <c r="W211" s="102"/>
      <c r="X211" s="102"/>
      <c r="Y211" s="102"/>
      <c r="Z211" s="102"/>
      <c r="AA211" s="102"/>
    </row>
    <row r="212" spans="1:27" x14ac:dyDescent="0.25">
      <c r="A212" s="101">
        <v>52</v>
      </c>
      <c r="E212" s="102" t="s">
        <v>717</v>
      </c>
      <c r="F212" s="47" t="s">
        <v>639</v>
      </c>
      <c r="G212" s="106"/>
      <c r="H212" s="102"/>
      <c r="I212" s="102"/>
      <c r="J212" s="102"/>
      <c r="K212" s="102"/>
      <c r="L212" s="102"/>
      <c r="M212" s="102"/>
      <c r="N212" s="102"/>
      <c r="O212" s="102"/>
      <c r="P212" s="102"/>
      <c r="Q212" s="102"/>
      <c r="R212" s="102"/>
      <c r="S212" s="102"/>
      <c r="T212" s="102"/>
      <c r="U212" s="102"/>
      <c r="V212" s="102"/>
      <c r="W212" s="102"/>
      <c r="X212" s="102"/>
      <c r="Y212" s="102"/>
      <c r="Z212" s="102"/>
      <c r="AA212" s="102"/>
    </row>
    <row r="213" spans="1:27" x14ac:dyDescent="0.25">
      <c r="A213" s="101">
        <v>53</v>
      </c>
      <c r="E213" s="102" t="s">
        <v>718</v>
      </c>
      <c r="F213" s="47" t="s">
        <v>639</v>
      </c>
      <c r="G213" s="106"/>
      <c r="H213" s="102"/>
      <c r="I213" s="102"/>
      <c r="J213" s="102"/>
      <c r="K213" s="102"/>
      <c r="L213" s="102"/>
      <c r="M213" s="102"/>
      <c r="N213" s="102"/>
      <c r="O213" s="102"/>
      <c r="P213" s="102"/>
      <c r="Q213" s="102"/>
      <c r="R213" s="102"/>
      <c r="S213" s="102"/>
      <c r="T213" s="102"/>
      <c r="U213" s="102"/>
      <c r="V213" s="102"/>
      <c r="W213" s="102"/>
      <c r="X213" s="102"/>
      <c r="Y213" s="102"/>
      <c r="Z213" s="102"/>
      <c r="AA213" s="102"/>
    </row>
    <row r="214" spans="1:27" x14ac:dyDescent="0.25">
      <c r="E214" s="47" t="s">
        <v>44</v>
      </c>
      <c r="G214" s="106"/>
      <c r="H214" s="106">
        <f>SUM(H210:H213)</f>
        <v>0</v>
      </c>
      <c r="I214" s="106">
        <f t="shared" ref="I214:AA214" si="105">SUM(I210:I213)</f>
        <v>0</v>
      </c>
      <c r="J214" s="106">
        <f t="shared" si="105"/>
        <v>0</v>
      </c>
      <c r="K214" s="106">
        <f t="shared" si="105"/>
        <v>0</v>
      </c>
      <c r="L214" s="106">
        <f t="shared" si="105"/>
        <v>0</v>
      </c>
      <c r="M214" s="106">
        <f t="shared" si="105"/>
        <v>0</v>
      </c>
      <c r="N214" s="106">
        <f t="shared" si="105"/>
        <v>0</v>
      </c>
      <c r="O214" s="106">
        <f t="shared" si="105"/>
        <v>0</v>
      </c>
      <c r="P214" s="106">
        <f t="shared" si="105"/>
        <v>0</v>
      </c>
      <c r="Q214" s="106">
        <f t="shared" si="105"/>
        <v>0</v>
      </c>
      <c r="R214" s="106">
        <f t="shared" si="105"/>
        <v>0</v>
      </c>
      <c r="S214" s="106">
        <f t="shared" si="105"/>
        <v>0</v>
      </c>
      <c r="T214" s="106">
        <f t="shared" si="105"/>
        <v>0</v>
      </c>
      <c r="U214" s="106">
        <f t="shared" si="105"/>
        <v>0</v>
      </c>
      <c r="V214" s="106">
        <f t="shared" si="105"/>
        <v>0</v>
      </c>
      <c r="W214" s="106">
        <f t="shared" si="105"/>
        <v>0</v>
      </c>
      <c r="X214" s="106">
        <f t="shared" si="105"/>
        <v>0</v>
      </c>
      <c r="Y214" s="106">
        <f t="shared" si="105"/>
        <v>0</v>
      </c>
      <c r="Z214" s="106">
        <f t="shared" si="105"/>
        <v>0</v>
      </c>
      <c r="AA214" s="106">
        <f t="shared" si="105"/>
        <v>0</v>
      </c>
    </row>
    <row r="215" spans="1:27" x14ac:dyDescent="0.25">
      <c r="G215" s="106"/>
      <c r="H215" s="106"/>
      <c r="I215" s="106"/>
      <c r="J215" s="106"/>
      <c r="K215" s="106"/>
      <c r="L215" s="106"/>
      <c r="M215" s="106"/>
      <c r="N215" s="106"/>
      <c r="O215" s="106"/>
      <c r="P215" s="106"/>
      <c r="Q215" s="106"/>
      <c r="R215" s="106"/>
      <c r="S215" s="106"/>
      <c r="T215" s="106"/>
      <c r="U215" s="106"/>
      <c r="V215" s="106"/>
      <c r="W215" s="106"/>
      <c r="X215" s="106"/>
      <c r="Y215" s="106"/>
      <c r="Z215" s="106"/>
      <c r="AA215" s="106"/>
    </row>
    <row r="216" spans="1:27" x14ac:dyDescent="0.25">
      <c r="C216" s="100" t="s">
        <v>719</v>
      </c>
      <c r="G216" s="106"/>
      <c r="H216" s="106"/>
      <c r="I216" s="106"/>
      <c r="J216" s="106"/>
      <c r="K216" s="106"/>
      <c r="L216" s="106"/>
      <c r="M216" s="106"/>
      <c r="N216" s="106"/>
      <c r="O216" s="106"/>
      <c r="P216" s="106"/>
      <c r="Q216" s="106"/>
      <c r="R216" s="106"/>
      <c r="S216" s="106"/>
      <c r="T216" s="106"/>
      <c r="U216" s="106"/>
      <c r="V216" s="106"/>
      <c r="W216" s="106"/>
      <c r="X216" s="106"/>
      <c r="Y216" s="106"/>
      <c r="Z216" s="106"/>
      <c r="AA216" s="106"/>
    </row>
    <row r="217" spans="1:27" x14ac:dyDescent="0.25">
      <c r="C217" s="100"/>
      <c r="D217" s="100"/>
      <c r="E217" s="47" t="s">
        <v>404</v>
      </c>
      <c r="F217" s="47" t="s">
        <v>655</v>
      </c>
      <c r="G217" s="106"/>
      <c r="H217" s="106">
        <f t="shared" ref="H217:AA217" si="106">H174</f>
        <v>15544.971090414179</v>
      </c>
      <c r="I217" s="106">
        <f t="shared" si="106"/>
        <v>16336.952034106584</v>
      </c>
      <c r="J217" s="106">
        <f t="shared" si="106"/>
        <v>13938.044697859257</v>
      </c>
      <c r="K217" s="106">
        <f t="shared" si="106"/>
        <v>14031.794595694702</v>
      </c>
      <c r="L217" s="106">
        <f t="shared" si="106"/>
        <v>13937.451247315776</v>
      </c>
      <c r="M217" s="106">
        <f t="shared" si="106"/>
        <v>13685.416900912205</v>
      </c>
      <c r="N217" s="106">
        <f t="shared" si="106"/>
        <v>13614.991037745334</v>
      </c>
      <c r="O217" s="106">
        <f t="shared" si="106"/>
        <v>13888.246371275058</v>
      </c>
      <c r="P217" s="106">
        <f t="shared" si="106"/>
        <v>14110.263612463896</v>
      </c>
      <c r="Q217" s="106">
        <f t="shared" si="106"/>
        <v>14426.067610562834</v>
      </c>
      <c r="R217" s="106">
        <f t="shared" si="106"/>
        <v>14747.112436557705</v>
      </c>
      <c r="S217" s="106">
        <f t="shared" si="106"/>
        <v>14990.411775872697</v>
      </c>
      <c r="T217" s="106">
        <f t="shared" si="106"/>
        <v>15210.339322882628</v>
      </c>
      <c r="U217" s="106">
        <f t="shared" si="106"/>
        <v>15345.611145822648</v>
      </c>
      <c r="V217" s="106">
        <f t="shared" si="106"/>
        <v>15466.518001478984</v>
      </c>
      <c r="W217" s="106">
        <f t="shared" si="106"/>
        <v>15506.75763924179</v>
      </c>
      <c r="X217" s="106">
        <f t="shared" si="106"/>
        <v>15601.596615746465</v>
      </c>
      <c r="Y217" s="106">
        <f t="shared" si="106"/>
        <v>15516.898538700236</v>
      </c>
      <c r="Z217" s="106">
        <f t="shared" si="106"/>
        <v>15535.883043481299</v>
      </c>
      <c r="AA217" s="106">
        <f t="shared" si="106"/>
        <v>15654.810697922205</v>
      </c>
    </row>
    <row r="218" spans="1:27" x14ac:dyDescent="0.25">
      <c r="E218" s="47" t="s">
        <v>720</v>
      </c>
      <c r="F218" s="47" t="s">
        <v>695</v>
      </c>
      <c r="G218" s="115">
        <f>MAX(0,-G245/(NPV($G$16,H217:AP217)))</f>
        <v>922.3537304375003</v>
      </c>
      <c r="H218" s="106">
        <f t="shared" ref="H218:AA218" si="107">G218*(1+$G$14)</f>
        <v>922.3537304375003</v>
      </c>
      <c r="I218" s="106">
        <f t="shared" si="107"/>
        <v>922.3537304375003</v>
      </c>
      <c r="J218" s="106">
        <f t="shared" si="107"/>
        <v>922.3537304375003</v>
      </c>
      <c r="K218" s="106">
        <f t="shared" si="107"/>
        <v>922.3537304375003</v>
      </c>
      <c r="L218" s="106">
        <f t="shared" si="107"/>
        <v>922.3537304375003</v>
      </c>
      <c r="M218" s="106">
        <f t="shared" si="107"/>
        <v>922.3537304375003</v>
      </c>
      <c r="N218" s="106">
        <f t="shared" si="107"/>
        <v>922.3537304375003</v>
      </c>
      <c r="O218" s="106">
        <f t="shared" si="107"/>
        <v>922.3537304375003</v>
      </c>
      <c r="P218" s="106">
        <f t="shared" si="107"/>
        <v>922.3537304375003</v>
      </c>
      <c r="Q218" s="106">
        <f t="shared" si="107"/>
        <v>922.3537304375003</v>
      </c>
      <c r="R218" s="106">
        <f t="shared" si="107"/>
        <v>922.3537304375003</v>
      </c>
      <c r="S218" s="106">
        <f t="shared" si="107"/>
        <v>922.3537304375003</v>
      </c>
      <c r="T218" s="106">
        <f t="shared" si="107"/>
        <v>922.3537304375003</v>
      </c>
      <c r="U218" s="106">
        <f t="shared" si="107"/>
        <v>922.3537304375003</v>
      </c>
      <c r="V218" s="106">
        <f t="shared" si="107"/>
        <v>922.3537304375003</v>
      </c>
      <c r="W218" s="106">
        <f t="shared" si="107"/>
        <v>922.3537304375003</v>
      </c>
      <c r="X218" s="106">
        <f t="shared" si="107"/>
        <v>922.3537304375003</v>
      </c>
      <c r="Y218" s="106">
        <f t="shared" si="107"/>
        <v>922.3537304375003</v>
      </c>
      <c r="Z218" s="106">
        <f t="shared" si="107"/>
        <v>922.3537304375003</v>
      </c>
      <c r="AA218" s="106">
        <f t="shared" si="107"/>
        <v>922.3537304375003</v>
      </c>
    </row>
    <row r="219" spans="1:27" x14ac:dyDescent="0.25">
      <c r="E219" s="47" t="s">
        <v>721</v>
      </c>
      <c r="F219" s="47" t="s">
        <v>639</v>
      </c>
      <c r="H219" s="106">
        <f>H218*H217</f>
        <v>14337962.074786615</v>
      </c>
      <c r="I219" s="106">
        <f t="shared" ref="I219:AA219" si="108">I218*I217</f>
        <v>15068448.652636716</v>
      </c>
      <c r="J219" s="106">
        <f t="shared" si="108"/>
        <v>12855807.522075107</v>
      </c>
      <c r="K219" s="106">
        <f t="shared" si="108"/>
        <v>12942278.090071766</v>
      </c>
      <c r="L219" s="106">
        <f t="shared" si="108"/>
        <v>12855260.150752498</v>
      </c>
      <c r="M219" s="106">
        <f t="shared" si="108"/>
        <v>12622795.331148786</v>
      </c>
      <c r="N219" s="106">
        <f t="shared" si="108"/>
        <v>12557837.773537543</v>
      </c>
      <c r="O219" s="106">
        <f t="shared" si="108"/>
        <v>12809875.849780627</v>
      </c>
      <c r="P219" s="106">
        <f t="shared" si="108"/>
        <v>13014654.280412594</v>
      </c>
      <c r="Q219" s="106">
        <f t="shared" si="108"/>
        <v>13305937.276146226</v>
      </c>
      <c r="R219" s="106">
        <f t="shared" si="108"/>
        <v>13602054.169040253</v>
      </c>
      <c r="S219" s="106">
        <f t="shared" si="108"/>
        <v>13826462.222270416</v>
      </c>
      <c r="T219" s="106">
        <f t="shared" si="108"/>
        <v>14029313.215680994</v>
      </c>
      <c r="U219" s="106">
        <f t="shared" si="108"/>
        <v>14154081.686192803</v>
      </c>
      <c r="V219" s="106">
        <f t="shared" si="108"/>
        <v>14265600.575542893</v>
      </c>
      <c r="W219" s="106">
        <f t="shared" si="108"/>
        <v>14302715.755544871</v>
      </c>
      <c r="X219" s="106">
        <f t="shared" si="108"/>
        <v>14390190.839314831</v>
      </c>
      <c r="Y219" s="106">
        <f t="shared" si="108"/>
        <v>14312069.251990359</v>
      </c>
      <c r="Z219" s="106">
        <f t="shared" si="108"/>
        <v>14329579.680795683</v>
      </c>
      <c r="AA219" s="106">
        <f t="shared" si="108"/>
        <v>14439273.046521433</v>
      </c>
    </row>
    <row r="221" spans="1:27" x14ac:dyDescent="0.25">
      <c r="D221" s="47" t="s">
        <v>722</v>
      </c>
    </row>
    <row r="222" spans="1:27" x14ac:dyDescent="0.25">
      <c r="E222" s="47" t="s">
        <v>573</v>
      </c>
      <c r="F222" s="47" t="s">
        <v>639</v>
      </c>
      <c r="G222" s="106">
        <f t="shared" ref="G222:AA222" si="109">G42</f>
        <v>0</v>
      </c>
      <c r="H222" s="106">
        <f t="shared" si="109"/>
        <v>9544088.579732962</v>
      </c>
      <c r="I222" s="106">
        <f t="shared" si="109"/>
        <v>9751473.6738806479</v>
      </c>
      <c r="J222" s="106">
        <f t="shared" si="109"/>
        <v>10371105.604382807</v>
      </c>
      <c r="K222" s="106">
        <f t="shared" si="109"/>
        <v>10508638.545562441</v>
      </c>
      <c r="L222" s="106">
        <f t="shared" si="109"/>
        <v>9468529.8360574432</v>
      </c>
      <c r="M222" s="106">
        <f t="shared" si="109"/>
        <v>9604022.9159916546</v>
      </c>
      <c r="N222" s="106">
        <f t="shared" si="109"/>
        <v>9337527.6405437943</v>
      </c>
      <c r="O222" s="106">
        <f t="shared" si="109"/>
        <v>9832457.851763729</v>
      </c>
      <c r="P222" s="106">
        <f t="shared" si="109"/>
        <v>10082660.013833353</v>
      </c>
      <c r="Q222" s="106">
        <f t="shared" si="109"/>
        <v>9927563.0076135471</v>
      </c>
      <c r="R222" s="106">
        <f t="shared" si="109"/>
        <v>9702891.7247186098</v>
      </c>
      <c r="S222" s="106">
        <f t="shared" si="109"/>
        <v>9439166.3469357919</v>
      </c>
      <c r="T222" s="106">
        <f t="shared" si="109"/>
        <v>8885769.3244767319</v>
      </c>
      <c r="U222" s="106">
        <f t="shared" si="109"/>
        <v>8207396.5617446415</v>
      </c>
      <c r="V222" s="106">
        <f t="shared" si="109"/>
        <v>7422599.1416407619</v>
      </c>
      <c r="W222" s="106">
        <f t="shared" si="109"/>
        <v>6683815.0965384478</v>
      </c>
      <c r="X222" s="106">
        <f t="shared" si="109"/>
        <v>6211510.7745527206</v>
      </c>
      <c r="Y222" s="106">
        <f t="shared" si="109"/>
        <v>5425930.0179120712</v>
      </c>
      <c r="Z222" s="106">
        <f t="shared" si="109"/>
        <v>4562542.3221326051</v>
      </c>
      <c r="AA222" s="106">
        <f t="shared" si="109"/>
        <v>3899012.914458245</v>
      </c>
    </row>
    <row r="223" spans="1:27" x14ac:dyDescent="0.25">
      <c r="E223" s="47" t="s">
        <v>723</v>
      </c>
      <c r="F223" s="47" t="s">
        <v>639</v>
      </c>
      <c r="G223" s="106">
        <f t="shared" ref="G223:AA223" si="110">G177</f>
        <v>0</v>
      </c>
      <c r="H223" s="106">
        <f t="shared" si="110"/>
        <v>12107264.293825546</v>
      </c>
      <c r="I223" s="106">
        <f t="shared" si="110"/>
        <v>24841141.865222052</v>
      </c>
      <c r="J223" s="106">
        <f t="shared" si="110"/>
        <v>35247429.67599833</v>
      </c>
      <c r="K223" s="106">
        <f t="shared" si="110"/>
        <v>45717568.290419087</v>
      </c>
      <c r="L223" s="106">
        <f t="shared" si="110"/>
        <v>55260862.892891169</v>
      </c>
      <c r="M223" s="106">
        <f t="shared" si="110"/>
        <v>64795734.89177838</v>
      </c>
      <c r="N223" s="106">
        <f t="shared" si="110"/>
        <v>74826704.259903058</v>
      </c>
      <c r="O223" s="106">
        <f t="shared" si="110"/>
        <v>84636008.95523259</v>
      </c>
      <c r="P223" s="106">
        <f t="shared" si="110"/>
        <v>94483116.74082464</v>
      </c>
      <c r="Q223" s="106">
        <f t="shared" si="110"/>
        <v>91523590.480721921</v>
      </c>
      <c r="R223" s="106">
        <f t="shared" si="110"/>
        <v>100329970.79962641</v>
      </c>
      <c r="S223" s="106">
        <f t="shared" si="110"/>
        <v>109224458.31097089</v>
      </c>
      <c r="T223" s="106">
        <f t="shared" si="110"/>
        <v>118151426.37170927</v>
      </c>
      <c r="U223" s="106">
        <f t="shared" si="110"/>
        <v>127108462.78438832</v>
      </c>
      <c r="V223" s="106">
        <f t="shared" si="110"/>
        <v>125623258.44916701</v>
      </c>
      <c r="W223" s="106">
        <f t="shared" si="110"/>
        <v>133867394.76522949</v>
      </c>
      <c r="X223" s="106">
        <f t="shared" si="110"/>
        <v>141762429.71672091</v>
      </c>
      <c r="Y223" s="106">
        <f t="shared" si="110"/>
        <v>149907912.27911374</v>
      </c>
      <c r="Z223" s="106">
        <f t="shared" si="110"/>
        <v>158024104.56978294</v>
      </c>
      <c r="AA223" s="106">
        <f t="shared" si="110"/>
        <v>166904547.55343065</v>
      </c>
    </row>
    <row r="224" spans="1:27" x14ac:dyDescent="0.25">
      <c r="E224" s="47" t="s">
        <v>701</v>
      </c>
      <c r="F224" s="47" t="s">
        <v>639</v>
      </c>
      <c r="G224" s="106">
        <f t="shared" ref="G224:AA224" si="111">-G187</f>
        <v>0</v>
      </c>
      <c r="H224" s="106">
        <f t="shared" si="111"/>
        <v>-5791969.0111403344</v>
      </c>
      <c r="I224" s="106">
        <f t="shared" si="111"/>
        <v>-11488849.009138383</v>
      </c>
      <c r="J224" s="106">
        <f t="shared" si="111"/>
        <v>-16112833.7839857</v>
      </c>
      <c r="K224" s="106">
        <f t="shared" si="111"/>
        <v>-20585482.694728434</v>
      </c>
      <c r="L224" s="106">
        <f t="shared" si="111"/>
        <v>-24829420.362465724</v>
      </c>
      <c r="M224" s="106">
        <f t="shared" si="111"/>
        <v>-28779146.007099736</v>
      </c>
      <c r="N224" s="106">
        <f t="shared" si="111"/>
        <v>-32621189.118452929</v>
      </c>
      <c r="O224" s="106">
        <f t="shared" si="111"/>
        <v>-36356496.466509558</v>
      </c>
      <c r="P224" s="106">
        <f t="shared" si="111"/>
        <v>-40015500.323124766</v>
      </c>
      <c r="Q224" s="106">
        <f t="shared" si="111"/>
        <v>-43569815.546380743</v>
      </c>
      <c r="R224" s="106">
        <f t="shared" si="111"/>
        <v>-47112778.88934914</v>
      </c>
      <c r="S224" s="106">
        <f t="shared" si="111"/>
        <v>-50591124.161542028</v>
      </c>
      <c r="T224" s="106">
        <f t="shared" si="111"/>
        <v>-54007313.403951086</v>
      </c>
      <c r="U224" s="106">
        <f t="shared" si="111"/>
        <v>-57335920.444647893</v>
      </c>
      <c r="V224" s="106">
        <f t="shared" si="111"/>
        <v>-60585331.671599597</v>
      </c>
      <c r="W224" s="106">
        <f t="shared" si="111"/>
        <v>-63739678.20670566</v>
      </c>
      <c r="X224" s="106">
        <f t="shared" si="111"/>
        <v>-66728330.121005677</v>
      </c>
      <c r="Y224" s="106">
        <f t="shared" si="111"/>
        <v>-69664590.268020526</v>
      </c>
      <c r="Z224" s="106">
        <f t="shared" si="111"/>
        <v>-72526084.23305966</v>
      </c>
      <c r="AA224" s="106">
        <f t="shared" si="111"/>
        <v>-75417257.187199548</v>
      </c>
    </row>
    <row r="225" spans="4:28" x14ac:dyDescent="0.25">
      <c r="E225" s="47" t="s">
        <v>702</v>
      </c>
      <c r="F225" s="47" t="s">
        <v>639</v>
      </c>
      <c r="G225" s="106">
        <f t="shared" ref="G225:AA225" si="112">-G200</f>
        <v>0</v>
      </c>
      <c r="H225" s="106">
        <f t="shared" si="112"/>
        <v>-2199959.7081642896</v>
      </c>
      <c r="I225" s="106">
        <f t="shared" si="112"/>
        <v>-4379896.5237079989</v>
      </c>
      <c r="J225" s="106">
        <f t="shared" si="112"/>
        <v>-6137088.1325609218</v>
      </c>
      <c r="K225" s="106">
        <f t="shared" si="112"/>
        <v>-7876520.8730496475</v>
      </c>
      <c r="L225" s="106">
        <f t="shared" si="112"/>
        <v>-9570382.7697649542</v>
      </c>
      <c r="M225" s="106">
        <f t="shared" si="112"/>
        <v>-11181824.227254884</v>
      </c>
      <c r="N225" s="106">
        <f t="shared" si="112"/>
        <v>-12736511.468167182</v>
      </c>
      <c r="O225" s="106">
        <f t="shared" si="112"/>
        <v>-14278183.233160675</v>
      </c>
      <c r="P225" s="106">
        <f t="shared" si="112"/>
        <v>-15800383.552356152</v>
      </c>
      <c r="Q225" s="106">
        <f t="shared" si="112"/>
        <v>-17566133.808367133</v>
      </c>
      <c r="R225" s="106">
        <f t="shared" si="112"/>
        <v>-19371179.941743646</v>
      </c>
      <c r="S225" s="106">
        <f t="shared" si="112"/>
        <v>-21206005.907176971</v>
      </c>
      <c r="T225" s="106">
        <f t="shared" si="112"/>
        <v>-23067750.997968633</v>
      </c>
      <c r="U225" s="106">
        <f t="shared" si="112"/>
        <v>-24946053.355954338</v>
      </c>
      <c r="V225" s="106">
        <f t="shared" si="112"/>
        <v>-26839154.709556308</v>
      </c>
      <c r="W225" s="106">
        <f t="shared" si="112"/>
        <v>-28737181.393650245</v>
      </c>
      <c r="X225" s="106">
        <f t="shared" si="112"/>
        <v>-30646816.365710359</v>
      </c>
      <c r="Y225" s="106">
        <f t="shared" si="112"/>
        <v>-32546084.295603096</v>
      </c>
      <c r="Z225" s="106">
        <f t="shared" si="112"/>
        <v>-34447675.928328961</v>
      </c>
      <c r="AA225" s="106">
        <f t="shared" si="112"/>
        <v>-36363824.302499883</v>
      </c>
    </row>
    <row r="226" spans="4:28" x14ac:dyDescent="0.25">
      <c r="E226" s="47" t="s">
        <v>724</v>
      </c>
      <c r="F226" s="47" t="s">
        <v>639</v>
      </c>
      <c r="G226" s="106">
        <f t="shared" ref="G226:AA226" si="113">-G34-G50-G85</f>
        <v>0</v>
      </c>
      <c r="H226" s="106">
        <f t="shared" si="113"/>
        <v>-355378.89897340775</v>
      </c>
      <c r="I226" s="106">
        <f t="shared" si="113"/>
        <v>-673112.88806158863</v>
      </c>
      <c r="J226" s="106">
        <f t="shared" si="113"/>
        <v>-1059594.8316016067</v>
      </c>
      <c r="K226" s="106">
        <f t="shared" si="113"/>
        <v>-1439243.0351829589</v>
      </c>
      <c r="L226" s="106">
        <f t="shared" si="113"/>
        <v>-1820694.317957368</v>
      </c>
      <c r="M226" s="106">
        <f t="shared" si="113"/>
        <v>-2308354.8459633789</v>
      </c>
      <c r="N226" s="106">
        <f t="shared" si="113"/>
        <v>-2977367.8054601401</v>
      </c>
      <c r="O226" s="106">
        <f t="shared" si="113"/>
        <v>-3733349.1256795698</v>
      </c>
      <c r="P226" s="106">
        <f t="shared" si="113"/>
        <v>-4353450.5430675019</v>
      </c>
      <c r="Q226" s="106">
        <f t="shared" si="113"/>
        <v>-4939208.9708219171</v>
      </c>
      <c r="R226" s="106">
        <f t="shared" si="113"/>
        <v>-5522471.0509886108</v>
      </c>
      <c r="S226" s="106">
        <f t="shared" si="113"/>
        <v>-6102802.8491799394</v>
      </c>
      <c r="T226" s="106">
        <f t="shared" si="113"/>
        <v>-6676985.791566167</v>
      </c>
      <c r="U226" s="106">
        <f t="shared" si="113"/>
        <v>-7243631.2588109272</v>
      </c>
      <c r="V226" s="106">
        <f t="shared" si="113"/>
        <v>-7801556.7547212001</v>
      </c>
      <c r="W226" s="106">
        <f t="shared" si="113"/>
        <v>-8351273.5390192252</v>
      </c>
      <c r="X226" s="106">
        <f t="shared" si="113"/>
        <v>-8895742.4975174088</v>
      </c>
      <c r="Y226" s="106">
        <f t="shared" si="113"/>
        <v>-9431482.7809418067</v>
      </c>
      <c r="Z226" s="106">
        <f t="shared" si="113"/>
        <v>-9957629.8677464332</v>
      </c>
      <c r="AA226" s="106">
        <f t="shared" si="113"/>
        <v>-10476404.4055769</v>
      </c>
    </row>
    <row r="227" spans="4:28" x14ac:dyDescent="0.25">
      <c r="E227" s="47" t="s">
        <v>709</v>
      </c>
      <c r="F227" s="47" t="s">
        <v>639</v>
      </c>
      <c r="G227" s="106">
        <f t="shared" ref="G227:AA227" si="114">G207</f>
        <v>0</v>
      </c>
      <c r="H227" s="106">
        <f t="shared" si="114"/>
        <v>0</v>
      </c>
      <c r="I227" s="106">
        <f t="shared" si="114"/>
        <v>0</v>
      </c>
      <c r="J227" s="106">
        <f t="shared" si="114"/>
        <v>0</v>
      </c>
      <c r="K227" s="106">
        <f t="shared" si="114"/>
        <v>0</v>
      </c>
      <c r="L227" s="106">
        <f t="shared" si="114"/>
        <v>0</v>
      </c>
      <c r="M227" s="106">
        <f t="shared" si="114"/>
        <v>0</v>
      </c>
      <c r="N227" s="106">
        <f t="shared" si="114"/>
        <v>0</v>
      </c>
      <c r="O227" s="106">
        <f t="shared" si="114"/>
        <v>0</v>
      </c>
      <c r="P227" s="106">
        <f t="shared" si="114"/>
        <v>0</v>
      </c>
      <c r="Q227" s="106">
        <f t="shared" si="114"/>
        <v>0</v>
      </c>
      <c r="R227" s="106">
        <f t="shared" si="114"/>
        <v>0</v>
      </c>
      <c r="S227" s="106">
        <f t="shared" si="114"/>
        <v>0</v>
      </c>
      <c r="T227" s="106">
        <f t="shared" si="114"/>
        <v>0</v>
      </c>
      <c r="U227" s="106">
        <f t="shared" si="114"/>
        <v>0</v>
      </c>
      <c r="V227" s="106">
        <f t="shared" si="114"/>
        <v>0</v>
      </c>
      <c r="W227" s="106">
        <f t="shared" si="114"/>
        <v>0</v>
      </c>
      <c r="X227" s="106">
        <f t="shared" si="114"/>
        <v>0</v>
      </c>
      <c r="Y227" s="106">
        <f t="shared" si="114"/>
        <v>0</v>
      </c>
      <c r="Z227" s="106">
        <f t="shared" si="114"/>
        <v>0</v>
      </c>
      <c r="AA227" s="106">
        <f t="shared" si="114"/>
        <v>0</v>
      </c>
    </row>
    <row r="228" spans="4:28" x14ac:dyDescent="0.25">
      <c r="E228" s="47" t="s">
        <v>725</v>
      </c>
      <c r="F228" s="47" t="s">
        <v>639</v>
      </c>
      <c r="H228" s="106">
        <f t="shared" ref="H228:AA228" si="115">H219</f>
        <v>14337962.074786615</v>
      </c>
      <c r="I228" s="106">
        <f t="shared" si="115"/>
        <v>15068448.652636716</v>
      </c>
      <c r="J228" s="106">
        <f t="shared" si="115"/>
        <v>12855807.522075107</v>
      </c>
      <c r="K228" s="106">
        <f t="shared" si="115"/>
        <v>12942278.090071766</v>
      </c>
      <c r="L228" s="106">
        <f t="shared" si="115"/>
        <v>12855260.150752498</v>
      </c>
      <c r="M228" s="106">
        <f t="shared" si="115"/>
        <v>12622795.331148786</v>
      </c>
      <c r="N228" s="106">
        <f t="shared" si="115"/>
        <v>12557837.773537543</v>
      </c>
      <c r="O228" s="106">
        <f t="shared" si="115"/>
        <v>12809875.849780627</v>
      </c>
      <c r="P228" s="106">
        <f t="shared" si="115"/>
        <v>13014654.280412594</v>
      </c>
      <c r="Q228" s="106">
        <f t="shared" si="115"/>
        <v>13305937.276146226</v>
      </c>
      <c r="R228" s="106">
        <f t="shared" si="115"/>
        <v>13602054.169040253</v>
      </c>
      <c r="S228" s="106">
        <f t="shared" si="115"/>
        <v>13826462.222270416</v>
      </c>
      <c r="T228" s="106">
        <f t="shared" si="115"/>
        <v>14029313.215680994</v>
      </c>
      <c r="U228" s="106">
        <f t="shared" si="115"/>
        <v>14154081.686192803</v>
      </c>
      <c r="V228" s="106">
        <f t="shared" si="115"/>
        <v>14265600.575542893</v>
      </c>
      <c r="W228" s="106">
        <f t="shared" si="115"/>
        <v>14302715.755544871</v>
      </c>
      <c r="X228" s="106">
        <f t="shared" si="115"/>
        <v>14390190.839314831</v>
      </c>
      <c r="Y228" s="106">
        <f t="shared" si="115"/>
        <v>14312069.251990359</v>
      </c>
      <c r="Z228" s="106">
        <f t="shared" si="115"/>
        <v>14329579.680795683</v>
      </c>
      <c r="AA228" s="106">
        <f t="shared" si="115"/>
        <v>14439273.046521433</v>
      </c>
    </row>
    <row r="230" spans="4:28" x14ac:dyDescent="0.25">
      <c r="E230" s="47" t="s">
        <v>726</v>
      </c>
      <c r="F230" s="47" t="s">
        <v>639</v>
      </c>
      <c r="G230" s="106">
        <f t="shared" ref="G230:AA230" si="116">SUM(G222:G228)</f>
        <v>0</v>
      </c>
      <c r="H230" s="106">
        <f t="shared" si="116"/>
        <v>27642007.330067091</v>
      </c>
      <c r="I230" s="106">
        <f t="shared" si="116"/>
        <v>33119205.770831443</v>
      </c>
      <c r="J230" s="106">
        <f t="shared" si="116"/>
        <v>35164826.05430802</v>
      </c>
      <c r="K230" s="106">
        <f t="shared" si="116"/>
        <v>39267238.323092252</v>
      </c>
      <c r="L230" s="106">
        <f t="shared" si="116"/>
        <v>41364155.42951306</v>
      </c>
      <c r="M230" s="106">
        <f t="shared" si="116"/>
        <v>44753228.058600821</v>
      </c>
      <c r="N230" s="106">
        <f t="shared" si="116"/>
        <v>48387001.281904146</v>
      </c>
      <c r="O230" s="106">
        <f t="shared" si="116"/>
        <v>52910313.831427142</v>
      </c>
      <c r="P230" s="106">
        <f t="shared" si="116"/>
        <v>57411096.616522171</v>
      </c>
      <c r="Q230" s="106">
        <f t="shared" si="116"/>
        <v>48681932.438911892</v>
      </c>
      <c r="R230" s="106">
        <f t="shared" si="116"/>
        <v>51628486.811303876</v>
      </c>
      <c r="S230" s="106">
        <f t="shared" si="116"/>
        <v>54590153.962278157</v>
      </c>
      <c r="T230" s="106">
        <f t="shared" si="116"/>
        <v>57314458.718381129</v>
      </c>
      <c r="U230" s="106">
        <f t="shared" si="116"/>
        <v>59944335.97291261</v>
      </c>
      <c r="V230" s="106">
        <f t="shared" si="116"/>
        <v>52085415.03047356</v>
      </c>
      <c r="W230" s="106">
        <f t="shared" si="116"/>
        <v>54025792.477937683</v>
      </c>
      <c r="X230" s="106">
        <f t="shared" si="116"/>
        <v>56093242.346355021</v>
      </c>
      <c r="Y230" s="106">
        <f t="shared" si="116"/>
        <v>58003754.204450727</v>
      </c>
      <c r="Z230" s="106">
        <f t="shared" si="116"/>
        <v>59984836.543576188</v>
      </c>
      <c r="AA230" s="106">
        <f t="shared" si="116"/>
        <v>62985347.619133994</v>
      </c>
    </row>
    <row r="231" spans="4:28" x14ac:dyDescent="0.25">
      <c r="E231" s="47" t="s">
        <v>727</v>
      </c>
      <c r="F231" s="47" t="s">
        <v>639</v>
      </c>
      <c r="G231" s="106">
        <f>-G230*G$18</f>
        <v>0</v>
      </c>
      <c r="H231" s="106">
        <f t="shared" ref="H231:AA231" si="117">-H230*H$18</f>
        <v>-8292602.1990201268</v>
      </c>
      <c r="I231" s="106">
        <f t="shared" si="117"/>
        <v>-9935761.731249433</v>
      </c>
      <c r="J231" s="106">
        <f t="shared" si="117"/>
        <v>-10549447.816292405</v>
      </c>
      <c r="K231" s="106">
        <f t="shared" si="117"/>
        <v>-11780171.496927675</v>
      </c>
      <c r="L231" s="106">
        <f t="shared" si="117"/>
        <v>-12409246.628853917</v>
      </c>
      <c r="M231" s="106">
        <f t="shared" si="117"/>
        <v>-13425968.417580245</v>
      </c>
      <c r="N231" s="106">
        <f t="shared" si="117"/>
        <v>-14516100.384571243</v>
      </c>
      <c r="O231" s="106">
        <f t="shared" si="117"/>
        <v>-15873094.149428142</v>
      </c>
      <c r="P231" s="106">
        <f t="shared" si="117"/>
        <v>-17223328.984956652</v>
      </c>
      <c r="Q231" s="106">
        <f t="shared" si="117"/>
        <v>-14604579.731673567</v>
      </c>
      <c r="R231" s="106">
        <f t="shared" si="117"/>
        <v>-15488546.043391163</v>
      </c>
      <c r="S231" s="106">
        <f t="shared" si="117"/>
        <v>-16377046.188683446</v>
      </c>
      <c r="T231" s="106">
        <f t="shared" si="117"/>
        <v>-17194337.615514338</v>
      </c>
      <c r="U231" s="106">
        <f t="shared" si="117"/>
        <v>-17983300.791873783</v>
      </c>
      <c r="V231" s="106">
        <f t="shared" si="117"/>
        <v>-15625624.509142067</v>
      </c>
      <c r="W231" s="106">
        <f t="shared" si="117"/>
        <v>-16207737.743381305</v>
      </c>
      <c r="X231" s="106">
        <f t="shared" si="117"/>
        <v>-16827972.703906506</v>
      </c>
      <c r="Y231" s="106">
        <f t="shared" si="117"/>
        <v>-17401126.261335216</v>
      </c>
      <c r="Z231" s="106">
        <f t="shared" si="117"/>
        <v>-17995450.963072855</v>
      </c>
      <c r="AA231" s="106">
        <f t="shared" si="117"/>
        <v>-18895604.285740197</v>
      </c>
    </row>
    <row r="233" spans="4:28" x14ac:dyDescent="0.25">
      <c r="D233" s="47" t="s">
        <v>728</v>
      </c>
    </row>
    <row r="234" spans="4:28" x14ac:dyDescent="0.25">
      <c r="E234" s="47" t="s">
        <v>638</v>
      </c>
      <c r="F234" s="47" t="s">
        <v>639</v>
      </c>
      <c r="G234" s="106">
        <f t="shared" ref="G234:AA234" si="118">-G26</f>
        <v>0</v>
      </c>
      <c r="H234" s="106">
        <f t="shared" si="118"/>
        <v>-21905144.095983069</v>
      </c>
      <c r="I234" s="106">
        <f t="shared" si="118"/>
        <v>-18322489.997151017</v>
      </c>
      <c r="J234" s="106">
        <f t="shared" si="118"/>
        <v>-23899990.431730445</v>
      </c>
      <c r="K234" s="106">
        <f t="shared" si="118"/>
        <v>-23326757.940097515</v>
      </c>
      <c r="L234" s="106">
        <f t="shared" si="118"/>
        <v>-24460242.041044522</v>
      </c>
      <c r="M234" s="106">
        <f t="shared" si="118"/>
        <v>-33740065.470313445</v>
      </c>
      <c r="N234" s="106">
        <f t="shared" si="118"/>
        <v>-50328279.579928853</v>
      </c>
      <c r="O234" s="106">
        <f t="shared" si="118"/>
        <v>-57947532.957031094</v>
      </c>
      <c r="P234" s="106">
        <f t="shared" si="118"/>
        <v>-45468139.540126704</v>
      </c>
      <c r="Q234" s="106">
        <f t="shared" si="118"/>
        <v>-42388851.917688929</v>
      </c>
      <c r="R234" s="106">
        <f>-R26</f>
        <v>-42388851.917688929</v>
      </c>
      <c r="S234" s="106">
        <f t="shared" si="118"/>
        <v>-42388851.917688929</v>
      </c>
      <c r="T234" s="106">
        <f t="shared" si="118"/>
        <v>-42388851.917688929</v>
      </c>
      <c r="U234" s="106">
        <f t="shared" si="118"/>
        <v>-42388851.917688929</v>
      </c>
      <c r="V234" s="106">
        <f t="shared" si="118"/>
        <v>-42388851.917688929</v>
      </c>
      <c r="W234" s="106">
        <f t="shared" si="118"/>
        <v>-42388851.917688929</v>
      </c>
      <c r="X234" s="106">
        <f t="shared" si="118"/>
        <v>-42388851.917688929</v>
      </c>
      <c r="Y234" s="106">
        <f t="shared" si="118"/>
        <v>-42388851.917688929</v>
      </c>
      <c r="Z234" s="106">
        <f t="shared" si="118"/>
        <v>-42388851.917688929</v>
      </c>
      <c r="AA234" s="106">
        <f t="shared" si="118"/>
        <v>-42388851.917688929</v>
      </c>
    </row>
    <row r="235" spans="4:28" x14ac:dyDescent="0.25">
      <c r="E235" s="47" t="s">
        <v>729</v>
      </c>
      <c r="F235" s="47" t="s">
        <v>639</v>
      </c>
      <c r="G235" s="106">
        <f t="shared" ref="G235:AA235" si="119">G84</f>
        <v>0</v>
      </c>
      <c r="H235" s="106">
        <f t="shared" si="119"/>
        <v>0</v>
      </c>
      <c r="I235" s="106">
        <f t="shared" si="119"/>
        <v>0</v>
      </c>
      <c r="J235" s="106">
        <f t="shared" si="119"/>
        <v>0</v>
      </c>
      <c r="K235" s="106">
        <f t="shared" si="119"/>
        <v>0</v>
      </c>
      <c r="L235" s="106">
        <f t="shared" si="119"/>
        <v>0</v>
      </c>
      <c r="M235" s="106">
        <f t="shared" si="119"/>
        <v>0</v>
      </c>
      <c r="N235" s="106">
        <f t="shared" si="119"/>
        <v>0</v>
      </c>
      <c r="O235" s="106">
        <f t="shared" si="119"/>
        <v>0</v>
      </c>
      <c r="P235" s="106">
        <f t="shared" si="119"/>
        <v>0</v>
      </c>
      <c r="Q235" s="106">
        <f t="shared" si="119"/>
        <v>0</v>
      </c>
      <c r="R235" s="106">
        <f t="shared" si="119"/>
        <v>0</v>
      </c>
      <c r="S235" s="106">
        <f t="shared" si="119"/>
        <v>0</v>
      </c>
      <c r="T235" s="106">
        <f t="shared" si="119"/>
        <v>0</v>
      </c>
      <c r="U235" s="106">
        <f t="shared" si="119"/>
        <v>0</v>
      </c>
      <c r="V235" s="106">
        <f t="shared" si="119"/>
        <v>0</v>
      </c>
      <c r="W235" s="106">
        <f t="shared" si="119"/>
        <v>0</v>
      </c>
      <c r="X235" s="106">
        <f t="shared" si="119"/>
        <v>0</v>
      </c>
      <c r="Y235" s="106">
        <f t="shared" si="119"/>
        <v>0</v>
      </c>
      <c r="Z235" s="106">
        <f t="shared" si="119"/>
        <v>0</v>
      </c>
      <c r="AA235" s="106">
        <f t="shared" si="119"/>
        <v>0</v>
      </c>
    </row>
    <row r="236" spans="4:28" x14ac:dyDescent="0.25">
      <c r="E236" s="47" t="s">
        <v>645</v>
      </c>
      <c r="F236" s="47" t="s">
        <v>639</v>
      </c>
      <c r="G236" s="106">
        <f t="shared" ref="G236:AA236" si="120">G53</f>
        <v>0</v>
      </c>
      <c r="H236" s="106">
        <f t="shared" si="120"/>
        <v>0</v>
      </c>
      <c r="I236" s="106">
        <f t="shared" si="120"/>
        <v>0</v>
      </c>
      <c r="J236" s="106">
        <f t="shared" si="120"/>
        <v>0</v>
      </c>
      <c r="K236" s="106">
        <f t="shared" si="120"/>
        <v>0</v>
      </c>
      <c r="L236" s="106">
        <f t="shared" si="120"/>
        <v>0</v>
      </c>
      <c r="M236" s="106">
        <f t="shared" si="120"/>
        <v>0</v>
      </c>
      <c r="N236" s="106">
        <f t="shared" si="120"/>
        <v>0</v>
      </c>
      <c r="O236" s="106">
        <f t="shared" si="120"/>
        <v>0</v>
      </c>
      <c r="P236" s="106">
        <f t="shared" si="120"/>
        <v>0</v>
      </c>
      <c r="Q236" s="106">
        <f t="shared" si="120"/>
        <v>0</v>
      </c>
      <c r="R236" s="106">
        <f t="shared" si="120"/>
        <v>0</v>
      </c>
      <c r="S236" s="106">
        <f t="shared" si="120"/>
        <v>0</v>
      </c>
      <c r="T236" s="106">
        <f t="shared" si="120"/>
        <v>0</v>
      </c>
      <c r="U236" s="106">
        <f t="shared" si="120"/>
        <v>0</v>
      </c>
      <c r="V236" s="106">
        <f t="shared" si="120"/>
        <v>0</v>
      </c>
      <c r="W236" s="106">
        <f t="shared" si="120"/>
        <v>0</v>
      </c>
      <c r="X236" s="106">
        <f t="shared" si="120"/>
        <v>0</v>
      </c>
      <c r="Y236" s="106">
        <f t="shared" si="120"/>
        <v>0</v>
      </c>
      <c r="Z236" s="106">
        <f t="shared" si="120"/>
        <v>0</v>
      </c>
      <c r="AA236" s="106">
        <f t="shared" si="120"/>
        <v>0</v>
      </c>
    </row>
    <row r="237" spans="4:28" x14ac:dyDescent="0.25">
      <c r="E237" s="47" t="s">
        <v>723</v>
      </c>
      <c r="F237" s="47" t="s">
        <v>639</v>
      </c>
      <c r="G237" s="106">
        <f t="shared" ref="G237:AA237" si="121">G177</f>
        <v>0</v>
      </c>
      <c r="H237" s="106">
        <f t="shared" si="121"/>
        <v>12107264.293825546</v>
      </c>
      <c r="I237" s="106">
        <f t="shared" si="121"/>
        <v>24841141.865222052</v>
      </c>
      <c r="J237" s="106">
        <f t="shared" si="121"/>
        <v>35247429.67599833</v>
      </c>
      <c r="K237" s="106">
        <f t="shared" si="121"/>
        <v>45717568.290419087</v>
      </c>
      <c r="L237" s="106">
        <f t="shared" si="121"/>
        <v>55260862.892891169</v>
      </c>
      <c r="M237" s="106">
        <f t="shared" si="121"/>
        <v>64795734.89177838</v>
      </c>
      <c r="N237" s="106">
        <f t="shared" si="121"/>
        <v>74826704.259903058</v>
      </c>
      <c r="O237" s="106">
        <f t="shared" si="121"/>
        <v>84636008.95523259</v>
      </c>
      <c r="P237" s="106">
        <f t="shared" si="121"/>
        <v>94483116.74082464</v>
      </c>
      <c r="Q237" s="106">
        <f t="shared" si="121"/>
        <v>91523590.480721921</v>
      </c>
      <c r="R237" s="106">
        <f t="shared" si="121"/>
        <v>100329970.79962641</v>
      </c>
      <c r="S237" s="106">
        <f t="shared" si="121"/>
        <v>109224458.31097089</v>
      </c>
      <c r="T237" s="106">
        <f t="shared" si="121"/>
        <v>118151426.37170927</v>
      </c>
      <c r="U237" s="106">
        <f t="shared" si="121"/>
        <v>127108462.78438832</v>
      </c>
      <c r="V237" s="106">
        <f t="shared" si="121"/>
        <v>125623258.44916701</v>
      </c>
      <c r="W237" s="106">
        <f t="shared" si="121"/>
        <v>133867394.76522949</v>
      </c>
      <c r="X237" s="106">
        <f t="shared" si="121"/>
        <v>141762429.71672091</v>
      </c>
      <c r="Y237" s="106">
        <f t="shared" si="121"/>
        <v>149907912.27911374</v>
      </c>
      <c r="Z237" s="106">
        <f t="shared" si="121"/>
        <v>158024104.56978294</v>
      </c>
      <c r="AA237" s="106">
        <f t="shared" si="121"/>
        <v>166904547.55343065</v>
      </c>
      <c r="AB237" s="106">
        <f t="shared" ref="AB237:AB241" si="122">IF(V237=0,0,IF($G$15&gt;(AA237/V237)^(1/5)-1+2%,AA237*(AA237/V237)^(1/5)/($G$15-((AA237/V237)^(1/5)-1)),AA237*(1+$G$14)/$G$16))</f>
        <v>6925499898.4825964</v>
      </c>
    </row>
    <row r="238" spans="4:28" x14ac:dyDescent="0.25">
      <c r="E238" s="47" t="s">
        <v>701</v>
      </c>
      <c r="F238" s="47" t="s">
        <v>639</v>
      </c>
      <c r="G238" s="106">
        <f t="shared" ref="G238:AA238" si="123">G224</f>
        <v>0</v>
      </c>
      <c r="H238" s="106">
        <f t="shared" si="123"/>
        <v>-5791969.0111403344</v>
      </c>
      <c r="I238" s="106">
        <f t="shared" si="123"/>
        <v>-11488849.009138383</v>
      </c>
      <c r="J238" s="106">
        <f t="shared" si="123"/>
        <v>-16112833.7839857</v>
      </c>
      <c r="K238" s="106">
        <f t="shared" si="123"/>
        <v>-20585482.694728434</v>
      </c>
      <c r="L238" s="106">
        <f t="shared" si="123"/>
        <v>-24829420.362465724</v>
      </c>
      <c r="M238" s="106">
        <f t="shared" si="123"/>
        <v>-28779146.007099736</v>
      </c>
      <c r="N238" s="106">
        <f t="shared" si="123"/>
        <v>-32621189.118452929</v>
      </c>
      <c r="O238" s="106">
        <f t="shared" si="123"/>
        <v>-36356496.466509558</v>
      </c>
      <c r="P238" s="106">
        <f t="shared" si="123"/>
        <v>-40015500.323124766</v>
      </c>
      <c r="Q238" s="106">
        <f t="shared" si="123"/>
        <v>-43569815.546380743</v>
      </c>
      <c r="R238" s="106">
        <f t="shared" si="123"/>
        <v>-47112778.88934914</v>
      </c>
      <c r="S238" s="106">
        <f t="shared" si="123"/>
        <v>-50591124.161542028</v>
      </c>
      <c r="T238" s="106">
        <f t="shared" si="123"/>
        <v>-54007313.403951086</v>
      </c>
      <c r="U238" s="106">
        <f t="shared" si="123"/>
        <v>-57335920.444647893</v>
      </c>
      <c r="V238" s="106">
        <f t="shared" si="123"/>
        <v>-60585331.671599597</v>
      </c>
      <c r="W238" s="106">
        <f t="shared" si="123"/>
        <v>-63739678.20670566</v>
      </c>
      <c r="X238" s="106">
        <f t="shared" si="123"/>
        <v>-66728330.121005677</v>
      </c>
      <c r="Y238" s="106">
        <f t="shared" si="123"/>
        <v>-69664590.268020526</v>
      </c>
      <c r="Z238" s="106">
        <f t="shared" si="123"/>
        <v>-72526084.23305966</v>
      </c>
      <c r="AA238" s="106">
        <f t="shared" si="123"/>
        <v>-75417257.187199548</v>
      </c>
      <c r="AB238" s="106">
        <f t="shared" si="122"/>
        <v>-3129346771.2530918</v>
      </c>
    </row>
    <row r="239" spans="4:28" x14ac:dyDescent="0.25">
      <c r="E239" s="47" t="s">
        <v>702</v>
      </c>
      <c r="F239" s="47" t="s">
        <v>639</v>
      </c>
      <c r="G239" s="106">
        <f t="shared" ref="G239:AA239" si="124">-G200</f>
        <v>0</v>
      </c>
      <c r="H239" s="106">
        <f t="shared" si="124"/>
        <v>-2199959.7081642896</v>
      </c>
      <c r="I239" s="106">
        <f t="shared" si="124"/>
        <v>-4379896.5237079989</v>
      </c>
      <c r="J239" s="106">
        <f t="shared" si="124"/>
        <v>-6137088.1325609218</v>
      </c>
      <c r="K239" s="106">
        <f t="shared" si="124"/>
        <v>-7876520.8730496475</v>
      </c>
      <c r="L239" s="106">
        <f t="shared" si="124"/>
        <v>-9570382.7697649542</v>
      </c>
      <c r="M239" s="106">
        <f t="shared" si="124"/>
        <v>-11181824.227254884</v>
      </c>
      <c r="N239" s="106">
        <f t="shared" si="124"/>
        <v>-12736511.468167182</v>
      </c>
      <c r="O239" s="106">
        <f t="shared" si="124"/>
        <v>-14278183.233160675</v>
      </c>
      <c r="P239" s="106">
        <f t="shared" si="124"/>
        <v>-15800383.552356152</v>
      </c>
      <c r="Q239" s="106">
        <f t="shared" si="124"/>
        <v>-17566133.808367133</v>
      </c>
      <c r="R239" s="106">
        <f t="shared" si="124"/>
        <v>-19371179.941743646</v>
      </c>
      <c r="S239" s="106">
        <f t="shared" si="124"/>
        <v>-21206005.907176971</v>
      </c>
      <c r="T239" s="106">
        <f t="shared" si="124"/>
        <v>-23067750.997968633</v>
      </c>
      <c r="U239" s="106">
        <f t="shared" si="124"/>
        <v>-24946053.355954338</v>
      </c>
      <c r="V239" s="106">
        <f t="shared" si="124"/>
        <v>-26839154.709556308</v>
      </c>
      <c r="W239" s="106">
        <f t="shared" si="124"/>
        <v>-28737181.393650245</v>
      </c>
      <c r="X239" s="106">
        <f t="shared" si="124"/>
        <v>-30646816.365710359</v>
      </c>
      <c r="Y239" s="106">
        <f t="shared" si="124"/>
        <v>-32546084.295603096</v>
      </c>
      <c r="Z239" s="106">
        <f t="shared" si="124"/>
        <v>-34447675.928328961</v>
      </c>
      <c r="AA239" s="106">
        <f t="shared" si="124"/>
        <v>-36363824.302499883</v>
      </c>
      <c r="AB239" s="106">
        <f t="shared" si="122"/>
        <v>-1508872377.6970899</v>
      </c>
    </row>
    <row r="240" spans="4:28" x14ac:dyDescent="0.25">
      <c r="E240" s="47" t="s">
        <v>709</v>
      </c>
      <c r="F240" s="47" t="s">
        <v>639</v>
      </c>
      <c r="G240" s="106">
        <f t="shared" ref="G240:AA240" si="125">G207</f>
        <v>0</v>
      </c>
      <c r="H240" s="106">
        <f t="shared" si="125"/>
        <v>0</v>
      </c>
      <c r="I240" s="106">
        <f t="shared" si="125"/>
        <v>0</v>
      </c>
      <c r="J240" s="106">
        <f t="shared" si="125"/>
        <v>0</v>
      </c>
      <c r="K240" s="106">
        <f t="shared" si="125"/>
        <v>0</v>
      </c>
      <c r="L240" s="106">
        <f t="shared" si="125"/>
        <v>0</v>
      </c>
      <c r="M240" s="106">
        <f t="shared" si="125"/>
        <v>0</v>
      </c>
      <c r="N240" s="106">
        <f t="shared" si="125"/>
        <v>0</v>
      </c>
      <c r="O240" s="106">
        <f t="shared" si="125"/>
        <v>0</v>
      </c>
      <c r="P240" s="106">
        <f t="shared" si="125"/>
        <v>0</v>
      </c>
      <c r="Q240" s="106">
        <f t="shared" si="125"/>
        <v>0</v>
      </c>
      <c r="R240" s="106">
        <f t="shared" si="125"/>
        <v>0</v>
      </c>
      <c r="S240" s="106">
        <f t="shared" si="125"/>
        <v>0</v>
      </c>
      <c r="T240" s="106">
        <f t="shared" si="125"/>
        <v>0</v>
      </c>
      <c r="U240" s="106">
        <f t="shared" si="125"/>
        <v>0</v>
      </c>
      <c r="V240" s="106">
        <f t="shared" si="125"/>
        <v>0</v>
      </c>
      <c r="W240" s="106">
        <f t="shared" si="125"/>
        <v>0</v>
      </c>
      <c r="X240" s="106">
        <f t="shared" si="125"/>
        <v>0</v>
      </c>
      <c r="Y240" s="106">
        <f t="shared" si="125"/>
        <v>0</v>
      </c>
      <c r="Z240" s="106">
        <f t="shared" si="125"/>
        <v>0</v>
      </c>
      <c r="AA240" s="106">
        <f t="shared" si="125"/>
        <v>0</v>
      </c>
      <c r="AB240" s="106">
        <f t="shared" si="122"/>
        <v>0</v>
      </c>
    </row>
    <row r="241" spans="3:40" x14ac:dyDescent="0.25">
      <c r="E241" s="47" t="s">
        <v>714</v>
      </c>
      <c r="F241" s="47" t="s">
        <v>639</v>
      </c>
      <c r="G241" s="106">
        <f t="shared" ref="G241:AA241" si="126">G214</f>
        <v>0</v>
      </c>
      <c r="H241" s="106">
        <f t="shared" si="126"/>
        <v>0</v>
      </c>
      <c r="I241" s="106">
        <f t="shared" si="126"/>
        <v>0</v>
      </c>
      <c r="J241" s="106">
        <f t="shared" si="126"/>
        <v>0</v>
      </c>
      <c r="K241" s="106">
        <f t="shared" si="126"/>
        <v>0</v>
      </c>
      <c r="L241" s="106">
        <f t="shared" si="126"/>
        <v>0</v>
      </c>
      <c r="M241" s="106">
        <f t="shared" si="126"/>
        <v>0</v>
      </c>
      <c r="N241" s="106">
        <f t="shared" si="126"/>
        <v>0</v>
      </c>
      <c r="O241" s="106">
        <f t="shared" si="126"/>
        <v>0</v>
      </c>
      <c r="P241" s="106">
        <f t="shared" si="126"/>
        <v>0</v>
      </c>
      <c r="Q241" s="106">
        <f t="shared" si="126"/>
        <v>0</v>
      </c>
      <c r="R241" s="106">
        <f t="shared" si="126"/>
        <v>0</v>
      </c>
      <c r="S241" s="106">
        <f t="shared" si="126"/>
        <v>0</v>
      </c>
      <c r="T241" s="106">
        <f t="shared" si="126"/>
        <v>0</v>
      </c>
      <c r="U241" s="106">
        <f t="shared" si="126"/>
        <v>0</v>
      </c>
      <c r="V241" s="106">
        <f t="shared" si="126"/>
        <v>0</v>
      </c>
      <c r="W241" s="106">
        <f t="shared" si="126"/>
        <v>0</v>
      </c>
      <c r="X241" s="106">
        <f t="shared" si="126"/>
        <v>0</v>
      </c>
      <c r="Y241" s="106">
        <f t="shared" si="126"/>
        <v>0</v>
      </c>
      <c r="Z241" s="106">
        <f t="shared" si="126"/>
        <v>0</v>
      </c>
      <c r="AA241" s="106">
        <f t="shared" si="126"/>
        <v>0</v>
      </c>
      <c r="AB241" s="106">
        <f t="shared" si="122"/>
        <v>0</v>
      </c>
    </row>
    <row r="242" spans="3:40" x14ac:dyDescent="0.25">
      <c r="E242" s="47" t="s">
        <v>458</v>
      </c>
      <c r="F242" s="47" t="s">
        <v>639</v>
      </c>
      <c r="G242" s="106">
        <f t="shared" ref="G242:AA242" si="127">G231</f>
        <v>0</v>
      </c>
      <c r="H242" s="106">
        <f t="shared" si="127"/>
        <v>-8292602.1990201268</v>
      </c>
      <c r="I242" s="106">
        <f t="shared" si="127"/>
        <v>-9935761.731249433</v>
      </c>
      <c r="J242" s="106">
        <f t="shared" si="127"/>
        <v>-10549447.816292405</v>
      </c>
      <c r="K242" s="106">
        <f t="shared" si="127"/>
        <v>-11780171.496927675</v>
      </c>
      <c r="L242" s="106">
        <f t="shared" si="127"/>
        <v>-12409246.628853917</v>
      </c>
      <c r="M242" s="106">
        <f t="shared" si="127"/>
        <v>-13425968.417580245</v>
      </c>
      <c r="N242" s="106">
        <f t="shared" si="127"/>
        <v>-14516100.384571243</v>
      </c>
      <c r="O242" s="106">
        <f t="shared" si="127"/>
        <v>-15873094.149428142</v>
      </c>
      <c r="P242" s="106">
        <f t="shared" si="127"/>
        <v>-17223328.984956652</v>
      </c>
      <c r="Q242" s="106">
        <f t="shared" si="127"/>
        <v>-14604579.731673567</v>
      </c>
      <c r="R242" s="106">
        <f t="shared" si="127"/>
        <v>-15488546.043391163</v>
      </c>
      <c r="S242" s="106">
        <f t="shared" si="127"/>
        <v>-16377046.188683446</v>
      </c>
      <c r="T242" s="106">
        <f t="shared" si="127"/>
        <v>-17194337.615514338</v>
      </c>
      <c r="U242" s="106">
        <f t="shared" si="127"/>
        <v>-17983300.791873783</v>
      </c>
      <c r="V242" s="106">
        <f t="shared" si="127"/>
        <v>-15625624.509142067</v>
      </c>
      <c r="W242" s="106">
        <f t="shared" si="127"/>
        <v>-16207737.743381305</v>
      </c>
      <c r="X242" s="106">
        <f t="shared" si="127"/>
        <v>-16827972.703906506</v>
      </c>
      <c r="Y242" s="106">
        <f t="shared" si="127"/>
        <v>-17401126.261335216</v>
      </c>
      <c r="Z242" s="106">
        <f t="shared" si="127"/>
        <v>-17995450.963072855</v>
      </c>
      <c r="AA242" s="106">
        <f t="shared" si="127"/>
        <v>-18895604.285740197</v>
      </c>
      <c r="AB242" s="106">
        <f>IF(V242=0,0,IF($G$15&gt;(AA242/V242)^(1/5)-1+2%,AA242*(AA242/V242)^(1/5)/($G$15-((AA242/V242)^(1/5)-1)),AA242*(1+$G$14)/$G$16))</f>
        <v>-784049970.36266339</v>
      </c>
      <c r="AN242" s="104"/>
    </row>
    <row r="243" spans="3:40" x14ac:dyDescent="0.25">
      <c r="E243" s="47" t="s">
        <v>730</v>
      </c>
      <c r="F243" s="47" t="s">
        <v>639</v>
      </c>
      <c r="G243" s="106">
        <f>-$G$17*G242</f>
        <v>0</v>
      </c>
      <c r="H243" s="106">
        <f t="shared" ref="H243:AA243" si="128">-$G$17*H242</f>
        <v>4146301.0995100634</v>
      </c>
      <c r="I243" s="106">
        <f t="shared" si="128"/>
        <v>4967880.8656247165</v>
      </c>
      <c r="J243" s="106">
        <f t="shared" si="128"/>
        <v>5274723.9081462026</v>
      </c>
      <c r="K243" s="106">
        <f t="shared" si="128"/>
        <v>5890085.7484638374</v>
      </c>
      <c r="L243" s="106">
        <f t="shared" si="128"/>
        <v>6204623.3144269586</v>
      </c>
      <c r="M243" s="106">
        <f t="shared" si="128"/>
        <v>6712984.2087901225</v>
      </c>
      <c r="N243" s="106">
        <f t="shared" si="128"/>
        <v>7258050.1922856215</v>
      </c>
      <c r="O243" s="106">
        <f t="shared" si="128"/>
        <v>7936547.0747140711</v>
      </c>
      <c r="P243" s="106">
        <f t="shared" si="128"/>
        <v>8611664.492478326</v>
      </c>
      <c r="Q243" s="106">
        <f t="shared" si="128"/>
        <v>7302289.8658367833</v>
      </c>
      <c r="R243" s="106">
        <f t="shared" si="128"/>
        <v>7744273.0216955813</v>
      </c>
      <c r="S243" s="106">
        <f t="shared" si="128"/>
        <v>8188523.0943417232</v>
      </c>
      <c r="T243" s="106">
        <f t="shared" si="128"/>
        <v>8597168.807757169</v>
      </c>
      <c r="U243" s="106">
        <f t="shared" si="128"/>
        <v>8991650.3959368914</v>
      </c>
      <c r="V243" s="106">
        <f t="shared" si="128"/>
        <v>7812812.2545710336</v>
      </c>
      <c r="W243" s="106">
        <f t="shared" si="128"/>
        <v>8103868.8716906523</v>
      </c>
      <c r="X243" s="106">
        <f t="shared" si="128"/>
        <v>8413986.3519532531</v>
      </c>
      <c r="Y243" s="106">
        <f t="shared" si="128"/>
        <v>8700563.1306676082</v>
      </c>
      <c r="Z243" s="106">
        <f t="shared" si="128"/>
        <v>8997725.4815364275</v>
      </c>
      <c r="AA243" s="106">
        <f t="shared" si="128"/>
        <v>9447802.1428700984</v>
      </c>
      <c r="AB243" s="106">
        <f t="shared" ref="AB243" si="129">IF(V243=0,0,IF($G$15&gt;(AA243/V243)^(1/5)-1+2%,AA243*(AA243/V243)^(1/5)/($G$15-((AA243/V243)^(1/5)-1)),AA243*(1+$G$14)/$G$16))</f>
        <v>392024985.18133169</v>
      </c>
    </row>
    <row r="244" spans="3:40" x14ac:dyDescent="0.25">
      <c r="E244" s="47" t="s">
        <v>731</v>
      </c>
      <c r="F244" s="47" t="s">
        <v>639</v>
      </c>
      <c r="G244" s="116">
        <f>SUM(G234:G243)</f>
        <v>0</v>
      </c>
      <c r="H244" s="116">
        <f t="shared" ref="H244:AA244" si="130">SUM(H234:H243)</f>
        <v>-21936109.620972212</v>
      </c>
      <c r="I244" s="116">
        <f t="shared" si="130"/>
        <v>-14317974.530400062</v>
      </c>
      <c r="J244" s="116">
        <f t="shared" si="130"/>
        <v>-16177206.580424942</v>
      </c>
      <c r="K244" s="116">
        <f t="shared" si="130"/>
        <v>-11961278.965920346</v>
      </c>
      <c r="L244" s="116">
        <f t="shared" si="130"/>
        <v>-9803805.5948109906</v>
      </c>
      <c r="M244" s="116">
        <f t="shared" si="130"/>
        <v>-15618285.021679807</v>
      </c>
      <c r="N244" s="116">
        <f t="shared" si="130"/>
        <v>-28117326.098931529</v>
      </c>
      <c r="O244" s="116">
        <f t="shared" si="130"/>
        <v>-31882750.776182808</v>
      </c>
      <c r="P244" s="116">
        <f t="shared" si="130"/>
        <v>-15412571.16726131</v>
      </c>
      <c r="Q244" s="116">
        <f t="shared" si="130"/>
        <v>-19303500.657551669</v>
      </c>
      <c r="R244" s="116">
        <f t="shared" si="130"/>
        <v>-16287112.970850889</v>
      </c>
      <c r="S244" s="116">
        <f t="shared" si="130"/>
        <v>-13150046.769778764</v>
      </c>
      <c r="T244" s="116">
        <f t="shared" si="130"/>
        <v>-9909658.7556565367</v>
      </c>
      <c r="U244" s="116">
        <f t="shared" si="130"/>
        <v>-6554013.329839725</v>
      </c>
      <c r="V244" s="116">
        <f t="shared" si="130"/>
        <v>-12002892.104248861</v>
      </c>
      <c r="W244" s="116">
        <f t="shared" si="130"/>
        <v>-9102185.6245059967</v>
      </c>
      <c r="X244" s="116">
        <f t="shared" si="130"/>
        <v>-6415555.039637316</v>
      </c>
      <c r="Y244" s="116">
        <f t="shared" si="130"/>
        <v>-3392177.3328664266</v>
      </c>
      <c r="Z244" s="116">
        <f t="shared" si="130"/>
        <v>-336232.99083104171</v>
      </c>
      <c r="AA244" s="116">
        <f t="shared" si="130"/>
        <v>3286812.0031721815</v>
      </c>
      <c r="AB244" s="116">
        <f>SUM(AB234:AB243)</f>
        <v>1895255764.3510828</v>
      </c>
    </row>
    <row r="245" spans="3:40" x14ac:dyDescent="0.25">
      <c r="E245" s="47" t="s">
        <v>732</v>
      </c>
      <c r="F245" s="47" t="s">
        <v>639</v>
      </c>
      <c r="G245" s="116">
        <f>NPV($G$15,H244:AA244)+G244</f>
        <v>-214714281.05199385</v>
      </c>
      <c r="H245" s="48"/>
      <c r="I245" s="48"/>
      <c r="J245" s="48"/>
      <c r="K245" s="48"/>
      <c r="L245" s="48"/>
      <c r="M245" s="48"/>
      <c r="N245" s="48"/>
      <c r="O245" s="48"/>
      <c r="P245" s="48"/>
      <c r="Q245" s="48"/>
      <c r="R245" s="48"/>
      <c r="S245" s="48"/>
      <c r="T245" s="48"/>
      <c r="U245" s="48"/>
      <c r="V245" s="48"/>
      <c r="W245" s="48"/>
      <c r="X245" s="48"/>
      <c r="Y245" s="48"/>
      <c r="Z245" s="48"/>
      <c r="AA245" s="48"/>
      <c r="AB245" s="48"/>
    </row>
    <row r="246" spans="3:40" x14ac:dyDescent="0.25">
      <c r="G246" s="48"/>
      <c r="H246" s="48"/>
      <c r="I246" s="48"/>
      <c r="J246" s="48"/>
      <c r="K246" s="48"/>
      <c r="L246" s="48"/>
      <c r="M246" s="48"/>
      <c r="N246" s="48"/>
      <c r="O246" s="48"/>
      <c r="P246" s="48"/>
      <c r="Q246" s="48"/>
      <c r="R246" s="48"/>
      <c r="S246" s="48"/>
      <c r="T246" s="48"/>
      <c r="U246" s="48"/>
      <c r="V246" s="48"/>
      <c r="W246" s="48"/>
      <c r="X246" s="48"/>
      <c r="Y246" s="48"/>
      <c r="Z246" s="48"/>
      <c r="AA246" s="48"/>
      <c r="AB246" s="48"/>
    </row>
    <row r="247" spans="3:40" x14ac:dyDescent="0.25">
      <c r="E247" s="47" t="s">
        <v>725</v>
      </c>
      <c r="F247" s="47" t="s">
        <v>639</v>
      </c>
      <c r="G247" s="48"/>
      <c r="H247" s="116">
        <f t="shared" ref="H247:AA247" si="131">H219</f>
        <v>14337962.074786615</v>
      </c>
      <c r="I247" s="116">
        <f t="shared" si="131"/>
        <v>15068448.652636716</v>
      </c>
      <c r="J247" s="116">
        <f t="shared" si="131"/>
        <v>12855807.522075107</v>
      </c>
      <c r="K247" s="116">
        <f t="shared" si="131"/>
        <v>12942278.090071766</v>
      </c>
      <c r="L247" s="116">
        <f t="shared" si="131"/>
        <v>12855260.150752498</v>
      </c>
      <c r="M247" s="116">
        <f t="shared" si="131"/>
        <v>12622795.331148786</v>
      </c>
      <c r="N247" s="116">
        <f t="shared" si="131"/>
        <v>12557837.773537543</v>
      </c>
      <c r="O247" s="116">
        <f t="shared" si="131"/>
        <v>12809875.849780627</v>
      </c>
      <c r="P247" s="116">
        <f t="shared" si="131"/>
        <v>13014654.280412594</v>
      </c>
      <c r="Q247" s="116">
        <f t="shared" si="131"/>
        <v>13305937.276146226</v>
      </c>
      <c r="R247" s="116">
        <f t="shared" si="131"/>
        <v>13602054.169040253</v>
      </c>
      <c r="S247" s="116">
        <f t="shared" si="131"/>
        <v>13826462.222270416</v>
      </c>
      <c r="T247" s="116">
        <f t="shared" si="131"/>
        <v>14029313.215680994</v>
      </c>
      <c r="U247" s="116">
        <f t="shared" si="131"/>
        <v>14154081.686192803</v>
      </c>
      <c r="V247" s="116">
        <f t="shared" si="131"/>
        <v>14265600.575542893</v>
      </c>
      <c r="W247" s="116">
        <f t="shared" si="131"/>
        <v>14302715.755544871</v>
      </c>
      <c r="X247" s="116">
        <f t="shared" si="131"/>
        <v>14390190.839314831</v>
      </c>
      <c r="Y247" s="116">
        <f t="shared" si="131"/>
        <v>14312069.251990359</v>
      </c>
      <c r="Z247" s="116">
        <f t="shared" si="131"/>
        <v>14329579.680795683</v>
      </c>
      <c r="AA247" s="116">
        <f t="shared" si="131"/>
        <v>14439273.046521433</v>
      </c>
      <c r="AB247" s="48"/>
    </row>
    <row r="248" spans="3:40" x14ac:dyDescent="0.25">
      <c r="E248" s="47" t="s">
        <v>733</v>
      </c>
      <c r="F248" s="47" t="s">
        <v>639</v>
      </c>
      <c r="G248" s="117">
        <f>NPV($G$15,H247:AA247)+G247</f>
        <v>214714281.05199382</v>
      </c>
      <c r="H248" s="48"/>
      <c r="I248" s="48"/>
      <c r="J248" s="48"/>
      <c r="K248" s="48"/>
      <c r="L248" s="48"/>
      <c r="M248" s="48"/>
      <c r="N248" s="48"/>
      <c r="O248" s="48"/>
      <c r="P248" s="48"/>
      <c r="Q248" s="48"/>
      <c r="R248" s="48"/>
      <c r="S248" s="48"/>
      <c r="T248" s="48"/>
      <c r="U248" s="48"/>
      <c r="V248" s="48"/>
      <c r="W248" s="48"/>
      <c r="X248" s="48"/>
      <c r="Y248" s="48"/>
      <c r="Z248" s="48"/>
      <c r="AA248" s="48"/>
      <c r="AB248" s="48"/>
    </row>
    <row r="249" spans="3:40" x14ac:dyDescent="0.25">
      <c r="E249" s="111" t="s">
        <v>734</v>
      </c>
      <c r="F249" s="111"/>
      <c r="G249" s="118" t="str">
        <f>IF(G245&gt;0,"N/A",IF(ABS(G245+G248)&gt;1,"Error","OK"))</f>
        <v>OK</v>
      </c>
    </row>
    <row r="251" spans="3:40" hidden="1" x14ac:dyDescent="0.25">
      <c r="C251" s="100" t="s">
        <v>735</v>
      </c>
      <c r="D251" s="100"/>
    </row>
    <row r="252" spans="3:40" hidden="1" x14ac:dyDescent="0.25">
      <c r="C252" s="100"/>
      <c r="D252" s="100"/>
    </row>
    <row r="253" spans="3:40" hidden="1" x14ac:dyDescent="0.25">
      <c r="C253" s="100"/>
      <c r="D253" s="47" t="s">
        <v>735</v>
      </c>
      <c r="F253" s="47" t="s">
        <v>639</v>
      </c>
      <c r="G253" s="115" t="e">
        <f>MAX(0,-G279)</f>
        <v>#REF!</v>
      </c>
    </row>
    <row r="254" spans="3:40" hidden="1" x14ac:dyDescent="0.25"/>
    <row r="255" spans="3:40" hidden="1" x14ac:dyDescent="0.25">
      <c r="D255" s="47" t="s">
        <v>722</v>
      </c>
    </row>
    <row r="256" spans="3:40" hidden="1" x14ac:dyDescent="0.25">
      <c r="E256" s="47" t="s">
        <v>573</v>
      </c>
      <c r="F256" s="47" t="s">
        <v>639</v>
      </c>
      <c r="G256" s="106">
        <f t="shared" ref="G256:AA261" si="132">G222</f>
        <v>0</v>
      </c>
      <c r="H256" s="106">
        <f t="shared" si="132"/>
        <v>9544088.579732962</v>
      </c>
      <c r="I256" s="106">
        <f t="shared" si="132"/>
        <v>9751473.6738806479</v>
      </c>
      <c r="J256" s="106">
        <f t="shared" si="132"/>
        <v>10371105.604382807</v>
      </c>
      <c r="K256" s="106">
        <f t="shared" si="132"/>
        <v>10508638.545562441</v>
      </c>
      <c r="L256" s="106">
        <f t="shared" si="132"/>
        <v>9468529.8360574432</v>
      </c>
      <c r="M256" s="106">
        <f t="shared" si="132"/>
        <v>9604022.9159916546</v>
      </c>
      <c r="N256" s="106">
        <f t="shared" si="132"/>
        <v>9337527.6405437943</v>
      </c>
      <c r="O256" s="106">
        <f t="shared" si="132"/>
        <v>9832457.851763729</v>
      </c>
      <c r="P256" s="106">
        <f t="shared" si="132"/>
        <v>10082660.013833353</v>
      </c>
      <c r="Q256" s="106">
        <f t="shared" si="132"/>
        <v>9927563.0076135471</v>
      </c>
      <c r="R256" s="106">
        <f t="shared" si="132"/>
        <v>9702891.7247186098</v>
      </c>
      <c r="S256" s="106">
        <f t="shared" si="132"/>
        <v>9439166.3469357919</v>
      </c>
      <c r="T256" s="106">
        <f t="shared" si="132"/>
        <v>8885769.3244767319</v>
      </c>
      <c r="U256" s="106">
        <f t="shared" si="132"/>
        <v>8207396.5617446415</v>
      </c>
      <c r="V256" s="106">
        <f t="shared" si="132"/>
        <v>7422599.1416407619</v>
      </c>
      <c r="W256" s="106">
        <f t="shared" si="132"/>
        <v>6683815.0965384478</v>
      </c>
      <c r="X256" s="106">
        <f t="shared" si="132"/>
        <v>6211510.7745527206</v>
      </c>
      <c r="Y256" s="106">
        <f t="shared" si="132"/>
        <v>5425930.0179120712</v>
      </c>
      <c r="Z256" s="106">
        <f t="shared" si="132"/>
        <v>4562542.3221326051</v>
      </c>
      <c r="AA256" s="106">
        <f t="shared" si="132"/>
        <v>3899012.914458245</v>
      </c>
    </row>
    <row r="257" spans="4:28" hidden="1" x14ac:dyDescent="0.25">
      <c r="E257" s="47" t="s">
        <v>723</v>
      </c>
      <c r="F257" s="47" t="s">
        <v>639</v>
      </c>
      <c r="G257" s="106">
        <f t="shared" si="132"/>
        <v>0</v>
      </c>
      <c r="H257" s="106">
        <f t="shared" si="132"/>
        <v>12107264.293825546</v>
      </c>
      <c r="I257" s="106">
        <f t="shared" si="132"/>
        <v>24841141.865222052</v>
      </c>
      <c r="J257" s="106">
        <f t="shared" si="132"/>
        <v>35247429.67599833</v>
      </c>
      <c r="K257" s="106">
        <f t="shared" si="132"/>
        <v>45717568.290419087</v>
      </c>
      <c r="L257" s="106">
        <f t="shared" si="132"/>
        <v>55260862.892891169</v>
      </c>
      <c r="M257" s="106">
        <f t="shared" si="132"/>
        <v>64795734.89177838</v>
      </c>
      <c r="N257" s="106">
        <f t="shared" si="132"/>
        <v>74826704.259903058</v>
      </c>
      <c r="O257" s="106">
        <f t="shared" si="132"/>
        <v>84636008.95523259</v>
      </c>
      <c r="P257" s="106">
        <f t="shared" si="132"/>
        <v>94483116.74082464</v>
      </c>
      <c r="Q257" s="106">
        <f t="shared" si="132"/>
        <v>91523590.480721921</v>
      </c>
      <c r="R257" s="106">
        <f t="shared" si="132"/>
        <v>100329970.79962641</v>
      </c>
      <c r="S257" s="106">
        <f t="shared" si="132"/>
        <v>109224458.31097089</v>
      </c>
      <c r="T257" s="106">
        <f t="shared" si="132"/>
        <v>118151426.37170927</v>
      </c>
      <c r="U257" s="106">
        <f t="shared" si="132"/>
        <v>127108462.78438832</v>
      </c>
      <c r="V257" s="106">
        <f t="shared" si="132"/>
        <v>125623258.44916701</v>
      </c>
      <c r="W257" s="106">
        <f t="shared" si="132"/>
        <v>133867394.76522949</v>
      </c>
      <c r="X257" s="106">
        <f t="shared" si="132"/>
        <v>141762429.71672091</v>
      </c>
      <c r="Y257" s="106">
        <f t="shared" si="132"/>
        <v>149907912.27911374</v>
      </c>
      <c r="Z257" s="106">
        <f t="shared" si="132"/>
        <v>158024104.56978294</v>
      </c>
      <c r="AA257" s="106">
        <f t="shared" si="132"/>
        <v>166904547.55343065</v>
      </c>
    </row>
    <row r="258" spans="4:28" hidden="1" x14ac:dyDescent="0.25">
      <c r="E258" s="47" t="s">
        <v>701</v>
      </c>
      <c r="F258" s="47" t="s">
        <v>639</v>
      </c>
      <c r="G258" s="106">
        <f t="shared" si="132"/>
        <v>0</v>
      </c>
      <c r="H258" s="106">
        <f t="shared" si="132"/>
        <v>-5791969.0111403344</v>
      </c>
      <c r="I258" s="106">
        <f t="shared" si="132"/>
        <v>-11488849.009138383</v>
      </c>
      <c r="J258" s="106">
        <f t="shared" si="132"/>
        <v>-16112833.7839857</v>
      </c>
      <c r="K258" s="106">
        <f t="shared" si="132"/>
        <v>-20585482.694728434</v>
      </c>
      <c r="L258" s="106">
        <f t="shared" si="132"/>
        <v>-24829420.362465724</v>
      </c>
      <c r="M258" s="106">
        <f t="shared" si="132"/>
        <v>-28779146.007099736</v>
      </c>
      <c r="N258" s="106">
        <f t="shared" si="132"/>
        <v>-32621189.118452929</v>
      </c>
      <c r="O258" s="106">
        <f t="shared" si="132"/>
        <v>-36356496.466509558</v>
      </c>
      <c r="P258" s="106">
        <f t="shared" si="132"/>
        <v>-40015500.323124766</v>
      </c>
      <c r="Q258" s="106">
        <f t="shared" si="132"/>
        <v>-43569815.546380743</v>
      </c>
      <c r="R258" s="106">
        <f t="shared" si="132"/>
        <v>-47112778.88934914</v>
      </c>
      <c r="S258" s="106">
        <f t="shared" si="132"/>
        <v>-50591124.161542028</v>
      </c>
      <c r="T258" s="106">
        <f t="shared" si="132"/>
        <v>-54007313.403951086</v>
      </c>
      <c r="U258" s="106">
        <f t="shared" si="132"/>
        <v>-57335920.444647893</v>
      </c>
      <c r="V258" s="106">
        <f t="shared" si="132"/>
        <v>-60585331.671599597</v>
      </c>
      <c r="W258" s="106">
        <f t="shared" si="132"/>
        <v>-63739678.20670566</v>
      </c>
      <c r="X258" s="106">
        <f t="shared" si="132"/>
        <v>-66728330.121005677</v>
      </c>
      <c r="Y258" s="106">
        <f t="shared" si="132"/>
        <v>-69664590.268020526</v>
      </c>
      <c r="Z258" s="106">
        <f t="shared" si="132"/>
        <v>-72526084.23305966</v>
      </c>
      <c r="AA258" s="106">
        <f t="shared" si="132"/>
        <v>-75417257.187199548</v>
      </c>
    </row>
    <row r="259" spans="4:28" hidden="1" x14ac:dyDescent="0.25">
      <c r="E259" s="47" t="s">
        <v>702</v>
      </c>
      <c r="F259" s="47" t="s">
        <v>639</v>
      </c>
      <c r="G259" s="106">
        <f t="shared" si="132"/>
        <v>0</v>
      </c>
      <c r="H259" s="106">
        <f t="shared" si="132"/>
        <v>-2199959.7081642896</v>
      </c>
      <c r="I259" s="106">
        <f t="shared" si="132"/>
        <v>-4379896.5237079989</v>
      </c>
      <c r="J259" s="106">
        <f t="shared" si="132"/>
        <v>-6137088.1325609218</v>
      </c>
      <c r="K259" s="106">
        <f t="shared" si="132"/>
        <v>-7876520.8730496475</v>
      </c>
      <c r="L259" s="106">
        <f t="shared" si="132"/>
        <v>-9570382.7697649542</v>
      </c>
      <c r="M259" s="106">
        <f t="shared" si="132"/>
        <v>-11181824.227254884</v>
      </c>
      <c r="N259" s="106">
        <f t="shared" si="132"/>
        <v>-12736511.468167182</v>
      </c>
      <c r="O259" s="106">
        <f t="shared" si="132"/>
        <v>-14278183.233160675</v>
      </c>
      <c r="P259" s="106">
        <f t="shared" si="132"/>
        <v>-15800383.552356152</v>
      </c>
      <c r="Q259" s="106">
        <f t="shared" si="132"/>
        <v>-17566133.808367133</v>
      </c>
      <c r="R259" s="106">
        <f t="shared" si="132"/>
        <v>-19371179.941743646</v>
      </c>
      <c r="S259" s="106">
        <f t="shared" si="132"/>
        <v>-21206005.907176971</v>
      </c>
      <c r="T259" s="106">
        <f t="shared" si="132"/>
        <v>-23067750.997968633</v>
      </c>
      <c r="U259" s="106">
        <f t="shared" si="132"/>
        <v>-24946053.355954338</v>
      </c>
      <c r="V259" s="106">
        <f t="shared" si="132"/>
        <v>-26839154.709556308</v>
      </c>
      <c r="W259" s="106">
        <f t="shared" si="132"/>
        <v>-28737181.393650245</v>
      </c>
      <c r="X259" s="106">
        <f t="shared" si="132"/>
        <v>-30646816.365710359</v>
      </c>
      <c r="Y259" s="106">
        <f t="shared" si="132"/>
        <v>-32546084.295603096</v>
      </c>
      <c r="Z259" s="106">
        <f t="shared" si="132"/>
        <v>-34447675.928328961</v>
      </c>
      <c r="AA259" s="106">
        <f t="shared" si="132"/>
        <v>-36363824.302499883</v>
      </c>
    </row>
    <row r="260" spans="4:28" hidden="1" x14ac:dyDescent="0.25">
      <c r="E260" s="47" t="s">
        <v>724</v>
      </c>
      <c r="F260" s="47" t="s">
        <v>639</v>
      </c>
      <c r="G260" s="106">
        <f t="shared" si="132"/>
        <v>0</v>
      </c>
      <c r="H260" s="106">
        <f t="shared" si="132"/>
        <v>-355378.89897340775</v>
      </c>
      <c r="I260" s="106">
        <f t="shared" si="132"/>
        <v>-673112.88806158863</v>
      </c>
      <c r="J260" s="106">
        <f t="shared" si="132"/>
        <v>-1059594.8316016067</v>
      </c>
      <c r="K260" s="106">
        <f t="shared" si="132"/>
        <v>-1439243.0351829589</v>
      </c>
      <c r="L260" s="106">
        <f t="shared" si="132"/>
        <v>-1820694.317957368</v>
      </c>
      <c r="M260" s="106">
        <f t="shared" si="132"/>
        <v>-2308354.8459633789</v>
      </c>
      <c r="N260" s="106">
        <f t="shared" si="132"/>
        <v>-2977367.8054601401</v>
      </c>
      <c r="O260" s="106">
        <f t="shared" si="132"/>
        <v>-3733349.1256795698</v>
      </c>
      <c r="P260" s="106">
        <f t="shared" si="132"/>
        <v>-4353450.5430675019</v>
      </c>
      <c r="Q260" s="106">
        <f t="shared" si="132"/>
        <v>-4939208.9708219171</v>
      </c>
      <c r="R260" s="106">
        <f t="shared" si="132"/>
        <v>-5522471.0509886108</v>
      </c>
      <c r="S260" s="106">
        <f t="shared" si="132"/>
        <v>-6102802.8491799394</v>
      </c>
      <c r="T260" s="106">
        <f t="shared" si="132"/>
        <v>-6676985.791566167</v>
      </c>
      <c r="U260" s="106">
        <f t="shared" si="132"/>
        <v>-7243631.2588109272</v>
      </c>
      <c r="V260" s="106">
        <f t="shared" si="132"/>
        <v>-7801556.7547212001</v>
      </c>
      <c r="W260" s="106">
        <f t="shared" si="132"/>
        <v>-8351273.5390192252</v>
      </c>
      <c r="X260" s="106">
        <f t="shared" si="132"/>
        <v>-8895742.4975174088</v>
      </c>
      <c r="Y260" s="106">
        <f t="shared" si="132"/>
        <v>-9431482.7809418067</v>
      </c>
      <c r="Z260" s="106">
        <f t="shared" si="132"/>
        <v>-9957629.8677464332</v>
      </c>
      <c r="AA260" s="106">
        <f t="shared" si="132"/>
        <v>-10476404.4055769</v>
      </c>
    </row>
    <row r="261" spans="4:28" hidden="1" x14ac:dyDescent="0.25">
      <c r="E261" s="47" t="s">
        <v>709</v>
      </c>
      <c r="F261" s="47" t="s">
        <v>639</v>
      </c>
      <c r="G261" s="106">
        <f t="shared" si="132"/>
        <v>0</v>
      </c>
      <c r="H261" s="106">
        <f t="shared" si="132"/>
        <v>0</v>
      </c>
      <c r="I261" s="106">
        <f t="shared" si="132"/>
        <v>0</v>
      </c>
      <c r="J261" s="106">
        <f t="shared" si="132"/>
        <v>0</v>
      </c>
      <c r="K261" s="106">
        <f t="shared" si="132"/>
        <v>0</v>
      </c>
      <c r="L261" s="106">
        <f t="shared" si="132"/>
        <v>0</v>
      </c>
      <c r="M261" s="106">
        <f t="shared" si="132"/>
        <v>0</v>
      </c>
      <c r="N261" s="106">
        <f t="shared" si="132"/>
        <v>0</v>
      </c>
      <c r="O261" s="106">
        <f t="shared" si="132"/>
        <v>0</v>
      </c>
      <c r="P261" s="106">
        <f t="shared" si="132"/>
        <v>0</v>
      </c>
      <c r="Q261" s="106">
        <f t="shared" si="132"/>
        <v>0</v>
      </c>
      <c r="R261" s="106">
        <f t="shared" si="132"/>
        <v>0</v>
      </c>
      <c r="S261" s="106">
        <f t="shared" si="132"/>
        <v>0</v>
      </c>
      <c r="T261" s="106">
        <f t="shared" si="132"/>
        <v>0</v>
      </c>
      <c r="U261" s="106">
        <f t="shared" si="132"/>
        <v>0</v>
      </c>
      <c r="V261" s="106">
        <f t="shared" si="132"/>
        <v>0</v>
      </c>
      <c r="W261" s="106">
        <f t="shared" si="132"/>
        <v>0</v>
      </c>
      <c r="X261" s="106">
        <f t="shared" si="132"/>
        <v>0</v>
      </c>
      <c r="Y261" s="106">
        <f t="shared" si="132"/>
        <v>0</v>
      </c>
      <c r="Z261" s="106">
        <f t="shared" si="132"/>
        <v>0</v>
      </c>
      <c r="AA261" s="106">
        <f t="shared" si="132"/>
        <v>0</v>
      </c>
    </row>
    <row r="262" spans="4:28" hidden="1" x14ac:dyDescent="0.25">
      <c r="E262" s="47" t="s">
        <v>725</v>
      </c>
      <c r="F262" s="47" t="s">
        <v>639</v>
      </c>
      <c r="G262" s="106" t="e">
        <f>G253</f>
        <v>#REF!</v>
      </c>
      <c r="H262" s="106"/>
      <c r="I262" s="106"/>
      <c r="J262" s="106"/>
      <c r="K262" s="106"/>
      <c r="L262" s="106"/>
      <c r="M262" s="106"/>
      <c r="N262" s="106"/>
      <c r="O262" s="106"/>
      <c r="P262" s="106"/>
      <c r="Q262" s="106"/>
      <c r="R262" s="106"/>
      <c r="S262" s="106"/>
      <c r="T262" s="106"/>
      <c r="U262" s="106"/>
      <c r="V262" s="106"/>
      <c r="W262" s="106"/>
      <c r="X262" s="106"/>
      <c r="Y262" s="106"/>
      <c r="Z262" s="106"/>
      <c r="AA262" s="106"/>
    </row>
    <row r="263" spans="4:28" hidden="1" x14ac:dyDescent="0.25"/>
    <row r="264" spans="4:28" hidden="1" x14ac:dyDescent="0.25">
      <c r="E264" s="47" t="s">
        <v>726</v>
      </c>
      <c r="F264" s="47" t="s">
        <v>639</v>
      </c>
      <c r="G264" s="106" t="e">
        <f t="shared" ref="G264:AA264" si="133">SUM(G256:G262)</f>
        <v>#REF!</v>
      </c>
      <c r="H264" s="106">
        <f t="shared" si="133"/>
        <v>13304045.255280474</v>
      </c>
      <c r="I264" s="106">
        <f t="shared" si="133"/>
        <v>18050757.118194729</v>
      </c>
      <c r="J264" s="106">
        <f t="shared" si="133"/>
        <v>22309018.53223291</v>
      </c>
      <c r="K264" s="106">
        <f t="shared" si="133"/>
        <v>26324960.233020484</v>
      </c>
      <c r="L264" s="106">
        <f t="shared" si="133"/>
        <v>28508895.278760564</v>
      </c>
      <c r="M264" s="106">
        <f t="shared" si="133"/>
        <v>32130432.727452036</v>
      </c>
      <c r="N264" s="106">
        <f t="shared" si="133"/>
        <v>35829163.5083666</v>
      </c>
      <c r="O264" s="106">
        <f t="shared" si="133"/>
        <v>40100437.981646515</v>
      </c>
      <c r="P264" s="106">
        <f t="shared" si="133"/>
        <v>44396442.336109579</v>
      </c>
      <c r="Q264" s="106">
        <f t="shared" si="133"/>
        <v>35375995.162765667</v>
      </c>
      <c r="R264" s="106">
        <f t="shared" si="133"/>
        <v>38026432.642263621</v>
      </c>
      <c r="S264" s="106">
        <f t="shared" si="133"/>
        <v>40763691.740007743</v>
      </c>
      <c r="T264" s="106">
        <f t="shared" si="133"/>
        <v>43285145.502700135</v>
      </c>
      <c r="U264" s="106">
        <f t="shared" si="133"/>
        <v>45790254.286719806</v>
      </c>
      <c r="V264" s="106">
        <f t="shared" si="133"/>
        <v>37819814.454930671</v>
      </c>
      <c r="W264" s="106">
        <f t="shared" si="133"/>
        <v>39723076.722392812</v>
      </c>
      <c r="X264" s="106">
        <f t="shared" si="133"/>
        <v>41703051.507040188</v>
      </c>
      <c r="Y264" s="106">
        <f t="shared" si="133"/>
        <v>43691684.952460371</v>
      </c>
      <c r="Z264" s="106">
        <f t="shared" si="133"/>
        <v>45655256.862780504</v>
      </c>
      <c r="AA264" s="106">
        <f t="shared" si="133"/>
        <v>48546074.572612561</v>
      </c>
    </row>
    <row r="265" spans="4:28" hidden="1" x14ac:dyDescent="0.25">
      <c r="E265" s="47" t="s">
        <v>727</v>
      </c>
      <c r="F265" s="47" t="s">
        <v>639</v>
      </c>
      <c r="G265" s="106" t="e">
        <f>-G264*G$18</f>
        <v>#REF!</v>
      </c>
      <c r="H265" s="106">
        <f t="shared" ref="H265:AA265" si="134">-H264*H$18</f>
        <v>-3991213.5765841422</v>
      </c>
      <c r="I265" s="106">
        <f t="shared" si="134"/>
        <v>-5415227.1354584182</v>
      </c>
      <c r="J265" s="106">
        <f t="shared" si="134"/>
        <v>-6692705.5596698727</v>
      </c>
      <c r="K265" s="106">
        <f t="shared" si="134"/>
        <v>-7897488.0699061453</v>
      </c>
      <c r="L265" s="106">
        <f t="shared" si="134"/>
        <v>-8552668.5836281683</v>
      </c>
      <c r="M265" s="106">
        <f t="shared" si="134"/>
        <v>-9639129.8182356097</v>
      </c>
      <c r="N265" s="106">
        <f t="shared" si="134"/>
        <v>-10748749.05250998</v>
      </c>
      <c r="O265" s="106">
        <f t="shared" si="134"/>
        <v>-12030131.394493954</v>
      </c>
      <c r="P265" s="106">
        <f t="shared" si="134"/>
        <v>-13318932.700832874</v>
      </c>
      <c r="Q265" s="106">
        <f t="shared" si="134"/>
        <v>-10612798.548829699</v>
      </c>
      <c r="R265" s="106">
        <f t="shared" si="134"/>
        <v>-11407929.792679086</v>
      </c>
      <c r="S265" s="106">
        <f t="shared" si="134"/>
        <v>-12229107.522002323</v>
      </c>
      <c r="T265" s="106">
        <f t="shared" si="134"/>
        <v>-12985543.650810041</v>
      </c>
      <c r="U265" s="106">
        <f t="shared" si="134"/>
        <v>-13737076.286015941</v>
      </c>
      <c r="V265" s="106">
        <f t="shared" si="134"/>
        <v>-11345944.3364792</v>
      </c>
      <c r="W265" s="106">
        <f t="shared" si="134"/>
        <v>-11916923.016717844</v>
      </c>
      <c r="X265" s="106">
        <f t="shared" si="134"/>
        <v>-12510915.452112056</v>
      </c>
      <c r="Y265" s="106">
        <f t="shared" si="134"/>
        <v>-13107505.485738112</v>
      </c>
      <c r="Z265" s="106">
        <f t="shared" si="134"/>
        <v>-13696577.05883415</v>
      </c>
      <c r="AA265" s="106">
        <f t="shared" si="134"/>
        <v>-14563822.371783769</v>
      </c>
    </row>
    <row r="266" spans="4:28" hidden="1" x14ac:dyDescent="0.25"/>
    <row r="267" spans="4:28" hidden="1" x14ac:dyDescent="0.25">
      <c r="D267" s="47" t="s">
        <v>728</v>
      </c>
    </row>
    <row r="268" spans="4:28" hidden="1" x14ac:dyDescent="0.25">
      <c r="E268" s="47" t="s">
        <v>638</v>
      </c>
      <c r="F268" s="47" t="s">
        <v>639</v>
      </c>
      <c r="G268" s="106">
        <f t="shared" ref="G268:AA275" si="135">G234</f>
        <v>0</v>
      </c>
      <c r="H268" s="106">
        <f t="shared" si="135"/>
        <v>-21905144.095983069</v>
      </c>
      <c r="I268" s="106">
        <f t="shared" si="135"/>
        <v>-18322489.997151017</v>
      </c>
      <c r="J268" s="106">
        <f t="shared" si="135"/>
        <v>-23899990.431730445</v>
      </c>
      <c r="K268" s="106">
        <f t="shared" si="135"/>
        <v>-23326757.940097515</v>
      </c>
      <c r="L268" s="106">
        <f t="shared" si="135"/>
        <v>-24460242.041044522</v>
      </c>
      <c r="M268" s="106">
        <f t="shared" si="135"/>
        <v>-33740065.470313445</v>
      </c>
      <c r="N268" s="106">
        <f t="shared" si="135"/>
        <v>-50328279.579928853</v>
      </c>
      <c r="O268" s="106">
        <f t="shared" si="135"/>
        <v>-57947532.957031094</v>
      </c>
      <c r="P268" s="106">
        <f t="shared" si="135"/>
        <v>-45468139.540126704</v>
      </c>
      <c r="Q268" s="106">
        <f t="shared" si="135"/>
        <v>-42388851.917688929</v>
      </c>
      <c r="R268" s="106">
        <f t="shared" si="135"/>
        <v>-42388851.917688929</v>
      </c>
      <c r="S268" s="106">
        <f t="shared" si="135"/>
        <v>-42388851.917688929</v>
      </c>
      <c r="T268" s="106">
        <f t="shared" si="135"/>
        <v>-42388851.917688929</v>
      </c>
      <c r="U268" s="106">
        <f t="shared" si="135"/>
        <v>-42388851.917688929</v>
      </c>
      <c r="V268" s="106">
        <f t="shared" si="135"/>
        <v>-42388851.917688929</v>
      </c>
      <c r="W268" s="106">
        <f t="shared" si="135"/>
        <v>-42388851.917688929</v>
      </c>
      <c r="X268" s="106">
        <f t="shared" si="135"/>
        <v>-42388851.917688929</v>
      </c>
      <c r="Y268" s="106">
        <f t="shared" si="135"/>
        <v>-42388851.917688929</v>
      </c>
      <c r="Z268" s="106">
        <f t="shared" si="135"/>
        <v>-42388851.917688929</v>
      </c>
      <c r="AA268" s="106">
        <f t="shared" si="135"/>
        <v>-42388851.917688929</v>
      </c>
    </row>
    <row r="269" spans="4:28" hidden="1" x14ac:dyDescent="0.25">
      <c r="E269" s="47" t="s">
        <v>729</v>
      </c>
      <c r="F269" s="47" t="s">
        <v>639</v>
      </c>
      <c r="G269" s="106">
        <f t="shared" si="135"/>
        <v>0</v>
      </c>
      <c r="H269" s="106">
        <f t="shared" si="135"/>
        <v>0</v>
      </c>
      <c r="I269" s="106">
        <f t="shared" si="135"/>
        <v>0</v>
      </c>
      <c r="J269" s="106">
        <f t="shared" si="135"/>
        <v>0</v>
      </c>
      <c r="K269" s="106">
        <f t="shared" si="135"/>
        <v>0</v>
      </c>
      <c r="L269" s="106">
        <f t="shared" si="135"/>
        <v>0</v>
      </c>
      <c r="M269" s="106">
        <f t="shared" si="135"/>
        <v>0</v>
      </c>
      <c r="N269" s="106">
        <f t="shared" si="135"/>
        <v>0</v>
      </c>
      <c r="O269" s="106">
        <f t="shared" si="135"/>
        <v>0</v>
      </c>
      <c r="P269" s="106">
        <f t="shared" si="135"/>
        <v>0</v>
      </c>
      <c r="Q269" s="106">
        <f t="shared" si="135"/>
        <v>0</v>
      </c>
      <c r="R269" s="106">
        <f t="shared" si="135"/>
        <v>0</v>
      </c>
      <c r="S269" s="106">
        <f t="shared" si="135"/>
        <v>0</v>
      </c>
      <c r="T269" s="106">
        <f t="shared" si="135"/>
        <v>0</v>
      </c>
      <c r="U269" s="106">
        <f t="shared" si="135"/>
        <v>0</v>
      </c>
      <c r="V269" s="106">
        <f t="shared" si="135"/>
        <v>0</v>
      </c>
      <c r="W269" s="106">
        <f t="shared" si="135"/>
        <v>0</v>
      </c>
      <c r="X269" s="106">
        <f t="shared" si="135"/>
        <v>0</v>
      </c>
      <c r="Y269" s="106">
        <f t="shared" si="135"/>
        <v>0</v>
      </c>
      <c r="Z269" s="106">
        <f t="shared" si="135"/>
        <v>0</v>
      </c>
      <c r="AA269" s="106">
        <f t="shared" si="135"/>
        <v>0</v>
      </c>
    </row>
    <row r="270" spans="4:28" hidden="1" x14ac:dyDescent="0.25">
      <c r="E270" s="47" t="s">
        <v>645</v>
      </c>
      <c r="F270" s="47" t="s">
        <v>639</v>
      </c>
      <c r="G270" s="106">
        <f t="shared" si="135"/>
        <v>0</v>
      </c>
      <c r="H270" s="106">
        <f t="shared" si="135"/>
        <v>0</v>
      </c>
      <c r="I270" s="106">
        <f t="shared" si="135"/>
        <v>0</v>
      </c>
      <c r="J270" s="106">
        <f t="shared" si="135"/>
        <v>0</v>
      </c>
      <c r="K270" s="106">
        <f t="shared" si="135"/>
        <v>0</v>
      </c>
      <c r="L270" s="106">
        <f t="shared" si="135"/>
        <v>0</v>
      </c>
      <c r="M270" s="106">
        <f t="shared" si="135"/>
        <v>0</v>
      </c>
      <c r="N270" s="106">
        <f t="shared" si="135"/>
        <v>0</v>
      </c>
      <c r="O270" s="106">
        <f t="shared" si="135"/>
        <v>0</v>
      </c>
      <c r="P270" s="106">
        <f t="shared" si="135"/>
        <v>0</v>
      </c>
      <c r="Q270" s="106">
        <f t="shared" si="135"/>
        <v>0</v>
      </c>
      <c r="R270" s="106">
        <f t="shared" si="135"/>
        <v>0</v>
      </c>
      <c r="S270" s="106">
        <f t="shared" si="135"/>
        <v>0</v>
      </c>
      <c r="T270" s="106">
        <f t="shared" si="135"/>
        <v>0</v>
      </c>
      <c r="U270" s="106">
        <f t="shared" si="135"/>
        <v>0</v>
      </c>
      <c r="V270" s="106">
        <f t="shared" si="135"/>
        <v>0</v>
      </c>
      <c r="W270" s="106">
        <f t="shared" si="135"/>
        <v>0</v>
      </c>
      <c r="X270" s="106">
        <f t="shared" si="135"/>
        <v>0</v>
      </c>
      <c r="Y270" s="106">
        <f t="shared" si="135"/>
        <v>0</v>
      </c>
      <c r="Z270" s="106">
        <f t="shared" si="135"/>
        <v>0</v>
      </c>
      <c r="AA270" s="106">
        <f t="shared" si="135"/>
        <v>0</v>
      </c>
    </row>
    <row r="271" spans="4:28" hidden="1" x14ac:dyDescent="0.25">
      <c r="E271" s="47" t="s">
        <v>723</v>
      </c>
      <c r="F271" s="47" t="s">
        <v>639</v>
      </c>
      <c r="G271" s="106">
        <f t="shared" si="135"/>
        <v>0</v>
      </c>
      <c r="H271" s="106">
        <f t="shared" si="135"/>
        <v>12107264.293825546</v>
      </c>
      <c r="I271" s="106">
        <f t="shared" si="135"/>
        <v>24841141.865222052</v>
      </c>
      <c r="J271" s="106">
        <f t="shared" si="135"/>
        <v>35247429.67599833</v>
      </c>
      <c r="K271" s="106">
        <f t="shared" si="135"/>
        <v>45717568.290419087</v>
      </c>
      <c r="L271" s="106">
        <f t="shared" si="135"/>
        <v>55260862.892891169</v>
      </c>
      <c r="M271" s="106">
        <f t="shared" si="135"/>
        <v>64795734.89177838</v>
      </c>
      <c r="N271" s="106">
        <f t="shared" si="135"/>
        <v>74826704.259903058</v>
      </c>
      <c r="O271" s="106">
        <f t="shared" si="135"/>
        <v>84636008.95523259</v>
      </c>
      <c r="P271" s="106">
        <f t="shared" si="135"/>
        <v>94483116.74082464</v>
      </c>
      <c r="Q271" s="106">
        <f t="shared" si="135"/>
        <v>91523590.480721921</v>
      </c>
      <c r="R271" s="106">
        <f t="shared" si="135"/>
        <v>100329970.79962641</v>
      </c>
      <c r="S271" s="106">
        <f t="shared" si="135"/>
        <v>109224458.31097089</v>
      </c>
      <c r="T271" s="106">
        <f t="shared" si="135"/>
        <v>118151426.37170927</v>
      </c>
      <c r="U271" s="106">
        <f t="shared" si="135"/>
        <v>127108462.78438832</v>
      </c>
      <c r="V271" s="106">
        <f t="shared" si="135"/>
        <v>125623258.44916701</v>
      </c>
      <c r="W271" s="106">
        <f t="shared" si="135"/>
        <v>133867394.76522949</v>
      </c>
      <c r="X271" s="106">
        <f t="shared" si="135"/>
        <v>141762429.71672091</v>
      </c>
      <c r="Y271" s="106">
        <f t="shared" si="135"/>
        <v>149907912.27911374</v>
      </c>
      <c r="Z271" s="106">
        <f t="shared" si="135"/>
        <v>158024104.56978294</v>
      </c>
      <c r="AA271" s="106">
        <f t="shared" si="135"/>
        <v>166904547.55343065</v>
      </c>
      <c r="AB271" s="106">
        <f t="shared" ref="AB271:AB275" si="136">IF(V271=0,0,IF($G$15&gt;(AA271/V271)^(1/5)-1+2%,AA271*(AA271/V271)^(1/5)/($G$15-((AA271/V271)^(1/5)-1)),AA271*(1+$G$14)/$G$16))</f>
        <v>6925499898.4825964</v>
      </c>
    </row>
    <row r="272" spans="4:28" hidden="1" x14ac:dyDescent="0.25">
      <c r="E272" s="47" t="s">
        <v>701</v>
      </c>
      <c r="F272" s="47" t="s">
        <v>639</v>
      </c>
      <c r="G272" s="106">
        <f t="shared" si="135"/>
        <v>0</v>
      </c>
      <c r="H272" s="106">
        <f t="shared" si="135"/>
        <v>-5791969.0111403344</v>
      </c>
      <c r="I272" s="106">
        <f t="shared" si="135"/>
        <v>-11488849.009138383</v>
      </c>
      <c r="J272" s="106">
        <f t="shared" si="135"/>
        <v>-16112833.7839857</v>
      </c>
      <c r="K272" s="106">
        <f t="shared" si="135"/>
        <v>-20585482.694728434</v>
      </c>
      <c r="L272" s="106">
        <f t="shared" si="135"/>
        <v>-24829420.362465724</v>
      </c>
      <c r="M272" s="106">
        <f t="shared" si="135"/>
        <v>-28779146.007099736</v>
      </c>
      <c r="N272" s="106">
        <f t="shared" si="135"/>
        <v>-32621189.118452929</v>
      </c>
      <c r="O272" s="106">
        <f t="shared" si="135"/>
        <v>-36356496.466509558</v>
      </c>
      <c r="P272" s="106">
        <f t="shared" si="135"/>
        <v>-40015500.323124766</v>
      </c>
      <c r="Q272" s="106">
        <f t="shared" si="135"/>
        <v>-43569815.546380743</v>
      </c>
      <c r="R272" s="106">
        <f t="shared" si="135"/>
        <v>-47112778.88934914</v>
      </c>
      <c r="S272" s="106">
        <f t="shared" si="135"/>
        <v>-50591124.161542028</v>
      </c>
      <c r="T272" s="106">
        <f t="shared" si="135"/>
        <v>-54007313.403951086</v>
      </c>
      <c r="U272" s="106">
        <f t="shared" si="135"/>
        <v>-57335920.444647893</v>
      </c>
      <c r="V272" s="106">
        <f t="shared" si="135"/>
        <v>-60585331.671599597</v>
      </c>
      <c r="W272" s="106">
        <f t="shared" si="135"/>
        <v>-63739678.20670566</v>
      </c>
      <c r="X272" s="106">
        <f t="shared" si="135"/>
        <v>-66728330.121005677</v>
      </c>
      <c r="Y272" s="106">
        <f t="shared" si="135"/>
        <v>-69664590.268020526</v>
      </c>
      <c r="Z272" s="106">
        <f t="shared" si="135"/>
        <v>-72526084.23305966</v>
      </c>
      <c r="AA272" s="106">
        <f t="shared" si="135"/>
        <v>-75417257.187199548</v>
      </c>
      <c r="AB272" s="106">
        <f t="shared" si="136"/>
        <v>-3129346771.2530918</v>
      </c>
    </row>
    <row r="273" spans="1:28" hidden="1" x14ac:dyDescent="0.25">
      <c r="E273" s="47" t="s">
        <v>702</v>
      </c>
      <c r="F273" s="47" t="s">
        <v>639</v>
      </c>
      <c r="G273" s="106">
        <f t="shared" si="135"/>
        <v>0</v>
      </c>
      <c r="H273" s="106">
        <f t="shared" si="135"/>
        <v>-2199959.7081642896</v>
      </c>
      <c r="I273" s="106">
        <f t="shared" si="135"/>
        <v>-4379896.5237079989</v>
      </c>
      <c r="J273" s="106">
        <f t="shared" si="135"/>
        <v>-6137088.1325609218</v>
      </c>
      <c r="K273" s="106">
        <f t="shared" si="135"/>
        <v>-7876520.8730496475</v>
      </c>
      <c r="L273" s="106">
        <f t="shared" si="135"/>
        <v>-9570382.7697649542</v>
      </c>
      <c r="M273" s="106">
        <f t="shared" si="135"/>
        <v>-11181824.227254884</v>
      </c>
      <c r="N273" s="106">
        <f t="shared" si="135"/>
        <v>-12736511.468167182</v>
      </c>
      <c r="O273" s="106">
        <f t="shared" si="135"/>
        <v>-14278183.233160675</v>
      </c>
      <c r="P273" s="106">
        <f t="shared" si="135"/>
        <v>-15800383.552356152</v>
      </c>
      <c r="Q273" s="106">
        <f t="shared" si="135"/>
        <v>-17566133.808367133</v>
      </c>
      <c r="R273" s="106">
        <f t="shared" si="135"/>
        <v>-19371179.941743646</v>
      </c>
      <c r="S273" s="106">
        <f t="shared" si="135"/>
        <v>-21206005.907176971</v>
      </c>
      <c r="T273" s="106">
        <f t="shared" si="135"/>
        <v>-23067750.997968633</v>
      </c>
      <c r="U273" s="106">
        <f t="shared" si="135"/>
        <v>-24946053.355954338</v>
      </c>
      <c r="V273" s="106">
        <f t="shared" si="135"/>
        <v>-26839154.709556308</v>
      </c>
      <c r="W273" s="106">
        <f t="shared" si="135"/>
        <v>-28737181.393650245</v>
      </c>
      <c r="X273" s="106">
        <f t="shared" si="135"/>
        <v>-30646816.365710359</v>
      </c>
      <c r="Y273" s="106">
        <f t="shared" si="135"/>
        <v>-32546084.295603096</v>
      </c>
      <c r="Z273" s="106">
        <f t="shared" si="135"/>
        <v>-34447675.928328961</v>
      </c>
      <c r="AA273" s="106">
        <f t="shared" si="135"/>
        <v>-36363824.302499883</v>
      </c>
      <c r="AB273" s="106">
        <f t="shared" si="136"/>
        <v>-1508872377.6970899</v>
      </c>
    </row>
    <row r="274" spans="1:28" hidden="1" x14ac:dyDescent="0.25">
      <c r="E274" s="47" t="s">
        <v>709</v>
      </c>
      <c r="F274" s="47" t="s">
        <v>639</v>
      </c>
      <c r="G274" s="106">
        <f t="shared" si="135"/>
        <v>0</v>
      </c>
      <c r="H274" s="106">
        <f t="shared" si="135"/>
        <v>0</v>
      </c>
      <c r="I274" s="106">
        <f t="shared" si="135"/>
        <v>0</v>
      </c>
      <c r="J274" s="106">
        <f t="shared" si="135"/>
        <v>0</v>
      </c>
      <c r="K274" s="106">
        <f t="shared" si="135"/>
        <v>0</v>
      </c>
      <c r="L274" s="106">
        <f t="shared" si="135"/>
        <v>0</v>
      </c>
      <c r="M274" s="106">
        <f t="shared" si="135"/>
        <v>0</v>
      </c>
      <c r="N274" s="106">
        <f t="shared" si="135"/>
        <v>0</v>
      </c>
      <c r="O274" s="106">
        <f t="shared" si="135"/>
        <v>0</v>
      </c>
      <c r="P274" s="106">
        <f t="shared" si="135"/>
        <v>0</v>
      </c>
      <c r="Q274" s="106">
        <f t="shared" si="135"/>
        <v>0</v>
      </c>
      <c r="R274" s="106">
        <f t="shared" si="135"/>
        <v>0</v>
      </c>
      <c r="S274" s="106">
        <f t="shared" si="135"/>
        <v>0</v>
      </c>
      <c r="T274" s="106">
        <f t="shared" si="135"/>
        <v>0</v>
      </c>
      <c r="U274" s="106">
        <f t="shared" si="135"/>
        <v>0</v>
      </c>
      <c r="V274" s="106">
        <f t="shared" si="135"/>
        <v>0</v>
      </c>
      <c r="W274" s="106">
        <f t="shared" si="135"/>
        <v>0</v>
      </c>
      <c r="X274" s="106">
        <f t="shared" si="135"/>
        <v>0</v>
      </c>
      <c r="Y274" s="106">
        <f t="shared" si="135"/>
        <v>0</v>
      </c>
      <c r="Z274" s="106">
        <f t="shared" si="135"/>
        <v>0</v>
      </c>
      <c r="AA274" s="106">
        <f t="shared" si="135"/>
        <v>0</v>
      </c>
      <c r="AB274" s="106">
        <f t="shared" si="136"/>
        <v>0</v>
      </c>
    </row>
    <row r="275" spans="1:28" hidden="1" x14ac:dyDescent="0.25">
      <c r="E275" s="47" t="s">
        <v>714</v>
      </c>
      <c r="F275" s="47" t="s">
        <v>639</v>
      </c>
      <c r="G275" s="106">
        <f t="shared" si="135"/>
        <v>0</v>
      </c>
      <c r="H275" s="106">
        <f t="shared" si="135"/>
        <v>0</v>
      </c>
      <c r="I275" s="106">
        <f t="shared" si="135"/>
        <v>0</v>
      </c>
      <c r="J275" s="106">
        <f t="shared" si="135"/>
        <v>0</v>
      </c>
      <c r="K275" s="106">
        <f t="shared" si="135"/>
        <v>0</v>
      </c>
      <c r="L275" s="106">
        <f t="shared" si="135"/>
        <v>0</v>
      </c>
      <c r="M275" s="106">
        <f t="shared" si="135"/>
        <v>0</v>
      </c>
      <c r="N275" s="106">
        <f t="shared" si="135"/>
        <v>0</v>
      </c>
      <c r="O275" s="106">
        <f t="shared" si="135"/>
        <v>0</v>
      </c>
      <c r="P275" s="106">
        <f t="shared" si="135"/>
        <v>0</v>
      </c>
      <c r="Q275" s="106">
        <f t="shared" si="135"/>
        <v>0</v>
      </c>
      <c r="R275" s="106">
        <f t="shared" si="135"/>
        <v>0</v>
      </c>
      <c r="S275" s="106">
        <f t="shared" si="135"/>
        <v>0</v>
      </c>
      <c r="T275" s="106">
        <f t="shared" si="135"/>
        <v>0</v>
      </c>
      <c r="U275" s="106">
        <f t="shared" si="135"/>
        <v>0</v>
      </c>
      <c r="V275" s="106">
        <f t="shared" si="135"/>
        <v>0</v>
      </c>
      <c r="W275" s="106">
        <f t="shared" si="135"/>
        <v>0</v>
      </c>
      <c r="X275" s="106">
        <f t="shared" si="135"/>
        <v>0</v>
      </c>
      <c r="Y275" s="106">
        <f t="shared" si="135"/>
        <v>0</v>
      </c>
      <c r="Z275" s="106">
        <f t="shared" si="135"/>
        <v>0</v>
      </c>
      <c r="AA275" s="106">
        <f t="shared" si="135"/>
        <v>0</v>
      </c>
      <c r="AB275" s="106">
        <f t="shared" si="136"/>
        <v>0</v>
      </c>
    </row>
    <row r="276" spans="1:28" hidden="1" x14ac:dyDescent="0.25">
      <c r="E276" s="47" t="s">
        <v>458</v>
      </c>
      <c r="F276" s="47" t="s">
        <v>639</v>
      </c>
      <c r="G276" s="106" t="e">
        <f t="shared" ref="G276:AA276" si="137">G265</f>
        <v>#REF!</v>
      </c>
      <c r="H276" s="106">
        <f t="shared" si="137"/>
        <v>-3991213.5765841422</v>
      </c>
      <c r="I276" s="106">
        <f t="shared" si="137"/>
        <v>-5415227.1354584182</v>
      </c>
      <c r="J276" s="106">
        <f t="shared" si="137"/>
        <v>-6692705.5596698727</v>
      </c>
      <c r="K276" s="106">
        <f t="shared" si="137"/>
        <v>-7897488.0699061453</v>
      </c>
      <c r="L276" s="106">
        <f t="shared" si="137"/>
        <v>-8552668.5836281683</v>
      </c>
      <c r="M276" s="106">
        <f t="shared" si="137"/>
        <v>-9639129.8182356097</v>
      </c>
      <c r="N276" s="106">
        <f t="shared" si="137"/>
        <v>-10748749.05250998</v>
      </c>
      <c r="O276" s="106">
        <f t="shared" si="137"/>
        <v>-12030131.394493954</v>
      </c>
      <c r="P276" s="106">
        <f t="shared" si="137"/>
        <v>-13318932.700832874</v>
      </c>
      <c r="Q276" s="106">
        <f t="shared" si="137"/>
        <v>-10612798.548829699</v>
      </c>
      <c r="R276" s="106">
        <f t="shared" si="137"/>
        <v>-11407929.792679086</v>
      </c>
      <c r="S276" s="106">
        <f t="shared" si="137"/>
        <v>-12229107.522002323</v>
      </c>
      <c r="T276" s="106">
        <f t="shared" si="137"/>
        <v>-12985543.650810041</v>
      </c>
      <c r="U276" s="106">
        <f t="shared" si="137"/>
        <v>-13737076.286015941</v>
      </c>
      <c r="V276" s="106">
        <f t="shared" si="137"/>
        <v>-11345944.3364792</v>
      </c>
      <c r="W276" s="106">
        <f t="shared" si="137"/>
        <v>-11916923.016717844</v>
      </c>
      <c r="X276" s="106">
        <f t="shared" si="137"/>
        <v>-12510915.452112056</v>
      </c>
      <c r="Y276" s="106">
        <f t="shared" si="137"/>
        <v>-13107505.485738112</v>
      </c>
      <c r="Z276" s="106">
        <f t="shared" si="137"/>
        <v>-13696577.05883415</v>
      </c>
      <c r="AA276" s="106">
        <f t="shared" si="137"/>
        <v>-14563822.371783769</v>
      </c>
      <c r="AB276" s="106">
        <f>IF(V276=0,0,IF($G$15&gt;(AA276/V276)^(1/5)-1+2%,AA276*(AA276/V276)^(1/5)/($G$15-((AA276/V276)^(1/5)-1)),AA276*(1+$G$14)/$G$16))</f>
        <v>-604307982.23169136</v>
      </c>
    </row>
    <row r="277" spans="1:28" hidden="1" x14ac:dyDescent="0.25">
      <c r="E277" s="47" t="s">
        <v>730</v>
      </c>
      <c r="F277" s="47" t="s">
        <v>639</v>
      </c>
      <c r="G277" s="106" t="e">
        <f>-$G$17*G276</f>
        <v>#REF!</v>
      </c>
      <c r="H277" s="106">
        <f t="shared" ref="H277:AA277" si="138">-$G$17*H276</f>
        <v>1995606.7882920711</v>
      </c>
      <c r="I277" s="106">
        <f t="shared" si="138"/>
        <v>2707613.5677292091</v>
      </c>
      <c r="J277" s="106">
        <f t="shared" si="138"/>
        <v>3346352.7798349364</v>
      </c>
      <c r="K277" s="106">
        <f t="shared" si="138"/>
        <v>3948744.0349530727</v>
      </c>
      <c r="L277" s="106">
        <f t="shared" si="138"/>
        <v>4276334.2918140842</v>
      </c>
      <c r="M277" s="106">
        <f t="shared" si="138"/>
        <v>4819564.9091178048</v>
      </c>
      <c r="N277" s="106">
        <f t="shared" si="138"/>
        <v>5374374.5262549901</v>
      </c>
      <c r="O277" s="106">
        <f t="shared" si="138"/>
        <v>6015065.6972469771</v>
      </c>
      <c r="P277" s="106">
        <f t="shared" si="138"/>
        <v>6659466.3504164368</v>
      </c>
      <c r="Q277" s="106">
        <f t="shared" si="138"/>
        <v>5306399.2744148495</v>
      </c>
      <c r="R277" s="106">
        <f t="shared" si="138"/>
        <v>5703964.8963395432</v>
      </c>
      <c r="S277" s="106">
        <f t="shared" si="138"/>
        <v>6114553.7610011613</v>
      </c>
      <c r="T277" s="106">
        <f t="shared" si="138"/>
        <v>6492771.8254050203</v>
      </c>
      <c r="U277" s="106">
        <f t="shared" si="138"/>
        <v>6868538.1430079704</v>
      </c>
      <c r="V277" s="106">
        <f t="shared" si="138"/>
        <v>5672972.1682396</v>
      </c>
      <c r="W277" s="106">
        <f t="shared" si="138"/>
        <v>5958461.5083589219</v>
      </c>
      <c r="X277" s="106">
        <f t="shared" si="138"/>
        <v>6255457.7260560282</v>
      </c>
      <c r="Y277" s="106">
        <f t="shared" si="138"/>
        <v>6553752.7428690558</v>
      </c>
      <c r="Z277" s="106">
        <f t="shared" si="138"/>
        <v>6848288.5294170752</v>
      </c>
      <c r="AA277" s="106">
        <f t="shared" si="138"/>
        <v>7281911.1858918844</v>
      </c>
      <c r="AB277" s="106">
        <f t="shared" ref="AB277" si="139">IF(V277=0,0,IF($G$15&gt;(AA277/V277)^(1/5)-1+2%,AA277*(AA277/V277)^(1/5)/($G$15-((AA277/V277)^(1/5)-1)),AA277*(1+$G$14)/$G$16))</f>
        <v>302153991.11584568</v>
      </c>
    </row>
    <row r="278" spans="1:28" hidden="1" x14ac:dyDescent="0.25">
      <c r="E278" s="47" t="s">
        <v>731</v>
      </c>
      <c r="F278" s="47" t="s">
        <v>639</v>
      </c>
      <c r="G278" s="106" t="e">
        <f t="shared" ref="G278:AA278" si="140">SUM(G268:G277)</f>
        <v>#REF!</v>
      </c>
      <c r="H278" s="106">
        <f t="shared" si="140"/>
        <v>-19785415.309754215</v>
      </c>
      <c r="I278" s="106">
        <f t="shared" si="140"/>
        <v>-12057707.232504558</v>
      </c>
      <c r="J278" s="106">
        <f t="shared" si="140"/>
        <v>-14248835.452113673</v>
      </c>
      <c r="K278" s="106">
        <f t="shared" si="140"/>
        <v>-10019937.252409581</v>
      </c>
      <c r="L278" s="106">
        <f t="shared" si="140"/>
        <v>-7875516.5721981162</v>
      </c>
      <c r="M278" s="106">
        <f t="shared" si="140"/>
        <v>-13724865.722007489</v>
      </c>
      <c r="N278" s="106">
        <f t="shared" si="140"/>
        <v>-26233650.432900898</v>
      </c>
      <c r="O278" s="106">
        <f t="shared" si="140"/>
        <v>-29961269.398715712</v>
      </c>
      <c r="P278" s="106">
        <f t="shared" si="140"/>
        <v>-13460373.025199421</v>
      </c>
      <c r="Q278" s="106">
        <f t="shared" si="140"/>
        <v>-17307610.066129733</v>
      </c>
      <c r="R278" s="106">
        <f t="shared" si="140"/>
        <v>-14246804.845494848</v>
      </c>
      <c r="S278" s="106">
        <f t="shared" si="140"/>
        <v>-11076077.436438203</v>
      </c>
      <c r="T278" s="106">
        <f t="shared" si="140"/>
        <v>-7805261.7733043879</v>
      </c>
      <c r="U278" s="106">
        <f t="shared" si="140"/>
        <v>-4430901.076910804</v>
      </c>
      <c r="V278" s="106">
        <f t="shared" si="140"/>
        <v>-9863052.0179174282</v>
      </c>
      <c r="W278" s="106">
        <f t="shared" si="140"/>
        <v>-6956778.261174269</v>
      </c>
      <c r="X278" s="106">
        <f t="shared" si="140"/>
        <v>-4257026.413740091</v>
      </c>
      <c r="Y278" s="106">
        <f t="shared" si="140"/>
        <v>-1245366.9450678742</v>
      </c>
      <c r="Z278" s="106">
        <f t="shared" si="140"/>
        <v>1813203.9612883106</v>
      </c>
      <c r="AA278" s="106">
        <f t="shared" si="140"/>
        <v>5452702.9601503955</v>
      </c>
      <c r="AB278" s="106" t="e">
        <f>SUM(AB268:AB277)*IF(DASH!#REF!="yes",1,0)</f>
        <v>#REF!</v>
      </c>
    </row>
    <row r="279" spans="1:28" hidden="1" x14ac:dyDescent="0.25">
      <c r="E279" s="47" t="s">
        <v>732</v>
      </c>
      <c r="F279" s="47" t="s">
        <v>639</v>
      </c>
      <c r="G279" s="106" t="e">
        <f>NPV($G$15,H278:AQ278)+G278</f>
        <v>#REF!</v>
      </c>
    </row>
    <row r="280" spans="1:28" hidden="1" x14ac:dyDescent="0.25">
      <c r="E280" s="111" t="s">
        <v>734</v>
      </c>
      <c r="F280" s="111"/>
      <c r="G280" s="118" t="e">
        <f>IF(G279&gt;0,"N/A",IF(ABS(G279+G253)&gt;1,"Error","OK"))</f>
        <v>#REF!</v>
      </c>
    </row>
    <row r="281" spans="1:28" hidden="1" x14ac:dyDescent="0.25"/>
    <row r="282" spans="1:28" hidden="1" x14ac:dyDescent="0.25">
      <c r="C282" s="100" t="s">
        <v>736</v>
      </c>
      <c r="D282" s="100"/>
    </row>
    <row r="283" spans="1:28" hidden="1" x14ac:dyDescent="0.25">
      <c r="A283" s="101">
        <v>54</v>
      </c>
      <c r="C283" s="100"/>
      <c r="D283" s="100"/>
      <c r="E283" s="47" t="s">
        <v>737</v>
      </c>
      <c r="F283" s="47" t="s">
        <v>655</v>
      </c>
      <c r="G283" s="102">
        <v>1</v>
      </c>
      <c r="H283" s="102">
        <v>1</v>
      </c>
      <c r="I283" s="102">
        <v>1</v>
      </c>
      <c r="J283" s="102">
        <v>1</v>
      </c>
      <c r="K283" s="102">
        <v>1</v>
      </c>
      <c r="L283" s="102">
        <v>1</v>
      </c>
      <c r="M283" s="102">
        <v>0</v>
      </c>
      <c r="N283" s="102">
        <v>0</v>
      </c>
      <c r="O283" s="102">
        <v>0</v>
      </c>
      <c r="P283" s="102">
        <v>0</v>
      </c>
      <c r="Q283" s="102">
        <v>0</v>
      </c>
      <c r="R283" s="102">
        <v>0</v>
      </c>
      <c r="S283" s="102">
        <v>0</v>
      </c>
      <c r="T283" s="102">
        <v>0</v>
      </c>
      <c r="U283" s="102">
        <v>0</v>
      </c>
      <c r="V283" s="102">
        <v>0</v>
      </c>
      <c r="W283" s="102">
        <v>0</v>
      </c>
      <c r="X283" s="102">
        <v>0</v>
      </c>
      <c r="Y283" s="102">
        <v>0</v>
      </c>
      <c r="Z283" s="102">
        <v>0</v>
      </c>
      <c r="AA283" s="102">
        <v>0</v>
      </c>
    </row>
    <row r="284" spans="1:28" hidden="1" x14ac:dyDescent="0.25">
      <c r="E284" s="47" t="s">
        <v>738</v>
      </c>
      <c r="F284" s="47" t="s">
        <v>739</v>
      </c>
      <c r="G284" s="115" t="e">
        <f>MAX(0,-G311/(NPV($G$16,H283:AA283)+G283))</f>
        <v>#VALUE!</v>
      </c>
      <c r="H284" s="106" t="e">
        <f t="shared" ref="H284:AA284" si="141">G284*(1+$G$14)</f>
        <v>#VALUE!</v>
      </c>
      <c r="I284" s="106" t="e">
        <f t="shared" si="141"/>
        <v>#VALUE!</v>
      </c>
      <c r="J284" s="106" t="e">
        <f t="shared" si="141"/>
        <v>#VALUE!</v>
      </c>
      <c r="K284" s="106" t="e">
        <f t="shared" si="141"/>
        <v>#VALUE!</v>
      </c>
      <c r="L284" s="106" t="e">
        <f t="shared" si="141"/>
        <v>#VALUE!</v>
      </c>
      <c r="M284" s="106" t="e">
        <f t="shared" si="141"/>
        <v>#VALUE!</v>
      </c>
      <c r="N284" s="106" t="e">
        <f t="shared" si="141"/>
        <v>#VALUE!</v>
      </c>
      <c r="O284" s="106" t="e">
        <f t="shared" si="141"/>
        <v>#VALUE!</v>
      </c>
      <c r="P284" s="106" t="e">
        <f t="shared" si="141"/>
        <v>#VALUE!</v>
      </c>
      <c r="Q284" s="106" t="e">
        <f t="shared" si="141"/>
        <v>#VALUE!</v>
      </c>
      <c r="R284" s="106" t="e">
        <f t="shared" si="141"/>
        <v>#VALUE!</v>
      </c>
      <c r="S284" s="106" t="e">
        <f t="shared" si="141"/>
        <v>#VALUE!</v>
      </c>
      <c r="T284" s="106" t="e">
        <f t="shared" si="141"/>
        <v>#VALUE!</v>
      </c>
      <c r="U284" s="106" t="e">
        <f t="shared" si="141"/>
        <v>#VALUE!</v>
      </c>
      <c r="V284" s="106" t="e">
        <f t="shared" si="141"/>
        <v>#VALUE!</v>
      </c>
      <c r="W284" s="106" t="e">
        <f t="shared" si="141"/>
        <v>#VALUE!</v>
      </c>
      <c r="X284" s="106" t="e">
        <f t="shared" si="141"/>
        <v>#VALUE!</v>
      </c>
      <c r="Y284" s="106" t="e">
        <f t="shared" si="141"/>
        <v>#VALUE!</v>
      </c>
      <c r="Z284" s="106" t="e">
        <f t="shared" si="141"/>
        <v>#VALUE!</v>
      </c>
      <c r="AA284" s="106" t="e">
        <f t="shared" si="141"/>
        <v>#VALUE!</v>
      </c>
    </row>
    <row r="285" spans="1:28" hidden="1" x14ac:dyDescent="0.25">
      <c r="E285" s="47" t="s">
        <v>721</v>
      </c>
      <c r="F285" s="47" t="s">
        <v>639</v>
      </c>
      <c r="G285" s="106" t="e">
        <f>G283*G284</f>
        <v>#VALUE!</v>
      </c>
      <c r="H285" s="106" t="e">
        <f t="shared" ref="H285:AA285" si="142">H283*H284</f>
        <v>#VALUE!</v>
      </c>
      <c r="I285" s="106" t="e">
        <f t="shared" si="142"/>
        <v>#VALUE!</v>
      </c>
      <c r="J285" s="106" t="e">
        <f t="shared" si="142"/>
        <v>#VALUE!</v>
      </c>
      <c r="K285" s="106" t="e">
        <f t="shared" si="142"/>
        <v>#VALUE!</v>
      </c>
      <c r="L285" s="106" t="e">
        <f t="shared" si="142"/>
        <v>#VALUE!</v>
      </c>
      <c r="M285" s="106" t="e">
        <f t="shared" si="142"/>
        <v>#VALUE!</v>
      </c>
      <c r="N285" s="106" t="e">
        <f t="shared" si="142"/>
        <v>#VALUE!</v>
      </c>
      <c r="O285" s="106" t="e">
        <f t="shared" si="142"/>
        <v>#VALUE!</v>
      </c>
      <c r="P285" s="106" t="e">
        <f t="shared" si="142"/>
        <v>#VALUE!</v>
      </c>
      <c r="Q285" s="106" t="e">
        <f t="shared" si="142"/>
        <v>#VALUE!</v>
      </c>
      <c r="R285" s="106" t="e">
        <f t="shared" si="142"/>
        <v>#VALUE!</v>
      </c>
      <c r="S285" s="106" t="e">
        <f t="shared" si="142"/>
        <v>#VALUE!</v>
      </c>
      <c r="T285" s="106" t="e">
        <f t="shared" si="142"/>
        <v>#VALUE!</v>
      </c>
      <c r="U285" s="106" t="e">
        <f t="shared" si="142"/>
        <v>#VALUE!</v>
      </c>
      <c r="V285" s="106" t="e">
        <f t="shared" si="142"/>
        <v>#VALUE!</v>
      </c>
      <c r="W285" s="106" t="e">
        <f t="shared" si="142"/>
        <v>#VALUE!</v>
      </c>
      <c r="X285" s="106" t="e">
        <f t="shared" si="142"/>
        <v>#VALUE!</v>
      </c>
      <c r="Y285" s="106" t="e">
        <f t="shared" si="142"/>
        <v>#VALUE!</v>
      </c>
      <c r="Z285" s="106" t="e">
        <f t="shared" si="142"/>
        <v>#VALUE!</v>
      </c>
      <c r="AA285" s="106" t="e">
        <f t="shared" si="142"/>
        <v>#VALUE!</v>
      </c>
    </row>
    <row r="286" spans="1:28" hidden="1" x14ac:dyDescent="0.25"/>
    <row r="287" spans="1:28" hidden="1" x14ac:dyDescent="0.25">
      <c r="D287" s="47" t="s">
        <v>722</v>
      </c>
    </row>
    <row r="288" spans="1:28" hidden="1" x14ac:dyDescent="0.25">
      <c r="E288" s="47" t="s">
        <v>573</v>
      </c>
      <c r="F288" s="47" t="s">
        <v>639</v>
      </c>
      <c r="G288" s="106">
        <f t="shared" ref="G288:AA293" si="143">G222</f>
        <v>0</v>
      </c>
      <c r="H288" s="106">
        <f t="shared" si="143"/>
        <v>9544088.579732962</v>
      </c>
      <c r="I288" s="106">
        <f t="shared" si="143"/>
        <v>9751473.6738806479</v>
      </c>
      <c r="J288" s="106">
        <f t="shared" si="143"/>
        <v>10371105.604382807</v>
      </c>
      <c r="K288" s="106">
        <f t="shared" si="143"/>
        <v>10508638.545562441</v>
      </c>
      <c r="L288" s="106">
        <f t="shared" si="143"/>
        <v>9468529.8360574432</v>
      </c>
      <c r="M288" s="106">
        <f t="shared" si="143"/>
        <v>9604022.9159916546</v>
      </c>
      <c r="N288" s="106">
        <f t="shared" si="143"/>
        <v>9337527.6405437943</v>
      </c>
      <c r="O288" s="106">
        <f t="shared" si="143"/>
        <v>9832457.851763729</v>
      </c>
      <c r="P288" s="106">
        <f t="shared" si="143"/>
        <v>10082660.013833353</v>
      </c>
      <c r="Q288" s="106">
        <f t="shared" si="143"/>
        <v>9927563.0076135471</v>
      </c>
      <c r="R288" s="106">
        <f t="shared" si="143"/>
        <v>9702891.7247186098</v>
      </c>
      <c r="S288" s="106">
        <f t="shared" si="143"/>
        <v>9439166.3469357919</v>
      </c>
      <c r="T288" s="106">
        <f t="shared" si="143"/>
        <v>8885769.3244767319</v>
      </c>
      <c r="U288" s="106">
        <f t="shared" si="143"/>
        <v>8207396.5617446415</v>
      </c>
      <c r="V288" s="106">
        <f t="shared" si="143"/>
        <v>7422599.1416407619</v>
      </c>
      <c r="W288" s="106">
        <f t="shared" si="143"/>
        <v>6683815.0965384478</v>
      </c>
      <c r="X288" s="106">
        <f t="shared" si="143"/>
        <v>6211510.7745527206</v>
      </c>
      <c r="Y288" s="106">
        <f t="shared" si="143"/>
        <v>5425930.0179120712</v>
      </c>
      <c r="Z288" s="106">
        <f t="shared" si="143"/>
        <v>4562542.3221326051</v>
      </c>
      <c r="AA288" s="106">
        <f t="shared" si="143"/>
        <v>3899012.914458245</v>
      </c>
    </row>
    <row r="289" spans="4:28" hidden="1" x14ac:dyDescent="0.25">
      <c r="E289" s="47" t="s">
        <v>723</v>
      </c>
      <c r="F289" s="47" t="s">
        <v>639</v>
      </c>
      <c r="G289" s="106">
        <f t="shared" si="143"/>
        <v>0</v>
      </c>
      <c r="H289" s="106">
        <f t="shared" si="143"/>
        <v>12107264.293825546</v>
      </c>
      <c r="I289" s="106">
        <f t="shared" si="143"/>
        <v>24841141.865222052</v>
      </c>
      <c r="J289" s="106">
        <f t="shared" si="143"/>
        <v>35247429.67599833</v>
      </c>
      <c r="K289" s="106">
        <f t="shared" si="143"/>
        <v>45717568.290419087</v>
      </c>
      <c r="L289" s="106">
        <f t="shared" si="143"/>
        <v>55260862.892891169</v>
      </c>
      <c r="M289" s="106">
        <f t="shared" si="143"/>
        <v>64795734.89177838</v>
      </c>
      <c r="N289" s="106">
        <f t="shared" si="143"/>
        <v>74826704.259903058</v>
      </c>
      <c r="O289" s="106">
        <f t="shared" si="143"/>
        <v>84636008.95523259</v>
      </c>
      <c r="P289" s="106">
        <f t="shared" si="143"/>
        <v>94483116.74082464</v>
      </c>
      <c r="Q289" s="106">
        <f t="shared" si="143"/>
        <v>91523590.480721921</v>
      </c>
      <c r="R289" s="106">
        <f t="shared" si="143"/>
        <v>100329970.79962641</v>
      </c>
      <c r="S289" s="106">
        <f t="shared" si="143"/>
        <v>109224458.31097089</v>
      </c>
      <c r="T289" s="106">
        <f t="shared" si="143"/>
        <v>118151426.37170927</v>
      </c>
      <c r="U289" s="106">
        <f t="shared" si="143"/>
        <v>127108462.78438832</v>
      </c>
      <c r="V289" s="106">
        <f t="shared" si="143"/>
        <v>125623258.44916701</v>
      </c>
      <c r="W289" s="106">
        <f t="shared" si="143"/>
        <v>133867394.76522949</v>
      </c>
      <c r="X289" s="106">
        <f t="shared" si="143"/>
        <v>141762429.71672091</v>
      </c>
      <c r="Y289" s="106">
        <f t="shared" si="143"/>
        <v>149907912.27911374</v>
      </c>
      <c r="Z289" s="106">
        <f t="shared" si="143"/>
        <v>158024104.56978294</v>
      </c>
      <c r="AA289" s="106">
        <f t="shared" si="143"/>
        <v>166904547.55343065</v>
      </c>
    </row>
    <row r="290" spans="4:28" hidden="1" x14ac:dyDescent="0.25">
      <c r="E290" s="47" t="s">
        <v>701</v>
      </c>
      <c r="F290" s="47" t="s">
        <v>639</v>
      </c>
      <c r="G290" s="106">
        <f t="shared" si="143"/>
        <v>0</v>
      </c>
      <c r="H290" s="106">
        <f t="shared" si="143"/>
        <v>-5791969.0111403344</v>
      </c>
      <c r="I290" s="106">
        <f t="shared" si="143"/>
        <v>-11488849.009138383</v>
      </c>
      <c r="J290" s="106">
        <f t="shared" si="143"/>
        <v>-16112833.7839857</v>
      </c>
      <c r="K290" s="106">
        <f t="shared" si="143"/>
        <v>-20585482.694728434</v>
      </c>
      <c r="L290" s="106">
        <f t="shared" si="143"/>
        <v>-24829420.362465724</v>
      </c>
      <c r="M290" s="106">
        <f t="shared" si="143"/>
        <v>-28779146.007099736</v>
      </c>
      <c r="N290" s="106">
        <f t="shared" si="143"/>
        <v>-32621189.118452929</v>
      </c>
      <c r="O290" s="106">
        <f t="shared" si="143"/>
        <v>-36356496.466509558</v>
      </c>
      <c r="P290" s="106">
        <f t="shared" si="143"/>
        <v>-40015500.323124766</v>
      </c>
      <c r="Q290" s="106">
        <f t="shared" si="143"/>
        <v>-43569815.546380743</v>
      </c>
      <c r="R290" s="106">
        <f t="shared" si="143"/>
        <v>-47112778.88934914</v>
      </c>
      <c r="S290" s="106">
        <f t="shared" si="143"/>
        <v>-50591124.161542028</v>
      </c>
      <c r="T290" s="106">
        <f t="shared" si="143"/>
        <v>-54007313.403951086</v>
      </c>
      <c r="U290" s="106">
        <f t="shared" si="143"/>
        <v>-57335920.444647893</v>
      </c>
      <c r="V290" s="106">
        <f t="shared" si="143"/>
        <v>-60585331.671599597</v>
      </c>
      <c r="W290" s="106">
        <f t="shared" si="143"/>
        <v>-63739678.20670566</v>
      </c>
      <c r="X290" s="106">
        <f t="shared" si="143"/>
        <v>-66728330.121005677</v>
      </c>
      <c r="Y290" s="106">
        <f t="shared" si="143"/>
        <v>-69664590.268020526</v>
      </c>
      <c r="Z290" s="106">
        <f t="shared" si="143"/>
        <v>-72526084.23305966</v>
      </c>
      <c r="AA290" s="106">
        <f t="shared" si="143"/>
        <v>-75417257.187199548</v>
      </c>
    </row>
    <row r="291" spans="4:28" hidden="1" x14ac:dyDescent="0.25">
      <c r="E291" s="47" t="s">
        <v>702</v>
      </c>
      <c r="F291" s="47" t="s">
        <v>639</v>
      </c>
      <c r="G291" s="106">
        <f t="shared" si="143"/>
        <v>0</v>
      </c>
      <c r="H291" s="106">
        <f t="shared" si="143"/>
        <v>-2199959.7081642896</v>
      </c>
      <c r="I291" s="106">
        <f t="shared" si="143"/>
        <v>-4379896.5237079989</v>
      </c>
      <c r="J291" s="106">
        <f t="shared" si="143"/>
        <v>-6137088.1325609218</v>
      </c>
      <c r="K291" s="106">
        <f t="shared" si="143"/>
        <v>-7876520.8730496475</v>
      </c>
      <c r="L291" s="106">
        <f t="shared" si="143"/>
        <v>-9570382.7697649542</v>
      </c>
      <c r="M291" s="106">
        <f t="shared" si="143"/>
        <v>-11181824.227254884</v>
      </c>
      <c r="N291" s="106">
        <f t="shared" si="143"/>
        <v>-12736511.468167182</v>
      </c>
      <c r="O291" s="106">
        <f t="shared" si="143"/>
        <v>-14278183.233160675</v>
      </c>
      <c r="P291" s="106">
        <f t="shared" si="143"/>
        <v>-15800383.552356152</v>
      </c>
      <c r="Q291" s="106">
        <f t="shared" si="143"/>
        <v>-17566133.808367133</v>
      </c>
      <c r="R291" s="106">
        <f t="shared" si="143"/>
        <v>-19371179.941743646</v>
      </c>
      <c r="S291" s="106">
        <f t="shared" si="143"/>
        <v>-21206005.907176971</v>
      </c>
      <c r="T291" s="106">
        <f t="shared" si="143"/>
        <v>-23067750.997968633</v>
      </c>
      <c r="U291" s="106">
        <f t="shared" si="143"/>
        <v>-24946053.355954338</v>
      </c>
      <c r="V291" s="106">
        <f t="shared" si="143"/>
        <v>-26839154.709556308</v>
      </c>
      <c r="W291" s="106">
        <f t="shared" si="143"/>
        <v>-28737181.393650245</v>
      </c>
      <c r="X291" s="106">
        <f t="shared" si="143"/>
        <v>-30646816.365710359</v>
      </c>
      <c r="Y291" s="106">
        <f t="shared" si="143"/>
        <v>-32546084.295603096</v>
      </c>
      <c r="Z291" s="106">
        <f t="shared" si="143"/>
        <v>-34447675.928328961</v>
      </c>
      <c r="AA291" s="106">
        <f t="shared" si="143"/>
        <v>-36363824.302499883</v>
      </c>
    </row>
    <row r="292" spans="4:28" hidden="1" x14ac:dyDescent="0.25">
      <c r="E292" s="47" t="s">
        <v>724</v>
      </c>
      <c r="F292" s="47" t="s">
        <v>639</v>
      </c>
      <c r="G292" s="106">
        <f t="shared" si="143"/>
        <v>0</v>
      </c>
      <c r="H292" s="106">
        <f t="shared" si="143"/>
        <v>-355378.89897340775</v>
      </c>
      <c r="I292" s="106">
        <f t="shared" si="143"/>
        <v>-673112.88806158863</v>
      </c>
      <c r="J292" s="106">
        <f t="shared" si="143"/>
        <v>-1059594.8316016067</v>
      </c>
      <c r="K292" s="106">
        <f t="shared" si="143"/>
        <v>-1439243.0351829589</v>
      </c>
      <c r="L292" s="106">
        <f t="shared" si="143"/>
        <v>-1820694.317957368</v>
      </c>
      <c r="M292" s="106">
        <f t="shared" si="143"/>
        <v>-2308354.8459633789</v>
      </c>
      <c r="N292" s="106">
        <f t="shared" si="143"/>
        <v>-2977367.8054601401</v>
      </c>
      <c r="O292" s="106">
        <f t="shared" si="143"/>
        <v>-3733349.1256795698</v>
      </c>
      <c r="P292" s="106">
        <f t="shared" si="143"/>
        <v>-4353450.5430675019</v>
      </c>
      <c r="Q292" s="106">
        <f t="shared" si="143"/>
        <v>-4939208.9708219171</v>
      </c>
      <c r="R292" s="106">
        <f t="shared" si="143"/>
        <v>-5522471.0509886108</v>
      </c>
      <c r="S292" s="106">
        <f t="shared" si="143"/>
        <v>-6102802.8491799394</v>
      </c>
      <c r="T292" s="106">
        <f t="shared" si="143"/>
        <v>-6676985.791566167</v>
      </c>
      <c r="U292" s="106">
        <f t="shared" si="143"/>
        <v>-7243631.2588109272</v>
      </c>
      <c r="V292" s="106">
        <f t="shared" si="143"/>
        <v>-7801556.7547212001</v>
      </c>
      <c r="W292" s="106">
        <f t="shared" si="143"/>
        <v>-8351273.5390192252</v>
      </c>
      <c r="X292" s="106">
        <f t="shared" si="143"/>
        <v>-8895742.4975174088</v>
      </c>
      <c r="Y292" s="106">
        <f t="shared" si="143"/>
        <v>-9431482.7809418067</v>
      </c>
      <c r="Z292" s="106">
        <f t="shared" si="143"/>
        <v>-9957629.8677464332</v>
      </c>
      <c r="AA292" s="106">
        <f t="shared" si="143"/>
        <v>-10476404.4055769</v>
      </c>
    </row>
    <row r="293" spans="4:28" hidden="1" x14ac:dyDescent="0.25">
      <c r="E293" s="47" t="s">
        <v>709</v>
      </c>
      <c r="F293" s="47" t="s">
        <v>639</v>
      </c>
      <c r="G293" s="106">
        <f t="shared" si="143"/>
        <v>0</v>
      </c>
      <c r="H293" s="106">
        <f t="shared" si="143"/>
        <v>0</v>
      </c>
      <c r="I293" s="106">
        <f t="shared" si="143"/>
        <v>0</v>
      </c>
      <c r="J293" s="106">
        <f t="shared" si="143"/>
        <v>0</v>
      </c>
      <c r="K293" s="106">
        <f t="shared" si="143"/>
        <v>0</v>
      </c>
      <c r="L293" s="106">
        <f t="shared" si="143"/>
        <v>0</v>
      </c>
      <c r="M293" s="106">
        <f t="shared" si="143"/>
        <v>0</v>
      </c>
      <c r="N293" s="106">
        <f t="shared" si="143"/>
        <v>0</v>
      </c>
      <c r="O293" s="106">
        <f t="shared" si="143"/>
        <v>0</v>
      </c>
      <c r="P293" s="106">
        <f t="shared" si="143"/>
        <v>0</v>
      </c>
      <c r="Q293" s="106">
        <f t="shared" si="143"/>
        <v>0</v>
      </c>
      <c r="R293" s="106">
        <f t="shared" si="143"/>
        <v>0</v>
      </c>
      <c r="S293" s="106">
        <f t="shared" si="143"/>
        <v>0</v>
      </c>
      <c r="T293" s="106">
        <f t="shared" si="143"/>
        <v>0</v>
      </c>
      <c r="U293" s="106">
        <f t="shared" si="143"/>
        <v>0</v>
      </c>
      <c r="V293" s="106">
        <f t="shared" si="143"/>
        <v>0</v>
      </c>
      <c r="W293" s="106">
        <f t="shared" si="143"/>
        <v>0</v>
      </c>
      <c r="X293" s="106">
        <f t="shared" si="143"/>
        <v>0</v>
      </c>
      <c r="Y293" s="106">
        <f t="shared" si="143"/>
        <v>0</v>
      </c>
      <c r="Z293" s="106">
        <f t="shared" si="143"/>
        <v>0</v>
      </c>
      <c r="AA293" s="106">
        <f t="shared" si="143"/>
        <v>0</v>
      </c>
    </row>
    <row r="294" spans="4:28" hidden="1" x14ac:dyDescent="0.25">
      <c r="E294" s="47" t="s">
        <v>725</v>
      </c>
      <c r="F294" s="47" t="s">
        <v>639</v>
      </c>
      <c r="G294" s="106" t="e">
        <f t="shared" ref="G294:AA294" si="144">G285</f>
        <v>#VALUE!</v>
      </c>
      <c r="H294" s="106" t="e">
        <f t="shared" si="144"/>
        <v>#VALUE!</v>
      </c>
      <c r="I294" s="106" t="e">
        <f t="shared" si="144"/>
        <v>#VALUE!</v>
      </c>
      <c r="J294" s="106" t="e">
        <f t="shared" si="144"/>
        <v>#VALUE!</v>
      </c>
      <c r="K294" s="106" t="e">
        <f t="shared" si="144"/>
        <v>#VALUE!</v>
      </c>
      <c r="L294" s="106" t="e">
        <f t="shared" si="144"/>
        <v>#VALUE!</v>
      </c>
      <c r="M294" s="106" t="e">
        <f t="shared" si="144"/>
        <v>#VALUE!</v>
      </c>
      <c r="N294" s="106" t="e">
        <f t="shared" si="144"/>
        <v>#VALUE!</v>
      </c>
      <c r="O294" s="106" t="e">
        <f t="shared" si="144"/>
        <v>#VALUE!</v>
      </c>
      <c r="P294" s="106" t="e">
        <f t="shared" si="144"/>
        <v>#VALUE!</v>
      </c>
      <c r="Q294" s="106" t="e">
        <f t="shared" si="144"/>
        <v>#VALUE!</v>
      </c>
      <c r="R294" s="106" t="e">
        <f t="shared" si="144"/>
        <v>#VALUE!</v>
      </c>
      <c r="S294" s="106" t="e">
        <f t="shared" si="144"/>
        <v>#VALUE!</v>
      </c>
      <c r="T294" s="106" t="e">
        <f t="shared" si="144"/>
        <v>#VALUE!</v>
      </c>
      <c r="U294" s="106" t="e">
        <f t="shared" si="144"/>
        <v>#VALUE!</v>
      </c>
      <c r="V294" s="106" t="e">
        <f t="shared" si="144"/>
        <v>#VALUE!</v>
      </c>
      <c r="W294" s="106" t="e">
        <f t="shared" si="144"/>
        <v>#VALUE!</v>
      </c>
      <c r="X294" s="106" t="e">
        <f t="shared" si="144"/>
        <v>#VALUE!</v>
      </c>
      <c r="Y294" s="106" t="e">
        <f t="shared" si="144"/>
        <v>#VALUE!</v>
      </c>
      <c r="Z294" s="106" t="e">
        <f t="shared" si="144"/>
        <v>#VALUE!</v>
      </c>
      <c r="AA294" s="106" t="e">
        <f t="shared" si="144"/>
        <v>#VALUE!</v>
      </c>
    </row>
    <row r="295" spans="4:28" hidden="1" x14ac:dyDescent="0.25"/>
    <row r="296" spans="4:28" hidden="1" x14ac:dyDescent="0.25">
      <c r="E296" s="47" t="s">
        <v>726</v>
      </c>
      <c r="F296" s="47" t="s">
        <v>639</v>
      </c>
      <c r="G296" s="106" t="e">
        <f t="shared" ref="G296:AA296" si="145">SUM(G288:G294)</f>
        <v>#VALUE!</v>
      </c>
      <c r="H296" s="106" t="e">
        <f t="shared" si="145"/>
        <v>#VALUE!</v>
      </c>
      <c r="I296" s="106" t="e">
        <f t="shared" si="145"/>
        <v>#VALUE!</v>
      </c>
      <c r="J296" s="106" t="e">
        <f t="shared" si="145"/>
        <v>#VALUE!</v>
      </c>
      <c r="K296" s="106" t="e">
        <f t="shared" si="145"/>
        <v>#VALUE!</v>
      </c>
      <c r="L296" s="106" t="e">
        <f t="shared" si="145"/>
        <v>#VALUE!</v>
      </c>
      <c r="M296" s="106" t="e">
        <f t="shared" si="145"/>
        <v>#VALUE!</v>
      </c>
      <c r="N296" s="106" t="e">
        <f t="shared" si="145"/>
        <v>#VALUE!</v>
      </c>
      <c r="O296" s="106" t="e">
        <f t="shared" si="145"/>
        <v>#VALUE!</v>
      </c>
      <c r="P296" s="106" t="e">
        <f t="shared" si="145"/>
        <v>#VALUE!</v>
      </c>
      <c r="Q296" s="106" t="e">
        <f t="shared" si="145"/>
        <v>#VALUE!</v>
      </c>
      <c r="R296" s="106" t="e">
        <f t="shared" si="145"/>
        <v>#VALUE!</v>
      </c>
      <c r="S296" s="106" t="e">
        <f t="shared" si="145"/>
        <v>#VALUE!</v>
      </c>
      <c r="T296" s="106" t="e">
        <f t="shared" si="145"/>
        <v>#VALUE!</v>
      </c>
      <c r="U296" s="106" t="e">
        <f t="shared" si="145"/>
        <v>#VALUE!</v>
      </c>
      <c r="V296" s="106" t="e">
        <f t="shared" si="145"/>
        <v>#VALUE!</v>
      </c>
      <c r="W296" s="106" t="e">
        <f t="shared" si="145"/>
        <v>#VALUE!</v>
      </c>
      <c r="X296" s="106" t="e">
        <f t="shared" si="145"/>
        <v>#VALUE!</v>
      </c>
      <c r="Y296" s="106" t="e">
        <f t="shared" si="145"/>
        <v>#VALUE!</v>
      </c>
      <c r="Z296" s="106" t="e">
        <f t="shared" si="145"/>
        <v>#VALUE!</v>
      </c>
      <c r="AA296" s="106" t="e">
        <f t="shared" si="145"/>
        <v>#VALUE!</v>
      </c>
    </row>
    <row r="297" spans="4:28" hidden="1" x14ac:dyDescent="0.25">
      <c r="E297" s="47" t="s">
        <v>727</v>
      </c>
      <c r="F297" s="47" t="s">
        <v>639</v>
      </c>
      <c r="G297" s="106" t="e">
        <f t="shared" ref="G297:AA297" si="146">-G296*G$18</f>
        <v>#VALUE!</v>
      </c>
      <c r="H297" s="106" t="e">
        <f t="shared" si="146"/>
        <v>#VALUE!</v>
      </c>
      <c r="I297" s="106" t="e">
        <f t="shared" si="146"/>
        <v>#VALUE!</v>
      </c>
      <c r="J297" s="106" t="e">
        <f t="shared" si="146"/>
        <v>#VALUE!</v>
      </c>
      <c r="K297" s="106" t="e">
        <f t="shared" si="146"/>
        <v>#VALUE!</v>
      </c>
      <c r="L297" s="106" t="e">
        <f t="shared" si="146"/>
        <v>#VALUE!</v>
      </c>
      <c r="M297" s="106" t="e">
        <f t="shared" si="146"/>
        <v>#VALUE!</v>
      </c>
      <c r="N297" s="106" t="e">
        <f t="shared" si="146"/>
        <v>#VALUE!</v>
      </c>
      <c r="O297" s="106" t="e">
        <f t="shared" si="146"/>
        <v>#VALUE!</v>
      </c>
      <c r="P297" s="106" t="e">
        <f t="shared" si="146"/>
        <v>#VALUE!</v>
      </c>
      <c r="Q297" s="106" t="e">
        <f t="shared" si="146"/>
        <v>#VALUE!</v>
      </c>
      <c r="R297" s="106" t="e">
        <f t="shared" si="146"/>
        <v>#VALUE!</v>
      </c>
      <c r="S297" s="106" t="e">
        <f t="shared" si="146"/>
        <v>#VALUE!</v>
      </c>
      <c r="T297" s="106" t="e">
        <f t="shared" si="146"/>
        <v>#VALUE!</v>
      </c>
      <c r="U297" s="106" t="e">
        <f t="shared" si="146"/>
        <v>#VALUE!</v>
      </c>
      <c r="V297" s="106" t="e">
        <f t="shared" si="146"/>
        <v>#VALUE!</v>
      </c>
      <c r="W297" s="106" t="e">
        <f t="shared" si="146"/>
        <v>#VALUE!</v>
      </c>
      <c r="X297" s="106" t="e">
        <f t="shared" si="146"/>
        <v>#VALUE!</v>
      </c>
      <c r="Y297" s="106" t="e">
        <f t="shared" si="146"/>
        <v>#VALUE!</v>
      </c>
      <c r="Z297" s="106" t="e">
        <f t="shared" si="146"/>
        <v>#VALUE!</v>
      </c>
      <c r="AA297" s="106" t="e">
        <f t="shared" si="146"/>
        <v>#VALUE!</v>
      </c>
    </row>
    <row r="298" spans="4:28" hidden="1" x14ac:dyDescent="0.25"/>
    <row r="299" spans="4:28" hidden="1" x14ac:dyDescent="0.25">
      <c r="D299" s="47" t="s">
        <v>728</v>
      </c>
    </row>
    <row r="300" spans="4:28" hidden="1" x14ac:dyDescent="0.25">
      <c r="E300" s="47" t="s">
        <v>638</v>
      </c>
      <c r="F300" s="47" t="s">
        <v>639</v>
      </c>
      <c r="G300" s="106">
        <f t="shared" ref="G300:AA307" si="147">G234</f>
        <v>0</v>
      </c>
      <c r="H300" s="106">
        <f t="shared" si="147"/>
        <v>-21905144.095983069</v>
      </c>
      <c r="I300" s="106">
        <f t="shared" si="147"/>
        <v>-18322489.997151017</v>
      </c>
      <c r="J300" s="106">
        <f t="shared" si="147"/>
        <v>-23899990.431730445</v>
      </c>
      <c r="K300" s="106">
        <f t="shared" si="147"/>
        <v>-23326757.940097515</v>
      </c>
      <c r="L300" s="106">
        <f t="shared" si="147"/>
        <v>-24460242.041044522</v>
      </c>
      <c r="M300" s="106">
        <f t="shared" si="147"/>
        <v>-33740065.470313445</v>
      </c>
      <c r="N300" s="106">
        <f t="shared" si="147"/>
        <v>-50328279.579928853</v>
      </c>
      <c r="O300" s="106">
        <f t="shared" si="147"/>
        <v>-57947532.957031094</v>
      </c>
      <c r="P300" s="106">
        <f t="shared" si="147"/>
        <v>-45468139.540126704</v>
      </c>
      <c r="Q300" s="106">
        <f t="shared" si="147"/>
        <v>-42388851.917688929</v>
      </c>
      <c r="R300" s="106">
        <f t="shared" si="147"/>
        <v>-42388851.917688929</v>
      </c>
      <c r="S300" s="106">
        <f t="shared" si="147"/>
        <v>-42388851.917688929</v>
      </c>
      <c r="T300" s="106">
        <f t="shared" si="147"/>
        <v>-42388851.917688929</v>
      </c>
      <c r="U300" s="106">
        <f t="shared" si="147"/>
        <v>-42388851.917688929</v>
      </c>
      <c r="V300" s="106">
        <f t="shared" si="147"/>
        <v>-42388851.917688929</v>
      </c>
      <c r="W300" s="106">
        <f t="shared" si="147"/>
        <v>-42388851.917688929</v>
      </c>
      <c r="X300" s="106">
        <f t="shared" si="147"/>
        <v>-42388851.917688929</v>
      </c>
      <c r="Y300" s="106">
        <f t="shared" si="147"/>
        <v>-42388851.917688929</v>
      </c>
      <c r="Z300" s="106">
        <f t="shared" si="147"/>
        <v>-42388851.917688929</v>
      </c>
      <c r="AA300" s="106">
        <f t="shared" si="147"/>
        <v>-42388851.917688929</v>
      </c>
    </row>
    <row r="301" spans="4:28" hidden="1" x14ac:dyDescent="0.25">
      <c r="E301" s="47" t="s">
        <v>729</v>
      </c>
      <c r="F301" s="47" t="s">
        <v>639</v>
      </c>
      <c r="G301" s="106">
        <f t="shared" si="147"/>
        <v>0</v>
      </c>
      <c r="H301" s="106">
        <f t="shared" si="147"/>
        <v>0</v>
      </c>
      <c r="I301" s="106">
        <f t="shared" si="147"/>
        <v>0</v>
      </c>
      <c r="J301" s="106">
        <f t="shared" si="147"/>
        <v>0</v>
      </c>
      <c r="K301" s="106">
        <f t="shared" si="147"/>
        <v>0</v>
      </c>
      <c r="L301" s="106">
        <f t="shared" si="147"/>
        <v>0</v>
      </c>
      <c r="M301" s="106">
        <f t="shared" si="147"/>
        <v>0</v>
      </c>
      <c r="N301" s="106">
        <f t="shared" si="147"/>
        <v>0</v>
      </c>
      <c r="O301" s="106">
        <f t="shared" si="147"/>
        <v>0</v>
      </c>
      <c r="P301" s="106">
        <f t="shared" si="147"/>
        <v>0</v>
      </c>
      <c r="Q301" s="106">
        <f t="shared" si="147"/>
        <v>0</v>
      </c>
      <c r="R301" s="106">
        <f t="shared" si="147"/>
        <v>0</v>
      </c>
      <c r="S301" s="106">
        <f t="shared" si="147"/>
        <v>0</v>
      </c>
      <c r="T301" s="106">
        <f t="shared" si="147"/>
        <v>0</v>
      </c>
      <c r="U301" s="106">
        <f t="shared" si="147"/>
        <v>0</v>
      </c>
      <c r="V301" s="106">
        <f t="shared" si="147"/>
        <v>0</v>
      </c>
      <c r="W301" s="106">
        <f t="shared" si="147"/>
        <v>0</v>
      </c>
      <c r="X301" s="106">
        <f t="shared" si="147"/>
        <v>0</v>
      </c>
      <c r="Y301" s="106">
        <f t="shared" si="147"/>
        <v>0</v>
      </c>
      <c r="Z301" s="106">
        <f t="shared" si="147"/>
        <v>0</v>
      </c>
      <c r="AA301" s="106">
        <f t="shared" si="147"/>
        <v>0</v>
      </c>
    </row>
    <row r="302" spans="4:28" hidden="1" x14ac:dyDescent="0.25">
      <c r="E302" s="47" t="s">
        <v>645</v>
      </c>
      <c r="F302" s="47" t="s">
        <v>639</v>
      </c>
      <c r="G302" s="106">
        <f t="shared" si="147"/>
        <v>0</v>
      </c>
      <c r="H302" s="106">
        <f t="shared" si="147"/>
        <v>0</v>
      </c>
      <c r="I302" s="106">
        <f t="shared" si="147"/>
        <v>0</v>
      </c>
      <c r="J302" s="106">
        <f t="shared" si="147"/>
        <v>0</v>
      </c>
      <c r="K302" s="106">
        <f t="shared" si="147"/>
        <v>0</v>
      </c>
      <c r="L302" s="106">
        <f t="shared" si="147"/>
        <v>0</v>
      </c>
      <c r="M302" s="106">
        <f t="shared" si="147"/>
        <v>0</v>
      </c>
      <c r="N302" s="106">
        <f t="shared" si="147"/>
        <v>0</v>
      </c>
      <c r="O302" s="106">
        <f t="shared" si="147"/>
        <v>0</v>
      </c>
      <c r="P302" s="106">
        <f t="shared" si="147"/>
        <v>0</v>
      </c>
      <c r="Q302" s="106">
        <f t="shared" si="147"/>
        <v>0</v>
      </c>
      <c r="R302" s="106">
        <f t="shared" si="147"/>
        <v>0</v>
      </c>
      <c r="S302" s="106">
        <f t="shared" si="147"/>
        <v>0</v>
      </c>
      <c r="T302" s="106">
        <f t="shared" si="147"/>
        <v>0</v>
      </c>
      <c r="U302" s="106">
        <f t="shared" si="147"/>
        <v>0</v>
      </c>
      <c r="V302" s="106">
        <f t="shared" si="147"/>
        <v>0</v>
      </c>
      <c r="W302" s="106">
        <f t="shared" si="147"/>
        <v>0</v>
      </c>
      <c r="X302" s="106">
        <f t="shared" si="147"/>
        <v>0</v>
      </c>
      <c r="Y302" s="106">
        <f t="shared" si="147"/>
        <v>0</v>
      </c>
      <c r="Z302" s="106">
        <f t="shared" si="147"/>
        <v>0</v>
      </c>
      <c r="AA302" s="106">
        <f t="shared" si="147"/>
        <v>0</v>
      </c>
    </row>
    <row r="303" spans="4:28" hidden="1" x14ac:dyDescent="0.25">
      <c r="E303" s="47" t="s">
        <v>723</v>
      </c>
      <c r="F303" s="47" t="s">
        <v>639</v>
      </c>
      <c r="G303" s="106">
        <f t="shared" si="147"/>
        <v>0</v>
      </c>
      <c r="H303" s="106">
        <f t="shared" si="147"/>
        <v>12107264.293825546</v>
      </c>
      <c r="I303" s="106">
        <f t="shared" si="147"/>
        <v>24841141.865222052</v>
      </c>
      <c r="J303" s="106">
        <f t="shared" si="147"/>
        <v>35247429.67599833</v>
      </c>
      <c r="K303" s="106">
        <f t="shared" si="147"/>
        <v>45717568.290419087</v>
      </c>
      <c r="L303" s="106">
        <f t="shared" si="147"/>
        <v>55260862.892891169</v>
      </c>
      <c r="M303" s="106">
        <f t="shared" si="147"/>
        <v>64795734.89177838</v>
      </c>
      <c r="N303" s="106">
        <f t="shared" si="147"/>
        <v>74826704.259903058</v>
      </c>
      <c r="O303" s="106">
        <f t="shared" si="147"/>
        <v>84636008.95523259</v>
      </c>
      <c r="P303" s="106">
        <f t="shared" si="147"/>
        <v>94483116.74082464</v>
      </c>
      <c r="Q303" s="106">
        <f t="shared" si="147"/>
        <v>91523590.480721921</v>
      </c>
      <c r="R303" s="106">
        <f t="shared" si="147"/>
        <v>100329970.79962641</v>
      </c>
      <c r="S303" s="106">
        <f t="shared" si="147"/>
        <v>109224458.31097089</v>
      </c>
      <c r="T303" s="106">
        <f t="shared" si="147"/>
        <v>118151426.37170927</v>
      </c>
      <c r="U303" s="106">
        <f t="shared" si="147"/>
        <v>127108462.78438832</v>
      </c>
      <c r="V303" s="106">
        <f t="shared" si="147"/>
        <v>125623258.44916701</v>
      </c>
      <c r="W303" s="106">
        <f t="shared" si="147"/>
        <v>133867394.76522949</v>
      </c>
      <c r="X303" s="106">
        <f t="shared" si="147"/>
        <v>141762429.71672091</v>
      </c>
      <c r="Y303" s="106">
        <f t="shared" si="147"/>
        <v>149907912.27911374</v>
      </c>
      <c r="Z303" s="106">
        <f t="shared" si="147"/>
        <v>158024104.56978294</v>
      </c>
      <c r="AA303" s="106">
        <f t="shared" si="147"/>
        <v>166904547.55343065</v>
      </c>
      <c r="AB303" s="106">
        <f t="shared" ref="AB303:AB307" si="148">IF(V303=0,0,IF($G$15&gt;(AA303/V303)^(1/5)-1+2%,AA303*(AA303/V303)^(1/5)/($G$15-((AA303/V303)^(1/5)-1)),AA303*(1+$G$14)/$G$16))</f>
        <v>6925499898.4825964</v>
      </c>
    </row>
    <row r="304" spans="4:28" hidden="1" x14ac:dyDescent="0.25">
      <c r="E304" s="47" t="s">
        <v>701</v>
      </c>
      <c r="F304" s="47" t="s">
        <v>639</v>
      </c>
      <c r="G304" s="106">
        <f t="shared" si="147"/>
        <v>0</v>
      </c>
      <c r="H304" s="106">
        <f t="shared" si="147"/>
        <v>-5791969.0111403344</v>
      </c>
      <c r="I304" s="106">
        <f t="shared" si="147"/>
        <v>-11488849.009138383</v>
      </c>
      <c r="J304" s="106">
        <f t="shared" si="147"/>
        <v>-16112833.7839857</v>
      </c>
      <c r="K304" s="106">
        <f t="shared" si="147"/>
        <v>-20585482.694728434</v>
      </c>
      <c r="L304" s="106">
        <f t="shared" si="147"/>
        <v>-24829420.362465724</v>
      </c>
      <c r="M304" s="106">
        <f t="shared" si="147"/>
        <v>-28779146.007099736</v>
      </c>
      <c r="N304" s="106">
        <f t="shared" si="147"/>
        <v>-32621189.118452929</v>
      </c>
      <c r="O304" s="106">
        <f t="shared" si="147"/>
        <v>-36356496.466509558</v>
      </c>
      <c r="P304" s="106">
        <f t="shared" si="147"/>
        <v>-40015500.323124766</v>
      </c>
      <c r="Q304" s="106">
        <f t="shared" si="147"/>
        <v>-43569815.546380743</v>
      </c>
      <c r="R304" s="106">
        <f t="shared" si="147"/>
        <v>-47112778.88934914</v>
      </c>
      <c r="S304" s="106">
        <f t="shared" si="147"/>
        <v>-50591124.161542028</v>
      </c>
      <c r="T304" s="106">
        <f t="shared" si="147"/>
        <v>-54007313.403951086</v>
      </c>
      <c r="U304" s="106">
        <f t="shared" si="147"/>
        <v>-57335920.444647893</v>
      </c>
      <c r="V304" s="106">
        <f t="shared" si="147"/>
        <v>-60585331.671599597</v>
      </c>
      <c r="W304" s="106">
        <f t="shared" si="147"/>
        <v>-63739678.20670566</v>
      </c>
      <c r="X304" s="106">
        <f t="shared" si="147"/>
        <v>-66728330.121005677</v>
      </c>
      <c r="Y304" s="106">
        <f t="shared" si="147"/>
        <v>-69664590.268020526</v>
      </c>
      <c r="Z304" s="106">
        <f t="shared" si="147"/>
        <v>-72526084.23305966</v>
      </c>
      <c r="AA304" s="106">
        <f t="shared" si="147"/>
        <v>-75417257.187199548</v>
      </c>
      <c r="AB304" s="106">
        <f t="shared" si="148"/>
        <v>-3129346771.2530918</v>
      </c>
    </row>
    <row r="305" spans="1:28" hidden="1" x14ac:dyDescent="0.25">
      <c r="E305" s="47" t="s">
        <v>702</v>
      </c>
      <c r="F305" s="47" t="s">
        <v>639</v>
      </c>
      <c r="G305" s="106">
        <f t="shared" si="147"/>
        <v>0</v>
      </c>
      <c r="H305" s="106">
        <f t="shared" si="147"/>
        <v>-2199959.7081642896</v>
      </c>
      <c r="I305" s="106">
        <f t="shared" si="147"/>
        <v>-4379896.5237079989</v>
      </c>
      <c r="J305" s="106">
        <f t="shared" si="147"/>
        <v>-6137088.1325609218</v>
      </c>
      <c r="K305" s="106">
        <f t="shared" si="147"/>
        <v>-7876520.8730496475</v>
      </c>
      <c r="L305" s="106">
        <f t="shared" si="147"/>
        <v>-9570382.7697649542</v>
      </c>
      <c r="M305" s="106">
        <f t="shared" si="147"/>
        <v>-11181824.227254884</v>
      </c>
      <c r="N305" s="106">
        <f t="shared" si="147"/>
        <v>-12736511.468167182</v>
      </c>
      <c r="O305" s="106">
        <f t="shared" si="147"/>
        <v>-14278183.233160675</v>
      </c>
      <c r="P305" s="106">
        <f t="shared" si="147"/>
        <v>-15800383.552356152</v>
      </c>
      <c r="Q305" s="106">
        <f t="shared" si="147"/>
        <v>-17566133.808367133</v>
      </c>
      <c r="R305" s="106">
        <f t="shared" si="147"/>
        <v>-19371179.941743646</v>
      </c>
      <c r="S305" s="106">
        <f t="shared" si="147"/>
        <v>-21206005.907176971</v>
      </c>
      <c r="T305" s="106">
        <f t="shared" si="147"/>
        <v>-23067750.997968633</v>
      </c>
      <c r="U305" s="106">
        <f t="shared" si="147"/>
        <v>-24946053.355954338</v>
      </c>
      <c r="V305" s="106">
        <f t="shared" si="147"/>
        <v>-26839154.709556308</v>
      </c>
      <c r="W305" s="106">
        <f t="shared" si="147"/>
        <v>-28737181.393650245</v>
      </c>
      <c r="X305" s="106">
        <f t="shared" si="147"/>
        <v>-30646816.365710359</v>
      </c>
      <c r="Y305" s="106">
        <f t="shared" si="147"/>
        <v>-32546084.295603096</v>
      </c>
      <c r="Z305" s="106">
        <f t="shared" si="147"/>
        <v>-34447675.928328961</v>
      </c>
      <c r="AA305" s="106">
        <f t="shared" si="147"/>
        <v>-36363824.302499883</v>
      </c>
      <c r="AB305" s="106">
        <f t="shared" si="148"/>
        <v>-1508872377.6970899</v>
      </c>
    </row>
    <row r="306" spans="1:28" hidden="1" x14ac:dyDescent="0.25">
      <c r="E306" s="47" t="s">
        <v>709</v>
      </c>
      <c r="F306" s="47" t="s">
        <v>639</v>
      </c>
      <c r="G306" s="106">
        <f t="shared" si="147"/>
        <v>0</v>
      </c>
      <c r="H306" s="106">
        <f t="shared" si="147"/>
        <v>0</v>
      </c>
      <c r="I306" s="106">
        <f t="shared" si="147"/>
        <v>0</v>
      </c>
      <c r="J306" s="106">
        <f t="shared" si="147"/>
        <v>0</v>
      </c>
      <c r="K306" s="106">
        <f t="shared" si="147"/>
        <v>0</v>
      </c>
      <c r="L306" s="106">
        <f t="shared" si="147"/>
        <v>0</v>
      </c>
      <c r="M306" s="106">
        <f t="shared" si="147"/>
        <v>0</v>
      </c>
      <c r="N306" s="106">
        <f t="shared" si="147"/>
        <v>0</v>
      </c>
      <c r="O306" s="106">
        <f t="shared" si="147"/>
        <v>0</v>
      </c>
      <c r="P306" s="106">
        <f t="shared" si="147"/>
        <v>0</v>
      </c>
      <c r="Q306" s="106">
        <f t="shared" si="147"/>
        <v>0</v>
      </c>
      <c r="R306" s="106">
        <f t="shared" si="147"/>
        <v>0</v>
      </c>
      <c r="S306" s="106">
        <f t="shared" si="147"/>
        <v>0</v>
      </c>
      <c r="T306" s="106">
        <f t="shared" si="147"/>
        <v>0</v>
      </c>
      <c r="U306" s="106">
        <f t="shared" si="147"/>
        <v>0</v>
      </c>
      <c r="V306" s="106">
        <f t="shared" si="147"/>
        <v>0</v>
      </c>
      <c r="W306" s="106">
        <f t="shared" si="147"/>
        <v>0</v>
      </c>
      <c r="X306" s="106">
        <f t="shared" si="147"/>
        <v>0</v>
      </c>
      <c r="Y306" s="106">
        <f t="shared" si="147"/>
        <v>0</v>
      </c>
      <c r="Z306" s="106">
        <f t="shared" si="147"/>
        <v>0</v>
      </c>
      <c r="AA306" s="106">
        <f t="shared" si="147"/>
        <v>0</v>
      </c>
      <c r="AB306" s="106">
        <f t="shared" si="148"/>
        <v>0</v>
      </c>
    </row>
    <row r="307" spans="1:28" hidden="1" x14ac:dyDescent="0.25">
      <c r="E307" s="47" t="s">
        <v>714</v>
      </c>
      <c r="F307" s="47" t="s">
        <v>639</v>
      </c>
      <c r="G307" s="106">
        <f t="shared" si="147"/>
        <v>0</v>
      </c>
      <c r="H307" s="106">
        <f t="shared" si="147"/>
        <v>0</v>
      </c>
      <c r="I307" s="106">
        <f t="shared" si="147"/>
        <v>0</v>
      </c>
      <c r="J307" s="106">
        <f t="shared" si="147"/>
        <v>0</v>
      </c>
      <c r="K307" s="106">
        <f t="shared" si="147"/>
        <v>0</v>
      </c>
      <c r="L307" s="106">
        <f t="shared" si="147"/>
        <v>0</v>
      </c>
      <c r="M307" s="106">
        <f t="shared" si="147"/>
        <v>0</v>
      </c>
      <c r="N307" s="106">
        <f t="shared" si="147"/>
        <v>0</v>
      </c>
      <c r="O307" s="106">
        <f t="shared" si="147"/>
        <v>0</v>
      </c>
      <c r="P307" s="106">
        <f t="shared" si="147"/>
        <v>0</v>
      </c>
      <c r="Q307" s="106">
        <f t="shared" si="147"/>
        <v>0</v>
      </c>
      <c r="R307" s="106">
        <f t="shared" si="147"/>
        <v>0</v>
      </c>
      <c r="S307" s="106">
        <f t="shared" si="147"/>
        <v>0</v>
      </c>
      <c r="T307" s="106">
        <f t="shared" si="147"/>
        <v>0</v>
      </c>
      <c r="U307" s="106">
        <f t="shared" si="147"/>
        <v>0</v>
      </c>
      <c r="V307" s="106">
        <f t="shared" si="147"/>
        <v>0</v>
      </c>
      <c r="W307" s="106">
        <f t="shared" si="147"/>
        <v>0</v>
      </c>
      <c r="X307" s="106">
        <f t="shared" si="147"/>
        <v>0</v>
      </c>
      <c r="Y307" s="106">
        <f t="shared" si="147"/>
        <v>0</v>
      </c>
      <c r="Z307" s="106">
        <f t="shared" si="147"/>
        <v>0</v>
      </c>
      <c r="AA307" s="106">
        <f t="shared" si="147"/>
        <v>0</v>
      </c>
      <c r="AB307" s="106">
        <f t="shared" si="148"/>
        <v>0</v>
      </c>
    </row>
    <row r="308" spans="1:28" hidden="1" x14ac:dyDescent="0.25">
      <c r="E308" s="47" t="s">
        <v>458</v>
      </c>
      <c r="F308" s="47" t="s">
        <v>639</v>
      </c>
      <c r="G308" s="106" t="e">
        <f t="shared" ref="G308:AA308" si="149">G297</f>
        <v>#VALUE!</v>
      </c>
      <c r="H308" s="106" t="e">
        <f t="shared" si="149"/>
        <v>#VALUE!</v>
      </c>
      <c r="I308" s="106" t="e">
        <f t="shared" si="149"/>
        <v>#VALUE!</v>
      </c>
      <c r="J308" s="106" t="e">
        <f t="shared" si="149"/>
        <v>#VALUE!</v>
      </c>
      <c r="K308" s="106" t="e">
        <f t="shared" si="149"/>
        <v>#VALUE!</v>
      </c>
      <c r="L308" s="106" t="e">
        <f t="shared" si="149"/>
        <v>#VALUE!</v>
      </c>
      <c r="M308" s="106" t="e">
        <f t="shared" si="149"/>
        <v>#VALUE!</v>
      </c>
      <c r="N308" s="106" t="e">
        <f t="shared" si="149"/>
        <v>#VALUE!</v>
      </c>
      <c r="O308" s="106" t="e">
        <f t="shared" si="149"/>
        <v>#VALUE!</v>
      </c>
      <c r="P308" s="106" t="e">
        <f t="shared" si="149"/>
        <v>#VALUE!</v>
      </c>
      <c r="Q308" s="106" t="e">
        <f t="shared" si="149"/>
        <v>#VALUE!</v>
      </c>
      <c r="R308" s="106" t="e">
        <f t="shared" si="149"/>
        <v>#VALUE!</v>
      </c>
      <c r="S308" s="106" t="e">
        <f t="shared" si="149"/>
        <v>#VALUE!</v>
      </c>
      <c r="T308" s="106" t="e">
        <f t="shared" si="149"/>
        <v>#VALUE!</v>
      </c>
      <c r="U308" s="106" t="e">
        <f t="shared" si="149"/>
        <v>#VALUE!</v>
      </c>
      <c r="V308" s="106" t="e">
        <f t="shared" si="149"/>
        <v>#VALUE!</v>
      </c>
      <c r="W308" s="106" t="e">
        <f t="shared" si="149"/>
        <v>#VALUE!</v>
      </c>
      <c r="X308" s="106" t="e">
        <f t="shared" si="149"/>
        <v>#VALUE!</v>
      </c>
      <c r="Y308" s="106" t="e">
        <f t="shared" si="149"/>
        <v>#VALUE!</v>
      </c>
      <c r="Z308" s="106" t="e">
        <f t="shared" si="149"/>
        <v>#VALUE!</v>
      </c>
      <c r="AA308" s="106" t="e">
        <f t="shared" si="149"/>
        <v>#VALUE!</v>
      </c>
      <c r="AB308" s="106" t="e">
        <f>IF(V308=0,0,IF($G$15&gt;(AA308/V308)^(1/5)-1+2%,AA308*(AA308/V308)^(1/5)/($G$15-((AA308/V308)^(1/5)-1)),AA308*(1+$G$14)/$G$16))</f>
        <v>#VALUE!</v>
      </c>
    </row>
    <row r="309" spans="1:28" hidden="1" x14ac:dyDescent="0.25">
      <c r="E309" s="47" t="s">
        <v>730</v>
      </c>
      <c r="F309" s="47" t="s">
        <v>639</v>
      </c>
      <c r="G309" s="106" t="e">
        <f>-$G$17*G308</f>
        <v>#VALUE!</v>
      </c>
      <c r="H309" s="106" t="e">
        <f t="shared" ref="H309:AA309" si="150">-$G$17*H308</f>
        <v>#VALUE!</v>
      </c>
      <c r="I309" s="106" t="e">
        <f t="shared" si="150"/>
        <v>#VALUE!</v>
      </c>
      <c r="J309" s="106" t="e">
        <f t="shared" si="150"/>
        <v>#VALUE!</v>
      </c>
      <c r="K309" s="106" t="e">
        <f t="shared" si="150"/>
        <v>#VALUE!</v>
      </c>
      <c r="L309" s="106" t="e">
        <f t="shared" si="150"/>
        <v>#VALUE!</v>
      </c>
      <c r="M309" s="106" t="e">
        <f t="shared" si="150"/>
        <v>#VALUE!</v>
      </c>
      <c r="N309" s="106" t="e">
        <f t="shared" si="150"/>
        <v>#VALUE!</v>
      </c>
      <c r="O309" s="106" t="e">
        <f t="shared" si="150"/>
        <v>#VALUE!</v>
      </c>
      <c r="P309" s="106" t="e">
        <f t="shared" si="150"/>
        <v>#VALUE!</v>
      </c>
      <c r="Q309" s="106" t="e">
        <f t="shared" si="150"/>
        <v>#VALUE!</v>
      </c>
      <c r="R309" s="106" t="e">
        <f t="shared" si="150"/>
        <v>#VALUE!</v>
      </c>
      <c r="S309" s="106" t="e">
        <f t="shared" si="150"/>
        <v>#VALUE!</v>
      </c>
      <c r="T309" s="106" t="e">
        <f t="shared" si="150"/>
        <v>#VALUE!</v>
      </c>
      <c r="U309" s="106" t="e">
        <f t="shared" si="150"/>
        <v>#VALUE!</v>
      </c>
      <c r="V309" s="106" t="e">
        <f t="shared" si="150"/>
        <v>#VALUE!</v>
      </c>
      <c r="W309" s="106" t="e">
        <f t="shared" si="150"/>
        <v>#VALUE!</v>
      </c>
      <c r="X309" s="106" t="e">
        <f t="shared" si="150"/>
        <v>#VALUE!</v>
      </c>
      <c r="Y309" s="106" t="e">
        <f t="shared" si="150"/>
        <v>#VALUE!</v>
      </c>
      <c r="Z309" s="106" t="e">
        <f t="shared" si="150"/>
        <v>#VALUE!</v>
      </c>
      <c r="AA309" s="106" t="e">
        <f t="shared" si="150"/>
        <v>#VALUE!</v>
      </c>
      <c r="AB309" s="106" t="e">
        <f t="shared" ref="AB309" si="151">IF(V309=0,0,IF($G$15&gt;(AA309/V309)^(1/5)-1+2%,AA309*(AA309/V309)^(1/5)/($G$15-((AA309/V309)^(1/5)-1)),AA309*(1+$G$14)/$G$16))</f>
        <v>#VALUE!</v>
      </c>
    </row>
    <row r="310" spans="1:28" hidden="1" x14ac:dyDescent="0.25">
      <c r="E310" s="47" t="s">
        <v>731</v>
      </c>
      <c r="F310" s="47" t="s">
        <v>639</v>
      </c>
      <c r="G310" s="106" t="e">
        <f t="shared" ref="G310:AA310" si="152">SUM(G300:G309)</f>
        <v>#VALUE!</v>
      </c>
      <c r="H310" s="106" t="e">
        <f t="shared" si="152"/>
        <v>#VALUE!</v>
      </c>
      <c r="I310" s="106" t="e">
        <f t="shared" si="152"/>
        <v>#VALUE!</v>
      </c>
      <c r="J310" s="106" t="e">
        <f t="shared" si="152"/>
        <v>#VALUE!</v>
      </c>
      <c r="K310" s="106" t="e">
        <f t="shared" si="152"/>
        <v>#VALUE!</v>
      </c>
      <c r="L310" s="106" t="e">
        <f t="shared" si="152"/>
        <v>#VALUE!</v>
      </c>
      <c r="M310" s="106" t="e">
        <f t="shared" si="152"/>
        <v>#VALUE!</v>
      </c>
      <c r="N310" s="106" t="e">
        <f t="shared" si="152"/>
        <v>#VALUE!</v>
      </c>
      <c r="O310" s="106" t="e">
        <f t="shared" si="152"/>
        <v>#VALUE!</v>
      </c>
      <c r="P310" s="106" t="e">
        <f t="shared" si="152"/>
        <v>#VALUE!</v>
      </c>
      <c r="Q310" s="106" t="e">
        <f t="shared" si="152"/>
        <v>#VALUE!</v>
      </c>
      <c r="R310" s="106" t="e">
        <f t="shared" si="152"/>
        <v>#VALUE!</v>
      </c>
      <c r="S310" s="106" t="e">
        <f t="shared" si="152"/>
        <v>#VALUE!</v>
      </c>
      <c r="T310" s="106" t="e">
        <f t="shared" si="152"/>
        <v>#VALUE!</v>
      </c>
      <c r="U310" s="106" t="e">
        <f t="shared" si="152"/>
        <v>#VALUE!</v>
      </c>
      <c r="V310" s="106" t="e">
        <f t="shared" si="152"/>
        <v>#VALUE!</v>
      </c>
      <c r="W310" s="106" t="e">
        <f t="shared" si="152"/>
        <v>#VALUE!</v>
      </c>
      <c r="X310" s="106" t="e">
        <f t="shared" si="152"/>
        <v>#VALUE!</v>
      </c>
      <c r="Y310" s="106" t="e">
        <f t="shared" si="152"/>
        <v>#VALUE!</v>
      </c>
      <c r="Z310" s="106" t="e">
        <f t="shared" si="152"/>
        <v>#VALUE!</v>
      </c>
      <c r="AA310" s="106" t="e">
        <f t="shared" si="152"/>
        <v>#VALUE!</v>
      </c>
      <c r="AB310" s="106" t="e">
        <f>SUM(AB300:AB309)*IF(DASH!#REF!="yes",1,0)</f>
        <v>#VALUE!</v>
      </c>
    </row>
    <row r="311" spans="1:28" hidden="1" x14ac:dyDescent="0.25">
      <c r="E311" s="47" t="s">
        <v>732</v>
      </c>
      <c r="F311" s="47" t="s">
        <v>639</v>
      </c>
      <c r="G311" s="106" t="e">
        <f>NPV($G$15,H310:AQ310)+G310</f>
        <v>#VALUE!</v>
      </c>
    </row>
    <row r="312" spans="1:28" hidden="1" x14ac:dyDescent="0.25"/>
    <row r="313" spans="1:28" hidden="1" x14ac:dyDescent="0.25">
      <c r="E313" s="47" t="s">
        <v>725</v>
      </c>
      <c r="F313" s="47" t="s">
        <v>639</v>
      </c>
      <c r="G313" s="106" t="e">
        <f t="shared" ref="G313:AA313" si="153">G285</f>
        <v>#VALUE!</v>
      </c>
      <c r="H313" s="106" t="e">
        <f t="shared" si="153"/>
        <v>#VALUE!</v>
      </c>
      <c r="I313" s="106" t="e">
        <f t="shared" si="153"/>
        <v>#VALUE!</v>
      </c>
      <c r="J313" s="106" t="e">
        <f t="shared" si="153"/>
        <v>#VALUE!</v>
      </c>
      <c r="K313" s="106" t="e">
        <f t="shared" si="153"/>
        <v>#VALUE!</v>
      </c>
      <c r="L313" s="106" t="e">
        <f t="shared" si="153"/>
        <v>#VALUE!</v>
      </c>
      <c r="M313" s="106" t="e">
        <f t="shared" si="153"/>
        <v>#VALUE!</v>
      </c>
      <c r="N313" s="106" t="e">
        <f t="shared" si="153"/>
        <v>#VALUE!</v>
      </c>
      <c r="O313" s="106" t="e">
        <f t="shared" si="153"/>
        <v>#VALUE!</v>
      </c>
      <c r="P313" s="106" t="e">
        <f t="shared" si="153"/>
        <v>#VALUE!</v>
      </c>
      <c r="Q313" s="106" t="e">
        <f t="shared" si="153"/>
        <v>#VALUE!</v>
      </c>
      <c r="R313" s="106" t="e">
        <f t="shared" si="153"/>
        <v>#VALUE!</v>
      </c>
      <c r="S313" s="106" t="e">
        <f t="shared" si="153"/>
        <v>#VALUE!</v>
      </c>
      <c r="T313" s="106" t="e">
        <f t="shared" si="153"/>
        <v>#VALUE!</v>
      </c>
      <c r="U313" s="106" t="e">
        <f t="shared" si="153"/>
        <v>#VALUE!</v>
      </c>
      <c r="V313" s="106" t="e">
        <f t="shared" si="153"/>
        <v>#VALUE!</v>
      </c>
      <c r="W313" s="106" t="e">
        <f t="shared" si="153"/>
        <v>#VALUE!</v>
      </c>
      <c r="X313" s="106" t="e">
        <f t="shared" si="153"/>
        <v>#VALUE!</v>
      </c>
      <c r="Y313" s="106" t="e">
        <f t="shared" si="153"/>
        <v>#VALUE!</v>
      </c>
      <c r="Z313" s="106" t="e">
        <f t="shared" si="153"/>
        <v>#VALUE!</v>
      </c>
      <c r="AA313" s="106" t="e">
        <f t="shared" si="153"/>
        <v>#VALUE!</v>
      </c>
    </row>
    <row r="314" spans="1:28" hidden="1" x14ac:dyDescent="0.25">
      <c r="E314" s="47" t="s">
        <v>733</v>
      </c>
      <c r="F314" s="47" t="s">
        <v>639</v>
      </c>
      <c r="G314" s="106" t="e">
        <f>NPV($G$15,H313:AP313)+G313</f>
        <v>#VALUE!</v>
      </c>
    </row>
    <row r="315" spans="1:28" hidden="1" x14ac:dyDescent="0.25">
      <c r="E315" s="111" t="s">
        <v>734</v>
      </c>
      <c r="F315" s="111"/>
      <c r="G315" s="118" t="e">
        <f>IF(G311&gt;0,"N/A",IF(ABS(G311+G314)&gt;1,"Error","OK"))</f>
        <v>#VALUE!</v>
      </c>
    </row>
    <row r="316" spans="1:28" hidden="1" x14ac:dyDescent="0.25"/>
    <row r="318" spans="1:28" x14ac:dyDescent="0.25">
      <c r="C318" s="100" t="s">
        <v>740</v>
      </c>
    </row>
    <row r="319" spans="1:28" x14ac:dyDescent="0.25">
      <c r="E319" s="47" t="s">
        <v>741</v>
      </c>
      <c r="F319" s="47" t="s">
        <v>742</v>
      </c>
    </row>
    <row r="320" spans="1:28" x14ac:dyDescent="0.25">
      <c r="A320" s="101">
        <v>55</v>
      </c>
      <c r="E320" s="119" t="s">
        <v>301</v>
      </c>
      <c r="F320" s="119" t="s">
        <v>743</v>
      </c>
    </row>
    <row r="321" spans="5:6" x14ac:dyDescent="0.25">
      <c r="E321" s="119" t="s">
        <v>303</v>
      </c>
      <c r="F321" s="119" t="s">
        <v>744</v>
      </c>
    </row>
    <row r="322" spans="5:6" x14ac:dyDescent="0.25">
      <c r="E322" s="119" t="s">
        <v>310</v>
      </c>
      <c r="F322" s="119" t="s">
        <v>745</v>
      </c>
    </row>
    <row r="323" spans="5:6" x14ac:dyDescent="0.25">
      <c r="E323" s="119" t="s">
        <v>305</v>
      </c>
      <c r="F323" s="119" t="s">
        <v>746</v>
      </c>
    </row>
  </sheetData>
  <mergeCells count="1">
    <mergeCell ref="G4:H4"/>
  </mergeCells>
  <dataValidations disablePrompts="1" count="1">
    <dataValidation type="list" showInputMessage="1" showErrorMessage="1" sqref="G4:H4" xr:uid="{2A9ADCD7-4C2F-46EE-8169-3D920A5BBF05}">
      <formula1>$E$320:$E$323</formula1>
    </dataValidation>
  </dataValidations>
  <pageMargins left="0.75" right="0.75" top="1" bottom="1" header="0.5" footer="0.5"/>
  <pageSetup paperSize="9"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03A0B-7501-4799-8B1D-EDD7C1505068}">
  <sheetPr codeName="Sheet38">
    <tabColor rgb="FF8EA9DB"/>
  </sheetPr>
  <dimension ref="A1:AN323"/>
  <sheetViews>
    <sheetView zoomScaleNormal="100" workbookViewId="0">
      <pane xSplit="5" ySplit="2" topLeftCell="F210" activePane="bottomRight" state="frozenSplit"/>
      <selection pane="topRight" activeCell="H187" sqref="H187"/>
      <selection pane="bottomLeft" activeCell="H187" sqref="H187"/>
      <selection pane="bottomRight" activeCell="G218" sqref="G218"/>
    </sheetView>
  </sheetViews>
  <sheetFormatPr defaultColWidth="14" defaultRowHeight="15.75" x14ac:dyDescent="0.25"/>
  <cols>
    <col min="1" max="1" width="12.83203125" style="101" customWidth="1"/>
    <col min="2" max="2" width="3.83203125" style="47" customWidth="1"/>
    <col min="3" max="3" width="4.33203125" style="47" customWidth="1"/>
    <col min="4" max="4" width="3.6640625" style="47" customWidth="1"/>
    <col min="5" max="5" width="46.5" style="47" bestFit="1" customWidth="1"/>
    <col min="6" max="6" width="22.33203125" style="47" customWidth="1"/>
    <col min="7" max="7" width="16.5" style="47" customWidth="1"/>
    <col min="8" max="27" width="17" style="47" bestFit="1" customWidth="1"/>
    <col min="28" max="28" width="18.33203125" style="47" bestFit="1" customWidth="1"/>
    <col min="29" max="16384" width="14" style="47"/>
  </cols>
  <sheetData>
    <row r="1" spans="1:27" ht="28.5" x14ac:dyDescent="0.45">
      <c r="A1" s="95" t="str" cm="1">
        <f t="array" ref="A1">RIGHT(CELL("filename",A1),LEN(CELL("filename",A1))-SEARCH("]",CELL("filename",A1)))</f>
        <v>SS</v>
      </c>
      <c r="E1" s="96" t="str">
        <f>INDEX(TariffName,MATCH(A1,TariffCode,0))</f>
        <v>Standard - Sewer</v>
      </c>
      <c r="F1" s="97">
        <f>G218</f>
        <v>2862.742242168064</v>
      </c>
      <c r="G1" s="98" t="str">
        <f>'INPUT Opex'!AC7</f>
        <v>2023-24</v>
      </c>
      <c r="H1" s="98" t="str">
        <f>'INPUT Opex'!AD7</f>
        <v>2024-25</v>
      </c>
      <c r="I1" s="98" t="str">
        <f>'INPUT Opex'!AE7</f>
        <v>2025-26</v>
      </c>
      <c r="J1" s="98" t="str">
        <f>'INPUT Opex'!AF7</f>
        <v>2026-27</v>
      </c>
      <c r="K1" s="98" t="str">
        <f>'INPUT Opex'!AG7</f>
        <v>2027-28</v>
      </c>
      <c r="L1" s="98" t="str">
        <f>'INPUT Opex'!AH7</f>
        <v>2028-29</v>
      </c>
      <c r="M1" s="98" t="str">
        <f>'INPUT Opex'!AI7</f>
        <v>2029-30</v>
      </c>
      <c r="N1" s="98" t="str">
        <f>'INPUT Opex'!AJ7</f>
        <v>2030-31</v>
      </c>
      <c r="O1" s="98" t="str">
        <f>'INPUT Opex'!AK7</f>
        <v>2031-32</v>
      </c>
      <c r="P1" s="98" t="str">
        <f>'INPUT Opex'!AL7</f>
        <v>2032-33</v>
      </c>
      <c r="Q1" s="98" t="str">
        <f>'INPUT Opex'!AM7</f>
        <v>2033-34</v>
      </c>
      <c r="R1" s="98" t="str">
        <f>'INPUT Opex'!AN7</f>
        <v>2034-35</v>
      </c>
      <c r="S1" s="98" t="str">
        <f>'INPUT Opex'!AO7</f>
        <v>2035-36</v>
      </c>
      <c r="T1" s="98" t="str">
        <f>'INPUT Opex'!AP7</f>
        <v>2036-37</v>
      </c>
      <c r="U1" s="98" t="str">
        <f>'INPUT Opex'!AQ7</f>
        <v>2037-38</v>
      </c>
      <c r="V1" s="98" t="str">
        <f>'INPUT Opex'!AR7</f>
        <v>2038-39</v>
      </c>
      <c r="W1" s="98" t="str">
        <f>'INPUT Opex'!AS7</f>
        <v>2039-40</v>
      </c>
      <c r="X1" s="98" t="str">
        <f>'INPUT Opex'!AT7</f>
        <v>2040-41</v>
      </c>
      <c r="Y1" s="98" t="str">
        <f>'INPUT Opex'!AU7</f>
        <v>2041-42</v>
      </c>
      <c r="Z1" s="98" t="str">
        <f>'INPUT Opex'!AV7</f>
        <v>2042-43</v>
      </c>
      <c r="AA1" s="98" t="str">
        <f>'INPUT Opex'!AW7</f>
        <v>2043-44</v>
      </c>
    </row>
    <row r="2" spans="1:27" x14ac:dyDescent="0.25">
      <c r="A2" s="99"/>
      <c r="C2" s="100" t="s">
        <v>625</v>
      </c>
      <c r="D2" s="100"/>
      <c r="F2" s="97"/>
      <c r="G2" s="47">
        <v>0</v>
      </c>
      <c r="H2" s="47">
        <v>1</v>
      </c>
      <c r="I2" s="47">
        <v>2</v>
      </c>
      <c r="J2" s="47">
        <v>3</v>
      </c>
      <c r="K2" s="47">
        <v>4</v>
      </c>
      <c r="L2" s="47">
        <v>5</v>
      </c>
      <c r="M2" s="47">
        <v>6</v>
      </c>
      <c r="N2" s="47">
        <v>7</v>
      </c>
      <c r="O2" s="47">
        <v>8</v>
      </c>
      <c r="P2" s="47">
        <v>9</v>
      </c>
      <c r="Q2" s="47">
        <v>10</v>
      </c>
      <c r="R2" s="47">
        <v>11</v>
      </c>
      <c r="S2" s="47">
        <v>12</v>
      </c>
      <c r="T2" s="47">
        <v>13</v>
      </c>
      <c r="U2" s="47">
        <v>14</v>
      </c>
      <c r="V2" s="47">
        <v>15</v>
      </c>
      <c r="W2" s="47">
        <v>16</v>
      </c>
      <c r="X2" s="47">
        <v>17</v>
      </c>
      <c r="Y2" s="47">
        <v>18</v>
      </c>
      <c r="Z2" s="47">
        <v>19</v>
      </c>
      <c r="AA2" s="47">
        <v>20</v>
      </c>
    </row>
    <row r="4" spans="1:27" x14ac:dyDescent="0.25">
      <c r="A4" s="101">
        <v>1</v>
      </c>
      <c r="C4" s="100" t="s">
        <v>626</v>
      </c>
      <c r="F4" s="47" t="s">
        <v>627</v>
      </c>
      <c r="G4" s="310" t="str">
        <f>INDEX(TariffProduct,MATCH(A1,TariffCode,0))</f>
        <v>Sewer</v>
      </c>
      <c r="H4" s="310"/>
    </row>
    <row r="6" spans="1:27" x14ac:dyDescent="0.25">
      <c r="C6" s="100" t="s">
        <v>628</v>
      </c>
    </row>
    <row r="7" spans="1:27" x14ac:dyDescent="0.25">
      <c r="A7" s="101">
        <v>2</v>
      </c>
      <c r="E7" s="102" t="s">
        <v>616</v>
      </c>
      <c r="F7" s="47" t="s">
        <v>629</v>
      </c>
      <c r="G7" s="102">
        <f>Assumptions!H23</f>
        <v>90</v>
      </c>
    </row>
    <row r="8" spans="1:27" x14ac:dyDescent="0.25">
      <c r="A8" s="101">
        <v>3</v>
      </c>
      <c r="E8" s="102" t="s">
        <v>617</v>
      </c>
      <c r="F8" s="47" t="s">
        <v>629</v>
      </c>
      <c r="G8" s="102">
        <f>Assumptions!H24</f>
        <v>30</v>
      </c>
    </row>
    <row r="9" spans="1:27" x14ac:dyDescent="0.25">
      <c r="A9" s="101">
        <v>4</v>
      </c>
      <c r="E9" s="102" t="s">
        <v>144</v>
      </c>
      <c r="F9" s="47" t="s">
        <v>629</v>
      </c>
      <c r="G9" s="102">
        <f>Assumptions!H25</f>
        <v>80</v>
      </c>
    </row>
    <row r="10" spans="1:27" x14ac:dyDescent="0.25">
      <c r="A10" s="101">
        <v>5</v>
      </c>
      <c r="E10" s="47" t="s">
        <v>630</v>
      </c>
      <c r="F10" s="47" t="s">
        <v>629</v>
      </c>
      <c r="G10" s="102">
        <f>Assumptions!H26</f>
        <v>5</v>
      </c>
    </row>
    <row r="13" spans="1:27" x14ac:dyDescent="0.25">
      <c r="C13" s="100" t="s">
        <v>631</v>
      </c>
    </row>
    <row r="14" spans="1:27" x14ac:dyDescent="0.25">
      <c r="A14" s="101">
        <v>6</v>
      </c>
      <c r="E14" s="47" t="s">
        <v>632</v>
      </c>
      <c r="F14" s="47" t="s">
        <v>633</v>
      </c>
      <c r="G14" s="103">
        <f>Assumptions!H16</f>
        <v>0</v>
      </c>
    </row>
    <row r="15" spans="1:27" x14ac:dyDescent="0.25">
      <c r="A15" s="101">
        <v>7</v>
      </c>
      <c r="E15" s="47" t="s">
        <v>634</v>
      </c>
      <c r="F15" s="47" t="s">
        <v>633</v>
      </c>
      <c r="G15" s="103">
        <f>'INPUT Reg'!AD20</f>
        <v>2.41E-2</v>
      </c>
    </row>
    <row r="16" spans="1:27" x14ac:dyDescent="0.25">
      <c r="E16" s="47" t="s">
        <v>635</v>
      </c>
      <c r="F16" s="47" t="s">
        <v>633</v>
      </c>
      <c r="G16" s="104">
        <f>(1+G15)/(1+G14)-1</f>
        <v>2.410000000000001E-2</v>
      </c>
    </row>
    <row r="17" spans="1:27" x14ac:dyDescent="0.25">
      <c r="E17" s="47" t="s">
        <v>636</v>
      </c>
      <c r="F17" s="47" t="s">
        <v>633</v>
      </c>
      <c r="G17" s="105">
        <f>'INPUT Reg'!E22</f>
        <v>0.5</v>
      </c>
    </row>
    <row r="18" spans="1:27" x14ac:dyDescent="0.25">
      <c r="A18" s="101">
        <v>9</v>
      </c>
      <c r="E18" s="47" t="s">
        <v>637</v>
      </c>
      <c r="F18" s="47" t="s">
        <v>633</v>
      </c>
      <c r="G18" s="105">
        <f>'INPUT Reg'!E23</f>
        <v>0.3</v>
      </c>
      <c r="H18" s="105">
        <f>G18</f>
        <v>0.3</v>
      </c>
      <c r="I18" s="105">
        <f t="shared" ref="I18:AA18" si="0">H18</f>
        <v>0.3</v>
      </c>
      <c r="J18" s="105">
        <f t="shared" si="0"/>
        <v>0.3</v>
      </c>
      <c r="K18" s="105">
        <f t="shared" si="0"/>
        <v>0.3</v>
      </c>
      <c r="L18" s="105">
        <f t="shared" si="0"/>
        <v>0.3</v>
      </c>
      <c r="M18" s="105">
        <f t="shared" si="0"/>
        <v>0.3</v>
      </c>
      <c r="N18" s="105">
        <f t="shared" si="0"/>
        <v>0.3</v>
      </c>
      <c r="O18" s="105">
        <f t="shared" si="0"/>
        <v>0.3</v>
      </c>
      <c r="P18" s="105">
        <f t="shared" si="0"/>
        <v>0.3</v>
      </c>
      <c r="Q18" s="105">
        <f t="shared" si="0"/>
        <v>0.3</v>
      </c>
      <c r="R18" s="105">
        <f t="shared" si="0"/>
        <v>0.3</v>
      </c>
      <c r="S18" s="105">
        <f t="shared" si="0"/>
        <v>0.3</v>
      </c>
      <c r="T18" s="105">
        <f t="shared" si="0"/>
        <v>0.3</v>
      </c>
      <c r="U18" s="105">
        <f t="shared" si="0"/>
        <v>0.3</v>
      </c>
      <c r="V18" s="105">
        <f t="shared" si="0"/>
        <v>0.3</v>
      </c>
      <c r="W18" s="105">
        <f t="shared" si="0"/>
        <v>0.3</v>
      </c>
      <c r="X18" s="105">
        <f t="shared" si="0"/>
        <v>0.3</v>
      </c>
      <c r="Y18" s="105">
        <f t="shared" si="0"/>
        <v>0.3</v>
      </c>
      <c r="Z18" s="105">
        <f t="shared" si="0"/>
        <v>0.3</v>
      </c>
      <c r="AA18" s="105">
        <f t="shared" si="0"/>
        <v>0.3</v>
      </c>
    </row>
    <row r="20" spans="1:27" x14ac:dyDescent="0.25">
      <c r="A20" s="101">
        <v>10</v>
      </c>
      <c r="C20" s="100" t="s">
        <v>638</v>
      </c>
      <c r="D20" s="100"/>
    </row>
    <row r="21" spans="1:27" x14ac:dyDescent="0.25">
      <c r="E21" s="106" t="str">
        <f>E7</f>
        <v>Pipes / Storage</v>
      </c>
      <c r="F21" s="47" t="s">
        <v>639</v>
      </c>
      <c r="G21" s="102">
        <f>(SUMIFS('INPUT Capex'!AC$236:AC$255,'INPUT Capex'!$A$236:$A$255,$A$1,'INPUT Capex'!$G$236:$G$255,$E21)+SUMIFS('INPUT Capex'!AC$211:AC$228,'INPUT Capex'!$A$211:$A$228,$A$1,'INPUT Capex'!$G$211:$G$228,$E21))*IF(G$2=0,DASH!$E$8,1)</f>
        <v>0</v>
      </c>
      <c r="H21" s="102">
        <f>(SUMIFS('INPUT Capex'!AD$236:AD$255,'INPUT Capex'!$A$236:$A$255,$A$1,'INPUT Capex'!$G$236:$G$255,$E21)+SUMIFS('INPUT Capex'!AD$211:AD$228,'INPUT Capex'!$A$211:$A$228,$A$1,'INPUT Capex'!$G$211:$G$228,$E21))*IF(H$2=0,DASH!$E$8,1)</f>
        <v>12731429.369329864</v>
      </c>
      <c r="I21" s="102">
        <f>(SUMIFS('INPUT Capex'!AE$236:AE$255,'INPUT Capex'!$A$236:$A$255,$A$1,'INPUT Capex'!$G$236:$G$255,$E21)+SUMIFS('INPUT Capex'!AE$211:AE$228,'INPUT Capex'!$A$211:$A$228,$A$1,'INPUT Capex'!$G$211:$G$228,$E21))*IF(I$2=0,DASH!$E$8,1)</f>
        <v>17947468.212795883</v>
      </c>
      <c r="J21" s="102">
        <f>(SUMIFS('INPUT Capex'!AF$236:AF$255,'INPUT Capex'!$A$236:$A$255,$A$1,'INPUT Capex'!$G$236:$G$255,$E21)+SUMIFS('INPUT Capex'!AF$211:AF$228,'INPUT Capex'!$A$211:$A$228,$A$1,'INPUT Capex'!$G$211:$G$228,$E21))*IF(J$2=0,DASH!$E$8,1)</f>
        <v>34263903.563885406</v>
      </c>
      <c r="K21" s="102">
        <f>(SUMIFS('INPUT Capex'!AG$236:AG$255,'INPUT Capex'!$A$236:$A$255,$A$1,'INPUT Capex'!$G$236:$G$255,$E21)+SUMIFS('INPUT Capex'!AG$211:AG$228,'INPUT Capex'!$A$211:$A$228,$A$1,'INPUT Capex'!$G$211:$G$228,$E21))*IF(K$2=0,DASH!$E$8,1)</f>
        <v>39788691.9161219</v>
      </c>
      <c r="L21" s="102">
        <f>(SUMIFS('INPUT Capex'!AH$236:AH$255,'INPUT Capex'!$A$236:$A$255,$A$1,'INPUT Capex'!$G$236:$G$255,$E21)+SUMIFS('INPUT Capex'!AH$211:AH$228,'INPUT Capex'!$A$211:$A$228,$A$1,'INPUT Capex'!$G$211:$G$228,$E21))*IF(L$2=0,DASH!$E$8,1)</f>
        <v>45894101.452784292</v>
      </c>
      <c r="M21" s="102">
        <f>(SUMIFS('INPUT Capex'!AI$236:AI$255,'INPUT Capex'!$A$236:$A$255,$A$1,'INPUT Capex'!$G$236:$G$255,$E21)+SUMIFS('INPUT Capex'!AI$211:AI$228,'INPUT Capex'!$A$211:$A$228,$A$1,'INPUT Capex'!$G$211:$G$228,$E21))*IF(M$2=0,DASH!$E$8,1)</f>
        <v>42083055.447941698</v>
      </c>
      <c r="N21" s="102">
        <f>(SUMIFS('INPUT Capex'!AJ$236:AJ$255,'INPUT Capex'!$A$236:$A$255,$A$1,'INPUT Capex'!$G$236:$G$255,$E21)+SUMIFS('INPUT Capex'!AJ$211:AJ$228,'INPUT Capex'!$A$211:$A$228,$A$1,'INPUT Capex'!$G$211:$G$228,$E21))*IF(N$2=0,DASH!$E$8,1)</f>
        <v>41623129.297820635</v>
      </c>
      <c r="O21" s="102">
        <f>(SUMIFS('INPUT Capex'!AK$236:AK$255,'INPUT Capex'!$A$236:$A$255,$A$1,'INPUT Capex'!$G$236:$G$255,$E21)+SUMIFS('INPUT Capex'!AK$211:AK$228,'INPUT Capex'!$A$211:$A$228,$A$1,'INPUT Capex'!$G$211:$G$228,$E21))*IF(O$2=0,DASH!$E$8,1)</f>
        <v>49236552.542372659</v>
      </c>
      <c r="P21" s="102">
        <f>(SUMIFS('INPUT Capex'!AL$236:AL$255,'INPUT Capex'!$A$236:$A$255,$A$1,'INPUT Capex'!$G$236:$G$255,$E21)+SUMIFS('INPUT Capex'!AL$211:AL$228,'INPUT Capex'!$A$211:$A$228,$A$1,'INPUT Capex'!$G$211:$G$228,$E21))*IF(P$2=0,DASH!$E$8,1)</f>
        <v>37654499.824437983</v>
      </c>
      <c r="Q21" s="102">
        <f>(SUMIFS('INPUT Capex'!AM$236:AM$255,'INPUT Capex'!$A$236:$A$255,$A$1,'INPUT Capex'!$G$236:$G$255,$E21)+SUMIFS('INPUT Capex'!AM$211:AM$228,'INPUT Capex'!$A$211:$A$228,$A$1,'INPUT Capex'!$G$211:$G$228,$E21))*IF(Q$2=0,DASH!$E$8,1)</f>
        <v>43298267.713071443</v>
      </c>
      <c r="R21" s="102">
        <f>(SUMIFS('INPUT Capex'!AN$236:AN$255,'INPUT Capex'!$A$236:$A$255,$A$1,'INPUT Capex'!$G$236:$G$255,$E21)+SUMIFS('INPUT Capex'!AN$211:AN$228,'INPUT Capex'!$A$211:$A$228,$A$1,'INPUT Capex'!$G$211:$G$228,$E21))*IF(R$2=0,DASH!$E$8,1)</f>
        <v>43298267.713071443</v>
      </c>
      <c r="S21" s="102">
        <f>(SUMIFS('INPUT Capex'!AO$236:AO$255,'INPUT Capex'!$A$236:$A$255,$A$1,'INPUT Capex'!$G$236:$G$255,$E21)+SUMIFS('INPUT Capex'!AO$211:AO$228,'INPUT Capex'!$A$211:$A$228,$A$1,'INPUT Capex'!$G$211:$G$228,$E21))*IF(S$2=0,DASH!$E$8,1)</f>
        <v>43298267.713071443</v>
      </c>
      <c r="T21" s="102">
        <f>(SUMIFS('INPUT Capex'!AP$236:AP$255,'INPUT Capex'!$A$236:$A$255,$A$1,'INPUT Capex'!$G$236:$G$255,$E21)+SUMIFS('INPUT Capex'!AP$211:AP$228,'INPUT Capex'!$A$211:$A$228,$A$1,'INPUT Capex'!$G$211:$G$228,$E21))*IF(T$2=0,DASH!$E$8,1)</f>
        <v>43298267.713071443</v>
      </c>
      <c r="U21" s="102">
        <f>(SUMIFS('INPUT Capex'!AQ$236:AQ$255,'INPUT Capex'!$A$236:$A$255,$A$1,'INPUT Capex'!$G$236:$G$255,$E21)+SUMIFS('INPUT Capex'!AQ$211:AQ$228,'INPUT Capex'!$A$211:$A$228,$A$1,'INPUT Capex'!$G$211:$G$228,$E21))*IF(U$2=0,DASH!$E$8,1)</f>
        <v>43298267.713071443</v>
      </c>
      <c r="V21" s="102">
        <f>(SUMIFS('INPUT Capex'!AR$236:AR$255,'INPUT Capex'!$A$236:$A$255,$A$1,'INPUT Capex'!$G$236:$G$255,$E21)+SUMIFS('INPUT Capex'!AR$211:AR$228,'INPUT Capex'!$A$211:$A$228,$A$1,'INPUT Capex'!$G$211:$G$228,$E21))*IF(V$2=0,DASH!$E$8,1)</f>
        <v>43298267.713071443</v>
      </c>
      <c r="W21" s="102">
        <f>(SUMIFS('INPUT Capex'!AS$236:AS$255,'INPUT Capex'!$A$236:$A$255,$A$1,'INPUT Capex'!$G$236:$G$255,$E21)+SUMIFS('INPUT Capex'!AS$211:AS$228,'INPUT Capex'!$A$211:$A$228,$A$1,'INPUT Capex'!$G$211:$G$228,$E21))*IF(W$2=0,DASH!$E$8,1)</f>
        <v>43298267.713071443</v>
      </c>
      <c r="X21" s="102">
        <f>(SUMIFS('INPUT Capex'!AT$236:AT$255,'INPUT Capex'!$A$236:$A$255,$A$1,'INPUT Capex'!$G$236:$G$255,$E21)+SUMIFS('INPUT Capex'!AT$211:AT$228,'INPUT Capex'!$A$211:$A$228,$A$1,'INPUT Capex'!$G$211:$G$228,$E21))*IF(X$2=0,DASH!$E$8,1)</f>
        <v>43298267.713071443</v>
      </c>
      <c r="Y21" s="102">
        <f>(SUMIFS('INPUT Capex'!AU$236:AU$255,'INPUT Capex'!$A$236:$A$255,$A$1,'INPUT Capex'!$G$236:$G$255,$E21)+SUMIFS('INPUT Capex'!AU$211:AU$228,'INPUT Capex'!$A$211:$A$228,$A$1,'INPUT Capex'!$G$211:$G$228,$E21))*IF(Y$2=0,DASH!$E$8,1)</f>
        <v>43298267.713071443</v>
      </c>
      <c r="Z21" s="102">
        <f>(SUMIFS('INPUT Capex'!AV$236:AV$255,'INPUT Capex'!$A$236:$A$255,$A$1,'INPUT Capex'!$G$236:$G$255,$E21)+SUMIFS('INPUT Capex'!AV$211:AV$228,'INPUT Capex'!$A$211:$A$228,$A$1,'INPUT Capex'!$G$211:$G$228,$E21))*IF(Z$2=0,DASH!$E$8,1)</f>
        <v>43298267.713071443</v>
      </c>
      <c r="AA21" s="102">
        <f>(SUMIFS('INPUT Capex'!AW$236:AW$255,'INPUT Capex'!$A$236:$A$255,$A$1,'INPUT Capex'!$G$236:$G$255,$E21)+SUMIFS('INPUT Capex'!AW$211:AW$228,'INPUT Capex'!$A$211:$A$228,$A$1,'INPUT Capex'!$G$211:$G$228,$E21))*IF(AA$2=0,DASH!$E$8,1)</f>
        <v>43298267.713071443</v>
      </c>
    </row>
    <row r="22" spans="1:27" x14ac:dyDescent="0.25">
      <c r="E22" s="106" t="str">
        <f>E8</f>
        <v>Pumps / Valves</v>
      </c>
      <c r="F22" s="47" t="s">
        <v>639</v>
      </c>
      <c r="G22" s="102">
        <f>(SUMIFS('INPUT Capex'!AC$236:AC$255,'INPUT Capex'!$A$236:$A$255,$A$1,'INPUT Capex'!$G$236:$G$255,$E22)+SUMIFS('INPUT Capex'!AC$211:AC$228,'INPUT Capex'!$A$211:$A$228,$A$1,'INPUT Capex'!$G$211:$G$228,$E22))*IF(G$2=0,DASH!$E$8,1)</f>
        <v>0</v>
      </c>
      <c r="H22" s="102">
        <f>(SUMIFS('INPUT Capex'!AD$236:AD$255,'INPUT Capex'!$A$236:$A$255,$A$1,'INPUT Capex'!$G$236:$G$255,$E22)+SUMIFS('INPUT Capex'!AD$211:AD$228,'INPUT Capex'!$A$211:$A$228,$A$1,'INPUT Capex'!$G$211:$G$228,$E22))*IF(H$2=0,DASH!$E$8,1)</f>
        <v>0</v>
      </c>
      <c r="I22" s="102">
        <f>(SUMIFS('INPUT Capex'!AE$236:AE$255,'INPUT Capex'!$A$236:$A$255,$A$1,'INPUT Capex'!$G$236:$G$255,$E22)+SUMIFS('INPUT Capex'!AE$211:AE$228,'INPUT Capex'!$A$211:$A$228,$A$1,'INPUT Capex'!$G$211:$G$228,$E22))*IF(I$2=0,DASH!$E$8,1)</f>
        <v>0</v>
      </c>
      <c r="J22" s="102">
        <f>(SUMIFS('INPUT Capex'!AF$236:AF$255,'INPUT Capex'!$A$236:$A$255,$A$1,'INPUT Capex'!$G$236:$G$255,$E22)+SUMIFS('INPUT Capex'!AF$211:AF$228,'INPUT Capex'!$A$211:$A$228,$A$1,'INPUT Capex'!$G$211:$G$228,$E22))*IF(J$2=0,DASH!$E$8,1)</f>
        <v>0</v>
      </c>
      <c r="K22" s="102">
        <f>(SUMIFS('INPUT Capex'!AG$236:AG$255,'INPUT Capex'!$A$236:$A$255,$A$1,'INPUT Capex'!$G$236:$G$255,$E22)+SUMIFS('INPUT Capex'!AG$211:AG$228,'INPUT Capex'!$A$211:$A$228,$A$1,'INPUT Capex'!$G$211:$G$228,$E22))*IF(K$2=0,DASH!$E$8,1)</f>
        <v>0</v>
      </c>
      <c r="L22" s="102">
        <f>(SUMIFS('INPUT Capex'!AH$236:AH$255,'INPUT Capex'!$A$236:$A$255,$A$1,'INPUT Capex'!$G$236:$G$255,$E22)+SUMIFS('INPUT Capex'!AH$211:AH$228,'INPUT Capex'!$A$211:$A$228,$A$1,'INPUT Capex'!$G$211:$G$228,$E22))*IF(L$2=0,DASH!$E$8,1)</f>
        <v>0</v>
      </c>
      <c r="M22" s="102">
        <f>(SUMIFS('INPUT Capex'!AI$236:AI$255,'INPUT Capex'!$A$236:$A$255,$A$1,'INPUT Capex'!$G$236:$G$255,$E22)+SUMIFS('INPUT Capex'!AI$211:AI$228,'INPUT Capex'!$A$211:$A$228,$A$1,'INPUT Capex'!$G$211:$G$228,$E22))*IF(M$2=0,DASH!$E$8,1)</f>
        <v>0</v>
      </c>
      <c r="N22" s="102">
        <f>(SUMIFS('INPUT Capex'!AJ$236:AJ$255,'INPUT Capex'!$A$236:$A$255,$A$1,'INPUT Capex'!$G$236:$G$255,$E22)+SUMIFS('INPUT Capex'!AJ$211:AJ$228,'INPUT Capex'!$A$211:$A$228,$A$1,'INPUT Capex'!$G$211:$G$228,$E22))*IF(N$2=0,DASH!$E$8,1)</f>
        <v>0</v>
      </c>
      <c r="O22" s="102">
        <f>(SUMIFS('INPUT Capex'!AK$236:AK$255,'INPUT Capex'!$A$236:$A$255,$A$1,'INPUT Capex'!$G$236:$G$255,$E22)+SUMIFS('INPUT Capex'!AK$211:AK$228,'INPUT Capex'!$A$211:$A$228,$A$1,'INPUT Capex'!$G$211:$G$228,$E22))*IF(O$2=0,DASH!$E$8,1)</f>
        <v>0</v>
      </c>
      <c r="P22" s="102">
        <f>(SUMIFS('INPUT Capex'!AL$236:AL$255,'INPUT Capex'!$A$236:$A$255,$A$1,'INPUT Capex'!$G$236:$G$255,$E22)+SUMIFS('INPUT Capex'!AL$211:AL$228,'INPUT Capex'!$A$211:$A$228,$A$1,'INPUT Capex'!$G$211:$G$228,$E22))*IF(P$2=0,DASH!$E$8,1)</f>
        <v>0</v>
      </c>
      <c r="Q22" s="102">
        <f>(SUMIFS('INPUT Capex'!AM$236:AM$255,'INPUT Capex'!$A$236:$A$255,$A$1,'INPUT Capex'!$G$236:$G$255,$E22)+SUMIFS('INPUT Capex'!AM$211:AM$228,'INPUT Capex'!$A$211:$A$228,$A$1,'INPUT Capex'!$G$211:$G$228,$E22))*IF(Q$2=0,DASH!$E$8,1)</f>
        <v>0</v>
      </c>
      <c r="R22" s="102">
        <f>(SUMIFS('INPUT Capex'!AN$236:AN$255,'INPUT Capex'!$A$236:$A$255,$A$1,'INPUT Capex'!$G$236:$G$255,$E22)+SUMIFS('INPUT Capex'!AN$211:AN$228,'INPUT Capex'!$A$211:$A$228,$A$1,'INPUT Capex'!$G$211:$G$228,$E22))*IF(R$2=0,DASH!$E$8,1)</f>
        <v>0</v>
      </c>
      <c r="S22" s="102">
        <f>(SUMIFS('INPUT Capex'!AO$236:AO$255,'INPUT Capex'!$A$236:$A$255,$A$1,'INPUT Capex'!$G$236:$G$255,$E22)+SUMIFS('INPUT Capex'!AO$211:AO$228,'INPUT Capex'!$A$211:$A$228,$A$1,'INPUT Capex'!$G$211:$G$228,$E22))*IF(S$2=0,DASH!$E$8,1)</f>
        <v>0</v>
      </c>
      <c r="T22" s="102">
        <f>(SUMIFS('INPUT Capex'!AP$236:AP$255,'INPUT Capex'!$A$236:$A$255,$A$1,'INPUT Capex'!$G$236:$G$255,$E22)+SUMIFS('INPUT Capex'!AP$211:AP$228,'INPUT Capex'!$A$211:$A$228,$A$1,'INPUT Capex'!$G$211:$G$228,$E22))*IF(T$2=0,DASH!$E$8,1)</f>
        <v>0</v>
      </c>
      <c r="U22" s="102">
        <f>(SUMIFS('INPUT Capex'!AQ$236:AQ$255,'INPUT Capex'!$A$236:$A$255,$A$1,'INPUT Capex'!$G$236:$G$255,$E22)+SUMIFS('INPUT Capex'!AQ$211:AQ$228,'INPUT Capex'!$A$211:$A$228,$A$1,'INPUT Capex'!$G$211:$G$228,$E22))*IF(U$2=0,DASH!$E$8,1)</f>
        <v>0</v>
      </c>
      <c r="V22" s="102">
        <f>(SUMIFS('INPUT Capex'!AR$236:AR$255,'INPUT Capex'!$A$236:$A$255,$A$1,'INPUT Capex'!$G$236:$G$255,$E22)+SUMIFS('INPUT Capex'!AR$211:AR$228,'INPUT Capex'!$A$211:$A$228,$A$1,'INPUT Capex'!$G$211:$G$228,$E22))*IF(V$2=0,DASH!$E$8,1)</f>
        <v>0</v>
      </c>
      <c r="W22" s="102">
        <f>(SUMIFS('INPUT Capex'!AS$236:AS$255,'INPUT Capex'!$A$236:$A$255,$A$1,'INPUT Capex'!$G$236:$G$255,$E22)+SUMIFS('INPUT Capex'!AS$211:AS$228,'INPUT Capex'!$A$211:$A$228,$A$1,'INPUT Capex'!$G$211:$G$228,$E22))*IF(W$2=0,DASH!$E$8,1)</f>
        <v>0</v>
      </c>
      <c r="X22" s="102">
        <f>(SUMIFS('INPUT Capex'!AT$236:AT$255,'INPUT Capex'!$A$236:$A$255,$A$1,'INPUT Capex'!$G$236:$G$255,$E22)+SUMIFS('INPUT Capex'!AT$211:AT$228,'INPUT Capex'!$A$211:$A$228,$A$1,'INPUT Capex'!$G$211:$G$228,$E22))*IF(X$2=0,DASH!$E$8,1)</f>
        <v>0</v>
      </c>
      <c r="Y22" s="102">
        <f>(SUMIFS('INPUT Capex'!AU$236:AU$255,'INPUT Capex'!$A$236:$A$255,$A$1,'INPUT Capex'!$G$236:$G$255,$E22)+SUMIFS('INPUT Capex'!AU$211:AU$228,'INPUT Capex'!$A$211:$A$228,$A$1,'INPUT Capex'!$G$211:$G$228,$E22))*IF(Y$2=0,DASH!$E$8,1)</f>
        <v>0</v>
      </c>
      <c r="Z22" s="102">
        <f>(SUMIFS('INPUT Capex'!AV$236:AV$255,'INPUT Capex'!$A$236:$A$255,$A$1,'INPUT Capex'!$G$236:$G$255,$E22)+SUMIFS('INPUT Capex'!AV$211:AV$228,'INPUT Capex'!$A$211:$A$228,$A$1,'INPUT Capex'!$G$211:$G$228,$E22))*IF(Z$2=0,DASH!$E$8,1)</f>
        <v>0</v>
      </c>
      <c r="AA22" s="102">
        <f>(SUMIFS('INPUT Capex'!AW$236:AW$255,'INPUT Capex'!$A$236:$A$255,$A$1,'INPUT Capex'!$G$236:$G$255,$E22)+SUMIFS('INPUT Capex'!AW$211:AW$228,'INPUT Capex'!$A$211:$A$228,$A$1,'INPUT Capex'!$G$211:$G$228,$E22))*IF(AA$2=0,DASH!$E$8,1)</f>
        <v>0</v>
      </c>
    </row>
    <row r="23" spans="1:27" x14ac:dyDescent="0.25">
      <c r="E23" s="106" t="str">
        <f>E9</f>
        <v>Treatment</v>
      </c>
      <c r="F23" s="47" t="s">
        <v>639</v>
      </c>
      <c r="G23" s="102">
        <f>(SUMIFS('INPUT Capex'!AC$236:AC$255,'INPUT Capex'!$A$236:$A$255,$A$1,'INPUT Capex'!$G$236:$G$255,$E23)+SUMIFS('INPUT Capex'!AC$211:AC$228,'INPUT Capex'!$A$211:$A$228,$A$1,'INPUT Capex'!$G$211:$G$228,$E23))*IF(G$2=0,DASH!$E$8,1)</f>
        <v>0</v>
      </c>
      <c r="H23" s="102">
        <f>(SUMIFS('INPUT Capex'!AD$236:AD$255,'INPUT Capex'!$A$236:$A$255,$A$1,'INPUT Capex'!$G$236:$G$255,$E23)+SUMIFS('INPUT Capex'!AD$211:AD$228,'INPUT Capex'!$A$211:$A$228,$A$1,'INPUT Capex'!$G$211:$G$228,$E23))*IF(H$2=0,DASH!$E$8,1)</f>
        <v>12055236.562934771</v>
      </c>
      <c r="I23" s="102">
        <f>(SUMIFS('INPUT Capex'!AE$236:AE$255,'INPUT Capex'!$A$236:$A$255,$A$1,'INPUT Capex'!$G$236:$G$255,$E23)+SUMIFS('INPUT Capex'!AE$211:AE$228,'INPUT Capex'!$A$211:$A$228,$A$1,'INPUT Capex'!$G$211:$G$228,$E23))*IF(I$2=0,DASH!$E$8,1)</f>
        <v>11153799.387514574</v>
      </c>
      <c r="J23" s="102">
        <f>(SUMIFS('INPUT Capex'!AF$236:AF$255,'INPUT Capex'!$A$236:$A$255,$A$1,'INPUT Capex'!$G$236:$G$255,$E23)+SUMIFS('INPUT Capex'!AF$211:AF$228,'INPUT Capex'!$A$211:$A$228,$A$1,'INPUT Capex'!$G$211:$G$228,$E23))*IF(J$2=0,DASH!$E$8,1)</f>
        <v>10241210.490338936</v>
      </c>
      <c r="K23" s="102">
        <f>(SUMIFS('INPUT Capex'!AG$236:AG$255,'INPUT Capex'!$A$236:$A$255,$A$1,'INPUT Capex'!$G$236:$G$255,$E23)+SUMIFS('INPUT Capex'!AG$211:AG$228,'INPUT Capex'!$A$211:$A$228,$A$1,'INPUT Capex'!$G$211:$G$228,$E23))*IF(K$2=0,DASH!$E$8,1)</f>
        <v>7648751.463182278</v>
      </c>
      <c r="L23" s="102">
        <f>(SUMIFS('INPUT Capex'!AH$236:AH$255,'INPUT Capex'!$A$236:$A$255,$A$1,'INPUT Capex'!$G$236:$G$255,$E23)+SUMIFS('INPUT Capex'!AH$211:AH$228,'INPUT Capex'!$A$211:$A$228,$A$1,'INPUT Capex'!$G$211:$G$228,$E23))*IF(L$2=0,DASH!$E$8,1)</f>
        <v>5803634.5314779328</v>
      </c>
      <c r="M23" s="102">
        <f>(SUMIFS('INPUT Capex'!AI$236:AI$255,'INPUT Capex'!$A$236:$A$255,$A$1,'INPUT Capex'!$G$236:$G$255,$E23)+SUMIFS('INPUT Capex'!AI$211:AI$228,'INPUT Capex'!$A$211:$A$228,$A$1,'INPUT Capex'!$G$211:$G$228,$E23))*IF(M$2=0,DASH!$E$8,1)</f>
        <v>8023444.8297509067</v>
      </c>
      <c r="N23" s="102">
        <f>(SUMIFS('INPUT Capex'!AJ$236:AJ$255,'INPUT Capex'!$A$236:$A$255,$A$1,'INPUT Capex'!$G$236:$G$255,$E23)+SUMIFS('INPUT Capex'!AJ$211:AJ$228,'INPUT Capex'!$A$211:$A$228,$A$1,'INPUT Capex'!$G$211:$G$228,$E23))*IF(N$2=0,DASH!$E$8,1)</f>
        <v>6913539.6806144193</v>
      </c>
      <c r="O23" s="102">
        <f>(SUMIFS('INPUT Capex'!AK$236:AK$255,'INPUT Capex'!$A$236:$A$255,$A$1,'INPUT Capex'!$G$236:$G$255,$E23)+SUMIFS('INPUT Capex'!AK$211:AK$228,'INPUT Capex'!$A$211:$A$228,$A$1,'INPUT Capex'!$G$211:$G$228,$E23))*IF(O$2=0,DASH!$E$8,1)</f>
        <v>6913539.6806144193</v>
      </c>
      <c r="P23" s="102">
        <f>(SUMIFS('INPUT Capex'!AL$236:AL$255,'INPUT Capex'!$A$236:$A$255,$A$1,'INPUT Capex'!$G$236:$G$255,$E23)+SUMIFS('INPUT Capex'!AL$211:AL$228,'INPUT Capex'!$A$211:$A$228,$A$1,'INPUT Capex'!$G$211:$G$228,$E23))*IF(P$2=0,DASH!$E$8,1)</f>
        <v>6913539.6806144193</v>
      </c>
      <c r="Q23" s="102">
        <f>(SUMIFS('INPUT Capex'!AM$236:AM$255,'INPUT Capex'!$A$236:$A$255,$A$1,'INPUT Capex'!$G$236:$G$255,$E23)+SUMIFS('INPUT Capex'!AM$211:AM$228,'INPUT Capex'!$A$211:$A$228,$A$1,'INPUT Capex'!$G$211:$G$228,$E23))*IF(Q$2=0,DASH!$E$8,1)</f>
        <v>6913539.6806144193</v>
      </c>
      <c r="R23" s="102">
        <f>(SUMIFS('INPUT Capex'!AN$236:AN$255,'INPUT Capex'!$A$236:$A$255,$A$1,'INPUT Capex'!$G$236:$G$255,$E23)+SUMIFS('INPUT Capex'!AN$211:AN$228,'INPUT Capex'!$A$211:$A$228,$A$1,'INPUT Capex'!$G$211:$G$228,$E23))*IF(R$2=0,DASH!$E$8,1)</f>
        <v>6913539.6806144193</v>
      </c>
      <c r="S23" s="102">
        <f>(SUMIFS('INPUT Capex'!AO$236:AO$255,'INPUT Capex'!$A$236:$A$255,$A$1,'INPUT Capex'!$G$236:$G$255,$E23)+SUMIFS('INPUT Capex'!AO$211:AO$228,'INPUT Capex'!$A$211:$A$228,$A$1,'INPUT Capex'!$G$211:$G$228,$E23))*IF(S$2=0,DASH!$E$8,1)</f>
        <v>6913539.6806144193</v>
      </c>
      <c r="T23" s="102">
        <f>(SUMIFS('INPUT Capex'!AP$236:AP$255,'INPUT Capex'!$A$236:$A$255,$A$1,'INPUT Capex'!$G$236:$G$255,$E23)+SUMIFS('INPUT Capex'!AP$211:AP$228,'INPUT Capex'!$A$211:$A$228,$A$1,'INPUT Capex'!$G$211:$G$228,$E23))*IF(T$2=0,DASH!$E$8,1)</f>
        <v>6913539.6806144193</v>
      </c>
      <c r="U23" s="102">
        <f>(SUMIFS('INPUT Capex'!AQ$236:AQ$255,'INPUT Capex'!$A$236:$A$255,$A$1,'INPUT Capex'!$G$236:$G$255,$E23)+SUMIFS('INPUT Capex'!AQ$211:AQ$228,'INPUT Capex'!$A$211:$A$228,$A$1,'INPUT Capex'!$G$211:$G$228,$E23))*IF(U$2=0,DASH!$E$8,1)</f>
        <v>6913539.6806144193</v>
      </c>
      <c r="V23" s="102">
        <f>(SUMIFS('INPUT Capex'!AR$236:AR$255,'INPUT Capex'!$A$236:$A$255,$A$1,'INPUT Capex'!$G$236:$G$255,$E23)+SUMIFS('INPUT Capex'!AR$211:AR$228,'INPUT Capex'!$A$211:$A$228,$A$1,'INPUT Capex'!$G$211:$G$228,$E23))*IF(V$2=0,DASH!$E$8,1)</f>
        <v>6913539.6806144193</v>
      </c>
      <c r="W23" s="102">
        <f>(SUMIFS('INPUT Capex'!AS$236:AS$255,'INPUT Capex'!$A$236:$A$255,$A$1,'INPUT Capex'!$G$236:$G$255,$E23)+SUMIFS('INPUT Capex'!AS$211:AS$228,'INPUT Capex'!$A$211:$A$228,$A$1,'INPUT Capex'!$G$211:$G$228,$E23))*IF(W$2=0,DASH!$E$8,1)</f>
        <v>6913539.6806144193</v>
      </c>
      <c r="X23" s="102">
        <f>(SUMIFS('INPUT Capex'!AT$236:AT$255,'INPUT Capex'!$A$236:$A$255,$A$1,'INPUT Capex'!$G$236:$G$255,$E23)+SUMIFS('INPUT Capex'!AT$211:AT$228,'INPUT Capex'!$A$211:$A$228,$A$1,'INPUT Capex'!$G$211:$G$228,$E23))*IF(X$2=0,DASH!$E$8,1)</f>
        <v>6913539.6806144193</v>
      </c>
      <c r="Y23" s="102">
        <f>(SUMIFS('INPUT Capex'!AU$236:AU$255,'INPUT Capex'!$A$236:$A$255,$A$1,'INPUT Capex'!$G$236:$G$255,$E23)+SUMIFS('INPUT Capex'!AU$211:AU$228,'INPUT Capex'!$A$211:$A$228,$A$1,'INPUT Capex'!$G$211:$G$228,$E23))*IF(Y$2=0,DASH!$E$8,1)</f>
        <v>6913539.6806144193</v>
      </c>
      <c r="Z23" s="102">
        <f>(SUMIFS('INPUT Capex'!AV$236:AV$255,'INPUT Capex'!$A$236:$A$255,$A$1,'INPUT Capex'!$G$236:$G$255,$E23)+SUMIFS('INPUT Capex'!AV$211:AV$228,'INPUT Capex'!$A$211:$A$228,$A$1,'INPUT Capex'!$G$211:$G$228,$E23))*IF(Z$2=0,DASH!$E$8,1)</f>
        <v>6913539.6806144193</v>
      </c>
      <c r="AA23" s="102">
        <f>(SUMIFS('INPUT Capex'!AW$236:AW$255,'INPUT Capex'!$A$236:$A$255,$A$1,'INPUT Capex'!$G$236:$G$255,$E23)+SUMIFS('INPUT Capex'!AW$211:AW$228,'INPUT Capex'!$A$211:$A$228,$A$1,'INPUT Capex'!$G$211:$G$228,$E23))*IF(AA$2=0,DASH!$E$8,1)</f>
        <v>6913539.6806144193</v>
      </c>
    </row>
    <row r="24" spans="1:27" x14ac:dyDescent="0.25">
      <c r="E24" s="47" t="s">
        <v>630</v>
      </c>
      <c r="F24" s="47" t="s">
        <v>639</v>
      </c>
      <c r="G24" s="102"/>
      <c r="H24" s="102"/>
      <c r="I24" s="102"/>
      <c r="J24" s="102"/>
      <c r="K24" s="102"/>
      <c r="L24" s="102"/>
      <c r="M24" s="102"/>
      <c r="N24" s="102"/>
      <c r="O24" s="102"/>
      <c r="P24" s="102"/>
      <c r="Q24" s="102"/>
      <c r="R24" s="102"/>
      <c r="S24" s="102"/>
      <c r="T24" s="102"/>
      <c r="U24" s="102"/>
      <c r="V24" s="102"/>
      <c r="W24" s="102"/>
      <c r="X24" s="102"/>
      <c r="Y24" s="102"/>
      <c r="Z24" s="102"/>
      <c r="AA24" s="102"/>
    </row>
    <row r="25" spans="1:27" x14ac:dyDescent="0.25">
      <c r="E25" s="47" t="s">
        <v>640</v>
      </c>
      <c r="F25" s="47" t="s">
        <v>639</v>
      </c>
      <c r="G25" s="102"/>
      <c r="H25" s="102"/>
      <c r="I25" s="102"/>
      <c r="J25" s="102"/>
      <c r="K25" s="102"/>
      <c r="L25" s="102"/>
      <c r="M25" s="102"/>
      <c r="N25" s="102"/>
      <c r="O25" s="102"/>
      <c r="P25" s="102"/>
      <c r="Q25" s="102"/>
      <c r="R25" s="102"/>
      <c r="S25" s="102"/>
      <c r="T25" s="102"/>
      <c r="U25" s="102"/>
      <c r="V25" s="102"/>
      <c r="W25" s="102"/>
      <c r="X25" s="102"/>
      <c r="Y25" s="102"/>
      <c r="Z25" s="102"/>
      <c r="AA25" s="102"/>
    </row>
    <row r="26" spans="1:27" x14ac:dyDescent="0.25">
      <c r="G26" s="106">
        <f>SUM(G21:G25)</f>
        <v>0</v>
      </c>
      <c r="H26" s="106">
        <f t="shared" ref="H26:AA26" si="1">SUM(H21:H25)</f>
        <v>24786665.932264633</v>
      </c>
      <c r="I26" s="106">
        <f t="shared" si="1"/>
        <v>29101267.60031046</v>
      </c>
      <c r="J26" s="106">
        <f t="shared" si="1"/>
        <v>44505114.054224342</v>
      </c>
      <c r="K26" s="106">
        <f t="shared" si="1"/>
        <v>47437443.379304178</v>
      </c>
      <c r="L26" s="106">
        <f t="shared" si="1"/>
        <v>51697735.984262228</v>
      </c>
      <c r="M26" s="106">
        <f t="shared" si="1"/>
        <v>50106500.277692601</v>
      </c>
      <c r="N26" s="106">
        <f t="shared" si="1"/>
        <v>48536668.978435054</v>
      </c>
      <c r="O26" s="106">
        <f t="shared" si="1"/>
        <v>56150092.222987078</v>
      </c>
      <c r="P26" s="106">
        <f t="shared" si="1"/>
        <v>44568039.505052403</v>
      </c>
      <c r="Q26" s="106">
        <f t="shared" si="1"/>
        <v>50211807.393685862</v>
      </c>
      <c r="R26" s="106">
        <f t="shared" si="1"/>
        <v>50211807.393685862</v>
      </c>
      <c r="S26" s="106">
        <f t="shared" si="1"/>
        <v>50211807.393685862</v>
      </c>
      <c r="T26" s="106">
        <f t="shared" si="1"/>
        <v>50211807.393685862</v>
      </c>
      <c r="U26" s="106">
        <f t="shared" si="1"/>
        <v>50211807.393685862</v>
      </c>
      <c r="V26" s="106">
        <f t="shared" si="1"/>
        <v>50211807.393685862</v>
      </c>
      <c r="W26" s="106">
        <f t="shared" si="1"/>
        <v>50211807.393685862</v>
      </c>
      <c r="X26" s="106">
        <f t="shared" si="1"/>
        <v>50211807.393685862</v>
      </c>
      <c r="Y26" s="106">
        <f t="shared" si="1"/>
        <v>50211807.393685862</v>
      </c>
      <c r="Z26" s="106">
        <f t="shared" si="1"/>
        <v>50211807.393685862</v>
      </c>
      <c r="AA26" s="106">
        <f t="shared" si="1"/>
        <v>50211807.393685862</v>
      </c>
    </row>
    <row r="27" spans="1:27" x14ac:dyDescent="0.25">
      <c r="G27" s="106"/>
      <c r="H27" s="106"/>
      <c r="I27" s="106"/>
      <c r="J27" s="106"/>
      <c r="K27" s="106"/>
      <c r="L27" s="106"/>
      <c r="M27" s="106"/>
      <c r="N27" s="106"/>
      <c r="O27" s="106"/>
      <c r="P27" s="106"/>
      <c r="Q27" s="106"/>
    </row>
    <row r="28" spans="1:27" x14ac:dyDescent="0.25">
      <c r="D28" s="47" t="s">
        <v>641</v>
      </c>
      <c r="G28" s="106"/>
      <c r="H28" s="106"/>
      <c r="I28" s="106"/>
      <c r="J28" s="106"/>
      <c r="K28" s="106"/>
      <c r="L28" s="106"/>
      <c r="M28" s="106"/>
      <c r="N28" s="106"/>
      <c r="O28" s="106"/>
      <c r="P28" s="106"/>
      <c r="Q28" s="106"/>
    </row>
    <row r="29" spans="1:27" x14ac:dyDescent="0.25">
      <c r="E29" s="106" t="str">
        <f>E21</f>
        <v>Pipes / Storage</v>
      </c>
      <c r="F29" s="47" t="s">
        <v>639</v>
      </c>
      <c r="G29" s="106">
        <f>G21/$G7+IF((G$2-$G7+1)&gt;0,-INDEX($G21:$AP21,1,(G$2-$G7+1))/$G7,0)</f>
        <v>0</v>
      </c>
      <c r="H29" s="106">
        <f t="shared" ref="H29:AA29" si="2">H21/$G7+IF((H$2-$G7+1)&gt;0,-INDEX($G21:$AP21,1,(H$2-$G7+1))/$G7,0)</f>
        <v>141460.32632588738</v>
      </c>
      <c r="I29" s="106">
        <f t="shared" si="2"/>
        <v>199416.31347550981</v>
      </c>
      <c r="J29" s="106">
        <f t="shared" si="2"/>
        <v>380710.03959872673</v>
      </c>
      <c r="K29" s="106">
        <f t="shared" si="2"/>
        <v>442096.57684579887</v>
      </c>
      <c r="L29" s="106">
        <f t="shared" si="2"/>
        <v>509934.46058649215</v>
      </c>
      <c r="M29" s="106">
        <f t="shared" si="2"/>
        <v>467589.50497712998</v>
      </c>
      <c r="N29" s="106">
        <f t="shared" si="2"/>
        <v>462479.21442022925</v>
      </c>
      <c r="O29" s="106">
        <f t="shared" si="2"/>
        <v>547072.80602636293</v>
      </c>
      <c r="P29" s="106">
        <f t="shared" si="2"/>
        <v>418383.33138264425</v>
      </c>
      <c r="Q29" s="106">
        <f t="shared" si="2"/>
        <v>481091.86347857158</v>
      </c>
      <c r="R29" s="106">
        <f t="shared" si="2"/>
        <v>481091.86347857158</v>
      </c>
      <c r="S29" s="106">
        <f t="shared" si="2"/>
        <v>481091.86347857158</v>
      </c>
      <c r="T29" s="106">
        <f t="shared" si="2"/>
        <v>481091.86347857158</v>
      </c>
      <c r="U29" s="106">
        <f t="shared" si="2"/>
        <v>481091.86347857158</v>
      </c>
      <c r="V29" s="106">
        <f t="shared" si="2"/>
        <v>481091.86347857158</v>
      </c>
      <c r="W29" s="106">
        <f t="shared" si="2"/>
        <v>481091.86347857158</v>
      </c>
      <c r="X29" s="106">
        <f t="shared" si="2"/>
        <v>481091.86347857158</v>
      </c>
      <c r="Y29" s="106">
        <f t="shared" si="2"/>
        <v>481091.86347857158</v>
      </c>
      <c r="Z29" s="106">
        <f t="shared" si="2"/>
        <v>481091.86347857158</v>
      </c>
      <c r="AA29" s="106">
        <f t="shared" si="2"/>
        <v>481091.86347857158</v>
      </c>
    </row>
    <row r="30" spans="1:27" x14ac:dyDescent="0.25">
      <c r="E30" s="106" t="str">
        <f t="shared" ref="E30:E32" si="3">E22</f>
        <v>Pumps / Valves</v>
      </c>
      <c r="F30" s="47" t="s">
        <v>639</v>
      </c>
      <c r="G30" s="106">
        <f t="shared" ref="G30:AA32" si="4">G22/$G8+IF((G$2-$G8+1)&gt;0,-INDEX($G22:$AP22,1,(G$2-$G8+1))/$G8,0)</f>
        <v>0</v>
      </c>
      <c r="H30" s="106">
        <f t="shared" si="4"/>
        <v>0</v>
      </c>
      <c r="I30" s="106">
        <f t="shared" si="4"/>
        <v>0</v>
      </c>
      <c r="J30" s="106">
        <f t="shared" si="4"/>
        <v>0</v>
      </c>
      <c r="K30" s="106">
        <f t="shared" si="4"/>
        <v>0</v>
      </c>
      <c r="L30" s="106">
        <f t="shared" si="4"/>
        <v>0</v>
      </c>
      <c r="M30" s="106">
        <f t="shared" si="4"/>
        <v>0</v>
      </c>
      <c r="N30" s="106">
        <f t="shared" si="4"/>
        <v>0</v>
      </c>
      <c r="O30" s="106">
        <f t="shared" si="4"/>
        <v>0</v>
      </c>
      <c r="P30" s="106">
        <f t="shared" si="4"/>
        <v>0</v>
      </c>
      <c r="Q30" s="106">
        <f t="shared" si="4"/>
        <v>0</v>
      </c>
      <c r="R30" s="106">
        <f t="shared" si="4"/>
        <v>0</v>
      </c>
      <c r="S30" s="106">
        <f t="shared" si="4"/>
        <v>0</v>
      </c>
      <c r="T30" s="106">
        <f t="shared" si="4"/>
        <v>0</v>
      </c>
      <c r="U30" s="106">
        <f t="shared" si="4"/>
        <v>0</v>
      </c>
      <c r="V30" s="106">
        <f t="shared" si="4"/>
        <v>0</v>
      </c>
      <c r="W30" s="106">
        <f t="shared" si="4"/>
        <v>0</v>
      </c>
      <c r="X30" s="106">
        <f t="shared" si="4"/>
        <v>0</v>
      </c>
      <c r="Y30" s="106">
        <f t="shared" si="4"/>
        <v>0</v>
      </c>
      <c r="Z30" s="106">
        <f t="shared" si="4"/>
        <v>0</v>
      </c>
      <c r="AA30" s="106">
        <f t="shared" si="4"/>
        <v>0</v>
      </c>
    </row>
    <row r="31" spans="1:27" x14ac:dyDescent="0.25">
      <c r="E31" s="106" t="str">
        <f t="shared" si="3"/>
        <v>Treatment</v>
      </c>
      <c r="F31" s="47" t="s">
        <v>639</v>
      </c>
      <c r="G31" s="106">
        <f t="shared" si="4"/>
        <v>0</v>
      </c>
      <c r="H31" s="106">
        <f t="shared" si="4"/>
        <v>150690.45703668465</v>
      </c>
      <c r="I31" s="106">
        <f t="shared" si="4"/>
        <v>139422.49234393219</v>
      </c>
      <c r="J31" s="106">
        <f t="shared" si="4"/>
        <v>128015.1311292367</v>
      </c>
      <c r="K31" s="106">
        <f t="shared" si="4"/>
        <v>95609.393289778469</v>
      </c>
      <c r="L31" s="106">
        <f t="shared" si="4"/>
        <v>72545.431643474163</v>
      </c>
      <c r="M31" s="106">
        <f t="shared" si="4"/>
        <v>100293.06037188633</v>
      </c>
      <c r="N31" s="106">
        <f t="shared" si="4"/>
        <v>86419.246007680238</v>
      </c>
      <c r="O31" s="106">
        <f t="shared" si="4"/>
        <v>86419.246007680238</v>
      </c>
      <c r="P31" s="106">
        <f t="shared" si="4"/>
        <v>86419.246007680238</v>
      </c>
      <c r="Q31" s="106">
        <f t="shared" si="4"/>
        <v>86419.246007680238</v>
      </c>
      <c r="R31" s="106">
        <f t="shared" si="4"/>
        <v>86419.246007680238</v>
      </c>
      <c r="S31" s="106">
        <f t="shared" si="4"/>
        <v>86419.246007680238</v>
      </c>
      <c r="T31" s="106">
        <f t="shared" si="4"/>
        <v>86419.246007680238</v>
      </c>
      <c r="U31" s="106">
        <f t="shared" si="4"/>
        <v>86419.246007680238</v>
      </c>
      <c r="V31" s="106">
        <f t="shared" si="4"/>
        <v>86419.246007680238</v>
      </c>
      <c r="W31" s="106">
        <f t="shared" si="4"/>
        <v>86419.246007680238</v>
      </c>
      <c r="X31" s="106">
        <f t="shared" si="4"/>
        <v>86419.246007680238</v>
      </c>
      <c r="Y31" s="106">
        <f t="shared" si="4"/>
        <v>86419.246007680238</v>
      </c>
      <c r="Z31" s="106">
        <f t="shared" si="4"/>
        <v>86419.246007680238</v>
      </c>
      <c r="AA31" s="106">
        <f t="shared" si="4"/>
        <v>86419.246007680238</v>
      </c>
    </row>
    <row r="32" spans="1:27" x14ac:dyDescent="0.25">
      <c r="E32" s="106" t="str">
        <f t="shared" si="3"/>
        <v>Temporary Assets</v>
      </c>
      <c r="F32" s="47" t="s">
        <v>639</v>
      </c>
      <c r="G32" s="106">
        <f t="shared" si="4"/>
        <v>0</v>
      </c>
      <c r="H32" s="106">
        <f t="shared" si="4"/>
        <v>0</v>
      </c>
      <c r="I32" s="106">
        <f t="shared" si="4"/>
        <v>0</v>
      </c>
      <c r="J32" s="106">
        <f t="shared" si="4"/>
        <v>0</v>
      </c>
      <c r="K32" s="106">
        <f t="shared" si="4"/>
        <v>0</v>
      </c>
      <c r="L32" s="106">
        <f t="shared" si="4"/>
        <v>0</v>
      </c>
      <c r="M32" s="106">
        <f t="shared" si="4"/>
        <v>0</v>
      </c>
      <c r="N32" s="106">
        <f t="shared" si="4"/>
        <v>0</v>
      </c>
      <c r="O32" s="106">
        <f t="shared" si="4"/>
        <v>0</v>
      </c>
      <c r="P32" s="106">
        <f t="shared" si="4"/>
        <v>0</v>
      </c>
      <c r="Q32" s="106">
        <f t="shared" si="4"/>
        <v>0</v>
      </c>
      <c r="R32" s="106">
        <f t="shared" si="4"/>
        <v>0</v>
      </c>
      <c r="S32" s="106">
        <f t="shared" si="4"/>
        <v>0</v>
      </c>
      <c r="T32" s="106">
        <f t="shared" si="4"/>
        <v>0</v>
      </c>
      <c r="U32" s="106">
        <f t="shared" si="4"/>
        <v>0</v>
      </c>
      <c r="V32" s="106">
        <f t="shared" si="4"/>
        <v>0</v>
      </c>
      <c r="W32" s="106">
        <f t="shared" si="4"/>
        <v>0</v>
      </c>
      <c r="X32" s="106">
        <f t="shared" si="4"/>
        <v>0</v>
      </c>
      <c r="Y32" s="106">
        <f t="shared" si="4"/>
        <v>0</v>
      </c>
      <c r="Z32" s="106">
        <f t="shared" si="4"/>
        <v>0</v>
      </c>
      <c r="AA32" s="106">
        <f t="shared" si="4"/>
        <v>0</v>
      </c>
    </row>
    <row r="33" spans="1:27" x14ac:dyDescent="0.25">
      <c r="G33" s="106"/>
      <c r="H33" s="106"/>
      <c r="I33" s="106"/>
      <c r="J33" s="106"/>
      <c r="K33" s="106"/>
      <c r="L33" s="106"/>
      <c r="M33" s="106"/>
      <c r="N33" s="106"/>
      <c r="O33" s="106"/>
      <c r="P33" s="106"/>
      <c r="Q33" s="106"/>
    </row>
    <row r="34" spans="1:27" x14ac:dyDescent="0.25">
      <c r="D34" s="47" t="s">
        <v>642</v>
      </c>
      <c r="F34" s="47" t="s">
        <v>639</v>
      </c>
      <c r="G34" s="106">
        <f>SUM($G$29:G32)</f>
        <v>0</v>
      </c>
      <c r="H34" s="106">
        <f>SUM($G$29:H32)</f>
        <v>292150.78336257202</v>
      </c>
      <c r="I34" s="106">
        <f>SUM($G$29:I32)</f>
        <v>630989.589182014</v>
      </c>
      <c r="J34" s="106">
        <f>SUM($G$29:J32)</f>
        <v>1139714.7599099774</v>
      </c>
      <c r="K34" s="106">
        <f>SUM($G$29:K32)</f>
        <v>1677420.7300455547</v>
      </c>
      <c r="L34" s="106">
        <f>SUM($G$29:L32)</f>
        <v>2259900.6222755215</v>
      </c>
      <c r="M34" s="106">
        <f>SUM($G$29:M32)</f>
        <v>2827783.1876245383</v>
      </c>
      <c r="N34" s="106">
        <f>SUM($G$29:N32)</f>
        <v>3376681.6480524479</v>
      </c>
      <c r="O34" s="106">
        <f>SUM($G$29:O32)</f>
        <v>4010173.7000864912</v>
      </c>
      <c r="P34" s="106">
        <f>SUM($G$29:P32)</f>
        <v>4514976.2774768146</v>
      </c>
      <c r="Q34" s="106">
        <f>SUM($G$29:Q32)</f>
        <v>5082487.3869630648</v>
      </c>
      <c r="R34" s="106">
        <f>SUM($G$29:R32)</f>
        <v>5649998.4964493159</v>
      </c>
      <c r="S34" s="106">
        <f>SUM($G$29:S32)</f>
        <v>6217509.6059355671</v>
      </c>
      <c r="T34" s="106">
        <f>SUM($G$29:T32)</f>
        <v>6785020.7154218182</v>
      </c>
      <c r="U34" s="106">
        <f>SUM($G$29:U32)</f>
        <v>7352531.8249080693</v>
      </c>
      <c r="V34" s="106">
        <f>SUM($G$29:V32)</f>
        <v>7920042.9343943205</v>
      </c>
      <c r="W34" s="106">
        <f>SUM($G$29:W32)</f>
        <v>8487554.0438805725</v>
      </c>
      <c r="X34" s="106">
        <f>SUM($G$29:X32)</f>
        <v>9055065.1533668302</v>
      </c>
      <c r="Y34" s="106">
        <f>SUM($G$29:Y32)</f>
        <v>9622576.2628530879</v>
      </c>
      <c r="Z34" s="106">
        <f>SUM($G$29:Z32)</f>
        <v>10190087.37233934</v>
      </c>
      <c r="AA34" s="106">
        <f>SUM($G$29:AA32)</f>
        <v>10757598.481825592</v>
      </c>
    </row>
    <row r="35" spans="1:27" x14ac:dyDescent="0.25">
      <c r="G35" s="106"/>
      <c r="H35" s="106"/>
      <c r="I35" s="106"/>
      <c r="J35" s="106"/>
      <c r="K35" s="106"/>
      <c r="L35" s="106"/>
      <c r="M35" s="106"/>
      <c r="N35" s="106"/>
      <c r="O35" s="106"/>
      <c r="P35" s="106"/>
      <c r="Q35" s="106"/>
      <c r="R35" s="106"/>
      <c r="S35" s="106"/>
      <c r="T35" s="106"/>
      <c r="U35" s="106"/>
      <c r="V35" s="106"/>
      <c r="W35" s="106"/>
      <c r="X35" s="106"/>
      <c r="Y35" s="106"/>
      <c r="Z35" s="106"/>
      <c r="AA35" s="106"/>
    </row>
    <row r="36" spans="1:27" x14ac:dyDescent="0.25">
      <c r="A36" s="101">
        <v>11</v>
      </c>
      <c r="C36" s="100" t="s">
        <v>573</v>
      </c>
      <c r="D36" s="100"/>
    </row>
    <row r="37" spans="1:27" x14ac:dyDescent="0.25">
      <c r="E37" s="106" t="str">
        <f>E7</f>
        <v>Pipes / Storage</v>
      </c>
      <c r="F37" s="47" t="s">
        <v>639</v>
      </c>
      <c r="G37" s="102">
        <f>SUMIFS('INPUT Capex'!AC$48:AC$53,'INPUT Capex'!$A$48:$A$53,$A$1)*IF(G$2=0,DASH!$E$8,1)</f>
        <v>0</v>
      </c>
      <c r="H37" s="102">
        <f>SUMIFS('INPUT Capex'!AD$48:AD$53,'INPUT Capex'!$A$48:$A$53,$A$1)*IF(H$2=0,DASH!$E$8,1)</f>
        <v>29137833.369118281</v>
      </c>
      <c r="I37" s="102">
        <f>SUMIFS('INPUT Capex'!AE$48:AE$53,'INPUT Capex'!$A$48:$A$53,$A$1)*IF(I$2=0,DASH!$E$8,1)</f>
        <v>29770525.217831567</v>
      </c>
      <c r="J37" s="102">
        <f>SUMIFS('INPUT Capex'!AF$48:AF$53,'INPUT Capex'!$A$48:$A$53,$A$1)*IF(J$2=0,DASH!$E$8,1)</f>
        <v>31662012.661598999</v>
      </c>
      <c r="K37" s="102">
        <f>SUMIFS('INPUT Capex'!AG$48:AG$53,'INPUT Capex'!$A$48:$A$53,$A$1)*IF(K$2=0,DASH!$E$8,1)</f>
        <v>32083025.498539194</v>
      </c>
      <c r="L37" s="102">
        <f>SUMIFS('INPUT Capex'!AH$48:AH$53,'INPUT Capex'!$A$48:$A$53,$A$1)*IF(L$2=0,DASH!$E$8,1)</f>
        <v>28907118.84044873</v>
      </c>
      <c r="M37" s="102">
        <f>SUMIFS('INPUT Capex'!AI$48:AI$53,'INPUT Capex'!$A$48:$A$53,$A$1)*IF(M$2=0,DASH!$E$8,1)</f>
        <v>29320774.881199837</v>
      </c>
      <c r="N37" s="102">
        <f>SUMIFS('INPUT Capex'!AJ$48:AJ$53,'INPUT Capex'!$A$48:$A$53,$A$1)*IF(N$2=0,DASH!$E$8,1)</f>
        <v>28507173.32624105</v>
      </c>
      <c r="O37" s="102">
        <f>SUMIFS('INPUT Capex'!AK$48:AK$53,'INPUT Capex'!$A$48:$A$53,$A$1)*IF(O$2=0,DASH!$E$8,1)</f>
        <v>30018179.436078906</v>
      </c>
      <c r="P37" s="102">
        <f>SUMIFS('INPUT Capex'!AL$48:AL$53,'INPUT Capex'!$A$48:$A$53,$A$1)*IF(P$2=0,DASH!$E$8,1)</f>
        <v>30782038.63685365</v>
      </c>
      <c r="Q37" s="102">
        <f>SUMIFS('INPUT Capex'!AM$48:AM$53,'INPUT Capex'!$A$48:$A$53,$A$1)*IF(Q$2=0,DASH!$E$8,1)</f>
        <v>30308532.435973182</v>
      </c>
      <c r="R37" s="102">
        <f>SUMIFS('INPUT Capex'!AN$48:AN$53,'INPUT Capex'!$A$48:$A$53,$A$1)*IF(R$2=0,DASH!$E$8,1)</f>
        <v>29622618.192988455</v>
      </c>
      <c r="S37" s="102">
        <f>SUMIFS('INPUT Capex'!AO$48:AO$53,'INPUT Capex'!$A$48:$A$53,$A$1)*IF(S$2=0,DASH!$E$8,1)</f>
        <v>28817473.047035478</v>
      </c>
      <c r="T37" s="102">
        <f>SUMIFS('INPUT Capex'!AP$48:AP$53,'INPUT Capex'!$A$48:$A$53,$A$1)*IF(T$2=0,DASH!$E$8,1)</f>
        <v>27127969.631916676</v>
      </c>
      <c r="U37" s="102">
        <f>SUMIFS('INPUT Capex'!AQ$48:AQ$53,'INPUT Capex'!$A$48:$A$53,$A$1)*IF(U$2=0,DASH!$E$8,1)</f>
        <v>25056919.277748596</v>
      </c>
      <c r="V37" s="102">
        <f>SUMIFS('INPUT Capex'!AR$48:AR$53,'INPUT Capex'!$A$48:$A$53,$A$1)*IF(V$2=0,DASH!$E$8,1)</f>
        <v>22660957.847471118</v>
      </c>
      <c r="W37" s="102">
        <f>SUMIFS('INPUT Capex'!AS$48:AS$53,'INPUT Capex'!$A$48:$A$53,$A$1)*IF(W$2=0,DASH!$E$8,1)</f>
        <v>20405473.779831529</v>
      </c>
      <c r="X37" s="102">
        <f>SUMIFS('INPUT Capex'!AT$48:AT$53,'INPUT Capex'!$A$48:$A$53,$A$1)*IF(X$2=0,DASH!$E$8,1)</f>
        <v>18963543.786380295</v>
      </c>
      <c r="Y37" s="102">
        <f>SUMIFS('INPUT Capex'!AU$48:AU$53,'INPUT Capex'!$A$48:$A$53,$A$1)*IF(Y$2=0,DASH!$E$8,1)</f>
        <v>16565190.854703283</v>
      </c>
      <c r="Z37" s="102">
        <f>SUMIFS('INPUT Capex'!AV$48:AV$53,'INPUT Capex'!$A$48:$A$53,$A$1)*IF(Z$2=0,DASH!$E$8,1)</f>
        <v>13929295.825652843</v>
      </c>
      <c r="AA37" s="102">
        <f>SUMIFS('INPUT Capex'!AW$48:AW$53,'INPUT Capex'!$A$48:$A$53,$A$1)*IF(AA$2=0,DASH!$E$8,1)</f>
        <v>11903561.759870797</v>
      </c>
    </row>
    <row r="38" spans="1:27" x14ac:dyDescent="0.25">
      <c r="E38" s="106" t="str">
        <f>E8</f>
        <v>Pumps / Valves</v>
      </c>
      <c r="F38" s="47" t="s">
        <v>639</v>
      </c>
      <c r="G38" s="102"/>
      <c r="H38" s="102"/>
      <c r="I38" s="102"/>
      <c r="J38" s="102"/>
      <c r="K38" s="102"/>
      <c r="L38" s="102"/>
      <c r="M38" s="102"/>
      <c r="N38" s="102"/>
      <c r="O38" s="102"/>
      <c r="P38" s="102"/>
      <c r="Q38" s="102"/>
      <c r="R38" s="102"/>
      <c r="S38" s="102"/>
      <c r="T38" s="102"/>
      <c r="U38" s="102"/>
      <c r="V38" s="102"/>
      <c r="W38" s="102"/>
      <c r="X38" s="102"/>
      <c r="Y38" s="102"/>
      <c r="Z38" s="102"/>
      <c r="AA38" s="102"/>
    </row>
    <row r="39" spans="1:27" x14ac:dyDescent="0.25">
      <c r="E39" s="106" t="str">
        <f>E9</f>
        <v>Treatment</v>
      </c>
      <c r="F39" s="47" t="s">
        <v>639</v>
      </c>
      <c r="G39" s="102"/>
      <c r="H39" s="102"/>
      <c r="I39" s="102"/>
      <c r="J39" s="102"/>
      <c r="K39" s="102"/>
      <c r="L39" s="102"/>
      <c r="M39" s="102"/>
      <c r="N39" s="102"/>
      <c r="O39" s="102"/>
      <c r="P39" s="102"/>
      <c r="Q39" s="102"/>
      <c r="R39" s="102"/>
      <c r="S39" s="102"/>
      <c r="T39" s="102"/>
      <c r="U39" s="102"/>
      <c r="V39" s="102"/>
      <c r="W39" s="102"/>
      <c r="X39" s="102"/>
      <c r="Y39" s="102"/>
      <c r="Z39" s="102"/>
      <c r="AA39" s="102"/>
    </row>
    <row r="40" spans="1:27" x14ac:dyDescent="0.25">
      <c r="E40" s="106" t="str">
        <f>E10</f>
        <v>Temporary Assets</v>
      </c>
      <c r="F40" s="47" t="s">
        <v>639</v>
      </c>
      <c r="G40" s="102"/>
      <c r="H40" s="102"/>
      <c r="I40" s="102"/>
      <c r="J40" s="102"/>
      <c r="K40" s="102"/>
      <c r="L40" s="102"/>
      <c r="M40" s="102"/>
      <c r="N40" s="102"/>
      <c r="O40" s="102"/>
      <c r="P40" s="102"/>
      <c r="Q40" s="102"/>
      <c r="R40" s="102"/>
      <c r="S40" s="102"/>
      <c r="T40" s="102"/>
      <c r="U40" s="102"/>
      <c r="V40" s="102"/>
      <c r="W40" s="102"/>
      <c r="X40" s="102"/>
      <c r="Y40" s="102"/>
      <c r="Z40" s="102"/>
      <c r="AA40" s="102"/>
    </row>
    <row r="41" spans="1:27" x14ac:dyDescent="0.25">
      <c r="E41" s="47" t="s">
        <v>640</v>
      </c>
      <c r="F41" s="47" t="s">
        <v>639</v>
      </c>
      <c r="G41" s="102"/>
      <c r="H41" s="102"/>
      <c r="I41" s="102"/>
      <c r="J41" s="102"/>
      <c r="K41" s="102"/>
      <c r="L41" s="102"/>
      <c r="M41" s="102"/>
      <c r="N41" s="102"/>
      <c r="O41" s="102"/>
      <c r="P41" s="102"/>
      <c r="Q41" s="102"/>
      <c r="R41" s="102"/>
      <c r="S41" s="102"/>
      <c r="T41" s="102"/>
      <c r="U41" s="102"/>
      <c r="V41" s="102"/>
      <c r="W41" s="102"/>
      <c r="X41" s="102"/>
      <c r="Y41" s="102"/>
      <c r="Z41" s="102"/>
      <c r="AA41" s="102"/>
    </row>
    <row r="42" spans="1:27" x14ac:dyDescent="0.25">
      <c r="G42" s="106">
        <f>SUM(G37:G41)</f>
        <v>0</v>
      </c>
      <c r="H42" s="106">
        <f t="shared" ref="H42:AA42" si="5">SUM(H37:H41)</f>
        <v>29137833.369118281</v>
      </c>
      <c r="I42" s="106">
        <f t="shared" si="5"/>
        <v>29770525.217831567</v>
      </c>
      <c r="J42" s="106">
        <f t="shared" si="5"/>
        <v>31662012.661598999</v>
      </c>
      <c r="K42" s="106">
        <f t="shared" si="5"/>
        <v>32083025.498539194</v>
      </c>
      <c r="L42" s="106">
        <f t="shared" si="5"/>
        <v>28907118.84044873</v>
      </c>
      <c r="M42" s="106">
        <f t="shared" si="5"/>
        <v>29320774.881199837</v>
      </c>
      <c r="N42" s="106">
        <f t="shared" si="5"/>
        <v>28507173.32624105</v>
      </c>
      <c r="O42" s="106">
        <f t="shared" si="5"/>
        <v>30018179.436078906</v>
      </c>
      <c r="P42" s="106">
        <f t="shared" si="5"/>
        <v>30782038.63685365</v>
      </c>
      <c r="Q42" s="106">
        <f t="shared" si="5"/>
        <v>30308532.435973182</v>
      </c>
      <c r="R42" s="106">
        <f t="shared" si="5"/>
        <v>29622618.192988455</v>
      </c>
      <c r="S42" s="106">
        <f t="shared" si="5"/>
        <v>28817473.047035478</v>
      </c>
      <c r="T42" s="106">
        <f t="shared" si="5"/>
        <v>27127969.631916676</v>
      </c>
      <c r="U42" s="106">
        <f t="shared" si="5"/>
        <v>25056919.277748596</v>
      </c>
      <c r="V42" s="106">
        <f t="shared" si="5"/>
        <v>22660957.847471118</v>
      </c>
      <c r="W42" s="106">
        <f t="shared" si="5"/>
        <v>20405473.779831529</v>
      </c>
      <c r="X42" s="106">
        <f t="shared" si="5"/>
        <v>18963543.786380295</v>
      </c>
      <c r="Y42" s="106">
        <f t="shared" si="5"/>
        <v>16565190.854703283</v>
      </c>
      <c r="Z42" s="106">
        <f t="shared" si="5"/>
        <v>13929295.825652843</v>
      </c>
      <c r="AA42" s="106">
        <f t="shared" si="5"/>
        <v>11903561.759870797</v>
      </c>
    </row>
    <row r="43" spans="1:27" x14ac:dyDescent="0.25">
      <c r="G43" s="106"/>
      <c r="H43" s="106"/>
      <c r="I43" s="106"/>
      <c r="J43" s="106"/>
      <c r="K43" s="106"/>
      <c r="L43" s="106"/>
      <c r="M43" s="106"/>
      <c r="N43" s="106"/>
      <c r="O43" s="106"/>
      <c r="P43" s="106"/>
      <c r="Q43" s="106"/>
    </row>
    <row r="44" spans="1:27" x14ac:dyDescent="0.25">
      <c r="D44" s="47" t="s">
        <v>643</v>
      </c>
      <c r="G44" s="106"/>
      <c r="H44" s="106"/>
      <c r="I44" s="106"/>
      <c r="J44" s="106"/>
      <c r="K44" s="106"/>
      <c r="L44" s="106"/>
      <c r="M44" s="106"/>
      <c r="N44" s="106"/>
      <c r="O44" s="106"/>
      <c r="P44" s="106"/>
      <c r="Q44" s="106"/>
    </row>
    <row r="45" spans="1:27" x14ac:dyDescent="0.25">
      <c r="E45" s="106" t="str">
        <f>E37</f>
        <v>Pipes / Storage</v>
      </c>
      <c r="F45" s="47" t="s">
        <v>639</v>
      </c>
      <c r="G45" s="106">
        <f>G37/$G7+IF((G$2-$G7+1)&gt;0,-INDEX($G37:$AP37,1,(G$2-$G7+1))/$G7,0)</f>
        <v>0</v>
      </c>
      <c r="H45" s="106">
        <f t="shared" ref="H45:AA45" si="6">H37/$G7+IF((H$2-$G7+1)&gt;0,-INDEX($G37:$AP37,1,(H$2-$G7+1))/$G7,0)</f>
        <v>323753.70410131424</v>
      </c>
      <c r="I45" s="106">
        <f t="shared" si="6"/>
        <v>330783.61353146186</v>
      </c>
      <c r="J45" s="106">
        <f t="shared" si="6"/>
        <v>351800.14068443334</v>
      </c>
      <c r="K45" s="106">
        <f t="shared" si="6"/>
        <v>356478.06109487993</v>
      </c>
      <c r="L45" s="106">
        <f t="shared" si="6"/>
        <v>321190.2093383192</v>
      </c>
      <c r="M45" s="106">
        <f t="shared" si="6"/>
        <v>325786.38756888709</v>
      </c>
      <c r="N45" s="106">
        <f t="shared" si="6"/>
        <v>316746.37029156723</v>
      </c>
      <c r="O45" s="106">
        <f t="shared" si="6"/>
        <v>333535.3270675434</v>
      </c>
      <c r="P45" s="106">
        <f t="shared" si="6"/>
        <v>342022.65152059612</v>
      </c>
      <c r="Q45" s="106">
        <f t="shared" si="6"/>
        <v>336761.47151081316</v>
      </c>
      <c r="R45" s="106">
        <f t="shared" si="6"/>
        <v>329140.20214431616</v>
      </c>
      <c r="S45" s="106">
        <f t="shared" si="6"/>
        <v>320194.14496706089</v>
      </c>
      <c r="T45" s="106">
        <f t="shared" si="6"/>
        <v>301421.88479907415</v>
      </c>
      <c r="U45" s="106">
        <f t="shared" si="6"/>
        <v>278410.2141972066</v>
      </c>
      <c r="V45" s="106">
        <f t="shared" si="6"/>
        <v>251788.42052745685</v>
      </c>
      <c r="W45" s="106">
        <f t="shared" si="6"/>
        <v>226727.48644257255</v>
      </c>
      <c r="X45" s="106">
        <f t="shared" si="6"/>
        <v>210706.04207089217</v>
      </c>
      <c r="Y45" s="106">
        <f t="shared" si="6"/>
        <v>184057.67616336982</v>
      </c>
      <c r="Z45" s="106">
        <f t="shared" si="6"/>
        <v>154769.95361836493</v>
      </c>
      <c r="AA45" s="106">
        <f t="shared" si="6"/>
        <v>132261.79733189775</v>
      </c>
    </row>
    <row r="46" spans="1:27" x14ac:dyDescent="0.25">
      <c r="E46" s="106" t="str">
        <f t="shared" ref="E46:E48" si="7">E38</f>
        <v>Pumps / Valves</v>
      </c>
      <c r="F46" s="47" t="s">
        <v>639</v>
      </c>
      <c r="G46" s="106">
        <f t="shared" ref="G46:AA48" si="8">G38/$G8+IF((G$2-$G8+1)&gt;0,-INDEX($G38:$AP38,1,(G$2-$G8+1))/$G8,0)</f>
        <v>0</v>
      </c>
      <c r="H46" s="106">
        <f t="shared" si="8"/>
        <v>0</v>
      </c>
      <c r="I46" s="106">
        <f t="shared" si="8"/>
        <v>0</v>
      </c>
      <c r="J46" s="106">
        <f t="shared" si="8"/>
        <v>0</v>
      </c>
      <c r="K46" s="106">
        <f t="shared" si="8"/>
        <v>0</v>
      </c>
      <c r="L46" s="106">
        <f t="shared" si="8"/>
        <v>0</v>
      </c>
      <c r="M46" s="106">
        <f t="shared" si="8"/>
        <v>0</v>
      </c>
      <c r="N46" s="106">
        <f t="shared" si="8"/>
        <v>0</v>
      </c>
      <c r="O46" s="106">
        <f t="shared" si="8"/>
        <v>0</v>
      </c>
      <c r="P46" s="106">
        <f t="shared" si="8"/>
        <v>0</v>
      </c>
      <c r="Q46" s="106">
        <f t="shared" si="8"/>
        <v>0</v>
      </c>
      <c r="R46" s="106">
        <f t="shared" si="8"/>
        <v>0</v>
      </c>
      <c r="S46" s="106">
        <f t="shared" si="8"/>
        <v>0</v>
      </c>
      <c r="T46" s="106">
        <f t="shared" si="8"/>
        <v>0</v>
      </c>
      <c r="U46" s="106">
        <f t="shared" si="8"/>
        <v>0</v>
      </c>
      <c r="V46" s="106">
        <f t="shared" si="8"/>
        <v>0</v>
      </c>
      <c r="W46" s="106">
        <f t="shared" si="8"/>
        <v>0</v>
      </c>
      <c r="X46" s="106">
        <f t="shared" si="8"/>
        <v>0</v>
      </c>
      <c r="Y46" s="106">
        <f t="shared" si="8"/>
        <v>0</v>
      </c>
      <c r="Z46" s="106">
        <f t="shared" si="8"/>
        <v>0</v>
      </c>
      <c r="AA46" s="106">
        <f t="shared" si="8"/>
        <v>0</v>
      </c>
    </row>
    <row r="47" spans="1:27" x14ac:dyDescent="0.25">
      <c r="E47" s="106" t="str">
        <f t="shared" si="7"/>
        <v>Treatment</v>
      </c>
      <c r="F47" s="47" t="s">
        <v>639</v>
      </c>
      <c r="G47" s="106">
        <f t="shared" si="8"/>
        <v>0</v>
      </c>
      <c r="H47" s="106">
        <f t="shared" si="8"/>
        <v>0</v>
      </c>
      <c r="I47" s="106">
        <f t="shared" si="8"/>
        <v>0</v>
      </c>
      <c r="J47" s="106">
        <f t="shared" si="8"/>
        <v>0</v>
      </c>
      <c r="K47" s="106">
        <f t="shared" si="8"/>
        <v>0</v>
      </c>
      <c r="L47" s="106">
        <f t="shared" si="8"/>
        <v>0</v>
      </c>
      <c r="M47" s="106">
        <f t="shared" si="8"/>
        <v>0</v>
      </c>
      <c r="N47" s="106">
        <f t="shared" si="8"/>
        <v>0</v>
      </c>
      <c r="O47" s="106">
        <f t="shared" si="8"/>
        <v>0</v>
      </c>
      <c r="P47" s="106">
        <f t="shared" si="8"/>
        <v>0</v>
      </c>
      <c r="Q47" s="106">
        <f t="shared" si="8"/>
        <v>0</v>
      </c>
      <c r="R47" s="106">
        <f t="shared" si="8"/>
        <v>0</v>
      </c>
      <c r="S47" s="106">
        <f t="shared" si="8"/>
        <v>0</v>
      </c>
      <c r="T47" s="106">
        <f t="shared" si="8"/>
        <v>0</v>
      </c>
      <c r="U47" s="106">
        <f t="shared" si="8"/>
        <v>0</v>
      </c>
      <c r="V47" s="106">
        <f t="shared" si="8"/>
        <v>0</v>
      </c>
      <c r="W47" s="106">
        <f t="shared" si="8"/>
        <v>0</v>
      </c>
      <c r="X47" s="106">
        <f t="shared" si="8"/>
        <v>0</v>
      </c>
      <c r="Y47" s="106">
        <f t="shared" si="8"/>
        <v>0</v>
      </c>
      <c r="Z47" s="106">
        <f t="shared" si="8"/>
        <v>0</v>
      </c>
      <c r="AA47" s="106">
        <f t="shared" si="8"/>
        <v>0</v>
      </c>
    </row>
    <row r="48" spans="1:27" x14ac:dyDescent="0.25">
      <c r="E48" s="106" t="str">
        <f t="shared" si="7"/>
        <v>Temporary Assets</v>
      </c>
      <c r="F48" s="47" t="s">
        <v>639</v>
      </c>
      <c r="G48" s="106">
        <f t="shared" si="8"/>
        <v>0</v>
      </c>
      <c r="H48" s="106">
        <f t="shared" si="8"/>
        <v>0</v>
      </c>
      <c r="I48" s="106">
        <f t="shared" si="8"/>
        <v>0</v>
      </c>
      <c r="J48" s="106">
        <f t="shared" si="8"/>
        <v>0</v>
      </c>
      <c r="K48" s="106">
        <f t="shared" si="8"/>
        <v>0</v>
      </c>
      <c r="L48" s="106">
        <f t="shared" si="8"/>
        <v>0</v>
      </c>
      <c r="M48" s="106">
        <f t="shared" si="8"/>
        <v>0</v>
      </c>
      <c r="N48" s="106">
        <f t="shared" si="8"/>
        <v>0</v>
      </c>
      <c r="O48" s="106">
        <f t="shared" si="8"/>
        <v>0</v>
      </c>
      <c r="P48" s="106">
        <f t="shared" si="8"/>
        <v>0</v>
      </c>
      <c r="Q48" s="106">
        <f t="shared" si="8"/>
        <v>0</v>
      </c>
      <c r="R48" s="106">
        <f t="shared" si="8"/>
        <v>0</v>
      </c>
      <c r="S48" s="106">
        <f t="shared" si="8"/>
        <v>0</v>
      </c>
      <c r="T48" s="106">
        <f t="shared" si="8"/>
        <v>0</v>
      </c>
      <c r="U48" s="106">
        <f t="shared" si="8"/>
        <v>0</v>
      </c>
      <c r="V48" s="106">
        <f t="shared" si="8"/>
        <v>0</v>
      </c>
      <c r="W48" s="106">
        <f t="shared" si="8"/>
        <v>0</v>
      </c>
      <c r="X48" s="106">
        <f t="shared" si="8"/>
        <v>0</v>
      </c>
      <c r="Y48" s="106">
        <f t="shared" si="8"/>
        <v>0</v>
      </c>
      <c r="Z48" s="106">
        <f t="shared" si="8"/>
        <v>0</v>
      </c>
      <c r="AA48" s="106">
        <f t="shared" si="8"/>
        <v>0</v>
      </c>
    </row>
    <row r="49" spans="1:27" x14ac:dyDescent="0.25">
      <c r="G49" s="106"/>
      <c r="H49" s="106"/>
      <c r="I49" s="106"/>
      <c r="J49" s="106"/>
      <c r="K49" s="106"/>
      <c r="L49" s="106"/>
      <c r="M49" s="106"/>
      <c r="N49" s="106"/>
      <c r="O49" s="106"/>
      <c r="P49" s="106"/>
      <c r="Q49" s="106"/>
    </row>
    <row r="50" spans="1:27" x14ac:dyDescent="0.25">
      <c r="D50" s="47" t="s">
        <v>644</v>
      </c>
      <c r="F50" s="47" t="s">
        <v>639</v>
      </c>
      <c r="G50" s="106">
        <f>SUM($G$45:G48)</f>
        <v>0</v>
      </c>
      <c r="H50" s="106">
        <f>SUM($G$45:H48)</f>
        <v>323753.70410131424</v>
      </c>
      <c r="I50" s="106">
        <f>SUM($G$45:I48)</f>
        <v>654537.3176327761</v>
      </c>
      <c r="J50" s="106">
        <f>SUM($G$45:J48)</f>
        <v>1006337.4583172095</v>
      </c>
      <c r="K50" s="106">
        <f>SUM($G$45:K48)</f>
        <v>1362815.5194120894</v>
      </c>
      <c r="L50" s="106">
        <f>SUM($G$45:L48)</f>
        <v>1684005.7287504086</v>
      </c>
      <c r="M50" s="106">
        <f>SUM($G$45:M48)</f>
        <v>2009792.1163192957</v>
      </c>
      <c r="N50" s="106">
        <f>SUM($G$45:N48)</f>
        <v>2326538.4866108629</v>
      </c>
      <c r="O50" s="106">
        <f>SUM($G$45:O48)</f>
        <v>2660073.8136784062</v>
      </c>
      <c r="P50" s="106">
        <f>SUM($G$45:P48)</f>
        <v>3002096.4651990021</v>
      </c>
      <c r="Q50" s="106">
        <f>SUM($G$45:Q48)</f>
        <v>3338857.9367098152</v>
      </c>
      <c r="R50" s="106">
        <f>SUM($G$45:R48)</f>
        <v>3667998.1388541311</v>
      </c>
      <c r="S50" s="106">
        <f>SUM($G$45:S48)</f>
        <v>3988192.2838211921</v>
      </c>
      <c r="T50" s="106">
        <f>SUM($G$45:T48)</f>
        <v>4289614.168620266</v>
      </c>
      <c r="U50" s="106">
        <f>SUM($G$45:U48)</f>
        <v>4568024.3828174723</v>
      </c>
      <c r="V50" s="106">
        <f>SUM($G$45:V48)</f>
        <v>4819812.8033449296</v>
      </c>
      <c r="W50" s="106">
        <f>SUM($G$45:W48)</f>
        <v>5046540.289787502</v>
      </c>
      <c r="X50" s="106">
        <f>SUM($G$45:X48)</f>
        <v>5257246.3318583947</v>
      </c>
      <c r="Y50" s="106">
        <f>SUM($G$45:Y48)</f>
        <v>5441304.0080217645</v>
      </c>
      <c r="Z50" s="106">
        <f>SUM($G$45:Z48)</f>
        <v>5596073.9616401298</v>
      </c>
      <c r="AA50" s="106">
        <f>SUM($G$45:AA48)</f>
        <v>5728335.7589720273</v>
      </c>
    </row>
    <row r="51" spans="1:27" x14ac:dyDescent="0.25">
      <c r="G51" s="106"/>
      <c r="H51" s="106"/>
      <c r="I51" s="106"/>
      <c r="J51" s="106"/>
      <c r="K51" s="106"/>
      <c r="L51" s="106"/>
      <c r="M51" s="106"/>
      <c r="N51" s="106"/>
      <c r="O51" s="106"/>
      <c r="P51" s="106"/>
      <c r="Q51" s="106"/>
      <c r="R51" s="106"/>
      <c r="S51" s="106"/>
      <c r="T51" s="106"/>
      <c r="U51" s="106"/>
      <c r="V51" s="106"/>
      <c r="W51" s="106"/>
      <c r="X51" s="106"/>
      <c r="Y51" s="106"/>
      <c r="Z51" s="106"/>
      <c r="AA51" s="106"/>
    </row>
    <row r="52" spans="1:27" x14ac:dyDescent="0.25">
      <c r="A52" s="101">
        <v>12</v>
      </c>
      <c r="C52" s="100" t="s">
        <v>645</v>
      </c>
      <c r="G52" s="106"/>
      <c r="H52" s="106"/>
      <c r="I52" s="106"/>
      <c r="J52" s="106"/>
      <c r="K52" s="106"/>
      <c r="L52" s="106"/>
      <c r="M52" s="106"/>
      <c r="N52" s="106"/>
      <c r="O52" s="106"/>
      <c r="P52" s="106"/>
      <c r="Q52" s="106"/>
      <c r="R52" s="106"/>
      <c r="S52" s="106"/>
      <c r="T52" s="106"/>
      <c r="U52" s="106"/>
      <c r="V52" s="106"/>
      <c r="W52" s="106"/>
      <c r="X52" s="106"/>
      <c r="Y52" s="106"/>
      <c r="Z52" s="106"/>
      <c r="AA52" s="106"/>
    </row>
    <row r="53" spans="1:27" x14ac:dyDescent="0.25">
      <c r="E53" s="47" t="s">
        <v>645</v>
      </c>
      <c r="F53" s="47" t="s">
        <v>639</v>
      </c>
      <c r="G53" s="102"/>
      <c r="H53" s="102"/>
      <c r="I53" s="102"/>
      <c r="J53" s="102"/>
      <c r="K53" s="102"/>
      <c r="L53" s="102"/>
      <c r="M53" s="102"/>
      <c r="N53" s="102"/>
      <c r="O53" s="102"/>
      <c r="P53" s="102"/>
      <c r="Q53" s="102"/>
      <c r="R53" s="102"/>
      <c r="S53" s="102"/>
      <c r="T53" s="102"/>
      <c r="U53" s="102"/>
      <c r="V53" s="102"/>
      <c r="W53" s="102"/>
      <c r="X53" s="102"/>
      <c r="Y53" s="102"/>
      <c r="Z53" s="102"/>
      <c r="AA53" s="102"/>
    </row>
    <row r="55" spans="1:27" x14ac:dyDescent="0.25">
      <c r="C55" s="100" t="s">
        <v>646</v>
      </c>
      <c r="D55" s="100"/>
    </row>
    <row r="56" spans="1:27" x14ac:dyDescent="0.25">
      <c r="A56" s="101">
        <v>13</v>
      </c>
      <c r="D56" s="47" t="s">
        <v>647</v>
      </c>
    </row>
    <row r="57" spans="1:27" x14ac:dyDescent="0.25">
      <c r="E57" s="106" t="str">
        <f>E7</f>
        <v>Pipes / Storage</v>
      </c>
      <c r="F57" s="47" t="s">
        <v>639</v>
      </c>
      <c r="G57" s="102"/>
      <c r="H57" s="102"/>
      <c r="I57" s="102"/>
      <c r="J57" s="102"/>
      <c r="K57" s="102"/>
      <c r="L57" s="102"/>
      <c r="M57" s="102"/>
      <c r="N57" s="102"/>
      <c r="O57" s="102"/>
      <c r="P57" s="102"/>
      <c r="Q57" s="102"/>
      <c r="R57" s="102"/>
      <c r="S57" s="102"/>
      <c r="T57" s="102"/>
      <c r="U57" s="102"/>
      <c r="V57" s="102"/>
      <c r="W57" s="102"/>
      <c r="X57" s="102"/>
      <c r="Y57" s="102"/>
      <c r="Z57" s="102"/>
      <c r="AA57" s="102"/>
    </row>
    <row r="58" spans="1:27" x14ac:dyDescent="0.25">
      <c r="E58" s="106" t="str">
        <f>E8</f>
        <v>Pumps / Valves</v>
      </c>
      <c r="F58" s="47" t="s">
        <v>639</v>
      </c>
      <c r="G58" s="102"/>
      <c r="H58" s="102"/>
      <c r="I58" s="102"/>
      <c r="J58" s="102"/>
      <c r="K58" s="102"/>
      <c r="L58" s="102"/>
      <c r="M58" s="102"/>
      <c r="N58" s="102"/>
      <c r="O58" s="102"/>
      <c r="P58" s="102"/>
      <c r="Q58" s="102"/>
      <c r="R58" s="102"/>
      <c r="S58" s="102"/>
      <c r="T58" s="102"/>
      <c r="U58" s="102"/>
      <c r="V58" s="102"/>
      <c r="W58" s="102"/>
      <c r="X58" s="102"/>
      <c r="Y58" s="102"/>
      <c r="Z58" s="102"/>
      <c r="AA58" s="102"/>
    </row>
    <row r="59" spans="1:27" x14ac:dyDescent="0.25">
      <c r="E59" s="106" t="str">
        <f>E9</f>
        <v>Treatment</v>
      </c>
      <c r="F59" s="47" t="s">
        <v>639</v>
      </c>
      <c r="G59" s="102"/>
      <c r="H59" s="102"/>
      <c r="I59" s="102"/>
      <c r="J59" s="102"/>
      <c r="K59" s="102"/>
      <c r="L59" s="102"/>
      <c r="M59" s="102"/>
      <c r="N59" s="102"/>
      <c r="O59" s="102"/>
      <c r="P59" s="102"/>
      <c r="Q59" s="102"/>
      <c r="R59" s="102"/>
      <c r="S59" s="102"/>
      <c r="T59" s="102"/>
      <c r="U59" s="102"/>
      <c r="V59" s="102"/>
      <c r="W59" s="102"/>
      <c r="X59" s="102"/>
      <c r="Y59" s="102"/>
      <c r="Z59" s="102"/>
      <c r="AA59" s="102"/>
    </row>
    <row r="60" spans="1:27" x14ac:dyDescent="0.25">
      <c r="E60" s="47" t="s">
        <v>640</v>
      </c>
      <c r="F60" s="47" t="s">
        <v>639</v>
      </c>
      <c r="G60" s="102"/>
      <c r="H60" s="102"/>
      <c r="I60" s="102"/>
      <c r="J60" s="102"/>
      <c r="K60" s="102"/>
      <c r="L60" s="102"/>
      <c r="M60" s="102"/>
      <c r="N60" s="102"/>
      <c r="O60" s="102"/>
      <c r="P60" s="102"/>
      <c r="Q60" s="102"/>
      <c r="R60" s="102"/>
      <c r="S60" s="102"/>
      <c r="T60" s="102"/>
      <c r="U60" s="102"/>
      <c r="V60" s="102"/>
      <c r="W60" s="102"/>
      <c r="X60" s="102"/>
      <c r="Y60" s="102"/>
      <c r="Z60" s="102"/>
      <c r="AA60" s="102"/>
    </row>
    <row r="61" spans="1:27" x14ac:dyDescent="0.25">
      <c r="G61" s="106">
        <f>SUM(G57:G60)</f>
        <v>0</v>
      </c>
      <c r="H61" s="106">
        <f t="shared" ref="H61:AA61" si="9">SUM(H57:H60)</f>
        <v>0</v>
      </c>
      <c r="I61" s="106">
        <f t="shared" si="9"/>
        <v>0</v>
      </c>
      <c r="J61" s="106">
        <f t="shared" si="9"/>
        <v>0</v>
      </c>
      <c r="K61" s="106">
        <f t="shared" si="9"/>
        <v>0</v>
      </c>
      <c r="L61" s="106">
        <f t="shared" si="9"/>
        <v>0</v>
      </c>
      <c r="M61" s="106">
        <f t="shared" si="9"/>
        <v>0</v>
      </c>
      <c r="N61" s="106">
        <f t="shared" si="9"/>
        <v>0</v>
      </c>
      <c r="O61" s="106">
        <f t="shared" si="9"/>
        <v>0</v>
      </c>
      <c r="P61" s="106">
        <f t="shared" si="9"/>
        <v>0</v>
      </c>
      <c r="Q61" s="106">
        <f t="shared" si="9"/>
        <v>0</v>
      </c>
      <c r="R61" s="106">
        <f t="shared" si="9"/>
        <v>0</v>
      </c>
      <c r="S61" s="106">
        <f t="shared" si="9"/>
        <v>0</v>
      </c>
      <c r="T61" s="106">
        <f t="shared" si="9"/>
        <v>0</v>
      </c>
      <c r="U61" s="106">
        <f t="shared" si="9"/>
        <v>0</v>
      </c>
      <c r="V61" s="106">
        <f t="shared" si="9"/>
        <v>0</v>
      </c>
      <c r="W61" s="106">
        <f t="shared" si="9"/>
        <v>0</v>
      </c>
      <c r="X61" s="106">
        <f t="shared" si="9"/>
        <v>0</v>
      </c>
      <c r="Y61" s="106">
        <f t="shared" si="9"/>
        <v>0</v>
      </c>
      <c r="Z61" s="106">
        <f t="shared" si="9"/>
        <v>0</v>
      </c>
      <c r="AA61" s="106">
        <f t="shared" si="9"/>
        <v>0</v>
      </c>
    </row>
    <row r="63" spans="1:27" x14ac:dyDescent="0.25">
      <c r="D63" s="47" t="s">
        <v>648</v>
      </c>
      <c r="G63" s="106"/>
      <c r="H63" s="106"/>
      <c r="I63" s="106"/>
      <c r="J63" s="106"/>
      <c r="K63" s="106"/>
      <c r="L63" s="106"/>
      <c r="M63" s="106"/>
      <c r="N63" s="106"/>
      <c r="O63" s="106"/>
      <c r="P63" s="106"/>
      <c r="Q63" s="106"/>
    </row>
    <row r="64" spans="1:27" x14ac:dyDescent="0.25">
      <c r="E64" s="106" t="str">
        <f>E57</f>
        <v>Pipes / Storage</v>
      </c>
      <c r="F64" s="47" t="s">
        <v>639</v>
      </c>
      <c r="G64" s="106">
        <f>G57/$G7+IF((G$2-$G7+1)&gt;0,-INDEX($G57:$AP57,1,(G$2-$G7+1))/$G7,0)</f>
        <v>0</v>
      </c>
      <c r="H64" s="106">
        <f t="shared" ref="H64:AA64" si="10">H57/$G7+IF((H$2-$G7+1)&gt;0,-INDEX($G57:$AP57,1,(H$2-$G7+1))/$G7,0)</f>
        <v>0</v>
      </c>
      <c r="I64" s="106">
        <f t="shared" si="10"/>
        <v>0</v>
      </c>
      <c r="J64" s="106">
        <f t="shared" si="10"/>
        <v>0</v>
      </c>
      <c r="K64" s="106">
        <f t="shared" si="10"/>
        <v>0</v>
      </c>
      <c r="L64" s="106">
        <f t="shared" si="10"/>
        <v>0</v>
      </c>
      <c r="M64" s="106">
        <f t="shared" si="10"/>
        <v>0</v>
      </c>
      <c r="N64" s="106">
        <f t="shared" si="10"/>
        <v>0</v>
      </c>
      <c r="O64" s="106">
        <f t="shared" si="10"/>
        <v>0</v>
      </c>
      <c r="P64" s="106">
        <f t="shared" si="10"/>
        <v>0</v>
      </c>
      <c r="Q64" s="106">
        <f t="shared" si="10"/>
        <v>0</v>
      </c>
      <c r="R64" s="106">
        <f t="shared" si="10"/>
        <v>0</v>
      </c>
      <c r="S64" s="106">
        <f t="shared" si="10"/>
        <v>0</v>
      </c>
      <c r="T64" s="106">
        <f t="shared" si="10"/>
        <v>0</v>
      </c>
      <c r="U64" s="106">
        <f t="shared" si="10"/>
        <v>0</v>
      </c>
      <c r="V64" s="106">
        <f t="shared" si="10"/>
        <v>0</v>
      </c>
      <c r="W64" s="106">
        <f t="shared" si="10"/>
        <v>0</v>
      </c>
      <c r="X64" s="106">
        <f t="shared" si="10"/>
        <v>0</v>
      </c>
      <c r="Y64" s="106">
        <f t="shared" si="10"/>
        <v>0</v>
      </c>
      <c r="Z64" s="106">
        <f t="shared" si="10"/>
        <v>0</v>
      </c>
      <c r="AA64" s="106">
        <f t="shared" si="10"/>
        <v>0</v>
      </c>
    </row>
    <row r="65" spans="1:27" x14ac:dyDescent="0.25">
      <c r="E65" s="106" t="str">
        <f t="shared" ref="E65:E66" si="11">E58</f>
        <v>Pumps / Valves</v>
      </c>
      <c r="F65" s="47" t="s">
        <v>639</v>
      </c>
      <c r="G65" s="106">
        <f t="shared" ref="G65:AA66" si="12">G58/$G8+IF((G$2-$G8+1)&gt;0,-INDEX($G58:$AP58,1,(G$2-$G8+1))/$G8,0)</f>
        <v>0</v>
      </c>
      <c r="H65" s="106">
        <f t="shared" si="12"/>
        <v>0</v>
      </c>
      <c r="I65" s="106">
        <f t="shared" si="12"/>
        <v>0</v>
      </c>
      <c r="J65" s="106">
        <f t="shared" si="12"/>
        <v>0</v>
      </c>
      <c r="K65" s="106">
        <f t="shared" si="12"/>
        <v>0</v>
      </c>
      <c r="L65" s="106">
        <f t="shared" si="12"/>
        <v>0</v>
      </c>
      <c r="M65" s="106">
        <f t="shared" si="12"/>
        <v>0</v>
      </c>
      <c r="N65" s="106">
        <f t="shared" si="12"/>
        <v>0</v>
      </c>
      <c r="O65" s="106">
        <f t="shared" si="12"/>
        <v>0</v>
      </c>
      <c r="P65" s="106">
        <f t="shared" si="12"/>
        <v>0</v>
      </c>
      <c r="Q65" s="106">
        <f t="shared" si="12"/>
        <v>0</v>
      </c>
      <c r="R65" s="106">
        <f t="shared" si="12"/>
        <v>0</v>
      </c>
      <c r="S65" s="106">
        <f t="shared" si="12"/>
        <v>0</v>
      </c>
      <c r="T65" s="106">
        <f t="shared" si="12"/>
        <v>0</v>
      </c>
      <c r="U65" s="106">
        <f t="shared" si="12"/>
        <v>0</v>
      </c>
      <c r="V65" s="106">
        <f t="shared" si="12"/>
        <v>0</v>
      </c>
      <c r="W65" s="106">
        <f t="shared" si="12"/>
        <v>0</v>
      </c>
      <c r="X65" s="106">
        <f t="shared" si="12"/>
        <v>0</v>
      </c>
      <c r="Y65" s="106">
        <f t="shared" si="12"/>
        <v>0</v>
      </c>
      <c r="Z65" s="106">
        <f t="shared" si="12"/>
        <v>0</v>
      </c>
      <c r="AA65" s="106">
        <f t="shared" si="12"/>
        <v>0</v>
      </c>
    </row>
    <row r="66" spans="1:27" x14ac:dyDescent="0.25">
      <c r="E66" s="106" t="str">
        <f t="shared" si="11"/>
        <v>Treatment</v>
      </c>
      <c r="F66" s="47" t="s">
        <v>639</v>
      </c>
      <c r="G66" s="106">
        <f t="shared" si="12"/>
        <v>0</v>
      </c>
      <c r="H66" s="106">
        <f t="shared" si="12"/>
        <v>0</v>
      </c>
      <c r="I66" s="106">
        <f t="shared" si="12"/>
        <v>0</v>
      </c>
      <c r="J66" s="106">
        <f t="shared" si="12"/>
        <v>0</v>
      </c>
      <c r="K66" s="106">
        <f t="shared" si="12"/>
        <v>0</v>
      </c>
      <c r="L66" s="106">
        <f t="shared" si="12"/>
        <v>0</v>
      </c>
      <c r="M66" s="106">
        <f t="shared" si="12"/>
        <v>0</v>
      </c>
      <c r="N66" s="106">
        <f t="shared" si="12"/>
        <v>0</v>
      </c>
      <c r="O66" s="106">
        <f t="shared" si="12"/>
        <v>0</v>
      </c>
      <c r="P66" s="106">
        <f t="shared" si="12"/>
        <v>0</v>
      </c>
      <c r="Q66" s="106">
        <f t="shared" si="12"/>
        <v>0</v>
      </c>
      <c r="R66" s="106">
        <f t="shared" si="12"/>
        <v>0</v>
      </c>
      <c r="S66" s="106">
        <f t="shared" si="12"/>
        <v>0</v>
      </c>
      <c r="T66" s="106">
        <f t="shared" si="12"/>
        <v>0</v>
      </c>
      <c r="U66" s="106">
        <f t="shared" si="12"/>
        <v>0</v>
      </c>
      <c r="V66" s="106">
        <f t="shared" si="12"/>
        <v>0</v>
      </c>
      <c r="W66" s="106">
        <f t="shared" si="12"/>
        <v>0</v>
      </c>
      <c r="X66" s="106">
        <f t="shared" si="12"/>
        <v>0</v>
      </c>
      <c r="Y66" s="106">
        <f t="shared" si="12"/>
        <v>0</v>
      </c>
      <c r="Z66" s="106">
        <f t="shared" si="12"/>
        <v>0</v>
      </c>
      <c r="AA66" s="106">
        <f t="shared" si="12"/>
        <v>0</v>
      </c>
    </row>
    <row r="68" spans="1:27" x14ac:dyDescent="0.25">
      <c r="D68" s="47" t="s">
        <v>649</v>
      </c>
      <c r="F68" s="47" t="s">
        <v>639</v>
      </c>
      <c r="G68" s="106">
        <f>SUM($G$64:G66)</f>
        <v>0</v>
      </c>
      <c r="H68" s="106">
        <f>SUM($G$64:H66)</f>
        <v>0</v>
      </c>
      <c r="I68" s="106">
        <f>SUM($G$64:I66)</f>
        <v>0</v>
      </c>
      <c r="J68" s="106">
        <f>SUM($G$64:J66)</f>
        <v>0</v>
      </c>
      <c r="K68" s="106">
        <f>SUM($G$64:K66)</f>
        <v>0</v>
      </c>
      <c r="L68" s="106">
        <f>SUM($G$64:L66)</f>
        <v>0</v>
      </c>
      <c r="M68" s="106">
        <f>SUM($G$64:M66)</f>
        <v>0</v>
      </c>
      <c r="N68" s="106">
        <f>SUM($G$64:N66)</f>
        <v>0</v>
      </c>
      <c r="O68" s="106">
        <f>SUM($G$64:O66)</f>
        <v>0</v>
      </c>
      <c r="P68" s="106">
        <f>SUM($G$64:P66)</f>
        <v>0</v>
      </c>
      <c r="Q68" s="106">
        <f>SUM($G$64:Q66)</f>
        <v>0</v>
      </c>
      <c r="R68" s="106">
        <f>SUM($G$64:R66)</f>
        <v>0</v>
      </c>
      <c r="S68" s="106">
        <f>SUM($G$64:S66)</f>
        <v>0</v>
      </c>
      <c r="T68" s="106">
        <f>SUM($G$64:T66)</f>
        <v>0</v>
      </c>
      <c r="U68" s="106">
        <f>SUM($G$64:U66)</f>
        <v>0</v>
      </c>
      <c r="V68" s="106">
        <f>SUM($G$64:V66)</f>
        <v>0</v>
      </c>
      <c r="W68" s="106">
        <f>SUM($G$64:W66)</f>
        <v>0</v>
      </c>
      <c r="X68" s="106">
        <f>SUM($G$64:X66)</f>
        <v>0</v>
      </c>
      <c r="Y68" s="106">
        <f>SUM($G$64:Y66)</f>
        <v>0</v>
      </c>
      <c r="Z68" s="106">
        <f>SUM($G$64:Z66)</f>
        <v>0</v>
      </c>
      <c r="AA68" s="106">
        <f>SUM($G$64:AA66)</f>
        <v>0</v>
      </c>
    </row>
    <row r="70" spans="1:27" x14ac:dyDescent="0.25">
      <c r="A70" s="101">
        <v>14</v>
      </c>
      <c r="D70" s="47" t="s">
        <v>650</v>
      </c>
    </row>
    <row r="71" spans="1:27" x14ac:dyDescent="0.25">
      <c r="E71" s="106" t="str">
        <f>E7</f>
        <v>Pipes / Storage</v>
      </c>
      <c r="F71" s="47" t="s">
        <v>639</v>
      </c>
      <c r="G71" s="102"/>
      <c r="H71" s="102"/>
      <c r="I71" s="102"/>
      <c r="J71" s="102"/>
      <c r="K71" s="102"/>
      <c r="L71" s="102"/>
      <c r="M71" s="102"/>
      <c r="N71" s="102"/>
      <c r="O71" s="102"/>
      <c r="P71" s="102"/>
      <c r="Q71" s="102"/>
      <c r="R71" s="102"/>
      <c r="S71" s="102"/>
      <c r="T71" s="102"/>
      <c r="U71" s="102"/>
      <c r="V71" s="102"/>
      <c r="W71" s="102"/>
      <c r="X71" s="102"/>
      <c r="Y71" s="102"/>
      <c r="Z71" s="102"/>
      <c r="AA71" s="102"/>
    </row>
    <row r="72" spans="1:27" x14ac:dyDescent="0.25">
      <c r="E72" s="106" t="str">
        <f>E8</f>
        <v>Pumps / Valves</v>
      </c>
      <c r="F72" s="47" t="s">
        <v>639</v>
      </c>
      <c r="G72" s="102"/>
      <c r="H72" s="102"/>
      <c r="I72" s="102"/>
      <c r="J72" s="102"/>
      <c r="K72" s="102"/>
      <c r="L72" s="102"/>
      <c r="M72" s="102"/>
      <c r="N72" s="102"/>
      <c r="O72" s="102"/>
      <c r="P72" s="102"/>
      <c r="Q72" s="102"/>
      <c r="R72" s="102"/>
      <c r="S72" s="102"/>
      <c r="T72" s="102"/>
      <c r="U72" s="102"/>
      <c r="V72" s="102"/>
      <c r="W72" s="102"/>
      <c r="X72" s="102"/>
      <c r="Y72" s="102"/>
      <c r="Z72" s="102"/>
      <c r="AA72" s="102"/>
    </row>
    <row r="73" spans="1:27" x14ac:dyDescent="0.25">
      <c r="E73" s="106" t="str">
        <f>E9</f>
        <v>Treatment</v>
      </c>
      <c r="F73" s="47" t="s">
        <v>639</v>
      </c>
      <c r="G73" s="102"/>
      <c r="H73" s="102"/>
      <c r="I73" s="102"/>
      <c r="J73" s="102"/>
      <c r="K73" s="102"/>
      <c r="L73" s="102"/>
      <c r="M73" s="102"/>
      <c r="N73" s="102"/>
      <c r="O73" s="102"/>
      <c r="P73" s="102"/>
      <c r="Q73" s="102"/>
      <c r="R73" s="102"/>
      <c r="S73" s="102"/>
      <c r="T73" s="102"/>
      <c r="U73" s="102"/>
      <c r="V73" s="102"/>
      <c r="W73" s="102"/>
      <c r="X73" s="102"/>
      <c r="Y73" s="102"/>
      <c r="Z73" s="102"/>
      <c r="AA73" s="102"/>
    </row>
    <row r="74" spans="1:27" x14ac:dyDescent="0.25">
      <c r="E74" s="47" t="s">
        <v>640</v>
      </c>
      <c r="F74" s="47" t="s">
        <v>639</v>
      </c>
      <c r="G74" s="102"/>
      <c r="H74" s="102"/>
      <c r="I74" s="102"/>
      <c r="J74" s="102"/>
      <c r="K74" s="102"/>
      <c r="L74" s="102"/>
      <c r="M74" s="102"/>
      <c r="N74" s="102"/>
      <c r="O74" s="102"/>
      <c r="P74" s="102"/>
      <c r="Q74" s="102"/>
      <c r="R74" s="102"/>
      <c r="S74" s="102"/>
      <c r="T74" s="102"/>
      <c r="U74" s="102"/>
      <c r="V74" s="102"/>
      <c r="W74" s="102"/>
      <c r="X74" s="102"/>
      <c r="Y74" s="102"/>
      <c r="Z74" s="102"/>
      <c r="AA74" s="102"/>
    </row>
    <row r="75" spans="1:27" x14ac:dyDescent="0.25">
      <c r="G75" s="106">
        <f>SUM(G71:G74)</f>
        <v>0</v>
      </c>
      <c r="H75" s="106">
        <f t="shared" ref="H75:AA75" si="13">SUM(H71:H74)</f>
        <v>0</v>
      </c>
      <c r="I75" s="106">
        <f t="shared" si="13"/>
        <v>0</v>
      </c>
      <c r="J75" s="106">
        <f t="shared" si="13"/>
        <v>0</v>
      </c>
      <c r="K75" s="106">
        <f t="shared" si="13"/>
        <v>0</v>
      </c>
      <c r="L75" s="106">
        <f t="shared" si="13"/>
        <v>0</v>
      </c>
      <c r="M75" s="106">
        <f t="shared" si="13"/>
        <v>0</v>
      </c>
      <c r="N75" s="106">
        <f t="shared" si="13"/>
        <v>0</v>
      </c>
      <c r="O75" s="106">
        <f t="shared" si="13"/>
        <v>0</v>
      </c>
      <c r="P75" s="106">
        <f t="shared" si="13"/>
        <v>0</v>
      </c>
      <c r="Q75" s="106">
        <f t="shared" si="13"/>
        <v>0</v>
      </c>
      <c r="R75" s="106">
        <f t="shared" si="13"/>
        <v>0</v>
      </c>
      <c r="S75" s="106">
        <f t="shared" si="13"/>
        <v>0</v>
      </c>
      <c r="T75" s="106">
        <f t="shared" si="13"/>
        <v>0</v>
      </c>
      <c r="U75" s="106">
        <f t="shared" si="13"/>
        <v>0</v>
      </c>
      <c r="V75" s="106">
        <f t="shared" si="13"/>
        <v>0</v>
      </c>
      <c r="W75" s="106">
        <f t="shared" si="13"/>
        <v>0</v>
      </c>
      <c r="X75" s="106">
        <f t="shared" si="13"/>
        <v>0</v>
      </c>
      <c r="Y75" s="106">
        <f t="shared" si="13"/>
        <v>0</v>
      </c>
      <c r="Z75" s="106">
        <f t="shared" si="13"/>
        <v>0</v>
      </c>
      <c r="AA75" s="106">
        <f t="shared" si="13"/>
        <v>0</v>
      </c>
    </row>
    <row r="76" spans="1:27" x14ac:dyDescent="0.25">
      <c r="G76" s="106"/>
      <c r="H76" s="106"/>
      <c r="I76" s="106"/>
      <c r="J76" s="106"/>
      <c r="K76" s="106"/>
      <c r="L76" s="106"/>
      <c r="M76" s="106"/>
      <c r="N76" s="106"/>
      <c r="O76" s="106"/>
      <c r="P76" s="106"/>
      <c r="Q76" s="106"/>
      <c r="R76" s="106"/>
      <c r="S76" s="106"/>
      <c r="T76" s="106"/>
      <c r="U76" s="106"/>
      <c r="V76" s="106"/>
      <c r="W76" s="106"/>
      <c r="X76" s="106"/>
      <c r="Y76" s="106"/>
      <c r="Z76" s="106"/>
      <c r="AA76" s="106"/>
    </row>
    <row r="77" spans="1:27" x14ac:dyDescent="0.25">
      <c r="D77" s="47" t="s">
        <v>648</v>
      </c>
      <c r="G77" s="106"/>
      <c r="H77" s="106"/>
      <c r="I77" s="106"/>
      <c r="J77" s="106"/>
      <c r="K77" s="106"/>
      <c r="L77" s="106"/>
      <c r="M77" s="106"/>
      <c r="N77" s="106"/>
      <c r="O77" s="106"/>
      <c r="P77" s="106"/>
      <c r="Q77" s="106"/>
    </row>
    <row r="78" spans="1:27" x14ac:dyDescent="0.25">
      <c r="E78" s="106" t="str">
        <f>E71</f>
        <v>Pipes / Storage</v>
      </c>
      <c r="F78" s="47" t="s">
        <v>639</v>
      </c>
      <c r="G78" s="106">
        <f t="shared" ref="G78:AA80" si="14">G71/$G7+IF((G$2-$G7+1)&gt;0,-INDEX($G71:$AP71,1,(G$2-$G7+1))/$G7,0)</f>
        <v>0</v>
      </c>
      <c r="H78" s="106">
        <f t="shared" si="14"/>
        <v>0</v>
      </c>
      <c r="I78" s="106">
        <f t="shared" si="14"/>
        <v>0</v>
      </c>
      <c r="J78" s="106">
        <f t="shared" si="14"/>
        <v>0</v>
      </c>
      <c r="K78" s="106">
        <f t="shared" si="14"/>
        <v>0</v>
      </c>
      <c r="L78" s="106">
        <f t="shared" si="14"/>
        <v>0</v>
      </c>
      <c r="M78" s="106">
        <f t="shared" si="14"/>
        <v>0</v>
      </c>
      <c r="N78" s="106">
        <f t="shared" si="14"/>
        <v>0</v>
      </c>
      <c r="O78" s="106">
        <f t="shared" si="14"/>
        <v>0</v>
      </c>
      <c r="P78" s="106">
        <f t="shared" si="14"/>
        <v>0</v>
      </c>
      <c r="Q78" s="106">
        <f t="shared" si="14"/>
        <v>0</v>
      </c>
      <c r="R78" s="106">
        <f t="shared" si="14"/>
        <v>0</v>
      </c>
      <c r="S78" s="106">
        <f t="shared" si="14"/>
        <v>0</v>
      </c>
      <c r="T78" s="106">
        <f t="shared" si="14"/>
        <v>0</v>
      </c>
      <c r="U78" s="106">
        <f t="shared" si="14"/>
        <v>0</v>
      </c>
      <c r="V78" s="106">
        <f t="shared" si="14"/>
        <v>0</v>
      </c>
      <c r="W78" s="106">
        <f t="shared" si="14"/>
        <v>0</v>
      </c>
      <c r="X78" s="106">
        <f t="shared" si="14"/>
        <v>0</v>
      </c>
      <c r="Y78" s="106">
        <f t="shared" si="14"/>
        <v>0</v>
      </c>
      <c r="Z78" s="106">
        <f t="shared" si="14"/>
        <v>0</v>
      </c>
      <c r="AA78" s="106">
        <f t="shared" si="14"/>
        <v>0</v>
      </c>
    </row>
    <row r="79" spans="1:27" x14ac:dyDescent="0.25">
      <c r="E79" s="106" t="str">
        <f t="shared" ref="E79:E80" si="15">E72</f>
        <v>Pumps / Valves</v>
      </c>
      <c r="F79" s="47" t="s">
        <v>639</v>
      </c>
      <c r="G79" s="106">
        <f t="shared" si="14"/>
        <v>0</v>
      </c>
      <c r="H79" s="106">
        <f t="shared" si="14"/>
        <v>0</v>
      </c>
      <c r="I79" s="106">
        <f t="shared" si="14"/>
        <v>0</v>
      </c>
      <c r="J79" s="106">
        <f t="shared" si="14"/>
        <v>0</v>
      </c>
      <c r="K79" s="106">
        <f t="shared" si="14"/>
        <v>0</v>
      </c>
      <c r="L79" s="106">
        <f t="shared" si="14"/>
        <v>0</v>
      </c>
      <c r="M79" s="106">
        <f t="shared" si="14"/>
        <v>0</v>
      </c>
      <c r="N79" s="106">
        <f t="shared" si="14"/>
        <v>0</v>
      </c>
      <c r="O79" s="106">
        <f t="shared" si="14"/>
        <v>0</v>
      </c>
      <c r="P79" s="106">
        <f t="shared" si="14"/>
        <v>0</v>
      </c>
      <c r="Q79" s="106">
        <f t="shared" si="14"/>
        <v>0</v>
      </c>
      <c r="R79" s="106">
        <f t="shared" si="14"/>
        <v>0</v>
      </c>
      <c r="S79" s="106">
        <f t="shared" si="14"/>
        <v>0</v>
      </c>
      <c r="T79" s="106">
        <f t="shared" si="14"/>
        <v>0</v>
      </c>
      <c r="U79" s="106">
        <f t="shared" si="14"/>
        <v>0</v>
      </c>
      <c r="V79" s="106">
        <f t="shared" si="14"/>
        <v>0</v>
      </c>
      <c r="W79" s="106">
        <f t="shared" si="14"/>
        <v>0</v>
      </c>
      <c r="X79" s="106">
        <f t="shared" si="14"/>
        <v>0</v>
      </c>
      <c r="Y79" s="106">
        <f t="shared" si="14"/>
        <v>0</v>
      </c>
      <c r="Z79" s="106">
        <f t="shared" si="14"/>
        <v>0</v>
      </c>
      <c r="AA79" s="106">
        <f t="shared" si="14"/>
        <v>0</v>
      </c>
    </row>
    <row r="80" spans="1:27" x14ac:dyDescent="0.25">
      <c r="E80" s="106" t="str">
        <f t="shared" si="15"/>
        <v>Treatment</v>
      </c>
      <c r="F80" s="47" t="s">
        <v>639</v>
      </c>
      <c r="G80" s="106">
        <f t="shared" si="14"/>
        <v>0</v>
      </c>
      <c r="H80" s="106">
        <f t="shared" si="14"/>
        <v>0</v>
      </c>
      <c r="I80" s="106">
        <f t="shared" si="14"/>
        <v>0</v>
      </c>
      <c r="J80" s="106">
        <f t="shared" si="14"/>
        <v>0</v>
      </c>
      <c r="K80" s="106">
        <f t="shared" si="14"/>
        <v>0</v>
      </c>
      <c r="L80" s="106">
        <f t="shared" si="14"/>
        <v>0</v>
      </c>
      <c r="M80" s="106">
        <f t="shared" si="14"/>
        <v>0</v>
      </c>
      <c r="N80" s="106">
        <f t="shared" si="14"/>
        <v>0</v>
      </c>
      <c r="O80" s="106">
        <f t="shared" si="14"/>
        <v>0</v>
      </c>
      <c r="P80" s="106">
        <f t="shared" si="14"/>
        <v>0</v>
      </c>
      <c r="Q80" s="106">
        <f t="shared" si="14"/>
        <v>0</v>
      </c>
      <c r="R80" s="106">
        <f t="shared" si="14"/>
        <v>0</v>
      </c>
      <c r="S80" s="106">
        <f t="shared" si="14"/>
        <v>0</v>
      </c>
      <c r="T80" s="106">
        <f t="shared" si="14"/>
        <v>0</v>
      </c>
      <c r="U80" s="106">
        <f t="shared" si="14"/>
        <v>0</v>
      </c>
      <c r="V80" s="106">
        <f t="shared" si="14"/>
        <v>0</v>
      </c>
      <c r="W80" s="106">
        <f t="shared" si="14"/>
        <v>0</v>
      </c>
      <c r="X80" s="106">
        <f t="shared" si="14"/>
        <v>0</v>
      </c>
      <c r="Y80" s="106">
        <f t="shared" si="14"/>
        <v>0</v>
      </c>
      <c r="Z80" s="106">
        <f t="shared" si="14"/>
        <v>0</v>
      </c>
      <c r="AA80" s="106">
        <f t="shared" si="14"/>
        <v>0</v>
      </c>
    </row>
    <row r="82" spans="1:27" x14ac:dyDescent="0.25">
      <c r="D82" s="47" t="s">
        <v>649</v>
      </c>
      <c r="F82" s="47" t="s">
        <v>639</v>
      </c>
      <c r="G82" s="106">
        <f>SUM($G$77:G80)</f>
        <v>0</v>
      </c>
      <c r="H82" s="106">
        <f>SUM($G$77:H80)</f>
        <v>0</v>
      </c>
      <c r="I82" s="106">
        <f>SUM($G$77:I80)</f>
        <v>0</v>
      </c>
      <c r="J82" s="106">
        <f>SUM($G$77:J80)</f>
        <v>0</v>
      </c>
      <c r="K82" s="106">
        <f>SUM($G$77:K80)</f>
        <v>0</v>
      </c>
      <c r="L82" s="106">
        <f>SUM($G$77:L80)</f>
        <v>0</v>
      </c>
      <c r="M82" s="106">
        <f>SUM($G$77:M80)</f>
        <v>0</v>
      </c>
      <c r="N82" s="106">
        <f>SUM($G$77:N80)</f>
        <v>0</v>
      </c>
      <c r="O82" s="106">
        <f>SUM($G$77:O80)</f>
        <v>0</v>
      </c>
      <c r="P82" s="106">
        <f>SUM($G$77:P80)</f>
        <v>0</v>
      </c>
      <c r="Q82" s="106">
        <f>SUM($G$77:Q80)</f>
        <v>0</v>
      </c>
      <c r="R82" s="106">
        <f>SUM($G$77:R80)</f>
        <v>0</v>
      </c>
      <c r="S82" s="106">
        <f>SUM($G$77:S80)</f>
        <v>0</v>
      </c>
      <c r="T82" s="106">
        <f>SUM($G$77:T80)</f>
        <v>0</v>
      </c>
      <c r="U82" s="106">
        <f>SUM($G$77:U80)</f>
        <v>0</v>
      </c>
      <c r="V82" s="106">
        <f>SUM($G$77:V80)</f>
        <v>0</v>
      </c>
      <c r="W82" s="106">
        <f>SUM($G$77:W80)</f>
        <v>0</v>
      </c>
      <c r="X82" s="106">
        <f>SUM($G$77:X80)</f>
        <v>0</v>
      </c>
      <c r="Y82" s="106">
        <f>SUM($G$77:Y80)</f>
        <v>0</v>
      </c>
      <c r="Z82" s="106">
        <f>SUM($G$77:Z80)</f>
        <v>0</v>
      </c>
      <c r="AA82" s="106">
        <f>SUM($G$77:AA80)</f>
        <v>0</v>
      </c>
    </row>
    <row r="83" spans="1:27" x14ac:dyDescent="0.25">
      <c r="G83" s="106"/>
      <c r="H83" s="106"/>
      <c r="I83" s="106"/>
      <c r="J83" s="106"/>
      <c r="K83" s="106"/>
      <c r="L83" s="106"/>
      <c r="M83" s="106"/>
      <c r="N83" s="106"/>
      <c r="O83" s="106"/>
      <c r="P83" s="106"/>
      <c r="Q83" s="106"/>
      <c r="R83" s="106"/>
      <c r="S83" s="106"/>
      <c r="T83" s="106"/>
      <c r="U83" s="106"/>
      <c r="V83" s="106"/>
      <c r="W83" s="106"/>
      <c r="X83" s="106"/>
      <c r="Y83" s="106"/>
      <c r="Z83" s="106"/>
      <c r="AA83" s="106"/>
    </row>
    <row r="84" spans="1:27" x14ac:dyDescent="0.25">
      <c r="D84" s="47" t="s">
        <v>651</v>
      </c>
      <c r="F84" s="47" t="s">
        <v>639</v>
      </c>
      <c r="G84" s="106">
        <f t="shared" ref="G84:AA84" si="16">G61-G75</f>
        <v>0</v>
      </c>
      <c r="H84" s="106">
        <f t="shared" si="16"/>
        <v>0</v>
      </c>
      <c r="I84" s="106">
        <f t="shared" si="16"/>
        <v>0</v>
      </c>
      <c r="J84" s="106">
        <f t="shared" si="16"/>
        <v>0</v>
      </c>
      <c r="K84" s="106">
        <f t="shared" si="16"/>
        <v>0</v>
      </c>
      <c r="L84" s="106">
        <f t="shared" si="16"/>
        <v>0</v>
      </c>
      <c r="M84" s="106">
        <f t="shared" si="16"/>
        <v>0</v>
      </c>
      <c r="N84" s="106">
        <f t="shared" si="16"/>
        <v>0</v>
      </c>
      <c r="O84" s="106">
        <f t="shared" si="16"/>
        <v>0</v>
      </c>
      <c r="P84" s="106">
        <f t="shared" si="16"/>
        <v>0</v>
      </c>
      <c r="Q84" s="106">
        <f t="shared" si="16"/>
        <v>0</v>
      </c>
      <c r="R84" s="106">
        <f t="shared" si="16"/>
        <v>0</v>
      </c>
      <c r="S84" s="106">
        <f t="shared" si="16"/>
        <v>0</v>
      </c>
      <c r="T84" s="106">
        <f t="shared" si="16"/>
        <v>0</v>
      </c>
      <c r="U84" s="106">
        <f t="shared" si="16"/>
        <v>0</v>
      </c>
      <c r="V84" s="106">
        <f t="shared" si="16"/>
        <v>0</v>
      </c>
      <c r="W84" s="106">
        <f t="shared" si="16"/>
        <v>0</v>
      </c>
      <c r="X84" s="106">
        <f t="shared" si="16"/>
        <v>0</v>
      </c>
      <c r="Y84" s="106">
        <f t="shared" si="16"/>
        <v>0</v>
      </c>
      <c r="Z84" s="106">
        <f t="shared" si="16"/>
        <v>0</v>
      </c>
      <c r="AA84" s="106">
        <f t="shared" si="16"/>
        <v>0</v>
      </c>
    </row>
    <row r="85" spans="1:27" x14ac:dyDescent="0.25">
      <c r="D85" s="47" t="s">
        <v>652</v>
      </c>
      <c r="F85" s="47" t="s">
        <v>639</v>
      </c>
      <c r="G85" s="106">
        <f t="shared" ref="G85:AA85" si="17">-G68+G82</f>
        <v>0</v>
      </c>
      <c r="H85" s="106">
        <f t="shared" si="17"/>
        <v>0</v>
      </c>
      <c r="I85" s="106">
        <f t="shared" si="17"/>
        <v>0</v>
      </c>
      <c r="J85" s="106">
        <f t="shared" si="17"/>
        <v>0</v>
      </c>
      <c r="K85" s="106">
        <f t="shared" si="17"/>
        <v>0</v>
      </c>
      <c r="L85" s="106">
        <f t="shared" si="17"/>
        <v>0</v>
      </c>
      <c r="M85" s="106">
        <f t="shared" si="17"/>
        <v>0</v>
      </c>
      <c r="N85" s="106">
        <f t="shared" si="17"/>
        <v>0</v>
      </c>
      <c r="O85" s="106">
        <f t="shared" si="17"/>
        <v>0</v>
      </c>
      <c r="P85" s="106">
        <f t="shared" si="17"/>
        <v>0</v>
      </c>
      <c r="Q85" s="106">
        <f t="shared" si="17"/>
        <v>0</v>
      </c>
      <c r="R85" s="106">
        <f t="shared" si="17"/>
        <v>0</v>
      </c>
      <c r="S85" s="106">
        <f t="shared" si="17"/>
        <v>0</v>
      </c>
      <c r="T85" s="106">
        <f t="shared" si="17"/>
        <v>0</v>
      </c>
      <c r="U85" s="106">
        <f t="shared" si="17"/>
        <v>0</v>
      </c>
      <c r="V85" s="106">
        <f t="shared" si="17"/>
        <v>0</v>
      </c>
      <c r="W85" s="106">
        <f t="shared" si="17"/>
        <v>0</v>
      </c>
      <c r="X85" s="106">
        <f t="shared" si="17"/>
        <v>0</v>
      </c>
      <c r="Y85" s="106">
        <f t="shared" si="17"/>
        <v>0</v>
      </c>
      <c r="Z85" s="106">
        <f t="shared" si="17"/>
        <v>0</v>
      </c>
      <c r="AA85" s="106">
        <f t="shared" si="17"/>
        <v>0</v>
      </c>
    </row>
    <row r="87" spans="1:27" x14ac:dyDescent="0.25">
      <c r="C87" s="100" t="str">
        <f>"Incremental "&amp;G4&amp;" Service Revenue"</f>
        <v>Incremental Sewer Service Revenue</v>
      </c>
      <c r="D87" s="100"/>
    </row>
    <row r="88" spans="1:27" x14ac:dyDescent="0.25">
      <c r="C88" s="100"/>
      <c r="D88" s="100"/>
    </row>
    <row r="89" spans="1:27" x14ac:dyDescent="0.25">
      <c r="C89" s="100"/>
      <c r="D89" s="47" t="s">
        <v>653</v>
      </c>
    </row>
    <row r="90" spans="1:27" x14ac:dyDescent="0.25">
      <c r="A90" s="101">
        <v>15</v>
      </c>
      <c r="B90" s="107" t="s">
        <v>262</v>
      </c>
      <c r="C90" s="47" t="s">
        <v>405</v>
      </c>
      <c r="D90" s="100" t="str">
        <f>$G$4</f>
        <v>Sewer</v>
      </c>
      <c r="E90" s="47" t="s">
        <v>654</v>
      </c>
      <c r="F90" s="47" t="s">
        <v>655</v>
      </c>
      <c r="H90" s="102">
        <f>IF($G$4="Water and sewer",SUMIFS('INPUT Growth'!AD$64:AD$115,'INPUT Growth'!$B$64:$B$115,$A$1,'INPUT Growth'!$F$64:$F$115,$B90,'INPUT Growth'!$E$64:$E$115,$C90),SUMIFS('INPUT Growth'!AD$64:AD$115,'INPUT Growth'!$A$64:$A$115,$A$1,'INPUT Growth'!$F$64:$F$115,$B90,'INPUT Growth'!$E$64:$E$115,$C90))</f>
        <v>12831.413056321806</v>
      </c>
      <c r="I90" s="102">
        <f>IF($G$4="Water and sewer",SUMIFS('INPUT Growth'!AE$64:AE$115,'INPUT Growth'!$B$64:$B$115,$A$1,'INPUT Growth'!$F$64:$F$115,$B90,'INPUT Growth'!$E$64:$E$115,$C90),SUMIFS('INPUT Growth'!AE$64:AE$115,'INPUT Growth'!$A$64:$A$115,$A$1,'INPUT Growth'!$F$64:$F$115,$B90,'INPUT Growth'!$E$64:$E$115,$C90))</f>
        <v>13393.730870201733</v>
      </c>
      <c r="J90" s="102">
        <f>IF($G$4="Water and sewer",SUMIFS('INPUT Growth'!AF$64:AF$115,'INPUT Growth'!$B$64:$B$115,$A$1,'INPUT Growth'!$F$64:$F$115,$B90,'INPUT Growth'!$E$64:$E$115,$C90),SUMIFS('INPUT Growth'!AF$64:AF$115,'INPUT Growth'!$A$64:$A$115,$A$1,'INPUT Growth'!$F$64:$F$115,$B90,'INPUT Growth'!$E$64:$E$115,$C90))</f>
        <v>11418.12188379639</v>
      </c>
      <c r="K90" s="102">
        <f>IF($G$4="Water and sewer",SUMIFS('INPUT Growth'!AG$64:AG$115,'INPUT Growth'!$B$64:$B$115,$A$1,'INPUT Growth'!$F$64:$F$115,$B90,'INPUT Growth'!$E$64:$E$115,$C90),SUMIFS('INPUT Growth'!AG$64:AG$115,'INPUT Growth'!$A$64:$A$115,$A$1,'INPUT Growth'!$F$64:$F$115,$B90,'INPUT Growth'!$E$64:$E$115,$C90))</f>
        <v>11435.052488475885</v>
      </c>
      <c r="L90" s="102">
        <f>IF($G$4="Water and sewer",SUMIFS('INPUT Growth'!AH$64:AH$115,'INPUT Growth'!$B$64:$B$115,$A$1,'INPUT Growth'!$F$64:$F$115,$B90,'INPUT Growth'!$E$64:$E$115,$C90),SUMIFS('INPUT Growth'!AH$64:AH$115,'INPUT Growth'!$A$64:$A$115,$A$1,'INPUT Growth'!$F$64:$F$115,$B90,'INPUT Growth'!$E$64:$E$115,$C90))</f>
        <v>11192.107806805732</v>
      </c>
      <c r="M90" s="102">
        <f>IF($G$4="Water and sewer",SUMIFS('INPUT Growth'!AI$64:AI$115,'INPUT Growth'!$B$64:$B$115,$A$1,'INPUT Growth'!$F$64:$F$115,$B90,'INPUT Growth'!$E$64:$E$115,$C90),SUMIFS('INPUT Growth'!AI$64:AI$115,'INPUT Growth'!$A$64:$A$115,$A$1,'INPUT Growth'!$F$64:$F$115,$B90,'INPUT Growth'!$E$64:$E$115,$C90))</f>
        <v>10943.219234170574</v>
      </c>
      <c r="N90" s="102">
        <f>IF($G$4="Water and sewer",SUMIFS('INPUT Growth'!AJ$64:AJ$115,'INPUT Growth'!$B$64:$B$115,$A$1,'INPUT Growth'!$F$64:$F$115,$B90,'INPUT Growth'!$E$64:$E$115,$C90),SUMIFS('INPUT Growth'!AJ$64:AJ$115,'INPUT Growth'!$A$64:$A$115,$A$1,'INPUT Growth'!$F$64:$F$115,$B90,'INPUT Growth'!$E$64:$E$115,$C90))</f>
        <v>10928.714494089007</v>
      </c>
      <c r="O90" s="102">
        <f>IF($G$4="Water and sewer",SUMIFS('INPUT Growth'!AK$64:AK$115,'INPUT Growth'!$B$64:$B$115,$A$1,'INPUT Growth'!$F$64:$F$115,$B90,'INPUT Growth'!$E$64:$E$115,$C90),SUMIFS('INPUT Growth'!AK$64:AK$115,'INPUT Growth'!$A$64:$A$115,$A$1,'INPUT Growth'!$F$64:$F$115,$B90,'INPUT Growth'!$E$64:$E$115,$C90))</f>
        <v>11286.972735453441</v>
      </c>
      <c r="P90" s="102">
        <f>IF($G$4="Water and sewer",SUMIFS('INPUT Growth'!AL$64:AL$115,'INPUT Growth'!$B$64:$B$115,$A$1,'INPUT Growth'!$F$64:$F$115,$B90,'INPUT Growth'!$E$64:$E$115,$C90),SUMIFS('INPUT Growth'!AL$64:AL$115,'INPUT Growth'!$A$64:$A$115,$A$1,'INPUT Growth'!$F$64:$F$115,$B90,'INPUT Growth'!$E$64:$E$115,$C90))</f>
        <v>11560.452580544908</v>
      </c>
      <c r="Q90" s="102">
        <f>IF($G$4="Water and sewer",SUMIFS('INPUT Growth'!AM$64:AM$115,'INPUT Growth'!$B$64:$B$115,$A$1,'INPUT Growth'!$F$64:$F$115,$B90,'INPUT Growth'!$E$64:$E$115,$C90),SUMIFS('INPUT Growth'!AM$64:AM$115,'INPUT Growth'!$A$64:$A$115,$A$1,'INPUT Growth'!$F$64:$F$115,$B90,'INPUT Growth'!$E$64:$E$115,$C90))</f>
        <v>11873.170677270624</v>
      </c>
      <c r="R90" s="102">
        <f>IF($G$4="Water and sewer",SUMIFS('INPUT Growth'!AN$64:AN$115,'INPUT Growth'!$B$64:$B$115,$A$1,'INPUT Growth'!$F$64:$F$115,$B90,'INPUT Growth'!$E$64:$E$115,$C90),SUMIFS('INPUT Growth'!AN$64:AN$115,'INPUT Growth'!$A$64:$A$115,$A$1,'INPUT Growth'!$F$64:$F$115,$B90,'INPUT Growth'!$E$64:$E$115,$C90))</f>
        <v>12124.444533356305</v>
      </c>
      <c r="S90" s="102">
        <f>IF($G$4="Water and sewer",SUMIFS('INPUT Growth'!AO$64:AO$115,'INPUT Growth'!$B$64:$B$115,$A$1,'INPUT Growth'!$F$64:$F$115,$B90,'INPUT Growth'!$E$64:$E$115,$C90),SUMIFS('INPUT Growth'!AO$64:AO$115,'INPUT Growth'!$A$64:$A$115,$A$1,'INPUT Growth'!$F$64:$F$115,$B90,'INPUT Growth'!$E$64:$E$115,$C90))</f>
        <v>12335.195491874605</v>
      </c>
      <c r="T90" s="102">
        <f>IF($G$4="Water and sewer",SUMIFS('INPUT Growth'!AP$64:AP$115,'INPUT Growth'!$B$64:$B$115,$A$1,'INPUT Growth'!$F$64:$F$115,$B90,'INPUT Growth'!$E$64:$E$115,$C90),SUMIFS('INPUT Growth'!AP$64:AP$115,'INPUT Growth'!$A$64:$A$115,$A$1,'INPUT Growth'!$F$64:$F$115,$B90,'INPUT Growth'!$E$64:$E$115,$C90))</f>
        <v>12524.896378125501</v>
      </c>
      <c r="U90" s="102">
        <f>IF($G$4="Water and sewer",SUMIFS('INPUT Growth'!AQ$64:AQ$115,'INPUT Growth'!$B$64:$B$115,$A$1,'INPUT Growth'!$F$64:$F$115,$B90,'INPUT Growth'!$E$64:$E$115,$C90),SUMIFS('INPUT Growth'!AQ$64:AQ$115,'INPUT Growth'!$A$64:$A$115,$A$1,'INPUT Growth'!$F$64:$F$115,$B90,'INPUT Growth'!$E$64:$E$115,$C90))</f>
        <v>12600.082215049391</v>
      </c>
      <c r="V90" s="102">
        <f>IF($G$4="Water and sewer",SUMIFS('INPUT Growth'!AR$64:AR$115,'INPUT Growth'!$B$64:$B$115,$A$1,'INPUT Growth'!$F$64:$F$115,$B90,'INPUT Growth'!$E$64:$E$115,$C90),SUMIFS('INPUT Growth'!AR$64:AR$115,'INPUT Growth'!$A$64:$A$115,$A$1,'INPUT Growth'!$F$64:$F$115,$B90,'INPUT Growth'!$E$64:$E$115,$C90))</f>
        <v>12676.839343894884</v>
      </c>
      <c r="W90" s="102">
        <f>IF($G$4="Water and sewer",SUMIFS('INPUT Growth'!AS$64:AS$115,'INPUT Growth'!$B$64:$B$115,$A$1,'INPUT Growth'!$F$64:$F$115,$B90,'INPUT Growth'!$E$64:$E$115,$C90),SUMIFS('INPUT Growth'!AS$64:AS$115,'INPUT Growth'!$A$64:$A$115,$A$1,'INPUT Growth'!$F$64:$F$115,$B90,'INPUT Growth'!$E$64:$E$115,$C90))</f>
        <v>12707.895768667469</v>
      </c>
      <c r="X90" s="102">
        <f>IF($G$4="Water and sewer",SUMIFS('INPUT Growth'!AT$64:AT$115,'INPUT Growth'!$B$64:$B$115,$A$1,'INPUT Growth'!$F$64:$F$115,$B90,'INPUT Growth'!$E$64:$E$115,$C90),SUMIFS('INPUT Growth'!AT$64:AT$115,'INPUT Growth'!$A$64:$A$115,$A$1,'INPUT Growth'!$F$64:$F$115,$B90,'INPUT Growth'!$E$64:$E$115,$C90))</f>
        <v>12707.106168853206</v>
      </c>
      <c r="Y90" s="102">
        <f>IF($G$4="Water and sewer",SUMIFS('INPUT Growth'!AU$64:AU$115,'INPUT Growth'!$B$64:$B$115,$A$1,'INPUT Growth'!$F$64:$F$115,$B90,'INPUT Growth'!$E$64:$E$115,$C90),SUMIFS('INPUT Growth'!AU$64:AU$115,'INPUT Growth'!$A$64:$A$115,$A$1,'INPUT Growth'!$F$64:$F$115,$B90,'INPUT Growth'!$E$64:$E$115,$C90))</f>
        <v>12574.469226112458</v>
      </c>
      <c r="Z90" s="102">
        <f>IF($G$4="Water and sewer",SUMIFS('INPUT Growth'!AV$64:AV$115,'INPUT Growth'!$B$64:$B$115,$A$1,'INPUT Growth'!$F$64:$F$115,$B90,'INPUT Growth'!$E$64:$E$115,$C90),SUMIFS('INPUT Growth'!AV$64:AV$115,'INPUT Growth'!$A$64:$A$115,$A$1,'INPUT Growth'!$F$64:$F$115,$B90,'INPUT Growth'!$E$64:$E$115,$C90))</f>
        <v>12503.813243388009</v>
      </c>
      <c r="AA90" s="102">
        <f>IF($G$4="Water and sewer",SUMIFS('INPUT Growth'!AW$64:AW$115,'INPUT Growth'!$B$64:$B$115,$A$1,'INPUT Growth'!$F$64:$F$115,$B90,'INPUT Growth'!$E$64:$E$115,$C90),SUMIFS('INPUT Growth'!AW$64:AW$115,'INPUT Growth'!$A$64:$A$115,$A$1,'INPUT Growth'!$F$64:$F$115,$B90,'INPUT Growth'!$E$64:$E$115,$C90))</f>
        <v>12467.159200358539</v>
      </c>
    </row>
    <row r="91" spans="1:27" x14ac:dyDescent="0.25">
      <c r="C91" s="100"/>
      <c r="D91" s="100"/>
      <c r="E91" s="47" t="s">
        <v>656</v>
      </c>
      <c r="F91" s="47" t="s">
        <v>655</v>
      </c>
      <c r="H91" s="106">
        <f>G91+H90</f>
        <v>12831.413056321806</v>
      </c>
      <c r="I91" s="106">
        <f t="shared" ref="I91:AA91" si="18">H91+I90</f>
        <v>26225.143926523539</v>
      </c>
      <c r="J91" s="106">
        <f t="shared" si="18"/>
        <v>37643.265810319928</v>
      </c>
      <c r="K91" s="106">
        <f t="shared" si="18"/>
        <v>49078.318298795813</v>
      </c>
      <c r="L91" s="106">
        <f t="shared" si="18"/>
        <v>60270.426105601546</v>
      </c>
      <c r="M91" s="106">
        <f t="shared" si="18"/>
        <v>71213.64533977212</v>
      </c>
      <c r="N91" s="106">
        <f t="shared" si="18"/>
        <v>82142.359833861119</v>
      </c>
      <c r="O91" s="106">
        <f t="shared" si="18"/>
        <v>93429.33256931456</v>
      </c>
      <c r="P91" s="106">
        <f t="shared" si="18"/>
        <v>104989.78514985947</v>
      </c>
      <c r="Q91" s="106">
        <f t="shared" si="18"/>
        <v>116862.95582713009</v>
      </c>
      <c r="R91" s="106">
        <f t="shared" si="18"/>
        <v>128987.4003604864</v>
      </c>
      <c r="S91" s="106">
        <f t="shared" si="18"/>
        <v>141322.595852361</v>
      </c>
      <c r="T91" s="106">
        <f t="shared" si="18"/>
        <v>153847.4922304865</v>
      </c>
      <c r="U91" s="106">
        <f t="shared" si="18"/>
        <v>166447.57444553589</v>
      </c>
      <c r="V91" s="106">
        <f t="shared" si="18"/>
        <v>179124.41378943078</v>
      </c>
      <c r="W91" s="106">
        <f t="shared" si="18"/>
        <v>191832.30955809826</v>
      </c>
      <c r="X91" s="106">
        <f t="shared" si="18"/>
        <v>204539.41572695147</v>
      </c>
      <c r="Y91" s="106">
        <f t="shared" si="18"/>
        <v>217113.88495306391</v>
      </c>
      <c r="Z91" s="106">
        <f t="shared" si="18"/>
        <v>229617.69819645194</v>
      </c>
      <c r="AA91" s="106">
        <f t="shared" si="18"/>
        <v>242084.85739681049</v>
      </c>
    </row>
    <row r="92" spans="1:27" x14ac:dyDescent="0.25">
      <c r="A92" s="101">
        <v>16</v>
      </c>
      <c r="C92" s="100"/>
      <c r="D92" s="100"/>
      <c r="E92" s="47" t="s">
        <v>657</v>
      </c>
      <c r="F92" s="47" t="s">
        <v>655</v>
      </c>
      <c r="G92" s="102">
        <f>Assumptions!$H$45</f>
        <v>1</v>
      </c>
    </row>
    <row r="93" spans="1:27" x14ac:dyDescent="0.25">
      <c r="C93" s="100"/>
      <c r="D93" s="100"/>
      <c r="E93" s="47" t="s">
        <v>658</v>
      </c>
      <c r="F93" s="47" t="s">
        <v>655</v>
      </c>
      <c r="H93" s="47">
        <f>H90*$G92</f>
        <v>12831.413056321806</v>
      </c>
      <c r="I93" s="47">
        <f t="shared" ref="I93:AA93" si="19">I90*$G92</f>
        <v>13393.730870201733</v>
      </c>
      <c r="J93" s="47">
        <f t="shared" si="19"/>
        <v>11418.12188379639</v>
      </c>
      <c r="K93" s="47">
        <f t="shared" si="19"/>
        <v>11435.052488475885</v>
      </c>
      <c r="L93" s="47">
        <f t="shared" si="19"/>
        <v>11192.107806805732</v>
      </c>
      <c r="M93" s="47">
        <f t="shared" si="19"/>
        <v>10943.219234170574</v>
      </c>
      <c r="N93" s="47">
        <f t="shared" si="19"/>
        <v>10928.714494089007</v>
      </c>
      <c r="O93" s="47">
        <f t="shared" si="19"/>
        <v>11286.972735453441</v>
      </c>
      <c r="P93" s="47">
        <f t="shared" si="19"/>
        <v>11560.452580544908</v>
      </c>
      <c r="Q93" s="47">
        <f t="shared" si="19"/>
        <v>11873.170677270624</v>
      </c>
      <c r="R93" s="47">
        <f t="shared" si="19"/>
        <v>12124.444533356305</v>
      </c>
      <c r="S93" s="47">
        <f t="shared" si="19"/>
        <v>12335.195491874605</v>
      </c>
      <c r="T93" s="47">
        <f t="shared" si="19"/>
        <v>12524.896378125501</v>
      </c>
      <c r="U93" s="47">
        <f t="shared" si="19"/>
        <v>12600.082215049391</v>
      </c>
      <c r="V93" s="47">
        <f t="shared" si="19"/>
        <v>12676.839343894884</v>
      </c>
      <c r="W93" s="47">
        <f t="shared" si="19"/>
        <v>12707.895768667469</v>
      </c>
      <c r="X93" s="47">
        <f t="shared" si="19"/>
        <v>12707.106168853206</v>
      </c>
      <c r="Y93" s="47">
        <f t="shared" si="19"/>
        <v>12574.469226112458</v>
      </c>
      <c r="Z93" s="47">
        <f t="shared" si="19"/>
        <v>12503.813243388009</v>
      </c>
      <c r="AA93" s="47">
        <f t="shared" si="19"/>
        <v>12467.159200358539</v>
      </c>
    </row>
    <row r="94" spans="1:27" x14ac:dyDescent="0.25">
      <c r="C94" s="100"/>
      <c r="D94" s="100"/>
      <c r="E94" s="47" t="s">
        <v>659</v>
      </c>
      <c r="F94" s="47" t="s">
        <v>655</v>
      </c>
      <c r="H94" s="47">
        <f>H91*$G92</f>
        <v>12831.413056321806</v>
      </c>
      <c r="I94" s="47">
        <f t="shared" ref="I94:AA94" si="20">I91*$G92</f>
        <v>26225.143926523539</v>
      </c>
      <c r="J94" s="47">
        <f t="shared" si="20"/>
        <v>37643.265810319928</v>
      </c>
      <c r="K94" s="47">
        <f t="shared" si="20"/>
        <v>49078.318298795813</v>
      </c>
      <c r="L94" s="47">
        <f t="shared" si="20"/>
        <v>60270.426105601546</v>
      </c>
      <c r="M94" s="47">
        <f t="shared" si="20"/>
        <v>71213.64533977212</v>
      </c>
      <c r="N94" s="47">
        <f t="shared" si="20"/>
        <v>82142.359833861119</v>
      </c>
      <c r="O94" s="47">
        <f t="shared" si="20"/>
        <v>93429.33256931456</v>
      </c>
      <c r="P94" s="47">
        <f t="shared" si="20"/>
        <v>104989.78514985947</v>
      </c>
      <c r="Q94" s="47">
        <f t="shared" si="20"/>
        <v>116862.95582713009</v>
      </c>
      <c r="R94" s="47">
        <f t="shared" si="20"/>
        <v>128987.4003604864</v>
      </c>
      <c r="S94" s="47">
        <f t="shared" si="20"/>
        <v>141322.595852361</v>
      </c>
      <c r="T94" s="47">
        <f t="shared" si="20"/>
        <v>153847.4922304865</v>
      </c>
      <c r="U94" s="47">
        <f t="shared" si="20"/>
        <v>166447.57444553589</v>
      </c>
      <c r="V94" s="47">
        <f t="shared" si="20"/>
        <v>179124.41378943078</v>
      </c>
      <c r="W94" s="47">
        <f t="shared" si="20"/>
        <v>191832.30955809826</v>
      </c>
      <c r="X94" s="47">
        <f t="shared" si="20"/>
        <v>204539.41572695147</v>
      </c>
      <c r="Y94" s="47">
        <f t="shared" si="20"/>
        <v>217113.88495306391</v>
      </c>
      <c r="Z94" s="47">
        <f t="shared" si="20"/>
        <v>229617.69819645194</v>
      </c>
      <c r="AA94" s="47">
        <f t="shared" si="20"/>
        <v>242084.85739681049</v>
      </c>
    </row>
    <row r="95" spans="1:27" x14ac:dyDescent="0.25">
      <c r="A95" s="101">
        <v>17</v>
      </c>
      <c r="B95" s="47" t="str">
        <f>B90</f>
        <v>Central</v>
      </c>
      <c r="C95" s="47" t="str">
        <f>C90</f>
        <v>R</v>
      </c>
      <c r="D95" s="47" t="str">
        <f>D90</f>
        <v>Sewer</v>
      </c>
      <c r="E95" s="47" t="s">
        <v>660</v>
      </c>
      <c r="F95" s="47" t="s">
        <v>661</v>
      </c>
      <c r="H95" s="102">
        <f>IF(OR($D95=W,$D95=WS),'INPUT Reg'!AD113,IF($D95=RW,'INPUT Reg'!AD117,0))</f>
        <v>0</v>
      </c>
      <c r="I95" s="102">
        <f>IF(OR($D95=W,$D95=WS),'INPUT Reg'!AE113,IF($D95=RW,'INPUT Reg'!AE117,0))</f>
        <v>0</v>
      </c>
      <c r="J95" s="102">
        <f>IF(OR($D95=W,$D95=WS),'INPUT Reg'!AF113,IF($D95=RW,'INPUT Reg'!AF117,0))</f>
        <v>0</v>
      </c>
      <c r="K95" s="102">
        <f>IF(OR($D95=W,$D95=WS),'INPUT Reg'!AG113,IF($D95=RW,'INPUT Reg'!AG117,0))</f>
        <v>0</v>
      </c>
      <c r="L95" s="102">
        <f>IF(OR($D95=W,$D95=WS),'INPUT Reg'!AH113,IF($D95=RW,'INPUT Reg'!AH117,0))</f>
        <v>0</v>
      </c>
      <c r="M95" s="102">
        <f>IF(OR($D95=W,$D95=WS),'INPUT Reg'!AI113,IF($D95=RW,'INPUT Reg'!AI117,0))</f>
        <v>0</v>
      </c>
      <c r="N95" s="102">
        <f>IF(OR($D95=W,$D95=WS),'INPUT Reg'!AJ113,IF($D95=RW,'INPUT Reg'!AJ117,0))</f>
        <v>0</v>
      </c>
      <c r="O95" s="102">
        <f>IF(OR($D95=W,$D95=WS),'INPUT Reg'!AK113,IF($D95=RW,'INPUT Reg'!AK117,0))</f>
        <v>0</v>
      </c>
      <c r="P95" s="102">
        <f>IF(OR($D95=W,$D95=WS),'INPUT Reg'!AL113,IF($D95=RW,'INPUT Reg'!AL117,0))</f>
        <v>0</v>
      </c>
      <c r="Q95" s="102">
        <f>IF(OR($D95=W,$D95=WS),'INPUT Reg'!AM113,IF($D95=RW,'INPUT Reg'!AM117,0))</f>
        <v>0</v>
      </c>
      <c r="R95" s="102">
        <f>IF(OR($D95=W,$D95=WS),'INPUT Reg'!AN113,IF($D95=RW,'INPUT Reg'!AN117,0))</f>
        <v>0</v>
      </c>
      <c r="S95" s="102">
        <f>IF(OR($D95=W,$D95=WS),'INPUT Reg'!AO113,IF($D95=RW,'INPUT Reg'!AO117,0))</f>
        <v>0</v>
      </c>
      <c r="T95" s="102">
        <f>IF(OR($D95=W,$D95=WS),'INPUT Reg'!AP113,IF($D95=RW,'INPUT Reg'!AP117,0))</f>
        <v>0</v>
      </c>
      <c r="U95" s="102">
        <f>IF(OR($D95=W,$D95=WS),'INPUT Reg'!AQ113,IF($D95=RW,'INPUT Reg'!AQ117,0))</f>
        <v>0</v>
      </c>
      <c r="V95" s="102">
        <f>IF(OR($D95=W,$D95=WS),'INPUT Reg'!AR113,IF($D95=RW,'INPUT Reg'!AR117,0))</f>
        <v>0</v>
      </c>
      <c r="W95" s="102">
        <f>IF(OR($D95=W,$D95=WS),'INPUT Reg'!AS113,IF($D95=RW,'INPUT Reg'!AS117,0))</f>
        <v>0</v>
      </c>
      <c r="X95" s="102">
        <f>IF(OR($D95=W,$D95=WS),'INPUT Reg'!AT113,IF($D95=RW,'INPUT Reg'!AT117,0))</f>
        <v>0</v>
      </c>
      <c r="Y95" s="102">
        <f>IF(OR($D95=W,$D95=WS),'INPUT Reg'!AU113,IF($D95=RW,'INPUT Reg'!AU117,0))</f>
        <v>0</v>
      </c>
      <c r="Z95" s="102">
        <f>IF(OR($D95=W,$D95=WS),'INPUT Reg'!AV113,IF($D95=RW,'INPUT Reg'!AV117,0))</f>
        <v>0</v>
      </c>
      <c r="AA95" s="102">
        <f>IF(OR($D95=W,$D95=WS),'INPUT Reg'!AW113,IF($D95=RW,'INPUT Reg'!AW117,0))</f>
        <v>0</v>
      </c>
    </row>
    <row r="96" spans="1:27" x14ac:dyDescent="0.25">
      <c r="B96" s="47" t="str">
        <f>B90</f>
        <v>Central</v>
      </c>
      <c r="C96" s="47" t="str">
        <f t="shared" ref="C96:D96" si="21">C90</f>
        <v>R</v>
      </c>
      <c r="D96" s="47" t="str">
        <f t="shared" si="21"/>
        <v>Sewer</v>
      </c>
      <c r="E96" s="47" t="s">
        <v>662</v>
      </c>
      <c r="F96" s="47" t="s">
        <v>661</v>
      </c>
      <c r="H96" s="102">
        <f>IF(OR($D96=W,$D96=WS),'INPUT Reg'!AD114,0)</f>
        <v>0</v>
      </c>
      <c r="I96" s="102">
        <f>IF(OR($D96=W,$D96=WS),'INPUT Reg'!AE114,0)</f>
        <v>0</v>
      </c>
      <c r="J96" s="102">
        <f>IF(OR($D96=W,$D96=WS),'INPUT Reg'!AF114,0)</f>
        <v>0</v>
      </c>
      <c r="K96" s="102">
        <f>IF(OR($D96=W,$D96=WS),'INPUT Reg'!AG114,0)</f>
        <v>0</v>
      </c>
      <c r="L96" s="102">
        <f>IF(OR($D96=W,$D96=WS),'INPUT Reg'!AH114,0)</f>
        <v>0</v>
      </c>
      <c r="M96" s="102">
        <f>IF(OR($D96=W,$D96=WS),'INPUT Reg'!AI114,0)</f>
        <v>0</v>
      </c>
      <c r="N96" s="102">
        <f>IF(OR($D96=W,$D96=WS),'INPUT Reg'!AJ114,0)</f>
        <v>0</v>
      </c>
      <c r="O96" s="102">
        <f>IF(OR($D96=W,$D96=WS),'INPUT Reg'!AK114,0)</f>
        <v>0</v>
      </c>
      <c r="P96" s="102">
        <f>IF(OR($D96=W,$D96=WS),'INPUT Reg'!AL114,0)</f>
        <v>0</v>
      </c>
      <c r="Q96" s="102">
        <f>IF(OR($D96=W,$D96=WS),'INPUT Reg'!AM114,0)</f>
        <v>0</v>
      </c>
      <c r="R96" s="102">
        <f>IF(OR($D96=W,$D96=WS),'INPUT Reg'!AN114,0)</f>
        <v>0</v>
      </c>
      <c r="S96" s="102">
        <f>IF(OR($D96=W,$D96=WS),'INPUT Reg'!AO114,0)</f>
        <v>0</v>
      </c>
      <c r="T96" s="102">
        <f>IF(OR($D96=W,$D96=WS),'INPUT Reg'!AP114,0)</f>
        <v>0</v>
      </c>
      <c r="U96" s="102">
        <f>IF(OR($D96=W,$D96=WS),'INPUT Reg'!AQ114,0)</f>
        <v>0</v>
      </c>
      <c r="V96" s="102">
        <f>IF(OR($D96=W,$D96=WS),'INPUT Reg'!AR114,0)</f>
        <v>0</v>
      </c>
      <c r="W96" s="102">
        <f>IF(OR($D96=W,$D96=WS),'INPUT Reg'!AS114,0)</f>
        <v>0</v>
      </c>
      <c r="X96" s="102">
        <f>IF(OR($D96=W,$D96=WS),'INPUT Reg'!AT114,0)</f>
        <v>0</v>
      </c>
      <c r="Y96" s="102">
        <f>IF(OR($D96=W,$D96=WS),'INPUT Reg'!AU114,0)</f>
        <v>0</v>
      </c>
      <c r="Z96" s="102">
        <f>IF(OR($D96=W,$D96=WS),'INPUT Reg'!AV114,0)</f>
        <v>0</v>
      </c>
      <c r="AA96" s="102">
        <f>IF(OR($D96=W,$D96=WS),'INPUT Reg'!AW114,0)</f>
        <v>0</v>
      </c>
    </row>
    <row r="97" spans="1:27" x14ac:dyDescent="0.25">
      <c r="B97" s="47" t="str">
        <f>B90</f>
        <v>Central</v>
      </c>
      <c r="C97" s="47" t="str">
        <f t="shared" ref="C97:D97" si="22">C90</f>
        <v>R</v>
      </c>
      <c r="D97" s="47" t="str">
        <f t="shared" si="22"/>
        <v>Sewer</v>
      </c>
      <c r="E97" s="47" t="s">
        <v>663</v>
      </c>
      <c r="F97" s="47" t="s">
        <v>661</v>
      </c>
      <c r="H97" s="102">
        <f>IF(OR($D97=S,$D97=WS),'INPUT Reg'!AD116,0)</f>
        <v>96.209345157445028</v>
      </c>
      <c r="I97" s="102">
        <f>IF(OR($D97=S,$D97=WS),'INPUT Reg'!AE116,0)</f>
        <v>96.251920721192263</v>
      </c>
      <c r="J97" s="102">
        <f>IF(OR($D97=S,$D97=WS),'INPUT Reg'!AF116,0)</f>
        <v>94.332966704283663</v>
      </c>
      <c r="K97" s="102">
        <f>IF(OR($D97=S,$D97=WS),'INPUT Reg'!AG116,0)</f>
        <v>93.631241827116241</v>
      </c>
      <c r="L97" s="102">
        <f>IF(OR($D97=S,$D97=WS),'INPUT Reg'!AH116,0)</f>
        <v>92.954868066711825</v>
      </c>
      <c r="M97" s="102">
        <f>IF(OR($D97=S,$D97=WS),'INPUT Reg'!AI116,0)</f>
        <v>91.267051711582297</v>
      </c>
      <c r="N97" s="102">
        <f>IF(OR($D97=S,$D97=WS),'INPUT Reg'!AJ116,0)</f>
        <v>91.65775723155113</v>
      </c>
      <c r="O97" s="102">
        <f>IF(OR($D97=S,$D97=WS),'INPUT Reg'!AK116,0)</f>
        <v>91.015700390579795</v>
      </c>
      <c r="P97" s="102">
        <f>IF(OR($D97=S,$D97=WS),'INPUT Reg'!AL116,0)</f>
        <v>90.3901544303924</v>
      </c>
      <c r="Q97" s="102">
        <f>IF(OR($D97=S,$D97=WS),'INPUT Reg'!AM116,0)</f>
        <v>88.675982224952236</v>
      </c>
      <c r="R97" s="102">
        <f>IF(OR($D97=S,$D97=WS),'INPUT Reg'!AN116,0)</f>
        <v>88.064256945889042</v>
      </c>
      <c r="S97" s="102">
        <f>IF(OR($D97=S,$D97=WS),'INPUT Reg'!AO116,0)</f>
        <v>87.472668641279483</v>
      </c>
      <c r="T97" s="102">
        <f>IF(OR($D97=S,$D97=WS),'INPUT Reg'!AP116,0)</f>
        <v>86.896785706983835</v>
      </c>
      <c r="U97" s="102">
        <f>IF(OR($D97=S,$D97=WS),'INPUT Reg'!AQ116,0)</f>
        <v>86.337299897091711</v>
      </c>
      <c r="V97" s="102">
        <f>IF(OR($D97=S,$D97=WS),'INPUT Reg'!AR116,0)</f>
        <v>85.790546730678273</v>
      </c>
      <c r="W97" s="102">
        <f>IF(OR($D97=S,$D97=WS),'INPUT Reg'!AS116,0)</f>
        <v>85.252754124725669</v>
      </c>
      <c r="X97" s="102">
        <f>IF(OR($D97=S,$D97=WS),'INPUT Reg'!AT116,0)</f>
        <v>84.314692618921896</v>
      </c>
      <c r="Y97" s="102">
        <f>IF(OR($D97=S,$D97=WS),'INPUT Reg'!AU116,0)</f>
        <v>83.841163414979292</v>
      </c>
      <c r="Z97" s="102">
        <f>IF(OR($D97=S,$D97=WS),'INPUT Reg'!AV116,0)</f>
        <v>83.388493945966971</v>
      </c>
      <c r="AA97" s="102">
        <f>IF(OR($D97=S,$D97=WS),'INPUT Reg'!AW116,0)</f>
        <v>83.388493945966971</v>
      </c>
    </row>
    <row r="98" spans="1:27" x14ac:dyDescent="0.25">
      <c r="C98" s="100"/>
      <c r="D98" s="100"/>
      <c r="E98" s="47" t="s">
        <v>664</v>
      </c>
      <c r="F98" s="47" t="s">
        <v>665</v>
      </c>
      <c r="H98" s="106">
        <f>H91*H95</f>
        <v>0</v>
      </c>
      <c r="I98" s="106">
        <f t="shared" ref="I98:AA98" si="23">I91*I95</f>
        <v>0</v>
      </c>
      <c r="J98" s="106">
        <f t="shared" si="23"/>
        <v>0</v>
      </c>
      <c r="K98" s="106">
        <f t="shared" si="23"/>
        <v>0</v>
      </c>
      <c r="L98" s="106">
        <f t="shared" si="23"/>
        <v>0</v>
      </c>
      <c r="M98" s="106">
        <f t="shared" si="23"/>
        <v>0</v>
      </c>
      <c r="N98" s="106">
        <f t="shared" si="23"/>
        <v>0</v>
      </c>
      <c r="O98" s="106">
        <f t="shared" si="23"/>
        <v>0</v>
      </c>
      <c r="P98" s="106">
        <f t="shared" si="23"/>
        <v>0</v>
      </c>
      <c r="Q98" s="106">
        <f t="shared" si="23"/>
        <v>0</v>
      </c>
      <c r="R98" s="106">
        <f t="shared" si="23"/>
        <v>0</v>
      </c>
      <c r="S98" s="106">
        <f t="shared" si="23"/>
        <v>0</v>
      </c>
      <c r="T98" s="106">
        <f t="shared" si="23"/>
        <v>0</v>
      </c>
      <c r="U98" s="106">
        <f t="shared" si="23"/>
        <v>0</v>
      </c>
      <c r="V98" s="106">
        <f t="shared" si="23"/>
        <v>0</v>
      </c>
      <c r="W98" s="106">
        <f t="shared" si="23"/>
        <v>0</v>
      </c>
      <c r="X98" s="106">
        <f t="shared" si="23"/>
        <v>0</v>
      </c>
      <c r="Y98" s="106">
        <f t="shared" si="23"/>
        <v>0</v>
      </c>
      <c r="Z98" s="106">
        <f t="shared" si="23"/>
        <v>0</v>
      </c>
      <c r="AA98" s="106">
        <f t="shared" si="23"/>
        <v>0</v>
      </c>
    </row>
    <row r="99" spans="1:27" x14ac:dyDescent="0.25">
      <c r="C99" s="100"/>
      <c r="D99" s="100"/>
      <c r="E99" s="47" t="s">
        <v>666</v>
      </c>
      <c r="F99" s="47" t="s">
        <v>665</v>
      </c>
      <c r="H99" s="106">
        <f>H91*H96</f>
        <v>0</v>
      </c>
      <c r="I99" s="106">
        <f t="shared" ref="I99:AA99" si="24">I91*I96</f>
        <v>0</v>
      </c>
      <c r="J99" s="106">
        <f t="shared" si="24"/>
        <v>0</v>
      </c>
      <c r="K99" s="106">
        <f t="shared" si="24"/>
        <v>0</v>
      </c>
      <c r="L99" s="106">
        <f t="shared" si="24"/>
        <v>0</v>
      </c>
      <c r="M99" s="106">
        <f t="shared" si="24"/>
        <v>0</v>
      </c>
      <c r="N99" s="106">
        <f t="shared" si="24"/>
        <v>0</v>
      </c>
      <c r="O99" s="106">
        <f t="shared" si="24"/>
        <v>0</v>
      </c>
      <c r="P99" s="106">
        <f t="shared" si="24"/>
        <v>0</v>
      </c>
      <c r="Q99" s="106">
        <f t="shared" si="24"/>
        <v>0</v>
      </c>
      <c r="R99" s="106">
        <f t="shared" si="24"/>
        <v>0</v>
      </c>
      <c r="S99" s="106">
        <f t="shared" si="24"/>
        <v>0</v>
      </c>
      <c r="T99" s="106">
        <f t="shared" si="24"/>
        <v>0</v>
      </c>
      <c r="U99" s="106">
        <f t="shared" si="24"/>
        <v>0</v>
      </c>
      <c r="V99" s="106">
        <f t="shared" si="24"/>
        <v>0</v>
      </c>
      <c r="W99" s="106">
        <f t="shared" si="24"/>
        <v>0</v>
      </c>
      <c r="X99" s="106">
        <f t="shared" si="24"/>
        <v>0</v>
      </c>
      <c r="Y99" s="106">
        <f t="shared" si="24"/>
        <v>0</v>
      </c>
      <c r="Z99" s="106">
        <f t="shared" si="24"/>
        <v>0</v>
      </c>
      <c r="AA99" s="106">
        <f t="shared" si="24"/>
        <v>0</v>
      </c>
    </row>
    <row r="100" spans="1:27" x14ac:dyDescent="0.25">
      <c r="C100" s="100"/>
      <c r="D100" s="100"/>
      <c r="E100" s="47" t="s">
        <v>667</v>
      </c>
      <c r="F100" s="47" t="s">
        <v>665</v>
      </c>
      <c r="H100" s="106">
        <f>H91*H97</f>
        <v>1234501.8475934113</v>
      </c>
      <c r="I100" s="106">
        <f t="shared" ref="I100:AA100" si="25">I91*I97</f>
        <v>2524220.4741176004</v>
      </c>
      <c r="J100" s="106">
        <f t="shared" si="25"/>
        <v>3551000.9403254092</v>
      </c>
      <c r="K100" s="106">
        <f t="shared" si="25"/>
        <v>4595263.8891027346</v>
      </c>
      <c r="L100" s="106">
        <f t="shared" si="25"/>
        <v>5602429.5069706962</v>
      </c>
      <c r="M100" s="106">
        <f t="shared" si="25"/>
        <v>6499459.4517952641</v>
      </c>
      <c r="N100" s="106">
        <f t="shared" si="25"/>
        <v>7528984.4760787589</v>
      </c>
      <c r="O100" s="106">
        <f t="shared" si="25"/>
        <v>8503536.1408205722</v>
      </c>
      <c r="P100" s="106">
        <f t="shared" si="25"/>
        <v>9490042.8933095168</v>
      </c>
      <c r="Q100" s="106">
        <f t="shared" si="25"/>
        <v>10362937.393681966</v>
      </c>
      <c r="R100" s="106">
        <f t="shared" si="25"/>
        <v>11359179.568128135</v>
      </c>
      <c r="S100" s="106">
        <f t="shared" si="25"/>
        <v>12361864.598519033</v>
      </c>
      <c r="T100" s="106">
        <f t="shared" si="25"/>
        <v>13368852.563909447</v>
      </c>
      <c r="U100" s="106">
        <f t="shared" si="25"/>
        <v>14370634.152047731</v>
      </c>
      <c r="V100" s="106">
        <f t="shared" si="25"/>
        <v>15367181.391807513</v>
      </c>
      <c r="W100" s="106">
        <f t="shared" si="25"/>
        <v>16354232.719934814</v>
      </c>
      <c r="X100" s="106">
        <f t="shared" si="25"/>
        <v>17245677.965471793</v>
      </c>
      <c r="Y100" s="106">
        <f t="shared" si="25"/>
        <v>18203080.708010845</v>
      </c>
      <c r="Z100" s="106">
        <f t="shared" si="25"/>
        <v>19147474.035941705</v>
      </c>
      <c r="AA100" s="106">
        <f t="shared" si="25"/>
        <v>20187091.66544421</v>
      </c>
    </row>
    <row r="101" spans="1:27" x14ac:dyDescent="0.25">
      <c r="A101" s="101">
        <v>18</v>
      </c>
      <c r="B101" s="47" t="str">
        <f>B95</f>
        <v>Central</v>
      </c>
      <c r="C101" s="47" t="str">
        <f t="shared" ref="C101:D101" si="26">C95</f>
        <v>R</v>
      </c>
      <c r="D101" s="47" t="str">
        <f t="shared" si="26"/>
        <v>Sewer</v>
      </c>
      <c r="E101" s="47" t="s">
        <v>668</v>
      </c>
      <c r="F101" s="47" t="s">
        <v>633</v>
      </c>
      <c r="H101" s="105">
        <f>SUMIFS('INPUT Reg'!AD$94:AD$109,'INPUT Reg'!$D$94:$D$109,$D101,'INPUT Reg'!$C$94:$C$109,$C101,'INPUT Reg'!$B$94:$B$109,$B101)</f>
        <v>1.1257742014708194E-2</v>
      </c>
      <c r="I101" s="105">
        <f>SUMIFS('INPUT Reg'!AE$94:AE$109,'INPUT Reg'!$D$94:$D$109,$D101,'INPUT Reg'!$C$94:$C$109,$C101,'INPUT Reg'!$B$94:$B$109,$B101)</f>
        <v>1.1132416145739121E-2</v>
      </c>
      <c r="J101" s="105">
        <f>SUMIFS('INPUT Reg'!AF$94:AF$109,'INPUT Reg'!$D$94:$D$109,$D101,'INPUT Reg'!$C$94:$C$109,$C101,'INPUT Reg'!$B$94:$B$109,$B101)</f>
        <v>1.1009849914785486E-2</v>
      </c>
      <c r="K101" s="105">
        <f>SUMIFS('INPUT Reg'!AG$94:AG$109,'INPUT Reg'!$D$94:$D$109,$D101,'INPUT Reg'!$C$94:$C$109,$C101,'INPUT Reg'!$B$94:$B$109,$B101)</f>
        <v>1.088995316486141E-2</v>
      </c>
      <c r="L101" s="105">
        <f>SUMIFS('INPUT Reg'!AH$94:AH$109,'INPUT Reg'!$D$94:$D$109,$D101,'INPUT Reg'!$C$94:$C$109,$C101,'INPUT Reg'!$B$94:$B$109,$B101)</f>
        <v>1.1597511273610639E-2</v>
      </c>
      <c r="M101" s="105">
        <f>SUMIFS('INPUT Reg'!AI$94:AI$109,'INPUT Reg'!$D$94:$D$109,$D101,'INPUT Reg'!$C$94:$C$109,$C101,'INPUT Reg'!$B$94:$B$109,$B101)</f>
        <v>1.146455101397903E-2</v>
      </c>
      <c r="N101" s="105">
        <f>SUMIFS('INPUT Reg'!AJ$94:AJ$109,'INPUT Reg'!$D$94:$D$109,$D101,'INPUT Reg'!$C$94:$C$109,$C101,'INPUT Reg'!$B$94:$B$109,$B101)</f>
        <v>1.1334604858357133E-2</v>
      </c>
      <c r="O101" s="105">
        <f>SUMIFS('INPUT Reg'!AK$94:AK$109,'INPUT Reg'!$D$94:$D$109,$D101,'INPUT Reg'!$C$94:$C$109,$C101,'INPUT Reg'!$B$94:$B$109,$B101)</f>
        <v>1.1207571464386445E-2</v>
      </c>
      <c r="P101" s="105">
        <f>SUMIFS('INPUT Reg'!AL$94:AL$109,'INPUT Reg'!$D$94:$D$109,$D101,'INPUT Reg'!$C$94:$C$109,$C101,'INPUT Reg'!$B$94:$B$109,$B101)</f>
        <v>1.1083353982561883E-2</v>
      </c>
      <c r="Q101" s="105">
        <f>SUMIFS('INPUT Reg'!AM$94:AM$109,'INPUT Reg'!$D$94:$D$109,$D101,'INPUT Reg'!$C$94:$C$109,$C101,'INPUT Reg'!$B$94:$B$109,$B101)</f>
        <v>1.4080503861134019E-2</v>
      </c>
      <c r="R101" s="105">
        <f>SUMIFS('INPUT Reg'!AN$94:AN$109,'INPUT Reg'!$D$94:$D$109,$D101,'INPUT Reg'!$C$94:$C$109,$C101,'INPUT Reg'!$B$94:$B$109,$B101)</f>
        <v>0</v>
      </c>
      <c r="S101" s="105">
        <f>SUMIFS('INPUT Reg'!AO$94:AO$109,'INPUT Reg'!$D$94:$D$109,$D101,'INPUT Reg'!$C$94:$C$109,$C101,'INPUT Reg'!$B$94:$B$109,$B101)</f>
        <v>0</v>
      </c>
      <c r="T101" s="105">
        <f>SUMIFS('INPUT Reg'!AP$94:AP$109,'INPUT Reg'!$D$94:$D$109,$D101,'INPUT Reg'!$C$94:$C$109,$C101,'INPUT Reg'!$B$94:$B$109,$B101)</f>
        <v>0</v>
      </c>
      <c r="U101" s="105">
        <f>SUMIFS('INPUT Reg'!AQ$94:AQ$109,'INPUT Reg'!$D$94:$D$109,$D101,'INPUT Reg'!$C$94:$C$109,$C101,'INPUT Reg'!$B$94:$B$109,$B101)</f>
        <v>0</v>
      </c>
      <c r="V101" s="105">
        <f>SUMIFS('INPUT Reg'!AR$94:AR$109,'INPUT Reg'!$D$94:$D$109,$D101,'INPUT Reg'!$C$94:$C$109,$C101,'INPUT Reg'!$B$94:$B$109,$B101)</f>
        <v>-0.11609367173460639</v>
      </c>
      <c r="W101" s="105">
        <f>SUMIFS('INPUT Reg'!AS$94:AS$109,'INPUT Reg'!$D$94:$D$109,$D101,'INPUT Reg'!$C$94:$C$109,$C101,'INPUT Reg'!$B$94:$B$109,$B101)</f>
        <v>0</v>
      </c>
      <c r="X101" s="105">
        <f>SUMIFS('INPUT Reg'!AT$94:AT$109,'INPUT Reg'!$D$94:$D$109,$D101,'INPUT Reg'!$C$94:$C$109,$C101,'INPUT Reg'!$B$94:$B$109,$B101)</f>
        <v>0</v>
      </c>
      <c r="Y101" s="105">
        <f>SUMIFS('INPUT Reg'!AU$94:AU$109,'INPUT Reg'!$D$94:$D$109,$D101,'INPUT Reg'!$C$94:$C$109,$C101,'INPUT Reg'!$B$94:$B$109,$B101)</f>
        <v>0</v>
      </c>
      <c r="Z101" s="105">
        <f>SUMIFS('INPUT Reg'!AV$94:AV$109,'INPUT Reg'!$D$94:$D$109,$D101,'INPUT Reg'!$C$94:$C$109,$C101,'INPUT Reg'!$B$94:$B$109,$B101)</f>
        <v>0</v>
      </c>
      <c r="AA101" s="105">
        <f>SUMIFS('INPUT Reg'!AW$94:AW$109,'INPUT Reg'!$D$94:$D$109,$D101,'INPUT Reg'!$C$94:$C$109,$C101,'INPUT Reg'!$B$94:$B$109,$B101)</f>
        <v>0</v>
      </c>
    </row>
    <row r="102" spans="1:27" x14ac:dyDescent="0.25">
      <c r="A102" s="101">
        <v>19</v>
      </c>
      <c r="B102" s="47" t="str">
        <f>B90</f>
        <v>Central</v>
      </c>
      <c r="C102" s="47" t="str">
        <f t="shared" ref="C102:D102" si="27">C90</f>
        <v>R</v>
      </c>
      <c r="D102" s="47" t="str">
        <f t="shared" si="27"/>
        <v>Sewer</v>
      </c>
      <c r="E102" s="47" t="s">
        <v>669</v>
      </c>
      <c r="F102" s="47" t="s">
        <v>670</v>
      </c>
      <c r="G102" s="108">
        <f>IF(D102=W,CWW_R_W_N,IF(D102=S,CWW_R_S_N,IF(D102=WS,CWW_R_W_N+CWW_R_S_N,CWW_R_R_N)))</f>
        <v>269.56</v>
      </c>
      <c r="H102" s="106">
        <f>G102*(1+$G$14)*(1+H101)</f>
        <v>272.59463693748472</v>
      </c>
      <c r="I102" s="106">
        <f t="shared" ref="I102:AA102" si="28">H102*(1+$G$14)*(1+I101)</f>
        <v>275.6292738749695</v>
      </c>
      <c r="J102" s="106">
        <f t="shared" si="28"/>
        <v>278.66391081245422</v>
      </c>
      <c r="K102" s="106">
        <f t="shared" si="28"/>
        <v>281.69854774993894</v>
      </c>
      <c r="L102" s="106">
        <f t="shared" si="28"/>
        <v>284.96554983322858</v>
      </c>
      <c r="M102" s="106">
        <f t="shared" si="28"/>
        <v>288.23255191651822</v>
      </c>
      <c r="N102" s="106">
        <f t="shared" si="28"/>
        <v>291.49955399980786</v>
      </c>
      <c r="O102" s="106">
        <f t="shared" si="28"/>
        <v>294.7665560830975</v>
      </c>
      <c r="P102" s="106">
        <f t="shared" si="28"/>
        <v>298.03355816638714</v>
      </c>
      <c r="Q102" s="106">
        <f t="shared" si="28"/>
        <v>302.23002083289646</v>
      </c>
      <c r="R102" s="106">
        <f t="shared" si="28"/>
        <v>302.23002083289646</v>
      </c>
      <c r="S102" s="106">
        <f t="shared" si="28"/>
        <v>302.23002083289646</v>
      </c>
      <c r="T102" s="106">
        <f t="shared" si="28"/>
        <v>302.23002083289646</v>
      </c>
      <c r="U102" s="106">
        <f t="shared" si="28"/>
        <v>302.23002083289646</v>
      </c>
      <c r="V102" s="106">
        <f t="shared" si="28"/>
        <v>267.14302800597892</v>
      </c>
      <c r="W102" s="106">
        <f t="shared" si="28"/>
        <v>267.14302800597892</v>
      </c>
      <c r="X102" s="106">
        <f t="shared" si="28"/>
        <v>267.14302800597892</v>
      </c>
      <c r="Y102" s="106">
        <f t="shared" si="28"/>
        <v>267.14302800597892</v>
      </c>
      <c r="Z102" s="106">
        <f t="shared" si="28"/>
        <v>267.14302800597892</v>
      </c>
      <c r="AA102" s="106">
        <f t="shared" si="28"/>
        <v>267.14302800597892</v>
      </c>
    </row>
    <row r="103" spans="1:27" x14ac:dyDescent="0.25">
      <c r="B103" s="47" t="str">
        <f>B90</f>
        <v>Central</v>
      </c>
      <c r="C103" s="47" t="str">
        <f t="shared" ref="C103:D103" si="29">C90</f>
        <v>R</v>
      </c>
      <c r="D103" s="47" t="str">
        <f t="shared" si="29"/>
        <v>Sewer</v>
      </c>
      <c r="E103" s="47" t="s">
        <v>671</v>
      </c>
      <c r="F103" s="47" t="s">
        <v>672</v>
      </c>
      <c r="G103" s="109">
        <f>IF(OR(D103=W,D103=WS),CWW_T1,IF(D103=RW,CWW_R_R_V,0))</f>
        <v>0</v>
      </c>
      <c r="H103" s="110">
        <f>G103*(1+$G$14)*(1+H101)</f>
        <v>0</v>
      </c>
      <c r="I103" s="110">
        <f t="shared" ref="I103:AA103" si="30">H103*(1+$G$14)*(1+I101)</f>
        <v>0</v>
      </c>
      <c r="J103" s="110">
        <f t="shared" si="30"/>
        <v>0</v>
      </c>
      <c r="K103" s="110">
        <f t="shared" si="30"/>
        <v>0</v>
      </c>
      <c r="L103" s="110">
        <f t="shared" si="30"/>
        <v>0</v>
      </c>
      <c r="M103" s="110">
        <f t="shared" si="30"/>
        <v>0</v>
      </c>
      <c r="N103" s="110">
        <f t="shared" si="30"/>
        <v>0</v>
      </c>
      <c r="O103" s="110">
        <f t="shared" si="30"/>
        <v>0</v>
      </c>
      <c r="P103" s="110">
        <f t="shared" si="30"/>
        <v>0</v>
      </c>
      <c r="Q103" s="110">
        <f t="shared" si="30"/>
        <v>0</v>
      </c>
      <c r="R103" s="110">
        <f t="shared" si="30"/>
        <v>0</v>
      </c>
      <c r="S103" s="110">
        <f t="shared" si="30"/>
        <v>0</v>
      </c>
      <c r="T103" s="110">
        <f t="shared" si="30"/>
        <v>0</v>
      </c>
      <c r="U103" s="110">
        <f t="shared" si="30"/>
        <v>0</v>
      </c>
      <c r="V103" s="110">
        <f t="shared" si="30"/>
        <v>0</v>
      </c>
      <c r="W103" s="110">
        <f t="shared" si="30"/>
        <v>0</v>
      </c>
      <c r="X103" s="110">
        <f t="shared" si="30"/>
        <v>0</v>
      </c>
      <c r="Y103" s="110">
        <f t="shared" si="30"/>
        <v>0</v>
      </c>
      <c r="Z103" s="110">
        <f t="shared" si="30"/>
        <v>0</v>
      </c>
      <c r="AA103" s="110">
        <f t="shared" si="30"/>
        <v>0</v>
      </c>
    </row>
    <row r="104" spans="1:27" x14ac:dyDescent="0.25">
      <c r="B104" s="47" t="str">
        <f>B90</f>
        <v>Central</v>
      </c>
      <c r="C104" s="47" t="str">
        <f t="shared" ref="C104:D104" si="31">C90</f>
        <v>R</v>
      </c>
      <c r="D104" s="47" t="str">
        <f t="shared" si="31"/>
        <v>Sewer</v>
      </c>
      <c r="E104" s="47" t="s">
        <v>673</v>
      </c>
      <c r="F104" s="47" t="s">
        <v>672</v>
      </c>
      <c r="G104" s="109">
        <f>IF(OR(D104=W,D104=WS),CWW_T2,0)</f>
        <v>0</v>
      </c>
      <c r="H104" s="110">
        <f>G104*(1+$G$14)*(1+H101)</f>
        <v>0</v>
      </c>
      <c r="I104" s="110">
        <f t="shared" ref="I104:AA104" si="32">H104*(1+$G$14)*(1+I101)</f>
        <v>0</v>
      </c>
      <c r="J104" s="110">
        <f t="shared" si="32"/>
        <v>0</v>
      </c>
      <c r="K104" s="110">
        <f t="shared" si="32"/>
        <v>0</v>
      </c>
      <c r="L104" s="110">
        <f t="shared" si="32"/>
        <v>0</v>
      </c>
      <c r="M104" s="110">
        <f t="shared" si="32"/>
        <v>0</v>
      </c>
      <c r="N104" s="110">
        <f t="shared" si="32"/>
        <v>0</v>
      </c>
      <c r="O104" s="110">
        <f t="shared" si="32"/>
        <v>0</v>
      </c>
      <c r="P104" s="110">
        <f t="shared" si="32"/>
        <v>0</v>
      </c>
      <c r="Q104" s="110">
        <f t="shared" si="32"/>
        <v>0</v>
      </c>
      <c r="R104" s="110">
        <f t="shared" si="32"/>
        <v>0</v>
      </c>
      <c r="S104" s="110">
        <f t="shared" si="32"/>
        <v>0</v>
      </c>
      <c r="T104" s="110">
        <f t="shared" si="32"/>
        <v>0</v>
      </c>
      <c r="U104" s="110">
        <f t="shared" si="32"/>
        <v>0</v>
      </c>
      <c r="V104" s="110">
        <f t="shared" si="32"/>
        <v>0</v>
      </c>
      <c r="W104" s="110">
        <f t="shared" si="32"/>
        <v>0</v>
      </c>
      <c r="X104" s="110">
        <f t="shared" si="32"/>
        <v>0</v>
      </c>
      <c r="Y104" s="110">
        <f t="shared" si="32"/>
        <v>0</v>
      </c>
      <c r="Z104" s="110">
        <f t="shared" si="32"/>
        <v>0</v>
      </c>
      <c r="AA104" s="110">
        <f t="shared" si="32"/>
        <v>0</v>
      </c>
    </row>
    <row r="105" spans="1:27" x14ac:dyDescent="0.25">
      <c r="B105" s="47" t="str">
        <f>B90</f>
        <v>Central</v>
      </c>
      <c r="C105" s="47" t="str">
        <f t="shared" ref="C105:D105" si="33">C90</f>
        <v>R</v>
      </c>
      <c r="D105" s="47" t="str">
        <f t="shared" si="33"/>
        <v>Sewer</v>
      </c>
      <c r="E105" s="47" t="s">
        <v>674</v>
      </c>
      <c r="F105" s="47" t="s">
        <v>672</v>
      </c>
      <c r="G105" s="109">
        <f>IF(OR(D105=S,D105=WS),CWW_R_SDC,0)</f>
        <v>0.78979999999999995</v>
      </c>
      <c r="H105" s="110">
        <f>G105*(1+$G$14)*(1+H101)</f>
        <v>0.79869136464321644</v>
      </c>
      <c r="I105" s="110">
        <f t="shared" ref="I105:AA105" si="34">H105*(1+$G$14)*(1+I101)</f>
        <v>0.80758272928643304</v>
      </c>
      <c r="J105" s="110">
        <f t="shared" si="34"/>
        <v>0.81647409392964954</v>
      </c>
      <c r="K105" s="110">
        <f t="shared" si="34"/>
        <v>0.82536545857286603</v>
      </c>
      <c r="L105" s="110">
        <f t="shared" si="34"/>
        <v>0.83493764378351365</v>
      </c>
      <c r="M105" s="110">
        <f t="shared" si="34"/>
        <v>0.84450982899416116</v>
      </c>
      <c r="N105" s="110">
        <f t="shared" si="34"/>
        <v>0.85408201420480878</v>
      </c>
      <c r="O105" s="110">
        <f t="shared" si="34"/>
        <v>0.86365419941545629</v>
      </c>
      <c r="P105" s="110">
        <f t="shared" si="34"/>
        <v>0.87322638462610391</v>
      </c>
      <c r="Q105" s="110">
        <f t="shared" si="34"/>
        <v>0.88552185210647583</v>
      </c>
      <c r="R105" s="110">
        <f t="shared" si="34"/>
        <v>0.88552185210647583</v>
      </c>
      <c r="S105" s="110">
        <f t="shared" si="34"/>
        <v>0.88552185210647583</v>
      </c>
      <c r="T105" s="110">
        <f t="shared" si="34"/>
        <v>0.88552185210647583</v>
      </c>
      <c r="U105" s="110">
        <f t="shared" si="34"/>
        <v>0.88552185210647583</v>
      </c>
      <c r="V105" s="110">
        <f t="shared" si="34"/>
        <v>0.78271836889420598</v>
      </c>
      <c r="W105" s="110">
        <f t="shared" si="34"/>
        <v>0.78271836889420598</v>
      </c>
      <c r="X105" s="110">
        <f t="shared" si="34"/>
        <v>0.78271836889420598</v>
      </c>
      <c r="Y105" s="110">
        <f t="shared" si="34"/>
        <v>0.78271836889420598</v>
      </c>
      <c r="Z105" s="110">
        <f t="shared" si="34"/>
        <v>0.78271836889420598</v>
      </c>
      <c r="AA105" s="110">
        <f t="shared" si="34"/>
        <v>0.78271836889420598</v>
      </c>
    </row>
    <row r="106" spans="1:27" x14ac:dyDescent="0.25">
      <c r="C106" s="100"/>
      <c r="D106" s="100"/>
    </row>
    <row r="107" spans="1:27" x14ac:dyDescent="0.25">
      <c r="C107" s="100"/>
      <c r="D107" s="100"/>
      <c r="E107" s="47" t="s">
        <v>675</v>
      </c>
      <c r="F107" s="47" t="s">
        <v>676</v>
      </c>
      <c r="H107" s="106">
        <f>SUM(H98:H100)/1000</f>
        <v>1234.5018475934114</v>
      </c>
      <c r="I107" s="106">
        <f t="shared" ref="I107:AA107" si="35">SUM(I98:I100)/1000</f>
        <v>2524.2204741176001</v>
      </c>
      <c r="J107" s="106">
        <f t="shared" si="35"/>
        <v>3551.0009403254094</v>
      </c>
      <c r="K107" s="106">
        <f t="shared" si="35"/>
        <v>4595.2638891027345</v>
      </c>
      <c r="L107" s="106">
        <f t="shared" si="35"/>
        <v>5602.4295069706959</v>
      </c>
      <c r="M107" s="106">
        <f t="shared" si="35"/>
        <v>6499.4594517952637</v>
      </c>
      <c r="N107" s="106">
        <f t="shared" si="35"/>
        <v>7528.9844760787591</v>
      </c>
      <c r="O107" s="106">
        <f t="shared" si="35"/>
        <v>8503.5361408205717</v>
      </c>
      <c r="P107" s="106">
        <f t="shared" si="35"/>
        <v>9490.0428933095172</v>
      </c>
      <c r="Q107" s="106">
        <f t="shared" si="35"/>
        <v>10362.937393681967</v>
      </c>
      <c r="R107" s="106">
        <f t="shared" si="35"/>
        <v>11359.179568128135</v>
      </c>
      <c r="S107" s="106">
        <f t="shared" si="35"/>
        <v>12361.864598519032</v>
      </c>
      <c r="T107" s="106">
        <f t="shared" si="35"/>
        <v>13368.852563909446</v>
      </c>
      <c r="U107" s="106">
        <f t="shared" si="35"/>
        <v>14370.634152047731</v>
      </c>
      <c r="V107" s="106">
        <f t="shared" si="35"/>
        <v>15367.181391807513</v>
      </c>
      <c r="W107" s="106">
        <f t="shared" si="35"/>
        <v>16354.232719934813</v>
      </c>
      <c r="X107" s="106">
        <f t="shared" si="35"/>
        <v>17245.677965471794</v>
      </c>
      <c r="Y107" s="106">
        <f t="shared" si="35"/>
        <v>18203.080708010846</v>
      </c>
      <c r="Z107" s="106">
        <f t="shared" si="35"/>
        <v>19147.474035941705</v>
      </c>
      <c r="AA107" s="106">
        <f t="shared" si="35"/>
        <v>20187.091665444212</v>
      </c>
    </row>
    <row r="108" spans="1:27" x14ac:dyDescent="0.25">
      <c r="C108" s="100"/>
      <c r="D108" s="100"/>
      <c r="E108" s="47" t="s">
        <v>677</v>
      </c>
      <c r="F108" s="47" t="s">
        <v>639</v>
      </c>
      <c r="H108" s="106">
        <f>H91*H102+H98*H103+H99*H104+H100*H105</f>
        <v>4483760.3487918973</v>
      </c>
      <c r="I108" s="106">
        <f t="shared" ref="I108:AA108" si="36">I91*I102+I98*I103+I99*I104+I100*I105</f>
        <v>9266934.2375428341</v>
      </c>
      <c r="J108" s="106">
        <f t="shared" si="36"/>
        <v>13389119.941752022</v>
      </c>
      <c r="K108" s="106">
        <f t="shared" si="36"/>
        <v>17618063.077872645</v>
      </c>
      <c r="L108" s="106">
        <f t="shared" si="36"/>
        <v>21852674.405879065</v>
      </c>
      <c r="M108" s="106">
        <f t="shared" si="36"/>
        <v>26014948.117750484</v>
      </c>
      <c r="N108" s="106">
        <f t="shared" si="36"/>
        <v>30374831.482308328</v>
      </c>
      <c r="O108" s="106">
        <f t="shared" si="36"/>
        <v>34883957.29650002</v>
      </c>
      <c r="P108" s="106">
        <f t="shared" si="36"/>
        <v>39577435.08500845</v>
      </c>
      <c r="Q108" s="106">
        <f t="shared" si="36"/>
        <v>44496101.088344097</v>
      </c>
      <c r="R108" s="106">
        <f t="shared" si="36"/>
        <v>49042666.427709818</v>
      </c>
      <c r="S108" s="106">
        <f t="shared" si="36"/>
        <v>53658632.323388122</v>
      </c>
      <c r="T108" s="106">
        <f t="shared" si="36"/>
        <v>58335741.864840314</v>
      </c>
      <c r="U108" s="106">
        <f t="shared" si="36"/>
        <v>63030964.462525278</v>
      </c>
      <c r="V108" s="106">
        <f t="shared" si="36"/>
        <v>59880013.443001434</v>
      </c>
      <c r="W108" s="106">
        <f t="shared" si="36"/>
        <v>64047422.403794296</v>
      </c>
      <c r="X108" s="106">
        <f t="shared" si="36"/>
        <v>68139787.791480392</v>
      </c>
      <c r="Y108" s="106">
        <f t="shared" si="36"/>
        <v>72248346.289127067</v>
      </c>
      <c r="Z108" s="106">
        <f t="shared" si="36"/>
        <v>76327846.825819626</v>
      </c>
      <c r="AA108" s="106">
        <f t="shared" si="36"/>
        <v>80472089.300473869</v>
      </c>
    </row>
    <row r="109" spans="1:27" x14ac:dyDescent="0.25">
      <c r="C109" s="100"/>
      <c r="D109" s="100"/>
    </row>
    <row r="110" spans="1:27" x14ac:dyDescent="0.25">
      <c r="C110" s="100"/>
      <c r="D110" s="47" t="s">
        <v>678</v>
      </c>
    </row>
    <row r="111" spans="1:27" x14ac:dyDescent="0.25">
      <c r="A111" s="101">
        <v>20</v>
      </c>
      <c r="B111" s="107" t="s">
        <v>262</v>
      </c>
      <c r="C111" s="47" t="s">
        <v>407</v>
      </c>
      <c r="D111" s="100" t="str">
        <f>$G$4</f>
        <v>Sewer</v>
      </c>
      <c r="E111" s="47" t="s">
        <v>654</v>
      </c>
      <c r="F111" s="47" t="s">
        <v>655</v>
      </c>
      <c r="H111" s="102">
        <f>IF($G$4="Water and sewer",SUMIFS('INPUT Growth'!AD$64:AD$115,'INPUT Growth'!$B$64:$B$115,$A$1,'INPUT Growth'!$F$64:$F$115,$B111,'INPUT Growth'!$E$64:$E$115,$C111),SUMIFS('INPUT Growth'!AD$64:AD$115,'INPUT Growth'!$A$64:$A$115,$A$1,'INPUT Growth'!$F$64:$F$115,$B111,'INPUT Growth'!$E$64:$E$115,$C111))</f>
        <v>977.51239235568482</v>
      </c>
      <c r="I111" s="102">
        <f>IF($G$4="Water and sewer",SUMIFS('INPUT Growth'!AE$64:AE$115,'INPUT Growth'!$B$64:$B$115,$A$1,'INPUT Growth'!$F$64:$F$115,$B111,'INPUT Growth'!$E$64:$E$115,$C111),SUMIFS('INPUT Growth'!AE$64:AE$115,'INPUT Growth'!$A$64:$A$115,$A$1,'INPUT Growth'!$F$64:$F$115,$B111,'INPUT Growth'!$E$64:$E$115,$C111))</f>
        <v>1019.1965097238149</v>
      </c>
      <c r="J111" s="102">
        <f>IF($G$4="Water and sewer",SUMIFS('INPUT Growth'!AF$64:AF$115,'INPUT Growth'!$B$64:$B$115,$A$1,'INPUT Growth'!$F$64:$F$115,$B111,'INPUT Growth'!$E$64:$E$115,$C111),SUMIFS('INPUT Growth'!AF$64:AF$115,'INPUT Growth'!$A$64:$A$115,$A$1,'INPUT Growth'!$F$64:$F$115,$B111,'INPUT Growth'!$E$64:$E$115,$C111))</f>
        <v>855.2193106803702</v>
      </c>
      <c r="K111" s="102">
        <f>IF($G$4="Water and sewer",SUMIFS('INPUT Growth'!AG$64:AG$115,'INPUT Growth'!$B$64:$B$115,$A$1,'INPUT Growth'!$F$64:$F$115,$B111,'INPUT Growth'!$E$64:$E$115,$C111),SUMIFS('INPUT Growth'!AG$64:AG$115,'INPUT Growth'!$A$64:$A$115,$A$1,'INPUT Growth'!$F$64:$F$115,$B111,'INPUT Growth'!$E$64:$E$115,$C111))</f>
        <v>852.08499198321124</v>
      </c>
      <c r="L111" s="102">
        <f>IF($G$4="Water and sewer",SUMIFS('INPUT Growth'!AH$64:AH$115,'INPUT Growth'!$B$64:$B$115,$A$1,'INPUT Growth'!$F$64:$F$115,$B111,'INPUT Growth'!$E$64:$E$115,$C111),SUMIFS('INPUT Growth'!AH$64:AH$115,'INPUT Growth'!$A$64:$A$115,$A$1,'INPUT Growth'!$F$64:$F$115,$B111,'INPUT Growth'!$E$64:$E$115,$C111))</f>
        <v>839.02522668192751</v>
      </c>
      <c r="M111" s="102">
        <f>IF($G$4="Water and sewer",SUMIFS('INPUT Growth'!AI$64:AI$115,'INPUT Growth'!$B$64:$B$115,$A$1,'INPUT Growth'!$F$64:$F$115,$B111,'INPUT Growth'!$E$64:$E$115,$C111),SUMIFS('INPUT Growth'!AI$64:AI$115,'INPUT Growth'!$A$64:$A$115,$A$1,'INPUT Growth'!$F$64:$F$115,$B111,'INPUT Growth'!$E$64:$E$115,$C111))</f>
        <v>821.71562457330583</v>
      </c>
      <c r="N111" s="102">
        <f>IF($G$4="Water and sewer",SUMIFS('INPUT Growth'!AJ$64:AJ$115,'INPUT Growth'!$B$64:$B$115,$A$1,'INPUT Growth'!$F$64:$F$115,$B111,'INPUT Growth'!$E$64:$E$115,$C111),SUMIFS('INPUT Growth'!AJ$64:AJ$115,'INPUT Growth'!$A$64:$A$115,$A$1,'INPUT Growth'!$F$64:$F$115,$B111,'INPUT Growth'!$E$64:$E$115,$C111))</f>
        <v>827.87877966656606</v>
      </c>
      <c r="O111" s="102">
        <f>IF($G$4="Water and sewer",SUMIFS('INPUT Growth'!AK$64:AK$115,'INPUT Growth'!$B$64:$B$115,$A$1,'INPUT Growth'!$F$64:$F$115,$B111,'INPUT Growth'!$E$64:$E$115,$C111),SUMIFS('INPUT Growth'!AK$64:AK$115,'INPUT Growth'!$A$64:$A$115,$A$1,'INPUT Growth'!$F$64:$F$115,$B111,'INPUT Growth'!$E$64:$E$115,$C111))</f>
        <v>850.79730689091548</v>
      </c>
      <c r="P111" s="102">
        <f>IF($G$4="Water and sewer",SUMIFS('INPUT Growth'!AL$64:AL$115,'INPUT Growth'!$B$64:$B$115,$A$1,'INPUT Growth'!$F$64:$F$115,$B111,'INPUT Growth'!$E$64:$E$115,$C111),SUMIFS('INPUT Growth'!AL$64:AL$115,'INPUT Growth'!$A$64:$A$115,$A$1,'INPUT Growth'!$F$64:$F$115,$B111,'INPUT Growth'!$E$64:$E$115,$C111))</f>
        <v>866.69430354300403</v>
      </c>
      <c r="Q111" s="102">
        <f>IF($G$4="Water and sewer",SUMIFS('INPUT Growth'!AM$64:AM$115,'INPUT Growth'!$B$64:$B$115,$A$1,'INPUT Growth'!$F$64:$F$115,$B111,'INPUT Growth'!$E$64:$E$115,$C111),SUMIFS('INPUT Growth'!AM$64:AM$115,'INPUT Growth'!$A$64:$A$115,$A$1,'INPUT Growth'!$F$64:$F$115,$B111,'INPUT Growth'!$E$64:$E$115,$C111))</f>
        <v>891.42915587316929</v>
      </c>
      <c r="R111" s="102">
        <f>IF($G$4="Water and sewer",SUMIFS('INPUT Growth'!AN$64:AN$115,'INPUT Growth'!$B$64:$B$115,$A$1,'INPUT Growth'!$F$64:$F$115,$B111,'INPUT Growth'!$E$64:$E$115,$C111),SUMIFS('INPUT Growth'!AN$64:AN$115,'INPUT Growth'!$A$64:$A$115,$A$1,'INPUT Growth'!$F$64:$F$115,$B111,'INPUT Growth'!$E$64:$E$115,$C111))</f>
        <v>914.96508955648687</v>
      </c>
      <c r="S111" s="102">
        <f>IF($G$4="Water and sewer",SUMIFS('INPUT Growth'!AO$64:AO$115,'INPUT Growth'!$B$64:$B$115,$A$1,'INPUT Growth'!$F$64:$F$115,$B111,'INPUT Growth'!$E$64:$E$115,$C111),SUMIFS('INPUT Growth'!AO$64:AO$115,'INPUT Growth'!$A$64:$A$115,$A$1,'INPUT Growth'!$F$64:$F$115,$B111,'INPUT Growth'!$E$64:$E$115,$C111))</f>
        <v>941.31635655510354</v>
      </c>
      <c r="T111" s="102">
        <f>IF($G$4="Water and sewer",SUMIFS('INPUT Growth'!AP$64:AP$115,'INPUT Growth'!$B$64:$B$115,$A$1,'INPUT Growth'!$F$64:$F$115,$B111,'INPUT Growth'!$E$64:$E$115,$C111),SUMIFS('INPUT Growth'!AP$64:AP$115,'INPUT Growth'!$A$64:$A$115,$A$1,'INPUT Growth'!$F$64:$F$115,$B111,'INPUT Growth'!$E$64:$E$115,$C111))</f>
        <v>970.24199280405082</v>
      </c>
      <c r="U111" s="102">
        <f>IF($G$4="Water and sewer",SUMIFS('INPUT Growth'!AQ$64:AQ$115,'INPUT Growth'!$B$64:$B$115,$A$1,'INPUT Growth'!$F$64:$F$115,$B111,'INPUT Growth'!$E$64:$E$115,$C111),SUMIFS('INPUT Growth'!AQ$64:AQ$115,'INPUT Growth'!$A$64:$A$115,$A$1,'INPUT Growth'!$F$64:$F$115,$B111,'INPUT Growth'!$E$64:$E$115,$C111))</f>
        <v>988.77398405736676</v>
      </c>
      <c r="V111" s="102">
        <f>IF($G$4="Water and sewer",SUMIFS('INPUT Growth'!AR$64:AR$115,'INPUT Growth'!$B$64:$B$115,$A$1,'INPUT Growth'!$F$64:$F$115,$B111,'INPUT Growth'!$E$64:$E$115,$C111),SUMIFS('INPUT Growth'!AR$64:AR$115,'INPUT Growth'!$A$64:$A$115,$A$1,'INPUT Growth'!$F$64:$F$115,$B111,'INPUT Growth'!$E$64:$E$115,$C111))</f>
        <v>1004.1442936284557</v>
      </c>
      <c r="W111" s="102">
        <f>IF($G$4="Water and sewer",SUMIFS('INPUT Growth'!AS$64:AS$115,'INPUT Growth'!$B$64:$B$115,$A$1,'INPUT Growth'!$F$64:$F$115,$B111,'INPUT Growth'!$E$64:$E$115,$C111),SUMIFS('INPUT Growth'!AS$64:AS$115,'INPUT Growth'!$A$64:$A$115,$A$1,'INPUT Growth'!$F$64:$F$115,$B111,'INPUT Growth'!$E$64:$E$115,$C111))</f>
        <v>1007.5881732922617</v>
      </c>
      <c r="X111" s="102">
        <f>IF($G$4="Water and sewer",SUMIFS('INPUT Growth'!AT$64:AT$115,'INPUT Growth'!$B$64:$B$115,$A$1,'INPUT Growth'!$F$64:$F$115,$B111,'INPUT Growth'!$E$64:$E$115,$C111),SUMIFS('INPUT Growth'!AT$64:AT$115,'INPUT Growth'!$A$64:$A$115,$A$1,'INPUT Growth'!$F$64:$F$115,$B111,'INPUT Growth'!$E$64:$E$115,$C111))</f>
        <v>1021.1542582505854</v>
      </c>
      <c r="Y111" s="102">
        <f>IF($G$4="Water and sewer",SUMIFS('INPUT Growth'!AU$64:AU$115,'INPUT Growth'!$B$64:$B$115,$A$1,'INPUT Growth'!$F$64:$F$115,$B111,'INPUT Growth'!$E$64:$E$115,$C111),SUMIFS('INPUT Growth'!AU$64:AU$115,'INPUT Growth'!$A$64:$A$115,$A$1,'INPUT Growth'!$F$64:$F$115,$B111,'INPUT Growth'!$E$64:$E$115,$C111))</f>
        <v>1029.7474737701659</v>
      </c>
      <c r="Z111" s="102">
        <f>IF($G$4="Water and sewer",SUMIFS('INPUT Growth'!AV$64:AV$115,'INPUT Growth'!$B$64:$B$115,$A$1,'INPUT Growth'!$F$64:$F$115,$B111,'INPUT Growth'!$E$64:$E$115,$C111),SUMIFS('INPUT Growth'!AV$64:AV$115,'INPUT Growth'!$A$64:$A$115,$A$1,'INPUT Growth'!$F$64:$F$115,$B111,'INPUT Growth'!$E$64:$E$115,$C111))</f>
        <v>1040.9161298449953</v>
      </c>
      <c r="AA111" s="102">
        <f>IF($G$4="Water and sewer",SUMIFS('INPUT Growth'!AW$64:AW$115,'INPUT Growth'!$B$64:$B$115,$A$1,'INPUT Growth'!$F$64:$F$115,$B111,'INPUT Growth'!$E$64:$E$115,$C111),SUMIFS('INPUT Growth'!AW$64:AW$115,'INPUT Growth'!$A$64:$A$115,$A$1,'INPUT Growth'!$F$64:$F$115,$B111,'INPUT Growth'!$E$64:$E$115,$C111))</f>
        <v>1051.7787671592541</v>
      </c>
    </row>
    <row r="112" spans="1:27" x14ac:dyDescent="0.25">
      <c r="C112" s="100"/>
      <c r="D112" s="100"/>
      <c r="E112" s="47" t="s">
        <v>656</v>
      </c>
      <c r="F112" s="47" t="s">
        <v>655</v>
      </c>
      <c r="H112" s="106">
        <f>G112+H111</f>
        <v>977.51239235568482</v>
      </c>
      <c r="I112" s="106">
        <f t="shared" ref="I112:AA112" si="37">H112+I111</f>
        <v>1996.7089020794997</v>
      </c>
      <c r="J112" s="106">
        <f t="shared" si="37"/>
        <v>2851.9282127598699</v>
      </c>
      <c r="K112" s="106">
        <f t="shared" si="37"/>
        <v>3704.0132047430811</v>
      </c>
      <c r="L112" s="106">
        <f t="shared" si="37"/>
        <v>4543.0384314250086</v>
      </c>
      <c r="M112" s="106">
        <f t="shared" si="37"/>
        <v>5364.7540559983145</v>
      </c>
      <c r="N112" s="106">
        <f t="shared" si="37"/>
        <v>6192.632835664881</v>
      </c>
      <c r="O112" s="106">
        <f t="shared" si="37"/>
        <v>7043.4301425557969</v>
      </c>
      <c r="P112" s="106">
        <f t="shared" si="37"/>
        <v>7910.1244460988009</v>
      </c>
      <c r="Q112" s="106">
        <f t="shared" si="37"/>
        <v>8801.5536019719693</v>
      </c>
      <c r="R112" s="106">
        <f t="shared" si="37"/>
        <v>9716.5186915284557</v>
      </c>
      <c r="S112" s="106">
        <f t="shared" si="37"/>
        <v>10657.83504808356</v>
      </c>
      <c r="T112" s="106">
        <f t="shared" si="37"/>
        <v>11628.077040887611</v>
      </c>
      <c r="U112" s="106">
        <f t="shared" si="37"/>
        <v>12616.851024944977</v>
      </c>
      <c r="V112" s="106">
        <f t="shared" si="37"/>
        <v>13620.995318573434</v>
      </c>
      <c r="W112" s="106">
        <f t="shared" si="37"/>
        <v>14628.583491865695</v>
      </c>
      <c r="X112" s="106">
        <f t="shared" si="37"/>
        <v>15649.737750116281</v>
      </c>
      <c r="Y112" s="106">
        <f t="shared" si="37"/>
        <v>16679.485223886448</v>
      </c>
      <c r="Z112" s="106">
        <f t="shared" si="37"/>
        <v>17720.401353731442</v>
      </c>
      <c r="AA112" s="106">
        <f t="shared" si="37"/>
        <v>18772.180120890698</v>
      </c>
    </row>
    <row r="113" spans="1:27" x14ac:dyDescent="0.25">
      <c r="A113" s="101">
        <v>21</v>
      </c>
      <c r="C113" s="100"/>
      <c r="D113" s="100"/>
      <c r="E113" s="47" t="s">
        <v>657</v>
      </c>
      <c r="F113" s="47" t="s">
        <v>655</v>
      </c>
      <c r="G113" s="102">
        <f>Assumptions!$H$46</f>
        <v>2</v>
      </c>
    </row>
    <row r="114" spans="1:27" x14ac:dyDescent="0.25">
      <c r="C114" s="100"/>
      <c r="D114" s="100"/>
      <c r="E114" s="47" t="s">
        <v>658</v>
      </c>
      <c r="F114" s="47" t="s">
        <v>655</v>
      </c>
      <c r="H114" s="47">
        <f>H111*$G113</f>
        <v>1955.0247847113696</v>
      </c>
      <c r="I114" s="47">
        <f t="shared" ref="I114:AA114" si="38">I111*$G113</f>
        <v>2038.3930194476297</v>
      </c>
      <c r="J114" s="47">
        <f t="shared" si="38"/>
        <v>1710.4386213607404</v>
      </c>
      <c r="K114" s="47">
        <f t="shared" si="38"/>
        <v>1704.1699839664225</v>
      </c>
      <c r="L114" s="47">
        <f t="shared" si="38"/>
        <v>1678.050453363855</v>
      </c>
      <c r="M114" s="47">
        <f t="shared" si="38"/>
        <v>1643.4312491466117</v>
      </c>
      <c r="N114" s="47">
        <f t="shared" si="38"/>
        <v>1655.7575593331321</v>
      </c>
      <c r="O114" s="47">
        <f t="shared" si="38"/>
        <v>1701.594613781831</v>
      </c>
      <c r="P114" s="47">
        <f t="shared" si="38"/>
        <v>1733.3886070860081</v>
      </c>
      <c r="Q114" s="47">
        <f t="shared" si="38"/>
        <v>1782.8583117463386</v>
      </c>
      <c r="R114" s="47">
        <f t="shared" si="38"/>
        <v>1829.9301791129737</v>
      </c>
      <c r="S114" s="47">
        <f t="shared" si="38"/>
        <v>1882.6327131102071</v>
      </c>
      <c r="T114" s="47">
        <f t="shared" si="38"/>
        <v>1940.4839856081016</v>
      </c>
      <c r="U114" s="47">
        <f t="shared" si="38"/>
        <v>1977.5479681147335</v>
      </c>
      <c r="V114" s="47">
        <f t="shared" si="38"/>
        <v>2008.2885872569113</v>
      </c>
      <c r="W114" s="47">
        <f t="shared" si="38"/>
        <v>2015.1763465845233</v>
      </c>
      <c r="X114" s="47">
        <f t="shared" si="38"/>
        <v>2042.3085165011707</v>
      </c>
      <c r="Y114" s="47">
        <f t="shared" si="38"/>
        <v>2059.4949475403319</v>
      </c>
      <c r="Z114" s="47">
        <f t="shared" si="38"/>
        <v>2081.8322596899907</v>
      </c>
      <c r="AA114" s="47">
        <f t="shared" si="38"/>
        <v>2103.5575343185083</v>
      </c>
    </row>
    <row r="115" spans="1:27" x14ac:dyDescent="0.25">
      <c r="C115" s="100"/>
      <c r="D115" s="100"/>
      <c r="E115" s="47" t="s">
        <v>659</v>
      </c>
      <c r="F115" s="47" t="s">
        <v>655</v>
      </c>
      <c r="H115" s="47">
        <f>H112*$G113</f>
        <v>1955.0247847113696</v>
      </c>
      <c r="I115" s="47">
        <f t="shared" ref="I115:AA115" si="39">I112*$G113</f>
        <v>3993.4178041589994</v>
      </c>
      <c r="J115" s="47">
        <f t="shared" si="39"/>
        <v>5703.8564255197398</v>
      </c>
      <c r="K115" s="47">
        <f t="shared" si="39"/>
        <v>7408.0264094861623</v>
      </c>
      <c r="L115" s="47">
        <f t="shared" si="39"/>
        <v>9086.0768628500173</v>
      </c>
      <c r="M115" s="47">
        <f t="shared" si="39"/>
        <v>10729.508111996629</v>
      </c>
      <c r="N115" s="47">
        <f t="shared" si="39"/>
        <v>12385.265671329762</v>
      </c>
      <c r="O115" s="47">
        <f t="shared" si="39"/>
        <v>14086.860285111594</v>
      </c>
      <c r="P115" s="47">
        <f t="shared" si="39"/>
        <v>15820.248892197602</v>
      </c>
      <c r="Q115" s="47">
        <f t="shared" si="39"/>
        <v>17603.107203943939</v>
      </c>
      <c r="R115" s="47">
        <f t="shared" si="39"/>
        <v>19433.037383056911</v>
      </c>
      <c r="S115" s="47">
        <f t="shared" si="39"/>
        <v>21315.670096167119</v>
      </c>
      <c r="T115" s="47">
        <f t="shared" si="39"/>
        <v>23256.154081775221</v>
      </c>
      <c r="U115" s="47">
        <f t="shared" si="39"/>
        <v>25233.702049889955</v>
      </c>
      <c r="V115" s="47">
        <f t="shared" si="39"/>
        <v>27241.990637146868</v>
      </c>
      <c r="W115" s="47">
        <f t="shared" si="39"/>
        <v>29257.166983731389</v>
      </c>
      <c r="X115" s="47">
        <f t="shared" si="39"/>
        <v>31299.475500232562</v>
      </c>
      <c r="Y115" s="47">
        <f t="shared" si="39"/>
        <v>33358.970447772896</v>
      </c>
      <c r="Z115" s="47">
        <f t="shared" si="39"/>
        <v>35440.802707462884</v>
      </c>
      <c r="AA115" s="47">
        <f t="shared" si="39"/>
        <v>37544.360241781396</v>
      </c>
    </row>
    <row r="116" spans="1:27" x14ac:dyDescent="0.25">
      <c r="A116" s="101">
        <v>22</v>
      </c>
      <c r="B116" s="47" t="str">
        <f>B111</f>
        <v>Central</v>
      </c>
      <c r="C116" s="47" t="str">
        <f>C111</f>
        <v>N</v>
      </c>
      <c r="D116" s="47" t="str">
        <f>D111</f>
        <v>Sewer</v>
      </c>
      <c r="E116" s="47" t="s">
        <v>660</v>
      </c>
      <c r="F116" s="47" t="s">
        <v>661</v>
      </c>
      <c r="H116" s="102">
        <f>IF(OR($D116=W,$D116=WS),'INPUT Reg'!AD$118,IF($D116=RW,'INPUT Reg'!AD$120,0))</f>
        <v>0</v>
      </c>
      <c r="I116" s="102">
        <f>IF(OR($D116=W,$D116=WS),'INPUT Reg'!AE$118,IF($D116=RW,'INPUT Reg'!AE$120,0))</f>
        <v>0</v>
      </c>
      <c r="J116" s="102">
        <f>IF(OR($D116=W,$D116=WS),'INPUT Reg'!AF$118,IF($D116=RW,'INPUT Reg'!AF$120,0))</f>
        <v>0</v>
      </c>
      <c r="K116" s="102">
        <f>IF(OR($D116=W,$D116=WS),'INPUT Reg'!AG$118,IF($D116=RW,'INPUT Reg'!AG$120,0))</f>
        <v>0</v>
      </c>
      <c r="L116" s="102">
        <f>IF(OR($D116=W,$D116=WS),'INPUT Reg'!AH$118,IF($D116=RW,'INPUT Reg'!AH$120,0))</f>
        <v>0</v>
      </c>
      <c r="M116" s="102">
        <f>IF(OR($D116=W,$D116=WS),'INPUT Reg'!AI$118,IF($D116=RW,'INPUT Reg'!AI$120,0))</f>
        <v>0</v>
      </c>
      <c r="N116" s="102">
        <f>IF(OR($D116=W,$D116=WS),'INPUT Reg'!AJ$118,IF($D116=RW,'INPUT Reg'!AJ$120,0))</f>
        <v>0</v>
      </c>
      <c r="O116" s="102">
        <f>IF(OR($D116=W,$D116=WS),'INPUT Reg'!AK$118,IF($D116=RW,'INPUT Reg'!AK$120,0))</f>
        <v>0</v>
      </c>
      <c r="P116" s="102">
        <f>IF(OR($D116=W,$D116=WS),'INPUT Reg'!AL$118,IF($D116=RW,'INPUT Reg'!AL$120,0))</f>
        <v>0</v>
      </c>
      <c r="Q116" s="102">
        <f>IF(OR($D116=W,$D116=WS),'INPUT Reg'!AM$118,IF($D116=RW,'INPUT Reg'!AM$120,0))</f>
        <v>0</v>
      </c>
      <c r="R116" s="102">
        <f>IF(OR($D116=W,$D116=WS),'INPUT Reg'!AN$118,IF($D116=RW,'INPUT Reg'!AN$120,0))</f>
        <v>0</v>
      </c>
      <c r="S116" s="102">
        <f>IF(OR($D116=W,$D116=WS),'INPUT Reg'!AO$118,IF($D116=RW,'INPUT Reg'!AO$120,0))</f>
        <v>0</v>
      </c>
      <c r="T116" s="102">
        <f>IF(OR($D116=W,$D116=WS),'INPUT Reg'!AP$118,IF($D116=RW,'INPUT Reg'!AP$120,0))</f>
        <v>0</v>
      </c>
      <c r="U116" s="102">
        <f>IF(OR($D116=W,$D116=WS),'INPUT Reg'!AQ$118,IF($D116=RW,'INPUT Reg'!AQ$120,0))</f>
        <v>0</v>
      </c>
      <c r="V116" s="102">
        <f>IF(OR($D116=W,$D116=WS),'INPUT Reg'!AR$118,IF($D116=RW,'INPUT Reg'!AR$120,0))</f>
        <v>0</v>
      </c>
      <c r="W116" s="102">
        <f>IF(OR($D116=W,$D116=WS),'INPUT Reg'!AS$118,IF($D116=RW,'INPUT Reg'!AS$120,0))</f>
        <v>0</v>
      </c>
      <c r="X116" s="102">
        <f>IF(OR($D116=W,$D116=WS),'INPUT Reg'!AT$118,IF($D116=RW,'INPUT Reg'!AT$120,0))</f>
        <v>0</v>
      </c>
      <c r="Y116" s="102">
        <f>IF(OR($D116=W,$D116=WS),'INPUT Reg'!AU$118,IF($D116=RW,'INPUT Reg'!AU$120,0))</f>
        <v>0</v>
      </c>
      <c r="Z116" s="102">
        <f>IF(OR($D116=W,$D116=WS),'INPUT Reg'!AV$118,IF($D116=RW,'INPUT Reg'!AV$120,0))</f>
        <v>0</v>
      </c>
      <c r="AA116" s="102">
        <f>IF(OR($D116=W,$D116=WS),'INPUT Reg'!AW$118,IF($D116=RW,'INPUT Reg'!AW$120,0))</f>
        <v>0</v>
      </c>
    </row>
    <row r="117" spans="1:27" x14ac:dyDescent="0.25">
      <c r="B117" s="47" t="str">
        <f>B111</f>
        <v>Central</v>
      </c>
      <c r="C117" s="47" t="str">
        <f t="shared" ref="C117:D117" si="40">C111</f>
        <v>N</v>
      </c>
      <c r="D117" s="47" t="str">
        <f t="shared" si="40"/>
        <v>Sewer</v>
      </c>
      <c r="E117" s="47" t="s">
        <v>662</v>
      </c>
      <c r="F117" s="47" t="s">
        <v>661</v>
      </c>
      <c r="H117" s="102"/>
      <c r="I117" s="102"/>
      <c r="J117" s="102"/>
      <c r="K117" s="102"/>
      <c r="L117" s="102"/>
      <c r="M117" s="102"/>
      <c r="N117" s="102"/>
      <c r="O117" s="102"/>
      <c r="P117" s="102"/>
      <c r="Q117" s="102"/>
      <c r="R117" s="102"/>
      <c r="S117" s="102"/>
      <c r="T117" s="102"/>
      <c r="U117" s="102"/>
      <c r="V117" s="102"/>
      <c r="W117" s="102"/>
      <c r="X117" s="102"/>
      <c r="Y117" s="102"/>
      <c r="Z117" s="102"/>
      <c r="AA117" s="102"/>
    </row>
    <row r="118" spans="1:27" x14ac:dyDescent="0.25">
      <c r="B118" s="47" t="str">
        <f>B111</f>
        <v>Central</v>
      </c>
      <c r="C118" s="47" t="str">
        <f t="shared" ref="C118:D118" si="41">C111</f>
        <v>N</v>
      </c>
      <c r="D118" s="47" t="str">
        <f t="shared" si="41"/>
        <v>Sewer</v>
      </c>
      <c r="E118" s="47" t="s">
        <v>663</v>
      </c>
      <c r="F118" s="47" t="s">
        <v>661</v>
      </c>
      <c r="H118" s="102">
        <f>IF(OR($D118=S,$D118=WS),'INPUT Reg'!AD$119,0)</f>
        <v>453.21677844234227</v>
      </c>
      <c r="I118" s="102">
        <f>IF(OR($D118=S,$D118=WS),'INPUT Reg'!AE$119,0)</f>
        <v>455.11451168584722</v>
      </c>
      <c r="J118" s="102">
        <f>IF(OR($D118=S,$D118=WS),'INPUT Reg'!AF$119,0)</f>
        <v>449.37848386637825</v>
      </c>
      <c r="K118" s="102">
        <f>IF(OR($D118=S,$D118=WS),'INPUT Reg'!AG$119,0)</f>
        <v>443.10067438820857</v>
      </c>
      <c r="L118" s="102">
        <f>IF(OR($D118=S,$D118=WS),'INPUT Reg'!AH$119,0)</f>
        <v>437.15390464500325</v>
      </c>
      <c r="M118" s="102">
        <f>IF(OR($D118=S,$D118=WS),'INPUT Reg'!AI$119,0)</f>
        <v>431.5083207193203</v>
      </c>
      <c r="N118" s="102">
        <f>IF(OR($D118=S,$D118=WS),'INPUT Reg'!AJ$119,0)</f>
        <v>426.05494055589423</v>
      </c>
      <c r="O118" s="102">
        <f>IF(OR($D118=S,$D118=WS),'INPUT Reg'!AK$119,0)</f>
        <v>420.70084900226067</v>
      </c>
      <c r="P118" s="102">
        <f>IF(OR($D118=S,$D118=WS),'INPUT Reg'!AL$119,0)</f>
        <v>415.48722468059901</v>
      </c>
      <c r="Q118" s="102">
        <f>IF(OR($D118=S,$D118=WS),'INPUT Reg'!AM$119,0)</f>
        <v>410.36820163245039</v>
      </c>
      <c r="R118" s="102">
        <f>IF(OR($D118=S,$D118=WS),'INPUT Reg'!AN$119,0)</f>
        <v>405.37463854857305</v>
      </c>
      <c r="S118" s="102">
        <f>IF(OR($D118=S,$D118=WS),'INPUT Reg'!AO$119,0)</f>
        <v>400.47529410509895</v>
      </c>
      <c r="T118" s="102">
        <f>IF(OR($D118=S,$D118=WS),'INPUT Reg'!AP$119,0)</f>
        <v>395.63776974092383</v>
      </c>
      <c r="U118" s="102">
        <f>IF(OR($D118=S,$D118=WS),'INPUT Reg'!AQ$119,0)</f>
        <v>390.91011777175237</v>
      </c>
      <c r="V118" s="102">
        <f>IF(OR($D118=S,$D118=WS),'INPUT Reg'!AR$119,0)</f>
        <v>386.30913078953427</v>
      </c>
      <c r="W118" s="102">
        <f>IF(OR($D118=S,$D118=WS),'INPUT Reg'!AS$119,0)</f>
        <v>381.8918651148926</v>
      </c>
      <c r="X118" s="102">
        <f>IF(OR($D118=S,$D118=WS),'INPUT Reg'!AT$119,0)</f>
        <v>377.63261844346306</v>
      </c>
      <c r="Y118" s="102">
        <f>IF(OR($D118=S,$D118=WS),'INPUT Reg'!AU$119,0)</f>
        <v>373.47129339851563</v>
      </c>
      <c r="Z118" s="102">
        <f>IF(OR($D118=S,$D118=WS),'INPUT Reg'!AV$119,0)</f>
        <v>369.44283842192328</v>
      </c>
      <c r="AA118" s="102">
        <f>IF(OR($D118=S,$D118=WS),'INPUT Reg'!AW$119,0)</f>
        <v>369.44283842192328</v>
      </c>
    </row>
    <row r="119" spans="1:27" x14ac:dyDescent="0.25">
      <c r="C119" s="100"/>
      <c r="D119" s="100"/>
      <c r="E119" s="47" t="s">
        <v>664</v>
      </c>
      <c r="F119" s="47" t="s">
        <v>665</v>
      </c>
      <c r="H119" s="106">
        <f>H112*H116</f>
        <v>0</v>
      </c>
      <c r="I119" s="106">
        <f t="shared" ref="I119:AA119" si="42">I112*I116</f>
        <v>0</v>
      </c>
      <c r="J119" s="106">
        <f t="shared" si="42"/>
        <v>0</v>
      </c>
      <c r="K119" s="106">
        <f t="shared" si="42"/>
        <v>0</v>
      </c>
      <c r="L119" s="106">
        <f t="shared" si="42"/>
        <v>0</v>
      </c>
      <c r="M119" s="106">
        <f t="shared" si="42"/>
        <v>0</v>
      </c>
      <c r="N119" s="106">
        <f t="shared" si="42"/>
        <v>0</v>
      </c>
      <c r="O119" s="106">
        <f t="shared" si="42"/>
        <v>0</v>
      </c>
      <c r="P119" s="106">
        <f t="shared" si="42"/>
        <v>0</v>
      </c>
      <c r="Q119" s="106">
        <f t="shared" si="42"/>
        <v>0</v>
      </c>
      <c r="R119" s="106">
        <f t="shared" si="42"/>
        <v>0</v>
      </c>
      <c r="S119" s="106">
        <f t="shared" si="42"/>
        <v>0</v>
      </c>
      <c r="T119" s="106">
        <f t="shared" si="42"/>
        <v>0</v>
      </c>
      <c r="U119" s="106">
        <f t="shared" si="42"/>
        <v>0</v>
      </c>
      <c r="V119" s="106">
        <f t="shared" si="42"/>
        <v>0</v>
      </c>
      <c r="W119" s="106">
        <f t="shared" si="42"/>
        <v>0</v>
      </c>
      <c r="X119" s="106">
        <f t="shared" si="42"/>
        <v>0</v>
      </c>
      <c r="Y119" s="106">
        <f t="shared" si="42"/>
        <v>0</v>
      </c>
      <c r="Z119" s="106">
        <f t="shared" si="42"/>
        <v>0</v>
      </c>
      <c r="AA119" s="106">
        <f t="shared" si="42"/>
        <v>0</v>
      </c>
    </row>
    <row r="120" spans="1:27" x14ac:dyDescent="0.25">
      <c r="C120" s="100"/>
      <c r="D120" s="100"/>
      <c r="E120" s="47" t="s">
        <v>666</v>
      </c>
      <c r="F120" s="47" t="s">
        <v>665</v>
      </c>
      <c r="H120" s="106">
        <f>H112*H117</f>
        <v>0</v>
      </c>
      <c r="I120" s="106">
        <f t="shared" ref="I120:AA120" si="43">I112*I117</f>
        <v>0</v>
      </c>
      <c r="J120" s="106">
        <f t="shared" si="43"/>
        <v>0</v>
      </c>
      <c r="K120" s="106">
        <f t="shared" si="43"/>
        <v>0</v>
      </c>
      <c r="L120" s="106">
        <f t="shared" si="43"/>
        <v>0</v>
      </c>
      <c r="M120" s="106">
        <f t="shared" si="43"/>
        <v>0</v>
      </c>
      <c r="N120" s="106">
        <f t="shared" si="43"/>
        <v>0</v>
      </c>
      <c r="O120" s="106">
        <f t="shared" si="43"/>
        <v>0</v>
      </c>
      <c r="P120" s="106">
        <f t="shared" si="43"/>
        <v>0</v>
      </c>
      <c r="Q120" s="106">
        <f t="shared" si="43"/>
        <v>0</v>
      </c>
      <c r="R120" s="106">
        <f t="shared" si="43"/>
        <v>0</v>
      </c>
      <c r="S120" s="106">
        <f t="shared" si="43"/>
        <v>0</v>
      </c>
      <c r="T120" s="106">
        <f t="shared" si="43"/>
        <v>0</v>
      </c>
      <c r="U120" s="106">
        <f t="shared" si="43"/>
        <v>0</v>
      </c>
      <c r="V120" s="106">
        <f t="shared" si="43"/>
        <v>0</v>
      </c>
      <c r="W120" s="106">
        <f t="shared" si="43"/>
        <v>0</v>
      </c>
      <c r="X120" s="106">
        <f t="shared" si="43"/>
        <v>0</v>
      </c>
      <c r="Y120" s="106">
        <f t="shared" si="43"/>
        <v>0</v>
      </c>
      <c r="Z120" s="106">
        <f t="shared" si="43"/>
        <v>0</v>
      </c>
      <c r="AA120" s="106">
        <f t="shared" si="43"/>
        <v>0</v>
      </c>
    </row>
    <row r="121" spans="1:27" x14ac:dyDescent="0.25">
      <c r="C121" s="100"/>
      <c r="D121" s="100"/>
      <c r="E121" s="47" t="s">
        <v>667</v>
      </c>
      <c r="F121" s="47" t="s">
        <v>665</v>
      </c>
      <c r="H121" s="106">
        <f>H112*H118</f>
        <v>443025.01735091035</v>
      </c>
      <c r="I121" s="106">
        <f t="shared" ref="I121:AA121" si="44">I112*I118</f>
        <v>908731.19694869558</v>
      </c>
      <c r="J121" s="106">
        <f t="shared" si="44"/>
        <v>1281595.17634578</v>
      </c>
      <c r="K121" s="106">
        <f t="shared" si="44"/>
        <v>1641250.748964489</v>
      </c>
      <c r="L121" s="106">
        <f t="shared" si="44"/>
        <v>1986006.9892497533</v>
      </c>
      <c r="M121" s="106">
        <f t="shared" si="44"/>
        <v>2314936.013775995</v>
      </c>
      <c r="N121" s="106">
        <f t="shared" si="44"/>
        <v>2638401.8146836795</v>
      </c>
      <c r="O121" s="106">
        <f t="shared" si="44"/>
        <v>2963177.0408613374</v>
      </c>
      <c r="P121" s="106">
        <f t="shared" si="44"/>
        <v>3286555.6529877512</v>
      </c>
      <c r="Q121" s="106">
        <f t="shared" si="44"/>
        <v>3611877.7232128531</v>
      </c>
      <c r="R121" s="106">
        <f t="shared" si="44"/>
        <v>3938830.2525288016</v>
      </c>
      <c r="S121" s="106">
        <f t="shared" si="44"/>
        <v>4268199.6254048953</v>
      </c>
      <c r="T121" s="106">
        <f t="shared" si="44"/>
        <v>4600506.4668324152</v>
      </c>
      <c r="U121" s="106">
        <f t="shared" si="44"/>
        <v>4932054.7200698955</v>
      </c>
      <c r="V121" s="106">
        <f t="shared" si="44"/>
        <v>5261914.8620064184</v>
      </c>
      <c r="W121" s="106">
        <f t="shared" si="44"/>
        <v>5586537.0336975185</v>
      </c>
      <c r="X121" s="106">
        <f t="shared" si="44"/>
        <v>5909851.4445299217</v>
      </c>
      <c r="Y121" s="106">
        <f t="shared" si="44"/>
        <v>6229308.9197863014</v>
      </c>
      <c r="Z121" s="106">
        <f t="shared" si="44"/>
        <v>6546675.3740982357</v>
      </c>
      <c r="AA121" s="106">
        <f t="shared" si="44"/>
        <v>6935247.5072294623</v>
      </c>
    </row>
    <row r="122" spans="1:27" x14ac:dyDescent="0.25">
      <c r="A122" s="101">
        <v>23</v>
      </c>
      <c r="B122" s="47" t="str">
        <f>B116</f>
        <v>Central</v>
      </c>
      <c r="C122" s="47" t="str">
        <f t="shared" ref="C122:D122" si="45">C116</f>
        <v>N</v>
      </c>
      <c r="D122" s="47" t="str">
        <f t="shared" si="45"/>
        <v>Sewer</v>
      </c>
      <c r="E122" s="47" t="s">
        <v>668</v>
      </c>
      <c r="F122" s="47" t="s">
        <v>633</v>
      </c>
      <c r="H122" s="105">
        <f>SUMIFS('INPUT Reg'!AD$94:AD$109,'INPUT Reg'!$D$94:$D$109,$D122,'INPUT Reg'!$C$94:$C$109,$C122,'INPUT Reg'!$B$94:$B$109,$B122)</f>
        <v>3.8105468848639301E-3</v>
      </c>
      <c r="I122" s="105">
        <f>SUMIFS('INPUT Reg'!AE$94:AE$109,'INPUT Reg'!$D$94:$D$109,$D122,'INPUT Reg'!$C$94:$C$109,$C122,'INPUT Reg'!$B$94:$B$109,$B122)</f>
        <v>-1.9938999574252714E-3</v>
      </c>
      <c r="J122" s="105">
        <f>SUMIFS('INPUT Reg'!AF$94:AF$109,'INPUT Reg'!$D$94:$D$109,$D122,'INPUT Reg'!$C$94:$C$109,$C122,'INPUT Reg'!$B$94:$B$109,$B122)</f>
        <v>-1.997883537325329E-3</v>
      </c>
      <c r="K122" s="105">
        <f>SUMIFS('INPUT Reg'!AG$94:AG$109,'INPUT Reg'!$D$94:$D$109,$D122,'INPUT Reg'!$C$94:$C$109,$C122,'INPUT Reg'!$B$94:$B$109,$B122)</f>
        <v>-2.0018830665476939E-3</v>
      </c>
      <c r="L122" s="105">
        <f>SUMIFS('INPUT Reg'!AH$94:AH$109,'INPUT Reg'!$D$94:$D$109,$D122,'INPUT Reg'!$C$94:$C$109,$C122,'INPUT Reg'!$B$94:$B$109,$B122)</f>
        <v>-4.3157407023363126E-3</v>
      </c>
      <c r="M122" s="105">
        <f>SUMIFS('INPUT Reg'!AI$94:AI$109,'INPUT Reg'!$D$94:$D$109,$D122,'INPUT Reg'!$C$94:$C$109,$C122,'INPUT Reg'!$B$94:$B$109,$B122)</f>
        <v>0</v>
      </c>
      <c r="N122" s="105">
        <f>SUMIFS('INPUT Reg'!AJ$94:AJ$109,'INPUT Reg'!$D$94:$D$109,$D122,'INPUT Reg'!$C$94:$C$109,$C122,'INPUT Reg'!$B$94:$B$109,$B122)</f>
        <v>0</v>
      </c>
      <c r="O122" s="105">
        <f>SUMIFS('INPUT Reg'!AK$94:AK$109,'INPUT Reg'!$D$94:$D$109,$D122,'INPUT Reg'!$C$94:$C$109,$C122,'INPUT Reg'!$B$94:$B$109,$B122)</f>
        <v>0</v>
      </c>
      <c r="P122" s="105">
        <f>SUMIFS('INPUT Reg'!AL$94:AL$109,'INPUT Reg'!$D$94:$D$109,$D122,'INPUT Reg'!$C$94:$C$109,$C122,'INPUT Reg'!$B$94:$B$109,$B122)</f>
        <v>0</v>
      </c>
      <c r="Q122" s="105">
        <f>SUMIFS('INPUT Reg'!AM$94:AM$109,'INPUT Reg'!$D$94:$D$109,$D122,'INPUT Reg'!$C$94:$C$109,$C122,'INPUT Reg'!$B$94:$B$109,$B122)</f>
        <v>-0.17267689905280303</v>
      </c>
      <c r="R122" s="105">
        <f>SUMIFS('INPUT Reg'!AN$94:AN$109,'INPUT Reg'!$D$94:$D$109,$D122,'INPUT Reg'!$C$94:$C$109,$C122,'INPUT Reg'!$B$94:$B$109,$B122)</f>
        <v>0</v>
      </c>
      <c r="S122" s="105">
        <f>SUMIFS('INPUT Reg'!AO$94:AO$109,'INPUT Reg'!$D$94:$D$109,$D122,'INPUT Reg'!$C$94:$C$109,$C122,'INPUT Reg'!$B$94:$B$109,$B122)</f>
        <v>0</v>
      </c>
      <c r="T122" s="105">
        <f>SUMIFS('INPUT Reg'!AP$94:AP$109,'INPUT Reg'!$D$94:$D$109,$D122,'INPUT Reg'!$C$94:$C$109,$C122,'INPUT Reg'!$B$94:$B$109,$B122)</f>
        <v>0</v>
      </c>
      <c r="U122" s="105">
        <f>SUMIFS('INPUT Reg'!AQ$94:AQ$109,'INPUT Reg'!$D$94:$D$109,$D122,'INPUT Reg'!$C$94:$C$109,$C122,'INPUT Reg'!$B$94:$B$109,$B122)</f>
        <v>0</v>
      </c>
      <c r="V122" s="105">
        <f>SUMIFS('INPUT Reg'!AR$94:AR$109,'INPUT Reg'!$D$94:$D$109,$D122,'INPUT Reg'!$C$94:$C$109,$C122,'INPUT Reg'!$B$94:$B$109,$B122)</f>
        <v>-0.10884800951428153</v>
      </c>
      <c r="W122" s="105">
        <f>SUMIFS('INPUT Reg'!AS$94:AS$109,'INPUT Reg'!$D$94:$D$109,$D122,'INPUT Reg'!$C$94:$C$109,$C122,'INPUT Reg'!$B$94:$B$109,$B122)</f>
        <v>0</v>
      </c>
      <c r="X122" s="105">
        <f>SUMIFS('INPUT Reg'!AT$94:AT$109,'INPUT Reg'!$D$94:$D$109,$D122,'INPUT Reg'!$C$94:$C$109,$C122,'INPUT Reg'!$B$94:$B$109,$B122)</f>
        <v>0</v>
      </c>
      <c r="Y122" s="105">
        <f>SUMIFS('INPUT Reg'!AU$94:AU$109,'INPUT Reg'!$D$94:$D$109,$D122,'INPUT Reg'!$C$94:$C$109,$C122,'INPUT Reg'!$B$94:$B$109,$B122)</f>
        <v>0</v>
      </c>
      <c r="Z122" s="105">
        <f>SUMIFS('INPUT Reg'!AV$94:AV$109,'INPUT Reg'!$D$94:$D$109,$D122,'INPUT Reg'!$C$94:$C$109,$C122,'INPUT Reg'!$B$94:$B$109,$B122)</f>
        <v>0</v>
      </c>
      <c r="AA122" s="105">
        <f>SUMIFS('INPUT Reg'!AW$94:AW$109,'INPUT Reg'!$D$94:$D$109,$D122,'INPUT Reg'!$C$94:$C$109,$C122,'INPUT Reg'!$B$94:$B$109,$B122)</f>
        <v>0</v>
      </c>
    </row>
    <row r="123" spans="1:27" x14ac:dyDescent="0.25">
      <c r="A123" s="101">
        <v>24</v>
      </c>
      <c r="B123" s="47" t="str">
        <f>B111</f>
        <v>Central</v>
      </c>
      <c r="C123" s="47" t="str">
        <f t="shared" ref="C123:D123" si="46">C111</f>
        <v>N</v>
      </c>
      <c r="D123" s="47" t="str">
        <f t="shared" si="46"/>
        <v>Sewer</v>
      </c>
      <c r="E123" s="47" t="s">
        <v>669</v>
      </c>
      <c r="F123" s="47" t="s">
        <v>670</v>
      </c>
      <c r="G123" s="108">
        <f>IF(D123=W,CWW_N_W_N,IF(D123=S,CWW_N_S_N,IF(D123=WS, CWW_N_W_N+CWW_N_S_N,CWW_N_R_F)))</f>
        <v>509.4</v>
      </c>
      <c r="H123" s="106">
        <f>G123*(1+$G$14)*(1+H122)</f>
        <v>511.34109258314965</v>
      </c>
      <c r="I123" s="106">
        <f t="shared" ref="I123:AA123" si="47">H123*(1+$G$14)*(1+I122)</f>
        <v>510.32152960041833</v>
      </c>
      <c r="J123" s="106">
        <f t="shared" si="47"/>
        <v>509.30196661768696</v>
      </c>
      <c r="K123" s="106">
        <f t="shared" si="47"/>
        <v>508.28240363495559</v>
      </c>
      <c r="L123" s="106">
        <f t="shared" si="47"/>
        <v>506.0887885773069</v>
      </c>
      <c r="M123" s="106">
        <f t="shared" si="47"/>
        <v>506.0887885773069</v>
      </c>
      <c r="N123" s="106">
        <f t="shared" si="47"/>
        <v>506.0887885773069</v>
      </c>
      <c r="O123" s="106">
        <f t="shared" si="47"/>
        <v>506.0887885773069</v>
      </c>
      <c r="P123" s="106">
        <f t="shared" si="47"/>
        <v>506.0887885773069</v>
      </c>
      <c r="Q123" s="106">
        <f t="shared" si="47"/>
        <v>418.69894592038787</v>
      </c>
      <c r="R123" s="106">
        <f t="shared" si="47"/>
        <v>418.69894592038787</v>
      </c>
      <c r="S123" s="106">
        <f t="shared" si="47"/>
        <v>418.69894592038787</v>
      </c>
      <c r="T123" s="106">
        <f t="shared" si="47"/>
        <v>418.69894592038787</v>
      </c>
      <c r="U123" s="106">
        <f t="shared" si="47"/>
        <v>418.69894592038787</v>
      </c>
      <c r="V123" s="106">
        <f t="shared" si="47"/>
        <v>373.12439907122587</v>
      </c>
      <c r="W123" s="106">
        <f t="shared" si="47"/>
        <v>373.12439907122587</v>
      </c>
      <c r="X123" s="106">
        <f t="shared" si="47"/>
        <v>373.12439907122587</v>
      </c>
      <c r="Y123" s="106">
        <f t="shared" si="47"/>
        <v>373.12439907122587</v>
      </c>
      <c r="Z123" s="106">
        <f t="shared" si="47"/>
        <v>373.12439907122587</v>
      </c>
      <c r="AA123" s="106">
        <f t="shared" si="47"/>
        <v>373.12439907122587</v>
      </c>
    </row>
    <row r="124" spans="1:27" x14ac:dyDescent="0.25">
      <c r="B124" s="47" t="str">
        <f>B111</f>
        <v>Central</v>
      </c>
      <c r="C124" s="47" t="str">
        <f t="shared" ref="C124:D124" si="48">C111</f>
        <v>N</v>
      </c>
      <c r="D124" s="47" t="str">
        <f t="shared" si="48"/>
        <v>Sewer</v>
      </c>
      <c r="E124" s="47" t="s">
        <v>671</v>
      </c>
      <c r="F124" s="47" t="s">
        <v>672</v>
      </c>
      <c r="G124" s="109">
        <f>IF(OR(D124=W,D124=WS),CWW_N_W_V,IF(D124=RW,CWW_N_R_V,0))</f>
        <v>0</v>
      </c>
      <c r="H124" s="110">
        <f>G124*(1+$G$14)*(1+H122)</f>
        <v>0</v>
      </c>
      <c r="I124" s="110">
        <f t="shared" ref="I124:AA124" si="49">H124*(1+$G$14)*(1+I122)</f>
        <v>0</v>
      </c>
      <c r="J124" s="110">
        <f t="shared" si="49"/>
        <v>0</v>
      </c>
      <c r="K124" s="110">
        <f t="shared" si="49"/>
        <v>0</v>
      </c>
      <c r="L124" s="110">
        <f t="shared" si="49"/>
        <v>0</v>
      </c>
      <c r="M124" s="110">
        <f t="shared" si="49"/>
        <v>0</v>
      </c>
      <c r="N124" s="110">
        <f t="shared" si="49"/>
        <v>0</v>
      </c>
      <c r="O124" s="110">
        <f t="shared" si="49"/>
        <v>0</v>
      </c>
      <c r="P124" s="110">
        <f t="shared" si="49"/>
        <v>0</v>
      </c>
      <c r="Q124" s="110">
        <f t="shared" si="49"/>
        <v>0</v>
      </c>
      <c r="R124" s="110">
        <f t="shared" si="49"/>
        <v>0</v>
      </c>
      <c r="S124" s="110">
        <f t="shared" si="49"/>
        <v>0</v>
      </c>
      <c r="T124" s="110">
        <f t="shared" si="49"/>
        <v>0</v>
      </c>
      <c r="U124" s="110">
        <f t="shared" si="49"/>
        <v>0</v>
      </c>
      <c r="V124" s="110">
        <f t="shared" si="49"/>
        <v>0</v>
      </c>
      <c r="W124" s="110">
        <f t="shared" si="49"/>
        <v>0</v>
      </c>
      <c r="X124" s="110">
        <f t="shared" si="49"/>
        <v>0</v>
      </c>
      <c r="Y124" s="110">
        <f t="shared" si="49"/>
        <v>0</v>
      </c>
      <c r="Z124" s="110">
        <f t="shared" si="49"/>
        <v>0</v>
      </c>
      <c r="AA124" s="110">
        <f t="shared" si="49"/>
        <v>0</v>
      </c>
    </row>
    <row r="125" spans="1:27" x14ac:dyDescent="0.25">
      <c r="B125" s="47" t="str">
        <f>B111</f>
        <v>Central</v>
      </c>
      <c r="C125" s="47" t="str">
        <f t="shared" ref="C125:D125" si="50">C111</f>
        <v>N</v>
      </c>
      <c r="D125" s="47" t="str">
        <f t="shared" si="50"/>
        <v>Sewer</v>
      </c>
      <c r="E125" s="47" t="s">
        <v>673</v>
      </c>
      <c r="F125" s="47" t="s">
        <v>672</v>
      </c>
      <c r="G125" s="109"/>
      <c r="H125" s="110">
        <f>G125*(1+$G$14)*(1+H122)</f>
        <v>0</v>
      </c>
      <c r="I125" s="110">
        <f t="shared" ref="I125:AA125" si="51">H125*(1+$G$14)*(1+I122)</f>
        <v>0</v>
      </c>
      <c r="J125" s="110">
        <f t="shared" si="51"/>
        <v>0</v>
      </c>
      <c r="K125" s="110">
        <f t="shared" si="51"/>
        <v>0</v>
      </c>
      <c r="L125" s="110">
        <f t="shared" si="51"/>
        <v>0</v>
      </c>
      <c r="M125" s="110">
        <f t="shared" si="51"/>
        <v>0</v>
      </c>
      <c r="N125" s="110">
        <f t="shared" si="51"/>
        <v>0</v>
      </c>
      <c r="O125" s="110">
        <f t="shared" si="51"/>
        <v>0</v>
      </c>
      <c r="P125" s="110">
        <f t="shared" si="51"/>
        <v>0</v>
      </c>
      <c r="Q125" s="110">
        <f t="shared" si="51"/>
        <v>0</v>
      </c>
      <c r="R125" s="110">
        <f t="shared" si="51"/>
        <v>0</v>
      </c>
      <c r="S125" s="110">
        <f t="shared" si="51"/>
        <v>0</v>
      </c>
      <c r="T125" s="110">
        <f t="shared" si="51"/>
        <v>0</v>
      </c>
      <c r="U125" s="110">
        <f t="shared" si="51"/>
        <v>0</v>
      </c>
      <c r="V125" s="110">
        <f t="shared" si="51"/>
        <v>0</v>
      </c>
      <c r="W125" s="110">
        <f t="shared" si="51"/>
        <v>0</v>
      </c>
      <c r="X125" s="110">
        <f t="shared" si="51"/>
        <v>0</v>
      </c>
      <c r="Y125" s="110">
        <f t="shared" si="51"/>
        <v>0</v>
      </c>
      <c r="Z125" s="110">
        <f t="shared" si="51"/>
        <v>0</v>
      </c>
      <c r="AA125" s="110">
        <f t="shared" si="51"/>
        <v>0</v>
      </c>
    </row>
    <row r="126" spans="1:27" x14ac:dyDescent="0.25">
      <c r="B126" s="47" t="str">
        <f>B111</f>
        <v>Central</v>
      </c>
      <c r="C126" s="47" t="str">
        <f t="shared" ref="C126:D126" si="52">C111</f>
        <v>N</v>
      </c>
      <c r="D126" s="47" t="str">
        <f t="shared" si="52"/>
        <v>Sewer</v>
      </c>
      <c r="E126" s="47" t="s">
        <v>674</v>
      </c>
      <c r="F126" s="47" t="s">
        <v>672</v>
      </c>
      <c r="G126" s="109">
        <f>IF(OR(D126=S,D126=WS),CWW_N_SDC,0)</f>
        <v>2.0097</v>
      </c>
      <c r="H126" s="110">
        <f>G126*(1+$G$14)*(1+H122)</f>
        <v>2.017358056074511</v>
      </c>
      <c r="I126" s="110">
        <f t="shared" ref="I126:AA126" si="53">H126*(1+$G$14)*(1+I122)</f>
        <v>2.0133356459323926</v>
      </c>
      <c r="J126" s="110">
        <f t="shared" si="53"/>
        <v>2.0093132357902741</v>
      </c>
      <c r="K126" s="110">
        <f t="shared" si="53"/>
        <v>2.0052908256481552</v>
      </c>
      <c r="L126" s="110">
        <f t="shared" si="53"/>
        <v>1.9966365104118839</v>
      </c>
      <c r="M126" s="110">
        <f t="shared" si="53"/>
        <v>1.9966365104118839</v>
      </c>
      <c r="N126" s="110">
        <f t="shared" si="53"/>
        <v>1.9966365104118839</v>
      </c>
      <c r="O126" s="110">
        <f t="shared" si="53"/>
        <v>1.9966365104118839</v>
      </c>
      <c r="P126" s="110">
        <f t="shared" si="53"/>
        <v>1.9966365104118839</v>
      </c>
      <c r="Q126" s="110">
        <f t="shared" si="53"/>
        <v>1.6518635092583502</v>
      </c>
      <c r="R126" s="110">
        <f t="shared" si="53"/>
        <v>1.6518635092583502</v>
      </c>
      <c r="S126" s="110">
        <f t="shared" si="53"/>
        <v>1.6518635092583502</v>
      </c>
      <c r="T126" s="110">
        <f t="shared" si="53"/>
        <v>1.6518635092583502</v>
      </c>
      <c r="U126" s="110">
        <f t="shared" si="53"/>
        <v>1.6518635092583502</v>
      </c>
      <c r="V126" s="110">
        <f t="shared" si="53"/>
        <v>1.4720614542863029</v>
      </c>
      <c r="W126" s="110">
        <f t="shared" si="53"/>
        <v>1.4720614542863029</v>
      </c>
      <c r="X126" s="110">
        <f t="shared" si="53"/>
        <v>1.4720614542863029</v>
      </c>
      <c r="Y126" s="110">
        <f t="shared" si="53"/>
        <v>1.4720614542863029</v>
      </c>
      <c r="Z126" s="110">
        <f t="shared" si="53"/>
        <v>1.4720614542863029</v>
      </c>
      <c r="AA126" s="110">
        <f t="shared" si="53"/>
        <v>1.4720614542863029</v>
      </c>
    </row>
    <row r="127" spans="1:27" x14ac:dyDescent="0.25">
      <c r="C127" s="100"/>
      <c r="D127" s="100"/>
    </row>
    <row r="128" spans="1:27" x14ac:dyDescent="0.25">
      <c r="C128" s="100"/>
      <c r="D128" s="100"/>
      <c r="E128" s="47" t="s">
        <v>679</v>
      </c>
      <c r="F128" s="47" t="s">
        <v>676</v>
      </c>
      <c r="H128" s="106">
        <f>SUM(H119:H121)/1000</f>
        <v>443.02501735091033</v>
      </c>
      <c r="I128" s="106">
        <f t="shared" ref="I128:AA128" si="54">SUM(I119:I121)/1000</f>
        <v>908.73119694869558</v>
      </c>
      <c r="J128" s="106">
        <f t="shared" si="54"/>
        <v>1281.5951763457799</v>
      </c>
      <c r="K128" s="106">
        <f t="shared" si="54"/>
        <v>1641.250748964489</v>
      </c>
      <c r="L128" s="106">
        <f t="shared" si="54"/>
        <v>1986.0069892497534</v>
      </c>
      <c r="M128" s="106">
        <f t="shared" si="54"/>
        <v>2314.936013775995</v>
      </c>
      <c r="N128" s="106">
        <f t="shared" si="54"/>
        <v>2638.4018146836793</v>
      </c>
      <c r="O128" s="106">
        <f t="shared" si="54"/>
        <v>2963.1770408613374</v>
      </c>
      <c r="P128" s="106">
        <f t="shared" si="54"/>
        <v>3286.5556529877513</v>
      </c>
      <c r="Q128" s="106">
        <f t="shared" si="54"/>
        <v>3611.8777232128532</v>
      </c>
      <c r="R128" s="106">
        <f t="shared" si="54"/>
        <v>3938.8302525288013</v>
      </c>
      <c r="S128" s="106">
        <f t="shared" si="54"/>
        <v>4268.1996254048954</v>
      </c>
      <c r="T128" s="106">
        <f t="shared" si="54"/>
        <v>4600.5064668324148</v>
      </c>
      <c r="U128" s="106">
        <f t="shared" si="54"/>
        <v>4932.0547200698957</v>
      </c>
      <c r="V128" s="106">
        <f t="shared" si="54"/>
        <v>5261.9148620064188</v>
      </c>
      <c r="W128" s="106">
        <f t="shared" si="54"/>
        <v>5586.5370336975184</v>
      </c>
      <c r="X128" s="106">
        <f t="shared" si="54"/>
        <v>5909.8514445299215</v>
      </c>
      <c r="Y128" s="106">
        <f t="shared" si="54"/>
        <v>6229.3089197863019</v>
      </c>
      <c r="Z128" s="106">
        <f t="shared" si="54"/>
        <v>6546.6753740982358</v>
      </c>
      <c r="AA128" s="106">
        <f t="shared" si="54"/>
        <v>6935.2475072294619</v>
      </c>
    </row>
    <row r="129" spans="1:27" x14ac:dyDescent="0.25">
      <c r="C129" s="100"/>
      <c r="D129" s="100"/>
      <c r="E129" s="47" t="s">
        <v>680</v>
      </c>
      <c r="F129" s="47" t="s">
        <v>639</v>
      </c>
      <c r="H129" s="106">
        <f>H112*H123+H119*H124+H120*H125+H121*H126</f>
        <v>1393582.3425161333</v>
      </c>
      <c r="I129" s="106">
        <f t="shared" ref="I129:AA129" si="55">I112*I123+I119*I124+I120*I125+I121*I126</f>
        <v>2848544.4524636003</v>
      </c>
      <c r="J129" s="106">
        <f t="shared" si="55"/>
        <v>4027618.7981676133</v>
      </c>
      <c r="K129" s="106">
        <f t="shared" si="55"/>
        <v>5173869.8042890811</v>
      </c>
      <c r="L129" s="106">
        <f t="shared" si="55"/>
        <v>6264514.8808892705</v>
      </c>
      <c r="M129" s="106">
        <f t="shared" si="55"/>
        <v>7337127.6455878802</v>
      </c>
      <c r="N129" s="106">
        <f t="shared" si="55"/>
        <v>8401951.4422400966</v>
      </c>
      <c r="O129" s="106">
        <f t="shared" si="55"/>
        <v>9480988.4948729444</v>
      </c>
      <c r="P129" s="106">
        <f t="shared" si="55"/>
        <v>10565282.308677796</v>
      </c>
      <c r="Q129" s="106">
        <f t="shared" si="55"/>
        <v>9651530.2264859006</v>
      </c>
      <c r="R129" s="106">
        <f t="shared" si="55"/>
        <v>10574706.09747389</v>
      </c>
      <c r="S129" s="106">
        <f t="shared" si="55"/>
        <v>11512907.511862461</v>
      </c>
      <c r="T129" s="106">
        <f t="shared" si="55"/>
        <v>12468072.356768232</v>
      </c>
      <c r="U129" s="106">
        <f t="shared" si="55"/>
        <v>13429743.442727894</v>
      </c>
      <c r="V129" s="106">
        <f t="shared" si="55"/>
        <v>12828187.737090573</v>
      </c>
      <c r="W129" s="106">
        <f t="shared" si="55"/>
        <v>13682007.254914701</v>
      </c>
      <c r="X129" s="106">
        <f t="shared" si="55"/>
        <v>14538963.505685139</v>
      </c>
      <c r="Y129" s="106">
        <f t="shared" si="55"/>
        <v>15393448.448639283</v>
      </c>
      <c r="Z129" s="106">
        <f t="shared" si="55"/>
        <v>16249022.578347355</v>
      </c>
      <c r="AA129" s="106">
        <f t="shared" si="55"/>
        <v>17213468.958191812</v>
      </c>
    </row>
    <row r="130" spans="1:27" x14ac:dyDescent="0.25">
      <c r="C130" s="100"/>
      <c r="D130" s="100"/>
    </row>
    <row r="131" spans="1:27" x14ac:dyDescent="0.25">
      <c r="C131" s="100"/>
      <c r="D131" s="47" t="s">
        <v>681</v>
      </c>
    </row>
    <row r="132" spans="1:27" x14ac:dyDescent="0.25">
      <c r="A132" s="101">
        <v>25</v>
      </c>
      <c r="B132" s="47" t="s">
        <v>265</v>
      </c>
      <c r="C132" s="100" t="s">
        <v>405</v>
      </c>
      <c r="D132" s="100" t="str">
        <f>$G$4</f>
        <v>Sewer</v>
      </c>
      <c r="E132" s="47" t="s">
        <v>654</v>
      </c>
      <c r="F132" s="47" t="s">
        <v>655</v>
      </c>
      <c r="H132" s="102">
        <f>IF($G$4="Water and sewer",SUMIFS('INPUT Growth'!AD$64:AD$115,'INPUT Growth'!$B$64:$B$115,$A$1,'INPUT Growth'!$F$64:$F$115,$B132,'INPUT Growth'!$E$64:$E$115,$C132),SUMIFS('INPUT Growth'!AD$64:AD$115,'INPUT Growth'!$A$64:$A$115,$A$1,'INPUT Growth'!$F$64:$F$115,$B132,'INPUT Growth'!$E$64:$E$115,$C132))</f>
        <v>641.33743430730829</v>
      </c>
      <c r="I132" s="102">
        <f>IF($G$4="Water and sewer",SUMIFS('INPUT Growth'!AE$64:AE$115,'INPUT Growth'!$B$64:$B$115,$A$1,'INPUT Growth'!$F$64:$F$115,$B132,'INPUT Growth'!$E$64:$E$115,$C132),SUMIFS('INPUT Growth'!AE$64:AE$115,'INPUT Growth'!$A$64:$A$115,$A$1,'INPUT Growth'!$F$64:$F$115,$B132,'INPUT Growth'!$E$64:$E$115,$C132))</f>
        <v>768.82932971043192</v>
      </c>
      <c r="J132" s="102">
        <f>IF($G$4="Water and sewer",SUMIFS('INPUT Growth'!AF$64:AF$115,'INPUT Growth'!$B$64:$B$115,$A$1,'INPUT Growth'!$F$64:$F$115,$B132,'INPUT Growth'!$E$64:$E$115,$C132),SUMIFS('INPUT Growth'!AF$64:AF$115,'INPUT Growth'!$A$64:$A$115,$A$1,'INPUT Growth'!$F$64:$F$115,$B132,'INPUT Growth'!$E$64:$E$115,$C132))</f>
        <v>691.17207673125813</v>
      </c>
      <c r="K132" s="102">
        <f>IF($G$4="Water and sewer",SUMIFS('INPUT Growth'!AG$64:AG$115,'INPUT Growth'!$B$64:$B$115,$A$1,'INPUT Growth'!$F$64:$F$115,$B132,'INPUT Growth'!$E$64:$E$115,$C132),SUMIFS('INPUT Growth'!AG$64:AG$115,'INPUT Growth'!$A$64:$A$115,$A$1,'INPUT Growth'!$F$64:$F$115,$B132,'INPUT Growth'!$E$64:$E$115,$C132))</f>
        <v>756.94161678492674</v>
      </c>
      <c r="L132" s="102">
        <f>IF($G$4="Water and sewer",SUMIFS('INPUT Growth'!AH$64:AH$115,'INPUT Growth'!$B$64:$B$115,$A$1,'INPUT Growth'!$F$64:$F$115,$B132,'INPUT Growth'!$E$64:$E$115,$C132),SUMIFS('INPUT Growth'!AH$64:AH$115,'INPUT Growth'!$A$64:$A$115,$A$1,'INPUT Growth'!$F$64:$F$115,$B132,'INPUT Growth'!$E$64:$E$115,$C132))</f>
        <v>883.71641645322961</v>
      </c>
      <c r="M132" s="102">
        <f>IF($G$4="Water and sewer",SUMIFS('INPUT Growth'!AI$64:AI$115,'INPUT Growth'!$B$64:$B$115,$A$1,'INPUT Growth'!$F$64:$F$115,$B132,'INPUT Growth'!$E$64:$E$115,$C132),SUMIFS('INPUT Growth'!AI$64:AI$115,'INPUT Growth'!$A$64:$A$115,$A$1,'INPUT Growth'!$F$64:$F$115,$B132,'INPUT Growth'!$E$64:$E$115,$C132))</f>
        <v>893.13094966088829</v>
      </c>
      <c r="N132" s="102">
        <f>IF($G$4="Water and sewer",SUMIFS('INPUT Growth'!AJ$64:AJ$115,'INPUT Growth'!$B$64:$B$115,$A$1,'INPUT Growth'!$F$64:$F$115,$B132,'INPUT Growth'!$E$64:$E$115,$C132),SUMIFS('INPUT Growth'!AJ$64:AJ$115,'INPUT Growth'!$A$64:$A$115,$A$1,'INPUT Growth'!$F$64:$F$115,$B132,'INPUT Growth'!$E$64:$E$115,$C132))</f>
        <v>845.92926274734782</v>
      </c>
      <c r="O132" s="102">
        <f>IF($G$4="Water and sewer",SUMIFS('INPUT Growth'!AK$64:AK$115,'INPUT Growth'!$B$64:$B$115,$A$1,'INPUT Growth'!$F$64:$F$115,$B132,'INPUT Growth'!$E$64:$E$115,$C132),SUMIFS('INPUT Growth'!AK$64:AK$115,'INPUT Growth'!$A$64:$A$115,$A$1,'INPUT Growth'!$F$64:$F$115,$B132,'INPUT Growth'!$E$64:$E$115,$C132))</f>
        <v>731.45123569898715</v>
      </c>
      <c r="P132" s="102">
        <f>IF($G$4="Water and sewer",SUMIFS('INPUT Growth'!AL$64:AL$115,'INPUT Growth'!$B$64:$B$115,$A$1,'INPUT Growth'!$F$64:$F$115,$B132,'INPUT Growth'!$E$64:$E$115,$C132),SUMIFS('INPUT Growth'!AL$64:AL$115,'INPUT Growth'!$A$64:$A$115,$A$1,'INPUT Growth'!$F$64:$F$115,$B132,'INPUT Growth'!$E$64:$E$115,$C132))</f>
        <v>649.35518409479118</v>
      </c>
      <c r="Q132" s="102">
        <f>IF($G$4="Water and sewer",SUMIFS('INPUT Growth'!AM$64:AM$115,'INPUT Growth'!$B$64:$B$115,$A$1,'INPUT Growth'!$F$64:$F$115,$B132,'INPUT Growth'!$E$64:$E$115,$C132),SUMIFS('INPUT Growth'!AM$64:AM$115,'INPUT Growth'!$A$64:$A$115,$A$1,'INPUT Growth'!$F$64:$F$115,$B132,'INPUT Growth'!$E$64:$E$115,$C132))</f>
        <v>602.63854126012302</v>
      </c>
      <c r="R132" s="102">
        <f>IF($G$4="Water and sewer",SUMIFS('INPUT Growth'!AN$64:AN$115,'INPUT Growth'!$B$64:$B$115,$A$1,'INPUT Growth'!$F$64:$F$115,$B132,'INPUT Growth'!$E$64:$E$115,$C132),SUMIFS('INPUT Growth'!AN$64:AN$115,'INPUT Growth'!$A$64:$A$115,$A$1,'INPUT Growth'!$F$64:$F$115,$B132,'INPUT Growth'!$E$64:$E$115,$C132))</f>
        <v>623.50893499856465</v>
      </c>
      <c r="S132" s="102">
        <f>IF($G$4="Water and sewer",SUMIFS('INPUT Growth'!AO$64:AO$115,'INPUT Growth'!$B$64:$B$115,$A$1,'INPUT Growth'!$F$64:$F$115,$B132,'INPUT Growth'!$E$64:$E$115,$C132),SUMIFS('INPUT Growth'!AO$64:AO$115,'INPUT Growth'!$A$64:$A$115,$A$1,'INPUT Growth'!$F$64:$F$115,$B132,'INPUT Growth'!$E$64:$E$115,$C132))</f>
        <v>601.77966659539379</v>
      </c>
      <c r="T132" s="102">
        <f>IF($G$4="Water and sewer",SUMIFS('INPUT Growth'!AP$64:AP$115,'INPUT Growth'!$B$64:$B$115,$A$1,'INPUT Growth'!$F$64:$F$115,$B132,'INPUT Growth'!$E$64:$E$115,$C132),SUMIFS('INPUT Growth'!AP$64:AP$115,'INPUT Growth'!$A$64:$A$115,$A$1,'INPUT Growth'!$F$64:$F$115,$B132,'INPUT Growth'!$E$64:$E$115,$C132))</f>
        <v>567.96801216392487</v>
      </c>
      <c r="U132" s="102">
        <f>IF($G$4="Water and sewer",SUMIFS('INPUT Growth'!AQ$64:AQ$115,'INPUT Growth'!$B$64:$B$115,$A$1,'INPUT Growth'!$F$64:$F$115,$B132,'INPUT Growth'!$E$64:$E$115,$C132),SUMIFS('INPUT Growth'!AQ$64:AQ$115,'INPUT Growth'!$A$64:$A$115,$A$1,'INPUT Growth'!$F$64:$F$115,$B132,'INPUT Growth'!$E$64:$E$115,$C132))</f>
        <v>574.35191014197335</v>
      </c>
      <c r="V132" s="102">
        <f>IF($G$4="Water and sewer",SUMIFS('INPUT Growth'!AR$64:AR$115,'INPUT Growth'!$B$64:$B$115,$A$1,'INPUT Growth'!$F$64:$F$115,$B132,'INPUT Growth'!$E$64:$E$115,$C132),SUMIFS('INPUT Growth'!AR$64:AR$115,'INPUT Growth'!$A$64:$A$115,$A$1,'INPUT Growth'!$F$64:$F$115,$B132,'INPUT Growth'!$E$64:$E$115,$C132))</f>
        <v>579.93063648328098</v>
      </c>
      <c r="W132" s="102">
        <f>IF($G$4="Water and sewer",SUMIFS('INPUT Growth'!AS$64:AS$115,'INPUT Growth'!$B$64:$B$115,$A$1,'INPUT Growth'!$F$64:$F$115,$B132,'INPUT Growth'!$E$64:$E$115,$C132),SUMIFS('INPUT Growth'!AS$64:AS$115,'INPUT Growth'!$A$64:$A$115,$A$1,'INPUT Growth'!$F$64:$F$115,$B132,'INPUT Growth'!$E$64:$E$115,$C132))</f>
        <v>564.49229769782687</v>
      </c>
      <c r="X132" s="102">
        <f>IF($G$4="Water and sewer",SUMIFS('INPUT Growth'!AT$64:AT$115,'INPUT Growth'!$B$64:$B$115,$A$1,'INPUT Growth'!$F$64:$F$115,$B132,'INPUT Growth'!$E$64:$E$115,$C132),SUMIFS('INPUT Growth'!AT$64:AT$115,'INPUT Growth'!$A$64:$A$115,$A$1,'INPUT Growth'!$F$64:$F$115,$B132,'INPUT Growth'!$E$64:$E$115,$C132))</f>
        <v>611.78898107288114</v>
      </c>
      <c r="Y132" s="102">
        <f>IF($G$4="Water and sewer",SUMIFS('INPUT Growth'!AU$64:AU$115,'INPUT Growth'!$B$64:$B$115,$A$1,'INPUT Growth'!$F$64:$F$115,$B132,'INPUT Growth'!$E$64:$E$115,$C132),SUMIFS('INPUT Growth'!AU$64:AU$115,'INPUT Growth'!$A$64:$A$115,$A$1,'INPUT Growth'!$F$64:$F$115,$B132,'INPUT Growth'!$E$64:$E$115,$C132))</f>
        <v>647.44148078806757</v>
      </c>
      <c r="Z132" s="102">
        <f>IF($G$4="Water and sewer",SUMIFS('INPUT Growth'!AV$64:AV$115,'INPUT Growth'!$B$64:$B$115,$A$1,'INPUT Growth'!$F$64:$F$115,$B132,'INPUT Growth'!$E$64:$E$115,$C132),SUMIFS('INPUT Growth'!AV$64:AV$115,'INPUT Growth'!$A$64:$A$115,$A$1,'INPUT Growth'!$F$64:$F$115,$B132,'INPUT Growth'!$E$64:$E$115,$C132))</f>
        <v>721.61844094030675</v>
      </c>
      <c r="AA132" s="102">
        <f>IF($G$4="Water and sewer",SUMIFS('INPUT Growth'!AW$64:AW$115,'INPUT Growth'!$B$64:$B$115,$A$1,'INPUT Growth'!$F$64:$F$115,$B132,'INPUT Growth'!$E$64:$E$115,$C132),SUMIFS('INPUT Growth'!AW$64:AW$115,'INPUT Growth'!$A$64:$A$115,$A$1,'INPUT Growth'!$F$64:$F$115,$B132,'INPUT Growth'!$E$64:$E$115,$C132))</f>
        <v>863.87338186166016</v>
      </c>
    </row>
    <row r="133" spans="1:27" x14ac:dyDescent="0.25">
      <c r="C133" s="100"/>
      <c r="D133" s="100"/>
      <c r="E133" s="47" t="s">
        <v>656</v>
      </c>
      <c r="F133" s="47" t="s">
        <v>655</v>
      </c>
      <c r="H133" s="106">
        <f>G133+H132</f>
        <v>641.33743430730829</v>
      </c>
      <c r="I133" s="106">
        <f t="shared" ref="I133:AA133" si="56">H133+I132</f>
        <v>1410.1667640177402</v>
      </c>
      <c r="J133" s="106">
        <f t="shared" si="56"/>
        <v>2101.3388407489983</v>
      </c>
      <c r="K133" s="106">
        <f t="shared" si="56"/>
        <v>2858.2804575339251</v>
      </c>
      <c r="L133" s="106">
        <f t="shared" si="56"/>
        <v>3741.9968739871547</v>
      </c>
      <c r="M133" s="106">
        <f t="shared" si="56"/>
        <v>4635.127823648043</v>
      </c>
      <c r="N133" s="106">
        <f t="shared" si="56"/>
        <v>5481.0570863953908</v>
      </c>
      <c r="O133" s="106">
        <f t="shared" si="56"/>
        <v>6212.5083220943779</v>
      </c>
      <c r="P133" s="106">
        <f t="shared" si="56"/>
        <v>6861.8635061891691</v>
      </c>
      <c r="Q133" s="106">
        <f t="shared" si="56"/>
        <v>7464.5020474492921</v>
      </c>
      <c r="R133" s="106">
        <f t="shared" si="56"/>
        <v>8088.0109824478568</v>
      </c>
      <c r="S133" s="106">
        <f t="shared" si="56"/>
        <v>8689.7906490432506</v>
      </c>
      <c r="T133" s="106">
        <f t="shared" si="56"/>
        <v>9257.7586612071755</v>
      </c>
      <c r="U133" s="106">
        <f t="shared" si="56"/>
        <v>9832.1105713491488</v>
      </c>
      <c r="V133" s="106">
        <f t="shared" si="56"/>
        <v>10412.04120783243</v>
      </c>
      <c r="W133" s="106">
        <f t="shared" si="56"/>
        <v>10976.533505530257</v>
      </c>
      <c r="X133" s="106">
        <f t="shared" si="56"/>
        <v>11588.322486603138</v>
      </c>
      <c r="Y133" s="106">
        <f t="shared" si="56"/>
        <v>12235.763967391205</v>
      </c>
      <c r="Z133" s="106">
        <f t="shared" si="56"/>
        <v>12957.382408331512</v>
      </c>
      <c r="AA133" s="106">
        <f t="shared" si="56"/>
        <v>13821.255790193172</v>
      </c>
    </row>
    <row r="134" spans="1:27" x14ac:dyDescent="0.25">
      <c r="A134" s="101">
        <v>26</v>
      </c>
      <c r="C134" s="100"/>
      <c r="D134" s="100"/>
      <c r="E134" s="47" t="s">
        <v>657</v>
      </c>
      <c r="F134" s="47" t="s">
        <v>655</v>
      </c>
      <c r="G134" s="102">
        <f>Assumptions!$H$45</f>
        <v>1</v>
      </c>
    </row>
    <row r="135" spans="1:27" x14ac:dyDescent="0.25">
      <c r="C135" s="100"/>
      <c r="D135" s="100"/>
      <c r="E135" s="47" t="s">
        <v>658</v>
      </c>
      <c r="F135" s="47" t="s">
        <v>655</v>
      </c>
      <c r="H135" s="47">
        <f>H132*$G134</f>
        <v>641.33743430730829</v>
      </c>
      <c r="I135" s="47">
        <f t="shared" ref="I135:AA135" si="57">I132*$G134</f>
        <v>768.82932971043192</v>
      </c>
      <c r="J135" s="47">
        <f t="shared" si="57"/>
        <v>691.17207673125813</v>
      </c>
      <c r="K135" s="47">
        <f t="shared" si="57"/>
        <v>756.94161678492674</v>
      </c>
      <c r="L135" s="47">
        <f t="shared" si="57"/>
        <v>883.71641645322961</v>
      </c>
      <c r="M135" s="47">
        <f t="shared" si="57"/>
        <v>893.13094966088829</v>
      </c>
      <c r="N135" s="47">
        <f t="shared" si="57"/>
        <v>845.92926274734782</v>
      </c>
      <c r="O135" s="47">
        <f t="shared" si="57"/>
        <v>731.45123569898715</v>
      </c>
      <c r="P135" s="47">
        <f t="shared" si="57"/>
        <v>649.35518409479118</v>
      </c>
      <c r="Q135" s="47">
        <f t="shared" si="57"/>
        <v>602.63854126012302</v>
      </c>
      <c r="R135" s="47">
        <f t="shared" si="57"/>
        <v>623.50893499856465</v>
      </c>
      <c r="S135" s="47">
        <f t="shared" si="57"/>
        <v>601.77966659539379</v>
      </c>
      <c r="T135" s="47">
        <f t="shared" si="57"/>
        <v>567.96801216392487</v>
      </c>
      <c r="U135" s="47">
        <f t="shared" si="57"/>
        <v>574.35191014197335</v>
      </c>
      <c r="V135" s="47">
        <f t="shared" si="57"/>
        <v>579.93063648328098</v>
      </c>
      <c r="W135" s="47">
        <f t="shared" si="57"/>
        <v>564.49229769782687</v>
      </c>
      <c r="X135" s="47">
        <f t="shared" si="57"/>
        <v>611.78898107288114</v>
      </c>
      <c r="Y135" s="47">
        <f t="shared" si="57"/>
        <v>647.44148078806757</v>
      </c>
      <c r="Z135" s="47">
        <f t="shared" si="57"/>
        <v>721.61844094030675</v>
      </c>
      <c r="AA135" s="47">
        <f t="shared" si="57"/>
        <v>863.87338186166016</v>
      </c>
    </row>
    <row r="136" spans="1:27" x14ac:dyDescent="0.25">
      <c r="C136" s="100"/>
      <c r="D136" s="100"/>
      <c r="E136" s="47" t="s">
        <v>659</v>
      </c>
      <c r="F136" s="47" t="s">
        <v>655</v>
      </c>
      <c r="H136" s="47">
        <f>H133*$G134</f>
        <v>641.33743430730829</v>
      </c>
      <c r="I136" s="47">
        <f t="shared" ref="I136:AA136" si="58">I133*$G134</f>
        <v>1410.1667640177402</v>
      </c>
      <c r="J136" s="47">
        <f t="shared" si="58"/>
        <v>2101.3388407489983</v>
      </c>
      <c r="K136" s="47">
        <f t="shared" si="58"/>
        <v>2858.2804575339251</v>
      </c>
      <c r="L136" s="47">
        <f t="shared" si="58"/>
        <v>3741.9968739871547</v>
      </c>
      <c r="M136" s="47">
        <f t="shared" si="58"/>
        <v>4635.127823648043</v>
      </c>
      <c r="N136" s="47">
        <f t="shared" si="58"/>
        <v>5481.0570863953908</v>
      </c>
      <c r="O136" s="47">
        <f t="shared" si="58"/>
        <v>6212.5083220943779</v>
      </c>
      <c r="P136" s="47">
        <f t="shared" si="58"/>
        <v>6861.8635061891691</v>
      </c>
      <c r="Q136" s="47">
        <f t="shared" si="58"/>
        <v>7464.5020474492921</v>
      </c>
      <c r="R136" s="47">
        <f t="shared" si="58"/>
        <v>8088.0109824478568</v>
      </c>
      <c r="S136" s="47">
        <f t="shared" si="58"/>
        <v>8689.7906490432506</v>
      </c>
      <c r="T136" s="47">
        <f t="shared" si="58"/>
        <v>9257.7586612071755</v>
      </c>
      <c r="U136" s="47">
        <f t="shared" si="58"/>
        <v>9832.1105713491488</v>
      </c>
      <c r="V136" s="47">
        <f t="shared" si="58"/>
        <v>10412.04120783243</v>
      </c>
      <c r="W136" s="47">
        <f t="shared" si="58"/>
        <v>10976.533505530257</v>
      </c>
      <c r="X136" s="47">
        <f t="shared" si="58"/>
        <v>11588.322486603138</v>
      </c>
      <c r="Y136" s="47">
        <f t="shared" si="58"/>
        <v>12235.763967391205</v>
      </c>
      <c r="Z136" s="47">
        <f t="shared" si="58"/>
        <v>12957.382408331512</v>
      </c>
      <c r="AA136" s="47">
        <f t="shared" si="58"/>
        <v>13821.255790193172</v>
      </c>
    </row>
    <row r="137" spans="1:27" x14ac:dyDescent="0.25">
      <c r="A137" s="101">
        <v>27</v>
      </c>
      <c r="B137" s="47" t="str">
        <f>B132</f>
        <v>Western</v>
      </c>
      <c r="C137" s="47" t="str">
        <f>C132</f>
        <v>R</v>
      </c>
      <c r="D137" s="47" t="str">
        <f>D132</f>
        <v>Sewer</v>
      </c>
      <c r="E137" s="47" t="s">
        <v>660</v>
      </c>
      <c r="F137" s="47" t="s">
        <v>661</v>
      </c>
      <c r="H137" s="102">
        <f>IF(OR($D137=W,$D137=WS),'INPUT Reg'!AD121,IF($D137=RW,'INPUT Reg'!AD125,0))</f>
        <v>0</v>
      </c>
      <c r="I137" s="102">
        <f>IF(OR($D137=W,$D137=WS),'INPUT Reg'!AE121,IF($D137=RW,'INPUT Reg'!AE125,0))</f>
        <v>0</v>
      </c>
      <c r="J137" s="102">
        <f>IF(OR($D137=W,$D137=WS),'INPUT Reg'!AF121,IF($D137=RW,'INPUT Reg'!AF125,0))</f>
        <v>0</v>
      </c>
      <c r="K137" s="102">
        <f>IF(OR($D137=W,$D137=WS),'INPUT Reg'!AG121,IF($D137=RW,'INPUT Reg'!AG125,0))</f>
        <v>0</v>
      </c>
      <c r="L137" s="102">
        <f>IF(OR($D137=W,$D137=WS),'INPUT Reg'!AH121,IF($D137=RW,'INPUT Reg'!AH125,0))</f>
        <v>0</v>
      </c>
      <c r="M137" s="102">
        <f>IF(OR($D137=W,$D137=WS),'INPUT Reg'!AI121,IF($D137=RW,'INPUT Reg'!AI125,0))</f>
        <v>0</v>
      </c>
      <c r="N137" s="102">
        <f>IF(OR($D137=W,$D137=WS),'INPUT Reg'!AJ121,IF($D137=RW,'INPUT Reg'!AJ125,0))</f>
        <v>0</v>
      </c>
      <c r="O137" s="102">
        <f>IF(OR($D137=W,$D137=WS),'INPUT Reg'!AK121,IF($D137=RW,'INPUT Reg'!AK125,0))</f>
        <v>0</v>
      </c>
      <c r="P137" s="102">
        <f>IF(OR($D137=W,$D137=WS),'INPUT Reg'!AL121,IF($D137=RW,'INPUT Reg'!AL125,0))</f>
        <v>0</v>
      </c>
      <c r="Q137" s="102">
        <f>IF(OR($D137=W,$D137=WS),'INPUT Reg'!AM121,IF($D137=RW,'INPUT Reg'!AM125,0))</f>
        <v>0</v>
      </c>
      <c r="R137" s="102">
        <f>IF(OR($D137=W,$D137=WS),'INPUT Reg'!AN121,IF($D137=RW,'INPUT Reg'!AN125,0))</f>
        <v>0</v>
      </c>
      <c r="S137" s="102">
        <f>IF(OR($D137=W,$D137=WS),'INPUT Reg'!AO121,IF($D137=RW,'INPUT Reg'!AO125,0))</f>
        <v>0</v>
      </c>
      <c r="T137" s="102">
        <f>IF(OR($D137=W,$D137=WS),'INPUT Reg'!AP121,IF($D137=RW,'INPUT Reg'!AP125,0))</f>
        <v>0</v>
      </c>
      <c r="U137" s="102">
        <f>IF(OR($D137=W,$D137=WS),'INPUT Reg'!AQ121,IF($D137=RW,'INPUT Reg'!AQ125,0))</f>
        <v>0</v>
      </c>
      <c r="V137" s="102">
        <f>IF(OR($D137=W,$D137=WS),'INPUT Reg'!AR121,IF($D137=RW,'INPUT Reg'!AR125,0))</f>
        <v>0</v>
      </c>
      <c r="W137" s="102">
        <f>IF(OR($D137=W,$D137=WS),'INPUT Reg'!AS121,IF($D137=RW,'INPUT Reg'!AS125,0))</f>
        <v>0</v>
      </c>
      <c r="X137" s="102">
        <f>IF(OR($D137=W,$D137=WS),'INPUT Reg'!AT121,IF($D137=RW,'INPUT Reg'!AT125,0))</f>
        <v>0</v>
      </c>
      <c r="Y137" s="102">
        <f>IF(OR($D137=W,$D137=WS),'INPUT Reg'!AU121,IF($D137=RW,'INPUT Reg'!AU125,0))</f>
        <v>0</v>
      </c>
      <c r="Z137" s="102">
        <f>IF(OR($D137=W,$D137=WS),'INPUT Reg'!AV121,IF($D137=RW,'INPUT Reg'!AV125,0))</f>
        <v>0</v>
      </c>
      <c r="AA137" s="102">
        <f>IF(OR($D137=W,$D137=WS),'INPUT Reg'!AW121,IF($D137=RW,'INPUT Reg'!AW125,0))</f>
        <v>0</v>
      </c>
    </row>
    <row r="138" spans="1:27" x14ac:dyDescent="0.25">
      <c r="B138" s="47" t="str">
        <f>B132</f>
        <v>Western</v>
      </c>
      <c r="C138" s="47" t="str">
        <f t="shared" ref="C138:D138" si="59">C132</f>
        <v>R</v>
      </c>
      <c r="D138" s="47" t="str">
        <f t="shared" si="59"/>
        <v>Sewer</v>
      </c>
      <c r="E138" s="47" t="s">
        <v>662</v>
      </c>
      <c r="F138" s="47" t="s">
        <v>661</v>
      </c>
      <c r="H138" s="102">
        <f>IF(OR($D138=W,$D138=WS),'INPUT Reg'!AD122,0)</f>
        <v>0</v>
      </c>
      <c r="I138" s="102">
        <f>IF(OR($D138=W,$D138=WS),'INPUT Reg'!AE122,0)</f>
        <v>0</v>
      </c>
      <c r="J138" s="102">
        <f>IF(OR($D138=W,$D138=WS),'INPUT Reg'!AF122,0)</f>
        <v>0</v>
      </c>
      <c r="K138" s="102">
        <f>IF(OR($D138=W,$D138=WS),'INPUT Reg'!AG122,0)</f>
        <v>0</v>
      </c>
      <c r="L138" s="102">
        <f>IF(OR($D138=W,$D138=WS),'INPUT Reg'!AH122,0)</f>
        <v>0</v>
      </c>
      <c r="M138" s="102">
        <f>IF(OR($D138=W,$D138=WS),'INPUT Reg'!AI122,0)</f>
        <v>0</v>
      </c>
      <c r="N138" s="102">
        <f>IF(OR($D138=W,$D138=WS),'INPUT Reg'!AJ122,0)</f>
        <v>0</v>
      </c>
      <c r="O138" s="102">
        <f>IF(OR($D138=W,$D138=WS),'INPUT Reg'!AK122,0)</f>
        <v>0</v>
      </c>
      <c r="P138" s="102">
        <f>IF(OR($D138=W,$D138=WS),'INPUT Reg'!AL122,0)</f>
        <v>0</v>
      </c>
      <c r="Q138" s="102">
        <f>IF(OR($D138=W,$D138=WS),'INPUT Reg'!AM122,0)</f>
        <v>0</v>
      </c>
      <c r="R138" s="102">
        <f>IF(OR($D138=W,$D138=WS),'INPUT Reg'!AN122,0)</f>
        <v>0</v>
      </c>
      <c r="S138" s="102">
        <f>IF(OR($D138=W,$D138=WS),'INPUT Reg'!AO122,0)</f>
        <v>0</v>
      </c>
      <c r="T138" s="102">
        <f>IF(OR($D138=W,$D138=WS),'INPUT Reg'!AP122,0)</f>
        <v>0</v>
      </c>
      <c r="U138" s="102">
        <f>IF(OR($D138=W,$D138=WS),'INPUT Reg'!AQ122,0)</f>
        <v>0</v>
      </c>
      <c r="V138" s="102">
        <f>IF(OR($D138=W,$D138=WS),'INPUT Reg'!AR122,0)</f>
        <v>0</v>
      </c>
      <c r="W138" s="102">
        <f>IF(OR($D138=W,$D138=WS),'INPUT Reg'!AS122,0)</f>
        <v>0</v>
      </c>
      <c r="X138" s="102">
        <f>IF(OR($D138=W,$D138=WS),'INPUT Reg'!AT122,0)</f>
        <v>0</v>
      </c>
      <c r="Y138" s="102">
        <f>IF(OR($D138=W,$D138=WS),'INPUT Reg'!AU122,0)</f>
        <v>0</v>
      </c>
      <c r="Z138" s="102">
        <f>IF(OR($D138=W,$D138=WS),'INPUT Reg'!AV122,0)</f>
        <v>0</v>
      </c>
      <c r="AA138" s="102">
        <f>IF(OR($D138=W,$D138=WS),'INPUT Reg'!AW122,0)</f>
        <v>0</v>
      </c>
    </row>
    <row r="139" spans="1:27" x14ac:dyDescent="0.25">
      <c r="A139" s="101">
        <v>28</v>
      </c>
      <c r="B139" s="47" t="str">
        <f>B132</f>
        <v>Western</v>
      </c>
      <c r="C139" s="47" t="str">
        <f t="shared" ref="C139:D139" si="60">C132</f>
        <v>R</v>
      </c>
      <c r="D139" s="47" t="str">
        <f t="shared" si="60"/>
        <v>Sewer</v>
      </c>
      <c r="E139" s="47" t="s">
        <v>663</v>
      </c>
      <c r="F139" s="47" t="s">
        <v>661</v>
      </c>
      <c r="H139" s="102">
        <f>IF(OR($D139=S,$D139=WS),'INPUT Reg'!AD124,0)</f>
        <v>115.94598888324484</v>
      </c>
      <c r="I139" s="102">
        <f>IF(OR($D139=S,$D139=WS),'INPUT Reg'!AE124,0)</f>
        <v>113.42373872423093</v>
      </c>
      <c r="J139" s="102">
        <f>IF(OR($D139=S,$D139=WS),'INPUT Reg'!AF124,0)</f>
        <v>112.79480176997063</v>
      </c>
      <c r="K139" s="102">
        <f>IF(OR($D139=S,$D139=WS),'INPUT Reg'!AG124,0)</f>
        <v>112.46229492870154</v>
      </c>
      <c r="L139" s="102">
        <f>IF(OR($D139=S,$D139=WS),'INPUT Reg'!AH124,0)</f>
        <v>111.34485817049055</v>
      </c>
      <c r="M139" s="102">
        <f>IF(OR($D139=S,$D139=WS),'INPUT Reg'!AI124,0)</f>
        <v>110.52548179876155</v>
      </c>
      <c r="N139" s="102">
        <f>IF(OR($D139=S,$D139=WS),'INPUT Reg'!AJ124,0)</f>
        <v>109.77254687845424</v>
      </c>
      <c r="O139" s="102">
        <f>IF(OR($D139=S,$D139=WS),'INPUT Reg'!AK124,0)</f>
        <v>109.30928783471062</v>
      </c>
      <c r="P139" s="102">
        <f>IF(OR($D139=S,$D139=WS),'INPUT Reg'!AL124,0)</f>
        <v>108.2060964646317</v>
      </c>
      <c r="Q139" s="102">
        <f>IF(OR($D139=S,$D139=WS),'INPUT Reg'!AM124,0)</f>
        <v>107.42299157765144</v>
      </c>
      <c r="R139" s="102">
        <f>IF(OR($D139=S,$D139=WS),'INPUT Reg'!AN124,0)</f>
        <v>106.66135994529793</v>
      </c>
      <c r="S139" s="102">
        <f>IF(OR($D139=S,$D139=WS),'INPUT Reg'!AO124,0)</f>
        <v>106.21533970114072</v>
      </c>
      <c r="T139" s="102">
        <f>IF(OR($D139=S,$D139=WS),'INPUT Reg'!AP124,0)</f>
        <v>105.18760635073897</v>
      </c>
      <c r="U139" s="102">
        <f>IF(OR($D139=S,$D139=WS),'INPUT Reg'!AQ124,0)</f>
        <v>104.497582101353</v>
      </c>
      <c r="V139" s="102">
        <f>IF(OR($D139=S,$D139=WS),'INPUT Reg'!AR124,0)</f>
        <v>103.87078062356498</v>
      </c>
      <c r="W139" s="102">
        <f>IF(OR($D139=S,$D139=WS),'INPUT Reg'!AS124,0)</f>
        <v>103.59840732428682</v>
      </c>
      <c r="X139" s="102">
        <f>IF(OR($D139=S,$D139=WS),'INPUT Reg'!AT124,0)</f>
        <v>102.49891642385481</v>
      </c>
      <c r="Y139" s="102">
        <f>IF(OR($D139=S,$D139=WS),'INPUT Reg'!AU124,0)</f>
        <v>102.10444993044013</v>
      </c>
      <c r="Z139" s="102">
        <f>IF(OR($D139=S,$D139=WS),'INPUT Reg'!AV124,0)</f>
        <v>101.7301470338907</v>
      </c>
      <c r="AA139" s="102">
        <f>IF(OR($D139=S,$D139=WS),'INPUT Reg'!AW124,0)</f>
        <v>101.7301470338907</v>
      </c>
    </row>
    <row r="140" spans="1:27" x14ac:dyDescent="0.25">
      <c r="C140" s="100"/>
      <c r="D140" s="100"/>
      <c r="E140" s="47" t="s">
        <v>664</v>
      </c>
      <c r="F140" s="47" t="s">
        <v>665</v>
      </c>
      <c r="H140" s="106">
        <f>H133*H137</f>
        <v>0</v>
      </c>
      <c r="I140" s="106">
        <f t="shared" ref="I140:AA140" si="61">I133*I137</f>
        <v>0</v>
      </c>
      <c r="J140" s="106">
        <f t="shared" si="61"/>
        <v>0</v>
      </c>
      <c r="K140" s="106">
        <f t="shared" si="61"/>
        <v>0</v>
      </c>
      <c r="L140" s="106">
        <f t="shared" si="61"/>
        <v>0</v>
      </c>
      <c r="M140" s="106">
        <f t="shared" si="61"/>
        <v>0</v>
      </c>
      <c r="N140" s="106">
        <f t="shared" si="61"/>
        <v>0</v>
      </c>
      <c r="O140" s="106">
        <f t="shared" si="61"/>
        <v>0</v>
      </c>
      <c r="P140" s="106">
        <f t="shared" si="61"/>
        <v>0</v>
      </c>
      <c r="Q140" s="106">
        <f t="shared" si="61"/>
        <v>0</v>
      </c>
      <c r="R140" s="106">
        <f t="shared" si="61"/>
        <v>0</v>
      </c>
      <c r="S140" s="106">
        <f t="shared" si="61"/>
        <v>0</v>
      </c>
      <c r="T140" s="106">
        <f t="shared" si="61"/>
        <v>0</v>
      </c>
      <c r="U140" s="106">
        <f t="shared" si="61"/>
        <v>0</v>
      </c>
      <c r="V140" s="106">
        <f t="shared" si="61"/>
        <v>0</v>
      </c>
      <c r="W140" s="106">
        <f t="shared" si="61"/>
        <v>0</v>
      </c>
      <c r="X140" s="106">
        <f t="shared" si="61"/>
        <v>0</v>
      </c>
      <c r="Y140" s="106">
        <f t="shared" si="61"/>
        <v>0</v>
      </c>
      <c r="Z140" s="106">
        <f t="shared" si="61"/>
        <v>0</v>
      </c>
      <c r="AA140" s="106">
        <f t="shared" si="61"/>
        <v>0</v>
      </c>
    </row>
    <row r="141" spans="1:27" x14ac:dyDescent="0.25">
      <c r="C141" s="100"/>
      <c r="D141" s="100"/>
      <c r="E141" s="47" t="s">
        <v>666</v>
      </c>
      <c r="F141" s="47" t="s">
        <v>665</v>
      </c>
      <c r="H141" s="106">
        <f>H133*H138</f>
        <v>0</v>
      </c>
      <c r="I141" s="106">
        <f t="shared" ref="I141:AA141" si="62">I133*I138</f>
        <v>0</v>
      </c>
      <c r="J141" s="106">
        <f t="shared" si="62"/>
        <v>0</v>
      </c>
      <c r="K141" s="106">
        <f t="shared" si="62"/>
        <v>0</v>
      </c>
      <c r="L141" s="106">
        <f t="shared" si="62"/>
        <v>0</v>
      </c>
      <c r="M141" s="106">
        <f t="shared" si="62"/>
        <v>0</v>
      </c>
      <c r="N141" s="106">
        <f t="shared" si="62"/>
        <v>0</v>
      </c>
      <c r="O141" s="106">
        <f t="shared" si="62"/>
        <v>0</v>
      </c>
      <c r="P141" s="106">
        <f t="shared" si="62"/>
        <v>0</v>
      </c>
      <c r="Q141" s="106">
        <f t="shared" si="62"/>
        <v>0</v>
      </c>
      <c r="R141" s="106">
        <f t="shared" si="62"/>
        <v>0</v>
      </c>
      <c r="S141" s="106">
        <f t="shared" si="62"/>
        <v>0</v>
      </c>
      <c r="T141" s="106">
        <f t="shared" si="62"/>
        <v>0</v>
      </c>
      <c r="U141" s="106">
        <f t="shared" si="62"/>
        <v>0</v>
      </c>
      <c r="V141" s="106">
        <f t="shared" si="62"/>
        <v>0</v>
      </c>
      <c r="W141" s="106">
        <f t="shared" si="62"/>
        <v>0</v>
      </c>
      <c r="X141" s="106">
        <f t="shared" si="62"/>
        <v>0</v>
      </c>
      <c r="Y141" s="106">
        <f t="shared" si="62"/>
        <v>0</v>
      </c>
      <c r="Z141" s="106">
        <f t="shared" si="62"/>
        <v>0</v>
      </c>
      <c r="AA141" s="106">
        <f t="shared" si="62"/>
        <v>0</v>
      </c>
    </row>
    <row r="142" spans="1:27" x14ac:dyDescent="0.25">
      <c r="C142" s="100"/>
      <c r="D142" s="100"/>
      <c r="E142" s="47" t="s">
        <v>667</v>
      </c>
      <c r="F142" s="47" t="s">
        <v>665</v>
      </c>
      <c r="H142" s="106">
        <f>H133*H139</f>
        <v>74360.503028603925</v>
      </c>
      <c r="I142" s="106">
        <f t="shared" ref="I142:AA142" si="63">I133*I139</f>
        <v>159946.38659954237</v>
      </c>
      <c r="J142" s="106">
        <f t="shared" si="63"/>
        <v>237020.09799382315</v>
      </c>
      <c r="K142" s="106">
        <f t="shared" si="63"/>
        <v>321448.77980412426</v>
      </c>
      <c r="L142" s="106">
        <f t="shared" si="63"/>
        <v>416652.11120851873</v>
      </c>
      <c r="M142" s="106">
        <f t="shared" si="63"/>
        <v>512299.73590754502</v>
      </c>
      <c r="N142" s="106">
        <f t="shared" si="63"/>
        <v>601669.59595982183</v>
      </c>
      <c r="O142" s="106">
        <f t="shared" si="63"/>
        <v>679084.86035534949</v>
      </c>
      <c r="P142" s="106">
        <f t="shared" si="63"/>
        <v>742495.46447784116</v>
      </c>
      <c r="Q142" s="106">
        <f t="shared" si="63"/>
        <v>801859.1405745073</v>
      </c>
      <c r="R142" s="106">
        <f t="shared" si="63"/>
        <v>862678.25064039358</v>
      </c>
      <c r="S142" s="106">
        <f t="shared" si="63"/>
        <v>922989.06571992498</v>
      </c>
      <c r="T142" s="106">
        <f t="shared" si="63"/>
        <v>973801.47374520462</v>
      </c>
      <c r="U142" s="106">
        <f t="shared" si="63"/>
        <v>1027431.7816591385</v>
      </c>
      <c r="V142" s="106">
        <f t="shared" si="63"/>
        <v>1081506.8481422809</v>
      </c>
      <c r="W142" s="106">
        <f t="shared" si="63"/>
        <v>1137151.3891146055</v>
      </c>
      <c r="X142" s="106">
        <f t="shared" si="63"/>
        <v>1187790.4980470124</v>
      </c>
      <c r="Y142" s="106">
        <f t="shared" si="63"/>
        <v>1249325.9493691789</v>
      </c>
      <c r="Z142" s="106">
        <f t="shared" si="63"/>
        <v>1318156.4175739135</v>
      </c>
      <c r="AA142" s="106">
        <f t="shared" si="63"/>
        <v>1406038.3837293647</v>
      </c>
    </row>
    <row r="143" spans="1:27" x14ac:dyDescent="0.25">
      <c r="A143" s="101">
        <v>29</v>
      </c>
      <c r="B143" s="47" t="str">
        <f>B137</f>
        <v>Western</v>
      </c>
      <c r="C143" s="47" t="str">
        <f t="shared" ref="C143:D143" si="64">C137</f>
        <v>R</v>
      </c>
      <c r="D143" s="47" t="str">
        <f t="shared" si="64"/>
        <v>Sewer</v>
      </c>
      <c r="E143" s="47" t="s">
        <v>668</v>
      </c>
      <c r="F143" s="47" t="s">
        <v>633</v>
      </c>
      <c r="H143" s="105">
        <f>SUMIFS('INPUT Reg'!AD$94:AD$109,'INPUT Reg'!$D$94:$D$109,$D143,'INPUT Reg'!$C$94:$C$109,$C143,'INPUT Reg'!$B$94:$B$109,$B143)</f>
        <v>-3.6603950308454869E-2</v>
      </c>
      <c r="I143" s="105">
        <f>SUMIFS('INPUT Reg'!AE$94:AE$109,'INPUT Reg'!$D$94:$D$109,$D143,'INPUT Reg'!$C$94:$C$109,$C143,'INPUT Reg'!$B$94:$B$109,$B143)</f>
        <v>-3.7994706663136757E-2</v>
      </c>
      <c r="J143" s="105">
        <f>SUMIFS('INPUT Reg'!AF$94:AF$109,'INPUT Reg'!$D$94:$D$109,$D143,'INPUT Reg'!$C$94:$C$109,$C143,'INPUT Reg'!$B$94:$B$109,$B143)</f>
        <v>-3.9495319751668201E-2</v>
      </c>
      <c r="K143" s="105">
        <f>SUMIFS('INPUT Reg'!AG$94:AG$109,'INPUT Reg'!$D$94:$D$109,$D143,'INPUT Reg'!$C$94:$C$109,$C143,'INPUT Reg'!$B$94:$B$109,$B143)</f>
        <v>-4.1119341283643696E-2</v>
      </c>
      <c r="L143" s="105">
        <f>SUMIFS('INPUT Reg'!AH$94:AH$109,'INPUT Reg'!$D$94:$D$109,$D143,'INPUT Reg'!$C$94:$C$109,$C143,'INPUT Reg'!$B$94:$B$109,$B143)</f>
        <v>-4.1982797414207296E-2</v>
      </c>
      <c r="M143" s="105">
        <f>SUMIFS('INPUT Reg'!AI$94:AI$109,'INPUT Reg'!$D$94:$D$109,$D143,'INPUT Reg'!$C$94:$C$109,$C143,'INPUT Reg'!$B$94:$B$109,$B143)</f>
        <v>-4.3822592434552554E-2</v>
      </c>
      <c r="N143" s="105">
        <f>SUMIFS('INPUT Reg'!AJ$94:AJ$109,'INPUT Reg'!$D$94:$D$109,$D143,'INPUT Reg'!$C$94:$C$109,$C143,'INPUT Reg'!$B$94:$B$109,$B143)</f>
        <v>-4.5831026844830536E-2</v>
      </c>
      <c r="O143" s="105">
        <f>SUMIFS('INPUT Reg'!AK$94:AK$109,'INPUT Reg'!$D$94:$D$109,$D143,'INPUT Reg'!$C$94:$C$109,$C143,'INPUT Reg'!$B$94:$B$109,$B143)</f>
        <v>-4.8032401109501799E-2</v>
      </c>
      <c r="P143" s="105">
        <f>SUMIFS('INPUT Reg'!AL$94:AL$109,'INPUT Reg'!$D$94:$D$109,$D143,'INPUT Reg'!$C$94:$C$109,$C143,'INPUT Reg'!$B$94:$B$109,$B143)</f>
        <v>-4.6130075527775372E-2</v>
      </c>
      <c r="Q143" s="105">
        <f>SUMIFS('INPUT Reg'!AM$94:AM$109,'INPUT Reg'!$D$94:$D$109,$D143,'INPUT Reg'!$C$94:$C$109,$C143,'INPUT Reg'!$B$94:$B$109,$B143)</f>
        <v>-0.18076168250503288</v>
      </c>
      <c r="R143" s="105">
        <f>SUMIFS('INPUT Reg'!AN$94:AN$109,'INPUT Reg'!$D$94:$D$109,$D143,'INPUT Reg'!$C$94:$C$109,$C143,'INPUT Reg'!$B$94:$B$109,$B143)</f>
        <v>0</v>
      </c>
      <c r="S143" s="105">
        <f>SUMIFS('INPUT Reg'!AO$94:AO$109,'INPUT Reg'!$D$94:$D$109,$D143,'INPUT Reg'!$C$94:$C$109,$C143,'INPUT Reg'!$B$94:$B$109,$B143)</f>
        <v>0</v>
      </c>
      <c r="T143" s="105">
        <f>SUMIFS('INPUT Reg'!AP$94:AP$109,'INPUT Reg'!$D$94:$D$109,$D143,'INPUT Reg'!$C$94:$C$109,$C143,'INPUT Reg'!$B$94:$B$109,$B143)</f>
        <v>0</v>
      </c>
      <c r="U143" s="105">
        <f>SUMIFS('INPUT Reg'!AQ$94:AQ$109,'INPUT Reg'!$D$94:$D$109,$D143,'INPUT Reg'!$C$94:$C$109,$C143,'INPUT Reg'!$B$94:$B$109,$B143)</f>
        <v>0</v>
      </c>
      <c r="V143" s="105">
        <f>SUMIFS('INPUT Reg'!AR$94:AR$109,'INPUT Reg'!$D$94:$D$109,$D143,'INPUT Reg'!$C$94:$C$109,$C143,'INPUT Reg'!$B$94:$B$109,$B143)</f>
        <v>-0.11609367173460639</v>
      </c>
      <c r="W143" s="105">
        <f>SUMIFS('INPUT Reg'!AS$94:AS$109,'INPUT Reg'!$D$94:$D$109,$D143,'INPUT Reg'!$C$94:$C$109,$C143,'INPUT Reg'!$B$94:$B$109,$B143)</f>
        <v>0</v>
      </c>
      <c r="X143" s="105">
        <f>SUMIFS('INPUT Reg'!AT$94:AT$109,'INPUT Reg'!$D$94:$D$109,$D143,'INPUT Reg'!$C$94:$C$109,$C143,'INPUT Reg'!$B$94:$B$109,$B143)</f>
        <v>0</v>
      </c>
      <c r="Y143" s="105">
        <f>SUMIFS('INPUT Reg'!AU$94:AU$109,'INPUT Reg'!$D$94:$D$109,$D143,'INPUT Reg'!$C$94:$C$109,$C143,'INPUT Reg'!$B$94:$B$109,$B143)</f>
        <v>0</v>
      </c>
      <c r="Z143" s="105">
        <f>SUMIFS('INPUT Reg'!AV$94:AV$109,'INPUT Reg'!$D$94:$D$109,$D143,'INPUT Reg'!$C$94:$C$109,$C143,'INPUT Reg'!$B$94:$B$109,$B143)</f>
        <v>0</v>
      </c>
      <c r="AA143" s="105">
        <f>SUMIFS('INPUT Reg'!AW$94:AW$109,'INPUT Reg'!$D$94:$D$109,$D143,'INPUT Reg'!$C$94:$C$109,$C143,'INPUT Reg'!$B$94:$B$109,$B143)</f>
        <v>0</v>
      </c>
    </row>
    <row r="144" spans="1:27" x14ac:dyDescent="0.25">
      <c r="A144" s="101">
        <v>30</v>
      </c>
      <c r="B144" s="47" t="str">
        <f>B132</f>
        <v>Western</v>
      </c>
      <c r="C144" s="47" t="str">
        <f t="shared" ref="C144:D144" si="65">C132</f>
        <v>R</v>
      </c>
      <c r="D144" s="47" t="str">
        <f t="shared" si="65"/>
        <v>Sewer</v>
      </c>
      <c r="E144" s="47" t="s">
        <v>669</v>
      </c>
      <c r="F144" s="47" t="s">
        <v>670</v>
      </c>
      <c r="G144" s="108">
        <f>IF(D144=W,WW_R_W_N,IF(D144=S,WW_R_S_N,IF(D144=WS,WW_R_W_N+WW_R_S_N,WW_R_R_N)))</f>
        <v>544.54349999999999</v>
      </c>
      <c r="H144" s="106">
        <f>G144*(1+$G$14)*(1+H143)</f>
        <v>524.61105678520789</v>
      </c>
      <c r="I144" s="106">
        <f t="shared" ref="I144:AA144" si="66">H144*(1+$G$14)*(1+I143)</f>
        <v>504.67861357041573</v>
      </c>
      <c r="J144" s="106">
        <f t="shared" si="66"/>
        <v>484.74617035562358</v>
      </c>
      <c r="K144" s="106">
        <f t="shared" si="66"/>
        <v>464.81372714083142</v>
      </c>
      <c r="L144" s="106">
        <f t="shared" si="66"/>
        <v>445.29954659893525</v>
      </c>
      <c r="M144" s="106">
        <f t="shared" si="66"/>
        <v>425.78536605703908</v>
      </c>
      <c r="N144" s="106">
        <f t="shared" si="66"/>
        <v>406.27118551514292</v>
      </c>
      <c r="O144" s="106">
        <f t="shared" si="66"/>
        <v>386.75700497324675</v>
      </c>
      <c r="P144" s="106">
        <f t="shared" si="66"/>
        <v>368.91587512293466</v>
      </c>
      <c r="Q144" s="106">
        <f t="shared" si="66"/>
        <v>302.2300208328964</v>
      </c>
      <c r="R144" s="106">
        <f t="shared" si="66"/>
        <v>302.2300208328964</v>
      </c>
      <c r="S144" s="106">
        <f t="shared" si="66"/>
        <v>302.2300208328964</v>
      </c>
      <c r="T144" s="106">
        <f t="shared" si="66"/>
        <v>302.2300208328964</v>
      </c>
      <c r="U144" s="106">
        <f t="shared" si="66"/>
        <v>302.2300208328964</v>
      </c>
      <c r="V144" s="106">
        <f t="shared" si="66"/>
        <v>267.14302800597886</v>
      </c>
      <c r="W144" s="106">
        <f t="shared" si="66"/>
        <v>267.14302800597886</v>
      </c>
      <c r="X144" s="106">
        <f t="shared" si="66"/>
        <v>267.14302800597886</v>
      </c>
      <c r="Y144" s="106">
        <f t="shared" si="66"/>
        <v>267.14302800597886</v>
      </c>
      <c r="Z144" s="106">
        <f t="shared" si="66"/>
        <v>267.14302800597886</v>
      </c>
      <c r="AA144" s="106">
        <f t="shared" si="66"/>
        <v>267.14302800597886</v>
      </c>
    </row>
    <row r="145" spans="1:27" x14ac:dyDescent="0.25">
      <c r="B145" s="47" t="str">
        <f>B132</f>
        <v>Western</v>
      </c>
      <c r="C145" s="47" t="str">
        <f t="shared" ref="C145:D145" si="67">C132</f>
        <v>R</v>
      </c>
      <c r="D145" s="47" t="str">
        <f t="shared" si="67"/>
        <v>Sewer</v>
      </c>
      <c r="E145" s="47" t="s">
        <v>671</v>
      </c>
      <c r="F145" s="47" t="s">
        <v>672</v>
      </c>
      <c r="G145" s="109">
        <f>IF(OR(D145=W,D145=WS),WW_T1,IF(D145=RW,WW_R_R_V,0))</f>
        <v>0</v>
      </c>
      <c r="H145" s="110">
        <f>G145*(1+$G$14)*(1+H143)</f>
        <v>0</v>
      </c>
      <c r="I145" s="110">
        <f t="shared" ref="I145:AA145" si="68">H145*(1+$G$14)*(1+I143)</f>
        <v>0</v>
      </c>
      <c r="J145" s="110">
        <f t="shared" si="68"/>
        <v>0</v>
      </c>
      <c r="K145" s="110">
        <f t="shared" si="68"/>
        <v>0</v>
      </c>
      <c r="L145" s="110">
        <f t="shared" si="68"/>
        <v>0</v>
      </c>
      <c r="M145" s="110">
        <f t="shared" si="68"/>
        <v>0</v>
      </c>
      <c r="N145" s="110">
        <f t="shared" si="68"/>
        <v>0</v>
      </c>
      <c r="O145" s="110">
        <f t="shared" si="68"/>
        <v>0</v>
      </c>
      <c r="P145" s="110">
        <f t="shared" si="68"/>
        <v>0</v>
      </c>
      <c r="Q145" s="110">
        <f t="shared" si="68"/>
        <v>0</v>
      </c>
      <c r="R145" s="110">
        <f t="shared" si="68"/>
        <v>0</v>
      </c>
      <c r="S145" s="110">
        <f t="shared" si="68"/>
        <v>0</v>
      </c>
      <c r="T145" s="110">
        <f t="shared" si="68"/>
        <v>0</v>
      </c>
      <c r="U145" s="110">
        <f t="shared" si="68"/>
        <v>0</v>
      </c>
      <c r="V145" s="110">
        <f t="shared" si="68"/>
        <v>0</v>
      </c>
      <c r="W145" s="110">
        <f t="shared" si="68"/>
        <v>0</v>
      </c>
      <c r="X145" s="110">
        <f t="shared" si="68"/>
        <v>0</v>
      </c>
      <c r="Y145" s="110">
        <f t="shared" si="68"/>
        <v>0</v>
      </c>
      <c r="Z145" s="110">
        <f t="shared" si="68"/>
        <v>0</v>
      </c>
      <c r="AA145" s="110">
        <f t="shared" si="68"/>
        <v>0</v>
      </c>
    </row>
    <row r="146" spans="1:27" x14ac:dyDescent="0.25">
      <c r="B146" s="47" t="str">
        <f>B132</f>
        <v>Western</v>
      </c>
      <c r="C146" s="47" t="str">
        <f t="shared" ref="C146:D146" si="69">C132</f>
        <v>R</v>
      </c>
      <c r="D146" s="47" t="str">
        <f t="shared" si="69"/>
        <v>Sewer</v>
      </c>
      <c r="E146" s="47" t="s">
        <v>673</v>
      </c>
      <c r="F146" s="47" t="s">
        <v>672</v>
      </c>
      <c r="G146" s="109">
        <f>IF(OR(D146=W,D146=WS),WW_T2,0)</f>
        <v>0</v>
      </c>
      <c r="H146" s="110">
        <f>G146*(1+$G$14)*(1+H143)</f>
        <v>0</v>
      </c>
      <c r="I146" s="110">
        <f t="shared" ref="I146:AA146" si="70">H146*(1+$G$14)*(1+I143)</f>
        <v>0</v>
      </c>
      <c r="J146" s="110">
        <f t="shared" si="70"/>
        <v>0</v>
      </c>
      <c r="K146" s="110">
        <f t="shared" si="70"/>
        <v>0</v>
      </c>
      <c r="L146" s="110">
        <f t="shared" si="70"/>
        <v>0</v>
      </c>
      <c r="M146" s="110">
        <f t="shared" si="70"/>
        <v>0</v>
      </c>
      <c r="N146" s="110">
        <f t="shared" si="70"/>
        <v>0</v>
      </c>
      <c r="O146" s="110">
        <f t="shared" si="70"/>
        <v>0</v>
      </c>
      <c r="P146" s="110">
        <f t="shared" si="70"/>
        <v>0</v>
      </c>
      <c r="Q146" s="110">
        <f t="shared" si="70"/>
        <v>0</v>
      </c>
      <c r="R146" s="110">
        <f t="shared" si="70"/>
        <v>0</v>
      </c>
      <c r="S146" s="110">
        <f t="shared" si="70"/>
        <v>0</v>
      </c>
      <c r="T146" s="110">
        <f t="shared" si="70"/>
        <v>0</v>
      </c>
      <c r="U146" s="110">
        <f t="shared" si="70"/>
        <v>0</v>
      </c>
      <c r="V146" s="110">
        <f t="shared" si="70"/>
        <v>0</v>
      </c>
      <c r="W146" s="110">
        <f t="shared" si="70"/>
        <v>0</v>
      </c>
      <c r="X146" s="110">
        <f t="shared" si="70"/>
        <v>0</v>
      </c>
      <c r="Y146" s="110">
        <f t="shared" si="70"/>
        <v>0</v>
      </c>
      <c r="Z146" s="110">
        <f t="shared" si="70"/>
        <v>0</v>
      </c>
      <c r="AA146" s="110">
        <f t="shared" si="70"/>
        <v>0</v>
      </c>
    </row>
    <row r="147" spans="1:27" x14ac:dyDescent="0.25">
      <c r="B147" s="47" t="str">
        <f>B132</f>
        <v>Western</v>
      </c>
      <c r="C147" s="47" t="str">
        <f t="shared" ref="C147:D147" si="71">C132</f>
        <v>R</v>
      </c>
      <c r="D147" s="47" t="str">
        <f t="shared" si="71"/>
        <v>Sewer</v>
      </c>
      <c r="E147" s="47" t="s">
        <v>674</v>
      </c>
      <c r="F147" s="47" t="s">
        <v>672</v>
      </c>
      <c r="G147" s="109">
        <f>IF(OR(D147=S,D147=WS), WW_R_SDC,0)</f>
        <v>0</v>
      </c>
      <c r="H147" s="110">
        <f>G147*(1+$G$14)*(1+H143)</f>
        <v>0</v>
      </c>
      <c r="I147" s="110">
        <f t="shared" ref="I147:AA147" si="72">H147*(1+$G$14)*(1+I143)</f>
        <v>0</v>
      </c>
      <c r="J147" s="110">
        <f t="shared" si="72"/>
        <v>0</v>
      </c>
      <c r="K147" s="110">
        <f t="shared" si="72"/>
        <v>0</v>
      </c>
      <c r="L147" s="110">
        <f t="shared" si="72"/>
        <v>0</v>
      </c>
      <c r="M147" s="110">
        <f t="shared" si="72"/>
        <v>0</v>
      </c>
      <c r="N147" s="110">
        <f t="shared" si="72"/>
        <v>0</v>
      </c>
      <c r="O147" s="110">
        <f t="shared" si="72"/>
        <v>0</v>
      </c>
      <c r="P147" s="110">
        <f t="shared" si="72"/>
        <v>0</v>
      </c>
      <c r="Q147" s="110">
        <f t="shared" si="72"/>
        <v>0</v>
      </c>
      <c r="R147" s="110">
        <f t="shared" si="72"/>
        <v>0</v>
      </c>
      <c r="S147" s="110">
        <f t="shared" si="72"/>
        <v>0</v>
      </c>
      <c r="T147" s="110">
        <f t="shared" si="72"/>
        <v>0</v>
      </c>
      <c r="U147" s="110">
        <f t="shared" si="72"/>
        <v>0</v>
      </c>
      <c r="V147" s="110">
        <f t="shared" si="72"/>
        <v>0</v>
      </c>
      <c r="W147" s="110">
        <f t="shared" si="72"/>
        <v>0</v>
      </c>
      <c r="X147" s="110">
        <f t="shared" si="72"/>
        <v>0</v>
      </c>
      <c r="Y147" s="110">
        <f t="shared" si="72"/>
        <v>0</v>
      </c>
      <c r="Z147" s="110">
        <f t="shared" si="72"/>
        <v>0</v>
      </c>
      <c r="AA147" s="110">
        <f t="shared" si="72"/>
        <v>0</v>
      </c>
    </row>
    <row r="148" spans="1:27" x14ac:dyDescent="0.25">
      <c r="C148" s="100"/>
      <c r="D148" s="100"/>
    </row>
    <row r="149" spans="1:27" x14ac:dyDescent="0.25">
      <c r="C149" s="100"/>
      <c r="D149" s="100"/>
      <c r="E149" s="47" t="s">
        <v>682</v>
      </c>
      <c r="F149" s="47" t="s">
        <v>676</v>
      </c>
      <c r="H149" s="106">
        <f>SUM(H140:H142)/1000</f>
        <v>74.360503028603929</v>
      </c>
      <c r="I149" s="106">
        <f t="shared" ref="I149:AA149" si="73">SUM(I140:I142)/1000</f>
        <v>159.94638659954236</v>
      </c>
      <c r="J149" s="106">
        <f t="shared" si="73"/>
        <v>237.02009799382316</v>
      </c>
      <c r="K149" s="106">
        <f t="shared" si="73"/>
        <v>321.44877980412429</v>
      </c>
      <c r="L149" s="106">
        <f t="shared" si="73"/>
        <v>416.65211120851876</v>
      </c>
      <c r="M149" s="106">
        <f t="shared" si="73"/>
        <v>512.29973590754503</v>
      </c>
      <c r="N149" s="106">
        <f t="shared" si="73"/>
        <v>601.66959595982178</v>
      </c>
      <c r="O149" s="106">
        <f t="shared" si="73"/>
        <v>679.08486035534952</v>
      </c>
      <c r="P149" s="106">
        <f t="shared" si="73"/>
        <v>742.49546447784121</v>
      </c>
      <c r="Q149" s="106">
        <f t="shared" si="73"/>
        <v>801.85914057450725</v>
      </c>
      <c r="R149" s="106">
        <f t="shared" si="73"/>
        <v>862.67825064039357</v>
      </c>
      <c r="S149" s="106">
        <f t="shared" si="73"/>
        <v>922.98906571992495</v>
      </c>
      <c r="T149" s="106">
        <f t="shared" si="73"/>
        <v>973.80147374520459</v>
      </c>
      <c r="U149" s="106">
        <f t="shared" si="73"/>
        <v>1027.4317816591386</v>
      </c>
      <c r="V149" s="106">
        <f t="shared" si="73"/>
        <v>1081.5068481422809</v>
      </c>
      <c r="W149" s="106">
        <f t="shared" si="73"/>
        <v>1137.1513891146055</v>
      </c>
      <c r="X149" s="106">
        <f t="shared" si="73"/>
        <v>1187.7904980470123</v>
      </c>
      <c r="Y149" s="106">
        <f t="shared" si="73"/>
        <v>1249.3259493691789</v>
      </c>
      <c r="Z149" s="106">
        <f t="shared" si="73"/>
        <v>1318.1564175739134</v>
      </c>
      <c r="AA149" s="106">
        <f t="shared" si="73"/>
        <v>1406.0383837293648</v>
      </c>
    </row>
    <row r="150" spans="1:27" x14ac:dyDescent="0.25">
      <c r="C150" s="100"/>
      <c r="D150" s="100"/>
      <c r="E150" s="47" t="s">
        <v>683</v>
      </c>
      <c r="F150" s="47" t="s">
        <v>639</v>
      </c>
      <c r="H150" s="106">
        <f>H133*H144+H140*H145+H141*H146+H142*H147</f>
        <v>336452.70916787087</v>
      </c>
      <c r="I150" s="106">
        <f t="shared" ref="I150:AA150" si="74">I133*I144+I140*I145+I141*I146+I142*I147</f>
        <v>711681.00736755272</v>
      </c>
      <c r="J150" s="106">
        <f t="shared" si="74"/>
        <v>1018615.9556726025</v>
      </c>
      <c r="K150" s="106">
        <f t="shared" si="74"/>
        <v>1328567.9926801447</v>
      </c>
      <c r="L150" s="106">
        <f t="shared" si="74"/>
        <v>1666309.5113611131</v>
      </c>
      <c r="M150" s="106">
        <f t="shared" si="74"/>
        <v>1973569.5971131488</v>
      </c>
      <c r="N150" s="106">
        <f t="shared" si="74"/>
        <v>2226795.5603660303</v>
      </c>
      <c r="O150" s="106">
        <f t="shared" si="74"/>
        <v>2402731.1120245922</v>
      </c>
      <c r="P150" s="106">
        <f t="shared" si="74"/>
        <v>2531450.3803599062</v>
      </c>
      <c r="Q150" s="106">
        <f t="shared" si="74"/>
        <v>2255996.6093077976</v>
      </c>
      <c r="R150" s="106">
        <f t="shared" si="74"/>
        <v>2444439.7277219105</v>
      </c>
      <c r="S150" s="106">
        <f t="shared" si="74"/>
        <v>2626315.6088938499</v>
      </c>
      <c r="T150" s="106">
        <f t="shared" si="74"/>
        <v>2797972.5930425716</v>
      </c>
      <c r="U150" s="106">
        <f t="shared" si="74"/>
        <v>2971558.9828101941</v>
      </c>
      <c r="V150" s="106">
        <f t="shared" si="74"/>
        <v>2781504.2159833848</v>
      </c>
      <c r="W150" s="106">
        <f t="shared" si="74"/>
        <v>2932304.3976764348</v>
      </c>
      <c r="X150" s="106">
        <f t="shared" si="74"/>
        <v>3095739.5585809369</v>
      </c>
      <c r="Y150" s="106">
        <f t="shared" si="74"/>
        <v>3268699.0362153356</v>
      </c>
      <c r="Z150" s="106">
        <f t="shared" si="74"/>
        <v>3461474.3715930828</v>
      </c>
      <c r="AA150" s="106">
        <f t="shared" si="74"/>
        <v>3692252.122637372</v>
      </c>
    </row>
    <row r="151" spans="1:27" x14ac:dyDescent="0.25">
      <c r="C151" s="100"/>
      <c r="D151" s="100"/>
    </row>
    <row r="152" spans="1:27" x14ac:dyDescent="0.25">
      <c r="C152" s="100"/>
      <c r="D152" s="47" t="s">
        <v>684</v>
      </c>
    </row>
    <row r="153" spans="1:27" x14ac:dyDescent="0.25">
      <c r="A153" s="101">
        <v>31</v>
      </c>
      <c r="B153" s="47" t="s">
        <v>265</v>
      </c>
      <c r="C153" s="100" t="s">
        <v>407</v>
      </c>
      <c r="D153" s="100" t="str">
        <f>$G$4</f>
        <v>Sewer</v>
      </c>
      <c r="E153" s="47" t="s">
        <v>654</v>
      </c>
      <c r="F153" s="47" t="s">
        <v>655</v>
      </c>
      <c r="H153" s="102">
        <f>IF($G$4="Water and sewer",SUMIFS('INPUT Growth'!AD$64:AD$115,'INPUT Growth'!$B$64:$B$115,$A$1,'INPUT Growth'!$F$64:$F$115,$B153,'INPUT Growth'!$E$64:$E$115,$C153),SUMIFS('INPUT Growth'!AD$64:AD$115,'INPUT Growth'!$A$64:$A$115,$A$1,'INPUT Growth'!$F$64:$F$115,$B153,'INPUT Growth'!$E$64:$E$115,$C153))</f>
        <v>58.597907536807497</v>
      </c>
      <c r="I153" s="102">
        <f>IF($G$4="Water and sewer",SUMIFS('INPUT Growth'!AE$64:AE$115,'INPUT Growth'!$B$64:$B$115,$A$1,'INPUT Growth'!$F$64:$F$115,$B153,'INPUT Growth'!$E$64:$E$115,$C153),SUMIFS('INPUT Growth'!AE$64:AE$115,'INPUT Growth'!$A$64:$A$115,$A$1,'INPUT Growth'!$F$64:$F$115,$B153,'INPUT Growth'!$E$64:$E$115,$C153))</f>
        <v>67.999407373427402</v>
      </c>
      <c r="J153" s="102">
        <f>IF($G$4="Water and sewer",SUMIFS('INPUT Growth'!AF$64:AF$115,'INPUT Growth'!$B$64:$B$115,$A$1,'INPUT Growth'!$F$64:$F$115,$B153,'INPUT Growth'!$E$64:$E$115,$C153),SUMIFS('INPUT Growth'!AF$64:AF$115,'INPUT Growth'!$A$64:$A$115,$A$1,'INPUT Growth'!$F$64:$F$115,$B153,'INPUT Growth'!$E$64:$E$115,$C153))</f>
        <v>59.156057985442203</v>
      </c>
      <c r="K153" s="102">
        <f>IF($G$4="Water and sewer",SUMIFS('INPUT Growth'!AG$64:AG$115,'INPUT Growth'!$B$64:$B$115,$A$1,'INPUT Growth'!$F$64:$F$115,$B153,'INPUT Growth'!$E$64:$E$115,$C153),SUMIFS('INPUT Growth'!AG$64:AG$115,'INPUT Growth'!$A$64:$A$115,$A$1,'INPUT Growth'!$F$64:$F$115,$B153,'INPUT Growth'!$E$64:$E$115,$C153))</f>
        <v>67.815253233698513</v>
      </c>
      <c r="L153" s="102">
        <f>IF($G$4="Water and sewer",SUMIFS('INPUT Growth'!AH$64:AH$115,'INPUT Growth'!$B$64:$B$115,$A$1,'INPUT Growth'!$F$64:$F$115,$B153,'INPUT Growth'!$E$64:$E$115,$C153),SUMIFS('INPUT Growth'!AH$64:AH$115,'INPUT Growth'!$A$64:$A$115,$A$1,'INPUT Growth'!$F$64:$F$115,$B153,'INPUT Growth'!$E$64:$E$115,$C153))</f>
        <v>91.788285346483008</v>
      </c>
      <c r="M153" s="102">
        <f>IF($G$4="Water and sewer",SUMIFS('INPUT Growth'!AI$64:AI$115,'INPUT Growth'!$B$64:$B$115,$A$1,'INPUT Growth'!$F$64:$F$115,$B153,'INPUT Growth'!$E$64:$E$115,$C153),SUMIFS('INPUT Growth'!AI$64:AI$115,'INPUT Growth'!$A$64:$A$115,$A$1,'INPUT Growth'!$F$64:$F$115,$B153,'INPUT Growth'!$E$64:$E$115,$C153))</f>
        <v>102.8177339670583</v>
      </c>
      <c r="N153" s="102">
        <f>IF($G$4="Water and sewer",SUMIFS('INPUT Growth'!AJ$64:AJ$115,'INPUT Growth'!$B$64:$B$115,$A$1,'INPUT Growth'!$F$64:$F$115,$B153,'INPUT Growth'!$E$64:$E$115,$C153),SUMIFS('INPUT Growth'!AJ$64:AJ$115,'INPUT Growth'!$A$64:$A$115,$A$1,'INPUT Growth'!$F$64:$F$115,$B153,'INPUT Growth'!$E$64:$E$115,$C153))</f>
        <v>92.294860787927746</v>
      </c>
      <c r="O153" s="102">
        <f>IF($G$4="Water and sewer",SUMIFS('INPUT Growth'!AK$64:AK$115,'INPUT Growth'!$B$64:$B$115,$A$1,'INPUT Growth'!$F$64:$F$115,$B153,'INPUT Growth'!$E$64:$E$115,$C153),SUMIFS('INPUT Growth'!AK$64:AK$115,'INPUT Growth'!$A$64:$A$115,$A$1,'INPUT Growth'!$F$64:$F$115,$B153,'INPUT Growth'!$E$64:$E$115,$C153))</f>
        <v>84.1138931704279</v>
      </c>
      <c r="P153" s="102">
        <f>IF($G$4="Water and sewer",SUMIFS('INPUT Growth'!AL$64:AL$115,'INPUT Growth'!$B$64:$B$115,$A$1,'INPUT Growth'!$F$64:$F$115,$B153,'INPUT Growth'!$E$64:$E$115,$C153),SUMIFS('INPUT Growth'!AL$64:AL$115,'INPUT Growth'!$A$64:$A$115,$A$1,'INPUT Growth'!$F$64:$F$115,$B153,'INPUT Growth'!$E$64:$E$115,$C153))</f>
        <v>83.533620369101754</v>
      </c>
      <c r="Q153" s="102">
        <f>IF($G$4="Water and sewer",SUMIFS('INPUT Growth'!AM$64:AM$115,'INPUT Growth'!$B$64:$B$115,$A$1,'INPUT Growth'!$F$64:$F$115,$B153,'INPUT Growth'!$E$64:$E$115,$C153),SUMIFS('INPUT Growth'!AM$64:AM$115,'INPUT Growth'!$A$64:$A$115,$A$1,'INPUT Growth'!$F$64:$F$115,$B153,'INPUT Growth'!$E$64:$E$115,$C153))</f>
        <v>83.70004014285314</v>
      </c>
      <c r="R153" s="102">
        <f>IF($G$4="Water and sewer",SUMIFS('INPUT Growth'!AN$64:AN$115,'INPUT Growth'!$B$64:$B$115,$A$1,'INPUT Growth'!$F$64:$F$115,$B153,'INPUT Growth'!$E$64:$E$115,$C153),SUMIFS('INPUT Growth'!AN$64:AN$115,'INPUT Growth'!$A$64:$A$115,$A$1,'INPUT Growth'!$F$64:$F$115,$B153,'INPUT Growth'!$E$64:$E$115,$C153))</f>
        <v>84.614394544882998</v>
      </c>
      <c r="S153" s="102">
        <f>IF($G$4="Water and sewer",SUMIFS('INPUT Growth'!AO$64:AO$115,'INPUT Growth'!$B$64:$B$115,$A$1,'INPUT Growth'!$F$64:$F$115,$B153,'INPUT Growth'!$E$64:$E$115,$C153),SUMIFS('INPUT Growth'!AO$64:AO$115,'INPUT Growth'!$A$64:$A$115,$A$1,'INPUT Growth'!$F$64:$F$115,$B153,'INPUT Growth'!$E$64:$E$115,$C153))</f>
        <v>85.40195214630694</v>
      </c>
      <c r="T153" s="102">
        <f>IF($G$4="Water and sewer",SUMIFS('INPUT Growth'!AP$64:AP$115,'INPUT Growth'!$B$64:$B$115,$A$1,'INPUT Growth'!$F$64:$F$115,$B153,'INPUT Growth'!$E$64:$E$115,$C153),SUMIFS('INPUT Growth'!AP$64:AP$115,'INPUT Growth'!$A$64:$A$115,$A$1,'INPUT Growth'!$F$64:$F$115,$B153,'INPUT Growth'!$E$64:$E$115,$C153))</f>
        <v>88.495473492543624</v>
      </c>
      <c r="U153" s="102">
        <f>IF($G$4="Water and sewer",SUMIFS('INPUT Growth'!AQ$64:AQ$115,'INPUT Growth'!$B$64:$B$115,$A$1,'INPUT Growth'!$F$64:$F$115,$B153,'INPUT Growth'!$E$64:$E$115,$C153),SUMIFS('INPUT Growth'!AQ$64:AQ$115,'INPUT Growth'!$A$64:$A$115,$A$1,'INPUT Growth'!$F$64:$F$115,$B153,'INPUT Growth'!$E$64:$E$115,$C153))</f>
        <v>96.814526258227943</v>
      </c>
      <c r="V153" s="102">
        <f>IF($G$4="Water and sewer",SUMIFS('INPUT Growth'!AR$64:AR$115,'INPUT Growth'!$B$64:$B$115,$A$1,'INPUT Growth'!$F$64:$F$115,$B153,'INPUT Growth'!$E$64:$E$115,$C153),SUMIFS('INPUT Growth'!AR$64:AR$115,'INPUT Growth'!$A$64:$A$115,$A$1,'INPUT Growth'!$F$64:$F$115,$B153,'INPUT Growth'!$E$64:$E$115,$C153))</f>
        <v>100.72971692195006</v>
      </c>
      <c r="W153" s="102">
        <f>IF($G$4="Water and sewer",SUMIFS('INPUT Growth'!AS$64:AS$115,'INPUT Growth'!$B$64:$B$115,$A$1,'INPUT Growth'!$F$64:$F$115,$B153,'INPUT Growth'!$E$64:$E$115,$C153),SUMIFS('INPUT Growth'!AS$64:AS$115,'INPUT Growth'!$A$64:$A$115,$A$1,'INPUT Growth'!$F$64:$F$115,$B153,'INPUT Growth'!$E$64:$E$115,$C153))</f>
        <v>109.59661314604364</v>
      </c>
      <c r="X153" s="102">
        <f>IF($G$4="Water and sewer",SUMIFS('INPUT Growth'!AT$64:AT$115,'INPUT Growth'!$B$64:$B$115,$A$1,'INPUT Growth'!$F$64:$F$115,$B153,'INPUT Growth'!$E$64:$E$115,$C153),SUMIFS('INPUT Growth'!AT$64:AT$115,'INPUT Growth'!$A$64:$A$115,$A$1,'INPUT Growth'!$F$64:$F$115,$B153,'INPUT Growth'!$E$64:$E$115,$C153))</f>
        <v>120.1964746595304</v>
      </c>
      <c r="Y153" s="102">
        <f>IF($G$4="Water and sewer",SUMIFS('INPUT Growth'!AU$64:AU$115,'INPUT Growth'!$B$64:$B$115,$A$1,'INPUT Growth'!$F$64:$F$115,$B153,'INPUT Growth'!$E$64:$E$115,$C153),SUMIFS('INPUT Growth'!AU$64:AU$115,'INPUT Growth'!$A$64:$A$115,$A$1,'INPUT Growth'!$F$64:$F$115,$B153,'INPUT Growth'!$E$64:$E$115,$C153))</f>
        <v>117.74644212976273</v>
      </c>
      <c r="Z153" s="102">
        <f>IF($G$4="Water and sewer",SUMIFS('INPUT Growth'!AV$64:AV$115,'INPUT Growth'!$B$64:$B$115,$A$1,'INPUT Growth'!$F$64:$F$115,$B153,'INPUT Growth'!$E$64:$E$115,$C153),SUMIFS('INPUT Growth'!AV$64:AV$115,'INPUT Growth'!$A$64:$A$115,$A$1,'INPUT Growth'!$F$64:$F$115,$B153,'INPUT Growth'!$E$64:$E$115,$C153))</f>
        <v>114.30954973144435</v>
      </c>
      <c r="AA153" s="102">
        <f>IF($G$4="Water and sewer",SUMIFS('INPUT Growth'!AW$64:AW$115,'INPUT Growth'!$B$64:$B$115,$A$1,'INPUT Growth'!$F$64:$F$115,$B153,'INPUT Growth'!$E$64:$E$115,$C153),SUMIFS('INPUT Growth'!AW$64:AW$115,'INPUT Growth'!$A$64:$A$115,$A$1,'INPUT Growth'!$F$64:$F$115,$B153,'INPUT Growth'!$E$64:$E$115,$C153))</f>
        <v>110.11029069180313</v>
      </c>
    </row>
    <row r="154" spans="1:27" x14ac:dyDescent="0.25">
      <c r="C154" s="100"/>
      <c r="D154" s="100"/>
      <c r="E154" s="47" t="s">
        <v>656</v>
      </c>
      <c r="F154" s="47" t="s">
        <v>655</v>
      </c>
      <c r="H154" s="106">
        <f>G154+H153</f>
        <v>58.597907536807497</v>
      </c>
      <c r="I154" s="106">
        <f t="shared" ref="I154:AA154" si="75">H154+I153</f>
        <v>126.5973149102349</v>
      </c>
      <c r="J154" s="106">
        <f t="shared" si="75"/>
        <v>185.7533728956771</v>
      </c>
      <c r="K154" s="106">
        <f t="shared" si="75"/>
        <v>253.56862612937562</v>
      </c>
      <c r="L154" s="106">
        <f t="shared" si="75"/>
        <v>345.35691147585862</v>
      </c>
      <c r="M154" s="106">
        <f t="shared" si="75"/>
        <v>448.17464544291693</v>
      </c>
      <c r="N154" s="106">
        <f t="shared" si="75"/>
        <v>540.46950623084467</v>
      </c>
      <c r="O154" s="106">
        <f t="shared" si="75"/>
        <v>624.58339940127257</v>
      </c>
      <c r="P154" s="106">
        <f t="shared" si="75"/>
        <v>708.11701977037433</v>
      </c>
      <c r="Q154" s="106">
        <f t="shared" si="75"/>
        <v>791.81705991322747</v>
      </c>
      <c r="R154" s="106">
        <f t="shared" si="75"/>
        <v>876.43145445811047</v>
      </c>
      <c r="S154" s="106">
        <f t="shared" si="75"/>
        <v>961.83340660441741</v>
      </c>
      <c r="T154" s="106">
        <f t="shared" si="75"/>
        <v>1050.328880096961</v>
      </c>
      <c r="U154" s="106">
        <f t="shared" si="75"/>
        <v>1147.143406355189</v>
      </c>
      <c r="V154" s="106">
        <f t="shared" si="75"/>
        <v>1247.873123277139</v>
      </c>
      <c r="W154" s="106">
        <f t="shared" si="75"/>
        <v>1357.4697364231827</v>
      </c>
      <c r="X154" s="106">
        <f t="shared" si="75"/>
        <v>1477.6662110827131</v>
      </c>
      <c r="Y154" s="106">
        <f t="shared" si="75"/>
        <v>1595.4126532124758</v>
      </c>
      <c r="Z154" s="106">
        <f t="shared" si="75"/>
        <v>1709.7222029439201</v>
      </c>
      <c r="AA154" s="106">
        <f t="shared" si="75"/>
        <v>1819.8324936357233</v>
      </c>
    </row>
    <row r="155" spans="1:27" x14ac:dyDescent="0.25">
      <c r="A155" s="101">
        <v>32</v>
      </c>
      <c r="C155" s="100"/>
      <c r="D155" s="100"/>
      <c r="E155" s="47" t="s">
        <v>657</v>
      </c>
      <c r="F155" s="47" t="s">
        <v>655</v>
      </c>
      <c r="G155" s="102">
        <f>Assumptions!$H$46</f>
        <v>2</v>
      </c>
    </row>
    <row r="156" spans="1:27" x14ac:dyDescent="0.25">
      <c r="C156" s="100"/>
      <c r="D156" s="100"/>
      <c r="E156" s="47" t="s">
        <v>658</v>
      </c>
      <c r="F156" s="47" t="s">
        <v>655</v>
      </c>
      <c r="H156" s="47">
        <f>H153*$G155</f>
        <v>117.19581507361499</v>
      </c>
      <c r="I156" s="47">
        <f t="shared" ref="I156:AA156" si="76">I153*$G155</f>
        <v>135.9988147468548</v>
      </c>
      <c r="J156" s="47">
        <f t="shared" si="76"/>
        <v>118.31211597088441</v>
      </c>
      <c r="K156" s="47">
        <f t="shared" si="76"/>
        <v>135.63050646739703</v>
      </c>
      <c r="L156" s="47">
        <f t="shared" si="76"/>
        <v>183.57657069296602</v>
      </c>
      <c r="M156" s="47">
        <f t="shared" si="76"/>
        <v>205.6354679341166</v>
      </c>
      <c r="N156" s="47">
        <f t="shared" si="76"/>
        <v>184.58972157585549</v>
      </c>
      <c r="O156" s="47">
        <f t="shared" si="76"/>
        <v>168.2277863408558</v>
      </c>
      <c r="P156" s="47">
        <f t="shared" si="76"/>
        <v>167.06724073820351</v>
      </c>
      <c r="Q156" s="47">
        <f t="shared" si="76"/>
        <v>167.40008028570628</v>
      </c>
      <c r="R156" s="47">
        <f t="shared" si="76"/>
        <v>169.228789089766</v>
      </c>
      <c r="S156" s="47">
        <f t="shared" si="76"/>
        <v>170.80390429261388</v>
      </c>
      <c r="T156" s="47">
        <f t="shared" si="76"/>
        <v>176.99094698508725</v>
      </c>
      <c r="U156" s="47">
        <f t="shared" si="76"/>
        <v>193.62905251645589</v>
      </c>
      <c r="V156" s="47">
        <f t="shared" si="76"/>
        <v>201.45943384390011</v>
      </c>
      <c r="W156" s="47">
        <f t="shared" si="76"/>
        <v>219.19322629208727</v>
      </c>
      <c r="X156" s="47">
        <f t="shared" si="76"/>
        <v>240.39294931906079</v>
      </c>
      <c r="Y156" s="47">
        <f t="shared" si="76"/>
        <v>235.49288425952545</v>
      </c>
      <c r="Z156" s="47">
        <f t="shared" si="76"/>
        <v>228.6190994628887</v>
      </c>
      <c r="AA156" s="47">
        <f t="shared" si="76"/>
        <v>220.22058138360626</v>
      </c>
    </row>
    <row r="157" spans="1:27" x14ac:dyDescent="0.25">
      <c r="C157" s="100"/>
      <c r="D157" s="100"/>
      <c r="E157" s="47" t="s">
        <v>659</v>
      </c>
      <c r="F157" s="47" t="s">
        <v>655</v>
      </c>
      <c r="H157" s="47">
        <f>H154*$G155</f>
        <v>117.19581507361499</v>
      </c>
      <c r="I157" s="47">
        <f t="shared" ref="I157:AA157" si="77">I154*$G155</f>
        <v>253.1946298204698</v>
      </c>
      <c r="J157" s="47">
        <f t="shared" si="77"/>
        <v>371.50674579135421</v>
      </c>
      <c r="K157" s="47">
        <f t="shared" si="77"/>
        <v>507.13725225875123</v>
      </c>
      <c r="L157" s="47">
        <f t="shared" si="77"/>
        <v>690.71382295171725</v>
      </c>
      <c r="M157" s="47">
        <f t="shared" si="77"/>
        <v>896.34929088583385</v>
      </c>
      <c r="N157" s="47">
        <f t="shared" si="77"/>
        <v>1080.9390124616893</v>
      </c>
      <c r="O157" s="47">
        <f t="shared" si="77"/>
        <v>1249.1667988025451</v>
      </c>
      <c r="P157" s="47">
        <f t="shared" si="77"/>
        <v>1416.2340395407487</v>
      </c>
      <c r="Q157" s="47">
        <f t="shared" si="77"/>
        <v>1583.6341198264549</v>
      </c>
      <c r="R157" s="47">
        <f t="shared" si="77"/>
        <v>1752.8629089162209</v>
      </c>
      <c r="S157" s="47">
        <f t="shared" si="77"/>
        <v>1923.6668132088348</v>
      </c>
      <c r="T157" s="47">
        <f t="shared" si="77"/>
        <v>2100.6577601939221</v>
      </c>
      <c r="U157" s="47">
        <f t="shared" si="77"/>
        <v>2294.2868127103779</v>
      </c>
      <c r="V157" s="47">
        <f t="shared" si="77"/>
        <v>2495.7462465542781</v>
      </c>
      <c r="W157" s="47">
        <f t="shared" si="77"/>
        <v>2714.9394728463653</v>
      </c>
      <c r="X157" s="47">
        <f t="shared" si="77"/>
        <v>2955.3324221654261</v>
      </c>
      <c r="Y157" s="47">
        <f t="shared" si="77"/>
        <v>3190.8253064249516</v>
      </c>
      <c r="Z157" s="47">
        <f t="shared" si="77"/>
        <v>3419.4444058878403</v>
      </c>
      <c r="AA157" s="47">
        <f t="shared" si="77"/>
        <v>3639.6649872714465</v>
      </c>
    </row>
    <row r="158" spans="1:27" x14ac:dyDescent="0.25">
      <c r="A158" s="101">
        <v>33</v>
      </c>
      <c r="B158" s="47" t="str">
        <f>B153</f>
        <v>Western</v>
      </c>
      <c r="C158" s="47" t="str">
        <f>C153</f>
        <v>N</v>
      </c>
      <c r="D158" s="47" t="str">
        <f>D153</f>
        <v>Sewer</v>
      </c>
      <c r="E158" s="47" t="s">
        <v>660</v>
      </c>
      <c r="F158" s="47" t="s">
        <v>661</v>
      </c>
      <c r="H158" s="102">
        <f>IF(OR($D158=W,$D158=WS),'INPUT Reg'!AD126,IF($D158=RW,'INPUT Reg'!AD128,0))</f>
        <v>0</v>
      </c>
      <c r="I158" s="102">
        <f>IF(OR($D158=W,$D158=WS),'INPUT Reg'!AE126,IF($D158=RW,'INPUT Reg'!AE128,0))</f>
        <v>0</v>
      </c>
      <c r="J158" s="102">
        <f>IF(OR($D158=W,$D158=WS),'INPUT Reg'!AF126,IF($D158=RW,'INPUT Reg'!AF128,0))</f>
        <v>0</v>
      </c>
      <c r="K158" s="102">
        <f>IF(OR($D158=W,$D158=WS),'INPUT Reg'!AG126,IF($D158=RW,'INPUT Reg'!AG128,0))</f>
        <v>0</v>
      </c>
      <c r="L158" s="102">
        <f>IF(OR($D158=W,$D158=WS),'INPUT Reg'!AH126,IF($D158=RW,'INPUT Reg'!AH128,0))</f>
        <v>0</v>
      </c>
      <c r="M158" s="102">
        <f>IF(OR($D158=W,$D158=WS),'INPUT Reg'!AI126,IF($D158=RW,'INPUT Reg'!AI128,0))</f>
        <v>0</v>
      </c>
      <c r="N158" s="102">
        <f>IF(OR($D158=W,$D158=WS),'INPUT Reg'!AJ126,IF($D158=RW,'INPUT Reg'!AJ128,0))</f>
        <v>0</v>
      </c>
      <c r="O158" s="102">
        <f>IF(OR($D158=W,$D158=WS),'INPUT Reg'!AK126,IF($D158=RW,'INPUT Reg'!AK128,0))</f>
        <v>0</v>
      </c>
      <c r="P158" s="102">
        <f>IF(OR($D158=W,$D158=WS),'INPUT Reg'!AL126,IF($D158=RW,'INPUT Reg'!AL128,0))</f>
        <v>0</v>
      </c>
      <c r="Q158" s="102">
        <f>IF(OR($D158=W,$D158=WS),'INPUT Reg'!AM126,IF($D158=RW,'INPUT Reg'!AM128,0))</f>
        <v>0</v>
      </c>
      <c r="R158" s="102">
        <f>IF(OR($D158=W,$D158=WS),'INPUT Reg'!AN126,IF($D158=RW,'INPUT Reg'!AN128,0))</f>
        <v>0</v>
      </c>
      <c r="S158" s="102">
        <f>IF(OR($D158=W,$D158=WS),'INPUT Reg'!AO126,IF($D158=RW,'INPUT Reg'!AO128,0))</f>
        <v>0</v>
      </c>
      <c r="T158" s="102">
        <f>IF(OR($D158=W,$D158=WS),'INPUT Reg'!AP126,IF($D158=RW,'INPUT Reg'!AP128,0))</f>
        <v>0</v>
      </c>
      <c r="U158" s="102">
        <f>IF(OR($D158=W,$D158=WS),'INPUT Reg'!AQ126,IF($D158=RW,'INPUT Reg'!AQ128,0))</f>
        <v>0</v>
      </c>
      <c r="V158" s="102">
        <f>IF(OR($D158=W,$D158=WS),'INPUT Reg'!AR126,IF($D158=RW,'INPUT Reg'!AR128,0))</f>
        <v>0</v>
      </c>
      <c r="W158" s="102">
        <f>IF(OR($D158=W,$D158=WS),'INPUT Reg'!AS126,IF($D158=RW,'INPUT Reg'!AS128,0))</f>
        <v>0</v>
      </c>
      <c r="X158" s="102">
        <f>IF(OR($D158=W,$D158=WS),'INPUT Reg'!AT126,IF($D158=RW,'INPUT Reg'!AT128,0))</f>
        <v>0</v>
      </c>
      <c r="Y158" s="102">
        <f>IF(OR($D158=W,$D158=WS),'INPUT Reg'!AU126,IF($D158=RW,'INPUT Reg'!AU128,0))</f>
        <v>0</v>
      </c>
      <c r="Z158" s="102">
        <f>IF(OR($D158=W,$D158=WS),'INPUT Reg'!AV126,IF($D158=RW,'INPUT Reg'!AV128,0))</f>
        <v>0</v>
      </c>
      <c r="AA158" s="102">
        <f>IF(OR($D158=W,$D158=WS),'INPUT Reg'!AW126,IF($D158=RW,'INPUT Reg'!AW128,0))</f>
        <v>0</v>
      </c>
    </row>
    <row r="159" spans="1:27" x14ac:dyDescent="0.25">
      <c r="B159" s="47" t="str">
        <f>B153</f>
        <v>Western</v>
      </c>
      <c r="C159" s="47" t="str">
        <f t="shared" ref="C159:D159" si="78">C153</f>
        <v>N</v>
      </c>
      <c r="D159" s="47" t="str">
        <f t="shared" si="78"/>
        <v>Sewer</v>
      </c>
      <c r="E159" s="47" t="s">
        <v>662</v>
      </c>
      <c r="F159" s="47" t="s">
        <v>661</v>
      </c>
      <c r="H159" s="102"/>
      <c r="I159" s="102"/>
      <c r="J159" s="102"/>
      <c r="K159" s="102"/>
      <c r="L159" s="102"/>
      <c r="M159" s="102"/>
      <c r="N159" s="102"/>
      <c r="O159" s="102"/>
      <c r="P159" s="102"/>
      <c r="Q159" s="102"/>
      <c r="R159" s="102"/>
      <c r="S159" s="102"/>
      <c r="T159" s="102"/>
      <c r="U159" s="102"/>
      <c r="V159" s="102"/>
      <c r="W159" s="102"/>
      <c r="X159" s="102"/>
      <c r="Y159" s="102"/>
      <c r="Z159" s="102"/>
      <c r="AA159" s="102"/>
    </row>
    <row r="160" spans="1:27" x14ac:dyDescent="0.25">
      <c r="A160" s="101">
        <v>34</v>
      </c>
      <c r="B160" s="47" t="str">
        <f>B153</f>
        <v>Western</v>
      </c>
      <c r="C160" s="47" t="str">
        <f t="shared" ref="C160:D160" si="79">C153</f>
        <v>N</v>
      </c>
      <c r="D160" s="47" t="str">
        <f t="shared" si="79"/>
        <v>Sewer</v>
      </c>
      <c r="E160" s="47" t="s">
        <v>663</v>
      </c>
      <c r="F160" s="47" t="s">
        <v>661</v>
      </c>
      <c r="H160" s="102">
        <f>IF(OR($D160=S,$D160=WS),'INPUT Reg'!AD127,0)</f>
        <v>347.92199565831874</v>
      </c>
      <c r="I160" s="102">
        <f>IF(OR($D160=S,$D160=WS),'INPUT Reg'!AE127,0)</f>
        <v>345.5631490149018</v>
      </c>
      <c r="J160" s="102">
        <f>IF(OR($D160=S,$D160=WS),'INPUT Reg'!AF127,0)</f>
        <v>346.61846340556093</v>
      </c>
      <c r="K160" s="102">
        <f>IF(OR($D160=S,$D160=WS),'INPUT Reg'!AG127,0)</f>
        <v>347.00870976774053</v>
      </c>
      <c r="L160" s="102">
        <f>IF(OR($D160=S,$D160=WS),'INPUT Reg'!AH127,0)</f>
        <v>343.34739988389288</v>
      </c>
      <c r="M160" s="102">
        <f>IF(OR($D160=S,$D160=WS),'INPUT Reg'!AI127,0)</f>
        <v>339.57968587231744</v>
      </c>
      <c r="N160" s="102">
        <f>IF(OR($D160=S,$D160=WS),'INPUT Reg'!AJ127,0)</f>
        <v>336.54501256690907</v>
      </c>
      <c r="O160" s="102">
        <f>IF(OR($D160=S,$D160=WS),'INPUT Reg'!AK127,0)</f>
        <v>334.44279949657823</v>
      </c>
      <c r="P160" s="102">
        <f>IF(OR($D160=S,$D160=WS),'INPUT Reg'!AL127,0)</f>
        <v>330.53560840063506</v>
      </c>
      <c r="Q160" s="102">
        <f>IF(OR($D160=S,$D160=WS),'INPUT Reg'!AM127,0)</f>
        <v>327.61963866727592</v>
      </c>
      <c r="R160" s="102">
        <f>IF(OR($D160=S,$D160=WS),'INPUT Reg'!AN127,0)</f>
        <v>325.21786491243779</v>
      </c>
      <c r="S160" s="102">
        <f>IF(OR($D160=S,$D160=WS),'INPUT Reg'!AO127,0)</f>
        <v>324.33575481626639</v>
      </c>
      <c r="T160" s="102">
        <f>IF(OR($D160=S,$D160=WS),'INPUT Reg'!AP127,0)</f>
        <v>321.82187373564062</v>
      </c>
      <c r="U160" s="102">
        <f>IF(OR($D160=S,$D160=WS),'INPUT Reg'!AQ127,0)</f>
        <v>320.30591349580385</v>
      </c>
      <c r="V160" s="102">
        <f>IF(OR($D160=S,$D160=WS),'INPUT Reg'!AR127,0)</f>
        <v>318.68483238643705</v>
      </c>
      <c r="W160" s="102">
        <f>IF(OR($D160=S,$D160=WS),'INPUT Reg'!AS127,0)</f>
        <v>318.470502330079</v>
      </c>
      <c r="X160" s="102">
        <f>IF(OR($D160=S,$D160=WS),'INPUT Reg'!AT127,0)</f>
        <v>316.91727855810331</v>
      </c>
      <c r="Y160" s="102">
        <f>IF(OR($D160=S,$D160=WS),'INPUT Reg'!AU127,0)</f>
        <v>316.53240639886275</v>
      </c>
      <c r="Z160" s="102">
        <f>IF(OR($D160=S,$D160=WS),'INPUT Reg'!AV127,0)</f>
        <v>316.66641742588752</v>
      </c>
      <c r="AA160" s="102">
        <f>IF(OR($D160=S,$D160=WS),'INPUT Reg'!AW127,0)</f>
        <v>316.66641742588752</v>
      </c>
    </row>
    <row r="161" spans="1:27" x14ac:dyDescent="0.25">
      <c r="C161" s="100"/>
      <c r="D161" s="100"/>
      <c r="E161" s="47" t="s">
        <v>664</v>
      </c>
      <c r="F161" s="47" t="s">
        <v>665</v>
      </c>
      <c r="H161" s="106">
        <f>H154*H158</f>
        <v>0</v>
      </c>
      <c r="I161" s="106">
        <f t="shared" ref="I161:AA161" si="80">I154*I158</f>
        <v>0</v>
      </c>
      <c r="J161" s="106">
        <f t="shared" si="80"/>
        <v>0</v>
      </c>
      <c r="K161" s="106">
        <f t="shared" si="80"/>
        <v>0</v>
      </c>
      <c r="L161" s="106">
        <f t="shared" si="80"/>
        <v>0</v>
      </c>
      <c r="M161" s="106">
        <f t="shared" si="80"/>
        <v>0</v>
      </c>
      <c r="N161" s="106">
        <f t="shared" si="80"/>
        <v>0</v>
      </c>
      <c r="O161" s="106">
        <f t="shared" si="80"/>
        <v>0</v>
      </c>
      <c r="P161" s="106">
        <f t="shared" si="80"/>
        <v>0</v>
      </c>
      <c r="Q161" s="106">
        <f t="shared" si="80"/>
        <v>0</v>
      </c>
      <c r="R161" s="106">
        <f t="shared" si="80"/>
        <v>0</v>
      </c>
      <c r="S161" s="106">
        <f t="shared" si="80"/>
        <v>0</v>
      </c>
      <c r="T161" s="106">
        <f t="shared" si="80"/>
        <v>0</v>
      </c>
      <c r="U161" s="106">
        <f t="shared" si="80"/>
        <v>0</v>
      </c>
      <c r="V161" s="106">
        <f t="shared" si="80"/>
        <v>0</v>
      </c>
      <c r="W161" s="106">
        <f t="shared" si="80"/>
        <v>0</v>
      </c>
      <c r="X161" s="106">
        <f t="shared" si="80"/>
        <v>0</v>
      </c>
      <c r="Y161" s="106">
        <f t="shared" si="80"/>
        <v>0</v>
      </c>
      <c r="Z161" s="106">
        <f t="shared" si="80"/>
        <v>0</v>
      </c>
      <c r="AA161" s="106">
        <f t="shared" si="80"/>
        <v>0</v>
      </c>
    </row>
    <row r="162" spans="1:27" x14ac:dyDescent="0.25">
      <c r="C162" s="100"/>
      <c r="D162" s="100"/>
      <c r="E162" s="47" t="s">
        <v>666</v>
      </c>
      <c r="F162" s="47" t="s">
        <v>665</v>
      </c>
      <c r="H162" s="106">
        <f>H154*H159</f>
        <v>0</v>
      </c>
      <c r="I162" s="106">
        <f t="shared" ref="I162:AA162" si="81">I154*I159</f>
        <v>0</v>
      </c>
      <c r="J162" s="106">
        <f t="shared" si="81"/>
        <v>0</v>
      </c>
      <c r="K162" s="106">
        <f t="shared" si="81"/>
        <v>0</v>
      </c>
      <c r="L162" s="106">
        <f t="shared" si="81"/>
        <v>0</v>
      </c>
      <c r="M162" s="106">
        <f t="shared" si="81"/>
        <v>0</v>
      </c>
      <c r="N162" s="106">
        <f t="shared" si="81"/>
        <v>0</v>
      </c>
      <c r="O162" s="106">
        <f t="shared" si="81"/>
        <v>0</v>
      </c>
      <c r="P162" s="106">
        <f t="shared" si="81"/>
        <v>0</v>
      </c>
      <c r="Q162" s="106">
        <f t="shared" si="81"/>
        <v>0</v>
      </c>
      <c r="R162" s="106">
        <f t="shared" si="81"/>
        <v>0</v>
      </c>
      <c r="S162" s="106">
        <f t="shared" si="81"/>
        <v>0</v>
      </c>
      <c r="T162" s="106">
        <f t="shared" si="81"/>
        <v>0</v>
      </c>
      <c r="U162" s="106">
        <f t="shared" si="81"/>
        <v>0</v>
      </c>
      <c r="V162" s="106">
        <f t="shared" si="81"/>
        <v>0</v>
      </c>
      <c r="W162" s="106">
        <f t="shared" si="81"/>
        <v>0</v>
      </c>
      <c r="X162" s="106">
        <f t="shared" si="81"/>
        <v>0</v>
      </c>
      <c r="Y162" s="106">
        <f t="shared" si="81"/>
        <v>0</v>
      </c>
      <c r="Z162" s="106">
        <f t="shared" si="81"/>
        <v>0</v>
      </c>
      <c r="AA162" s="106">
        <f t="shared" si="81"/>
        <v>0</v>
      </c>
    </row>
    <row r="163" spans="1:27" x14ac:dyDescent="0.25">
      <c r="C163" s="100"/>
      <c r="D163" s="100"/>
      <c r="E163" s="47" t="s">
        <v>667</v>
      </c>
      <c r="F163" s="47" t="s">
        <v>665</v>
      </c>
      <c r="H163" s="106">
        <f>H154*H160</f>
        <v>20387.500931607701</v>
      </c>
      <c r="I163" s="106">
        <f t="shared" ref="I163:AA163" si="82">I154*I160</f>
        <v>43747.366797211951</v>
      </c>
      <c r="J163" s="106">
        <f t="shared" si="82"/>
        <v>64385.548685499765</v>
      </c>
      <c r="K163" s="106">
        <f t="shared" si="82"/>
        <v>87990.521790733212</v>
      </c>
      <c r="L163" s="106">
        <f t="shared" si="82"/>
        <v>118577.39758716783</v>
      </c>
      <c r="M163" s="106">
        <f t="shared" si="82"/>
        <v>152191.00531544298</v>
      </c>
      <c r="N163" s="106">
        <f t="shared" si="82"/>
        <v>181892.31676649075</v>
      </c>
      <c r="O163" s="106">
        <f t="shared" si="82"/>
        <v>208887.42061485106</v>
      </c>
      <c r="P163" s="106">
        <f t="shared" si="82"/>
        <v>234057.8899486452</v>
      </c>
      <c r="Q163" s="106">
        <f t="shared" si="82"/>
        <v>259414.81905935635</v>
      </c>
      <c r="R163" s="106">
        <f t="shared" si="82"/>
        <v>285031.16636096913</v>
      </c>
      <c r="S163" s="106">
        <f t="shared" si="82"/>
        <v>311956.96393854456</v>
      </c>
      <c r="T163" s="106">
        <f t="shared" si="82"/>
        <v>338018.80823146104</v>
      </c>
      <c r="U163" s="106">
        <f t="shared" si="82"/>
        <v>367436.81668328692</v>
      </c>
      <c r="V163" s="106">
        <f t="shared" si="82"/>
        <v>397678.23713111476</v>
      </c>
      <c r="W163" s="106">
        <f t="shared" si="82"/>
        <v>432314.06885657093</v>
      </c>
      <c r="X163" s="106">
        <f t="shared" si="82"/>
        <v>468297.95423359727</v>
      </c>
      <c r="Y163" s="106">
        <f t="shared" si="82"/>
        <v>504999.80632053927</v>
      </c>
      <c r="Z163" s="106">
        <f t="shared" si="82"/>
        <v>541411.60479974735</v>
      </c>
      <c r="AA163" s="106">
        <f t="shared" si="82"/>
        <v>576279.83607484377</v>
      </c>
    </row>
    <row r="164" spans="1:27" x14ac:dyDescent="0.25">
      <c r="A164" s="101">
        <v>35</v>
      </c>
      <c r="B164" s="47" t="str">
        <f>B158</f>
        <v>Western</v>
      </c>
      <c r="C164" s="47" t="str">
        <f t="shared" ref="C164:D164" si="83">C158</f>
        <v>N</v>
      </c>
      <c r="D164" s="47" t="str">
        <f t="shared" si="83"/>
        <v>Sewer</v>
      </c>
      <c r="E164" s="47" t="s">
        <v>668</v>
      </c>
      <c r="F164" s="47" t="s">
        <v>633</v>
      </c>
      <c r="H164" s="105">
        <f>SUMIFS('INPUT Reg'!AD$94:AD$109,'INPUT Reg'!$D$94:$D$109,$D164,'INPUT Reg'!$C$94:$C$109,$C164,'INPUT Reg'!$B$94:$B$109,$B164)</f>
        <v>-1.8134336370481341E-2</v>
      </c>
      <c r="I164" s="105">
        <f>SUMIFS('INPUT Reg'!AE$94:AE$109,'INPUT Reg'!$D$94:$D$109,$D164,'INPUT Reg'!$C$94:$C$109,$C164,'INPUT Reg'!$B$94:$B$109,$B164)</f>
        <v>-1.8469264220368875E-2</v>
      </c>
      <c r="J164" s="105">
        <f>SUMIFS('INPUT Reg'!AF$94:AF$109,'INPUT Reg'!$D$94:$D$109,$D164,'INPUT Reg'!$C$94:$C$109,$C164,'INPUT Reg'!$B$94:$B$109,$B164)</f>
        <v>-1.8816796608716158E-2</v>
      </c>
      <c r="K164" s="105">
        <f>SUMIFS('INPUT Reg'!AG$94:AG$109,'INPUT Reg'!$D$94:$D$109,$D164,'INPUT Reg'!$C$94:$C$109,$C164,'INPUT Reg'!$B$94:$B$109,$B164)</f>
        <v>-1.9177658712133727E-2</v>
      </c>
      <c r="L164" s="105">
        <f>SUMIFS('INPUT Reg'!AH$94:AH$109,'INPUT Reg'!$D$94:$D$109,$D164,'INPUT Reg'!$C$94:$C$109,$C164,'INPUT Reg'!$B$94:$B$109,$B164)</f>
        <v>-9.44673884131908E-3</v>
      </c>
      <c r="M164" s="105">
        <f>SUMIFS('INPUT Reg'!AI$94:AI$109,'INPUT Reg'!$D$94:$D$109,$D164,'INPUT Reg'!$C$94:$C$109,$C164,'INPUT Reg'!$B$94:$B$109,$B164)</f>
        <v>0</v>
      </c>
      <c r="N164" s="105">
        <f>SUMIFS('INPUT Reg'!AJ$94:AJ$109,'INPUT Reg'!$D$94:$D$109,$D164,'INPUT Reg'!$C$94:$C$109,$C164,'INPUT Reg'!$B$94:$B$109,$B164)</f>
        <v>0</v>
      </c>
      <c r="O164" s="105">
        <f>SUMIFS('INPUT Reg'!AK$94:AK$109,'INPUT Reg'!$D$94:$D$109,$D164,'INPUT Reg'!$C$94:$C$109,$C164,'INPUT Reg'!$B$94:$B$109,$B164)</f>
        <v>0</v>
      </c>
      <c r="P164" s="105">
        <f>SUMIFS('INPUT Reg'!AL$94:AL$109,'INPUT Reg'!$D$94:$D$109,$D164,'INPUT Reg'!$C$94:$C$109,$C164,'INPUT Reg'!$B$94:$B$109,$B164)</f>
        <v>0</v>
      </c>
      <c r="Q164" s="105">
        <f>SUMIFS('INPUT Reg'!AM$94:AM$109,'INPUT Reg'!$D$94:$D$109,$D164,'INPUT Reg'!$C$94:$C$109,$C164,'INPUT Reg'!$B$94:$B$109,$B164)</f>
        <v>-0.18290065278997925</v>
      </c>
      <c r="R164" s="105">
        <f>SUMIFS('INPUT Reg'!AN$94:AN$109,'INPUT Reg'!$D$94:$D$109,$D164,'INPUT Reg'!$C$94:$C$109,$C164,'INPUT Reg'!$B$94:$B$109,$B164)</f>
        <v>0</v>
      </c>
      <c r="S164" s="105">
        <f>SUMIFS('INPUT Reg'!AO$94:AO$109,'INPUT Reg'!$D$94:$D$109,$D164,'INPUT Reg'!$C$94:$C$109,$C164,'INPUT Reg'!$B$94:$B$109,$B164)</f>
        <v>0</v>
      </c>
      <c r="T164" s="105">
        <f>SUMIFS('INPUT Reg'!AP$94:AP$109,'INPUT Reg'!$D$94:$D$109,$D164,'INPUT Reg'!$C$94:$C$109,$C164,'INPUT Reg'!$B$94:$B$109,$B164)</f>
        <v>0</v>
      </c>
      <c r="U164" s="105">
        <f>SUMIFS('INPUT Reg'!AQ$94:AQ$109,'INPUT Reg'!$D$94:$D$109,$D164,'INPUT Reg'!$C$94:$C$109,$C164,'INPUT Reg'!$B$94:$B$109,$B164)</f>
        <v>0</v>
      </c>
      <c r="V164" s="105">
        <f>SUMIFS('INPUT Reg'!AR$94:AR$109,'INPUT Reg'!$D$94:$D$109,$D164,'INPUT Reg'!$C$94:$C$109,$C164,'INPUT Reg'!$B$94:$B$109,$B164)</f>
        <v>-0.11830757766047051</v>
      </c>
      <c r="W164" s="105">
        <f>SUMIFS('INPUT Reg'!AS$94:AS$109,'INPUT Reg'!$D$94:$D$109,$D164,'INPUT Reg'!$C$94:$C$109,$C164,'INPUT Reg'!$B$94:$B$109,$B164)</f>
        <v>0</v>
      </c>
      <c r="X164" s="105">
        <f>SUMIFS('INPUT Reg'!AT$94:AT$109,'INPUT Reg'!$D$94:$D$109,$D164,'INPUT Reg'!$C$94:$C$109,$C164,'INPUT Reg'!$B$94:$B$109,$B164)</f>
        <v>0</v>
      </c>
      <c r="Y164" s="105">
        <f>SUMIFS('INPUT Reg'!AU$94:AU$109,'INPUT Reg'!$D$94:$D$109,$D164,'INPUT Reg'!$C$94:$C$109,$C164,'INPUT Reg'!$B$94:$B$109,$B164)</f>
        <v>0</v>
      </c>
      <c r="Z164" s="105">
        <f>SUMIFS('INPUT Reg'!AV$94:AV$109,'INPUT Reg'!$D$94:$D$109,$D164,'INPUT Reg'!$C$94:$C$109,$C164,'INPUT Reg'!$B$94:$B$109,$B164)</f>
        <v>0</v>
      </c>
      <c r="AA164" s="105">
        <f>SUMIFS('INPUT Reg'!AW$94:AW$109,'INPUT Reg'!$D$94:$D$109,$D164,'INPUT Reg'!$C$94:$C$109,$C164,'INPUT Reg'!$B$94:$B$109,$B164)</f>
        <v>0</v>
      </c>
    </row>
    <row r="165" spans="1:27" x14ac:dyDescent="0.25">
      <c r="A165" s="101">
        <v>36</v>
      </c>
      <c r="B165" s="47" t="str">
        <f>B153</f>
        <v>Western</v>
      </c>
      <c r="C165" s="47" t="str">
        <f t="shared" ref="C165:D165" si="84">C153</f>
        <v>N</v>
      </c>
      <c r="D165" s="47" t="str">
        <f t="shared" si="84"/>
        <v>Sewer</v>
      </c>
      <c r="E165" s="47" t="s">
        <v>669</v>
      </c>
      <c r="F165" s="47" t="s">
        <v>670</v>
      </c>
      <c r="G165" s="108">
        <f>IF(D165=W,WW_N_W_N,IF(D165=S,WW_N_S_N,IF(D165=WS,WW_N_W_N+WW_N_S_N,WW_N_R_N)))</f>
        <v>544.54349999999999</v>
      </c>
      <c r="H165" s="106">
        <f>G165*(1+$G$14)*(1+H164)</f>
        <v>534.66856500264078</v>
      </c>
      <c r="I165" s="106">
        <f t="shared" ref="I165:AA165" si="85">H165*(1+$G$14)*(1+I164)</f>
        <v>524.79363000528156</v>
      </c>
      <c r="J165" s="106">
        <f t="shared" si="85"/>
        <v>514.91869500792234</v>
      </c>
      <c r="K165" s="106">
        <f t="shared" si="85"/>
        <v>505.04376001056312</v>
      </c>
      <c r="L165" s="106">
        <f t="shared" si="85"/>
        <v>500.27274350630552</v>
      </c>
      <c r="M165" s="106">
        <f t="shared" si="85"/>
        <v>500.27274350630552</v>
      </c>
      <c r="N165" s="106">
        <f t="shared" si="85"/>
        <v>500.27274350630552</v>
      </c>
      <c r="O165" s="106">
        <f t="shared" si="85"/>
        <v>500.27274350630552</v>
      </c>
      <c r="P165" s="106">
        <f t="shared" si="85"/>
        <v>500.27274350630552</v>
      </c>
      <c r="Q165" s="106">
        <f t="shared" si="85"/>
        <v>408.7725321459684</v>
      </c>
      <c r="R165" s="106">
        <f t="shared" si="85"/>
        <v>408.7725321459684</v>
      </c>
      <c r="S165" s="106">
        <f t="shared" si="85"/>
        <v>408.7725321459684</v>
      </c>
      <c r="T165" s="106">
        <f t="shared" si="85"/>
        <v>408.7725321459684</v>
      </c>
      <c r="U165" s="106">
        <f t="shared" si="85"/>
        <v>408.7725321459684</v>
      </c>
      <c r="V165" s="106">
        <f t="shared" si="85"/>
        <v>360.41164405364208</v>
      </c>
      <c r="W165" s="106">
        <f t="shared" si="85"/>
        <v>360.41164405364208</v>
      </c>
      <c r="X165" s="106">
        <f t="shared" si="85"/>
        <v>360.41164405364208</v>
      </c>
      <c r="Y165" s="106">
        <f t="shared" si="85"/>
        <v>360.41164405364208</v>
      </c>
      <c r="Z165" s="106">
        <f t="shared" si="85"/>
        <v>360.41164405364208</v>
      </c>
      <c r="AA165" s="106">
        <f t="shared" si="85"/>
        <v>360.41164405364208</v>
      </c>
    </row>
    <row r="166" spans="1:27" x14ac:dyDescent="0.25">
      <c r="B166" s="47" t="str">
        <f>B153</f>
        <v>Western</v>
      </c>
      <c r="C166" s="47" t="str">
        <f t="shared" ref="C166:D166" si="86">C153</f>
        <v>N</v>
      </c>
      <c r="D166" s="47" t="str">
        <f t="shared" si="86"/>
        <v>Sewer</v>
      </c>
      <c r="E166" s="47" t="s">
        <v>671</v>
      </c>
      <c r="F166" s="47" t="s">
        <v>672</v>
      </c>
      <c r="G166" s="109">
        <f>IF(OR(D166=W,D166=WS),WW_N_W_V,IF(D166=RW,WW_N_R_V,0))</f>
        <v>0</v>
      </c>
      <c r="H166" s="110">
        <f>G166*(1+$G$14)*(1+H164)</f>
        <v>0</v>
      </c>
      <c r="I166" s="110">
        <f t="shared" ref="I166:AA166" si="87">H166*(1+$G$14)*(1+I164)</f>
        <v>0</v>
      </c>
      <c r="J166" s="110">
        <f t="shared" si="87"/>
        <v>0</v>
      </c>
      <c r="K166" s="110">
        <f t="shared" si="87"/>
        <v>0</v>
      </c>
      <c r="L166" s="110">
        <f t="shared" si="87"/>
        <v>0</v>
      </c>
      <c r="M166" s="110">
        <f t="shared" si="87"/>
        <v>0</v>
      </c>
      <c r="N166" s="110">
        <f t="shared" si="87"/>
        <v>0</v>
      </c>
      <c r="O166" s="110">
        <f t="shared" si="87"/>
        <v>0</v>
      </c>
      <c r="P166" s="110">
        <f t="shared" si="87"/>
        <v>0</v>
      </c>
      <c r="Q166" s="110">
        <f t="shared" si="87"/>
        <v>0</v>
      </c>
      <c r="R166" s="110">
        <f t="shared" si="87"/>
        <v>0</v>
      </c>
      <c r="S166" s="110">
        <f t="shared" si="87"/>
        <v>0</v>
      </c>
      <c r="T166" s="110">
        <f t="shared" si="87"/>
        <v>0</v>
      </c>
      <c r="U166" s="110">
        <f t="shared" si="87"/>
        <v>0</v>
      </c>
      <c r="V166" s="110">
        <f t="shared" si="87"/>
        <v>0</v>
      </c>
      <c r="W166" s="110">
        <f t="shared" si="87"/>
        <v>0</v>
      </c>
      <c r="X166" s="110">
        <f t="shared" si="87"/>
        <v>0</v>
      </c>
      <c r="Y166" s="110">
        <f t="shared" si="87"/>
        <v>0</v>
      </c>
      <c r="Z166" s="110">
        <f t="shared" si="87"/>
        <v>0</v>
      </c>
      <c r="AA166" s="110">
        <f t="shared" si="87"/>
        <v>0</v>
      </c>
    </row>
    <row r="167" spans="1:27" x14ac:dyDescent="0.25">
      <c r="B167" s="47" t="str">
        <f>B153</f>
        <v>Western</v>
      </c>
      <c r="C167" s="47" t="str">
        <f t="shared" ref="C167:D167" si="88">C153</f>
        <v>N</v>
      </c>
      <c r="D167" s="47" t="str">
        <f t="shared" si="88"/>
        <v>Sewer</v>
      </c>
      <c r="E167" s="47" t="s">
        <v>673</v>
      </c>
      <c r="F167" s="47" t="s">
        <v>672</v>
      </c>
      <c r="G167" s="109"/>
      <c r="H167" s="110">
        <f>G167*(1+$G$14)*(1+H164)</f>
        <v>0</v>
      </c>
      <c r="I167" s="110">
        <f t="shared" ref="I167:AA167" si="89">H167*(1+$G$14)*(1+I164)</f>
        <v>0</v>
      </c>
      <c r="J167" s="110">
        <f t="shared" si="89"/>
        <v>0</v>
      </c>
      <c r="K167" s="110">
        <f t="shared" si="89"/>
        <v>0</v>
      </c>
      <c r="L167" s="110">
        <f t="shared" si="89"/>
        <v>0</v>
      </c>
      <c r="M167" s="110">
        <f t="shared" si="89"/>
        <v>0</v>
      </c>
      <c r="N167" s="110">
        <f t="shared" si="89"/>
        <v>0</v>
      </c>
      <c r="O167" s="110">
        <f t="shared" si="89"/>
        <v>0</v>
      </c>
      <c r="P167" s="110">
        <f t="shared" si="89"/>
        <v>0</v>
      </c>
      <c r="Q167" s="110">
        <f t="shared" si="89"/>
        <v>0</v>
      </c>
      <c r="R167" s="110">
        <f t="shared" si="89"/>
        <v>0</v>
      </c>
      <c r="S167" s="110">
        <f t="shared" si="89"/>
        <v>0</v>
      </c>
      <c r="T167" s="110">
        <f t="shared" si="89"/>
        <v>0</v>
      </c>
      <c r="U167" s="110">
        <f t="shared" si="89"/>
        <v>0</v>
      </c>
      <c r="V167" s="110">
        <f t="shared" si="89"/>
        <v>0</v>
      </c>
      <c r="W167" s="110">
        <f t="shared" si="89"/>
        <v>0</v>
      </c>
      <c r="X167" s="110">
        <f t="shared" si="89"/>
        <v>0</v>
      </c>
      <c r="Y167" s="110">
        <f t="shared" si="89"/>
        <v>0</v>
      </c>
      <c r="Z167" s="110">
        <f t="shared" si="89"/>
        <v>0</v>
      </c>
      <c r="AA167" s="110">
        <f t="shared" si="89"/>
        <v>0</v>
      </c>
    </row>
    <row r="168" spans="1:27" x14ac:dyDescent="0.25">
      <c r="B168" s="47" t="str">
        <f>B153</f>
        <v>Western</v>
      </c>
      <c r="C168" s="47" t="str">
        <f t="shared" ref="C168:D168" si="90">C153</f>
        <v>N</v>
      </c>
      <c r="D168" s="47" t="str">
        <f t="shared" si="90"/>
        <v>Sewer</v>
      </c>
      <c r="E168" s="47" t="s">
        <v>674</v>
      </c>
      <c r="F168" s="47" t="s">
        <v>672</v>
      </c>
      <c r="G168" s="109">
        <f>IF(OR(D168=S,D168=WS),WW_N_SDC,0)</f>
        <v>0</v>
      </c>
      <c r="H168" s="110">
        <f>G168*(1+$G$14)*(1+H164)</f>
        <v>0</v>
      </c>
      <c r="I168" s="110">
        <f t="shared" ref="I168:AA168" si="91">H168*(1+$G$14)*(1+I164)</f>
        <v>0</v>
      </c>
      <c r="J168" s="110">
        <f t="shared" si="91"/>
        <v>0</v>
      </c>
      <c r="K168" s="110">
        <f t="shared" si="91"/>
        <v>0</v>
      </c>
      <c r="L168" s="110">
        <f t="shared" si="91"/>
        <v>0</v>
      </c>
      <c r="M168" s="110">
        <f t="shared" si="91"/>
        <v>0</v>
      </c>
      <c r="N168" s="110">
        <f t="shared" si="91"/>
        <v>0</v>
      </c>
      <c r="O168" s="110">
        <f t="shared" si="91"/>
        <v>0</v>
      </c>
      <c r="P168" s="110">
        <f t="shared" si="91"/>
        <v>0</v>
      </c>
      <c r="Q168" s="110">
        <f t="shared" si="91"/>
        <v>0</v>
      </c>
      <c r="R168" s="110">
        <f t="shared" si="91"/>
        <v>0</v>
      </c>
      <c r="S168" s="110">
        <f t="shared" si="91"/>
        <v>0</v>
      </c>
      <c r="T168" s="110">
        <f t="shared" si="91"/>
        <v>0</v>
      </c>
      <c r="U168" s="110">
        <f t="shared" si="91"/>
        <v>0</v>
      </c>
      <c r="V168" s="110">
        <f t="shared" si="91"/>
        <v>0</v>
      </c>
      <c r="W168" s="110">
        <f t="shared" si="91"/>
        <v>0</v>
      </c>
      <c r="X168" s="110">
        <f t="shared" si="91"/>
        <v>0</v>
      </c>
      <c r="Y168" s="110">
        <f t="shared" si="91"/>
        <v>0</v>
      </c>
      <c r="Z168" s="110">
        <f t="shared" si="91"/>
        <v>0</v>
      </c>
      <c r="AA168" s="110">
        <f t="shared" si="91"/>
        <v>0</v>
      </c>
    </row>
    <row r="169" spans="1:27" x14ac:dyDescent="0.25">
      <c r="C169" s="100"/>
      <c r="D169" s="100"/>
    </row>
    <row r="170" spans="1:27" x14ac:dyDescent="0.25">
      <c r="C170" s="100"/>
      <c r="D170" s="100"/>
      <c r="E170" s="47" t="s">
        <v>685</v>
      </c>
      <c r="F170" s="47" t="s">
        <v>676</v>
      </c>
      <c r="H170" s="106">
        <f>SUM(H161:H163)/1000</f>
        <v>20.3875009316077</v>
      </c>
      <c r="I170" s="106">
        <f t="shared" ref="I170:AA170" si="92">SUM(I161:I163)/1000</f>
        <v>43.747366797211953</v>
      </c>
      <c r="J170" s="106">
        <f t="shared" si="92"/>
        <v>64.385548685499771</v>
      </c>
      <c r="K170" s="106">
        <f t="shared" si="92"/>
        <v>87.990521790733212</v>
      </c>
      <c r="L170" s="106">
        <f t="shared" si="92"/>
        <v>118.57739758716782</v>
      </c>
      <c r="M170" s="106">
        <f t="shared" si="92"/>
        <v>152.19100531544296</v>
      </c>
      <c r="N170" s="106">
        <f t="shared" si="92"/>
        <v>181.89231676649075</v>
      </c>
      <c r="O170" s="106">
        <f t="shared" si="92"/>
        <v>208.88742061485107</v>
      </c>
      <c r="P170" s="106">
        <f t="shared" si="92"/>
        <v>234.0578899486452</v>
      </c>
      <c r="Q170" s="106">
        <f t="shared" si="92"/>
        <v>259.41481905935638</v>
      </c>
      <c r="R170" s="106">
        <f t="shared" si="92"/>
        <v>285.03116636096911</v>
      </c>
      <c r="S170" s="106">
        <f t="shared" si="92"/>
        <v>311.95696393854456</v>
      </c>
      <c r="T170" s="106">
        <f t="shared" si="92"/>
        <v>338.01880823146104</v>
      </c>
      <c r="U170" s="106">
        <f t="shared" si="92"/>
        <v>367.43681668328691</v>
      </c>
      <c r="V170" s="106">
        <f t="shared" si="92"/>
        <v>397.67823713111477</v>
      </c>
      <c r="W170" s="106">
        <f t="shared" si="92"/>
        <v>432.31406885657094</v>
      </c>
      <c r="X170" s="106">
        <f t="shared" si="92"/>
        <v>468.29795423359724</v>
      </c>
      <c r="Y170" s="106">
        <f t="shared" si="92"/>
        <v>504.99980632053928</v>
      </c>
      <c r="Z170" s="106">
        <f t="shared" si="92"/>
        <v>541.41160479974735</v>
      </c>
      <c r="AA170" s="106">
        <f t="shared" si="92"/>
        <v>576.27983607484373</v>
      </c>
    </row>
    <row r="171" spans="1:27" x14ac:dyDescent="0.25">
      <c r="C171" s="100"/>
      <c r="D171" s="100"/>
      <c r="E171" s="47" t="s">
        <v>686</v>
      </c>
      <c r="F171" s="47" t="s">
        <v>639</v>
      </c>
      <c r="H171" s="106">
        <f>H154*H165+H161*H166+H162*H167+H163*H168</f>
        <v>31330.459134862293</v>
      </c>
      <c r="I171" s="106">
        <f t="shared" ref="I171:AA171" si="93">I154*I165+I161*I166+I162*I167+I163*I168</f>
        <v>66437.464440663927</v>
      </c>
      <c r="J171" s="106">
        <f t="shared" si="93"/>
        <v>95647.884364762023</v>
      </c>
      <c r="K171" s="106">
        <f t="shared" si="93"/>
        <v>128063.25236109259</v>
      </c>
      <c r="L171" s="106">
        <f t="shared" si="93"/>
        <v>172772.64959289209</v>
      </c>
      <c r="M171" s="106">
        <f t="shared" si="93"/>
        <v>224209.5594456938</v>
      </c>
      <c r="N171" s="106">
        <f t="shared" si="93"/>
        <v>270382.16266360297</v>
      </c>
      <c r="O171" s="106">
        <f t="shared" si="93"/>
        <v>312462.05076696922</v>
      </c>
      <c r="P171" s="106">
        <f t="shared" si="93"/>
        <v>354251.64420403395</v>
      </c>
      <c r="Q171" s="106">
        <f t="shared" si="93"/>
        <v>323673.06457710598</v>
      </c>
      <c r="R171" s="106">
        <f t="shared" si="93"/>
        <v>358261.1048912158</v>
      </c>
      <c r="S171" s="106">
        <f t="shared" si="93"/>
        <v>393171.07712027052</v>
      </c>
      <c r="T171" s="106">
        <f t="shared" si="93"/>
        <v>429345.59590327396</v>
      </c>
      <c r="U171" s="106">
        <f t="shared" si="93"/>
        <v>468920.71495036216</v>
      </c>
      <c r="V171" s="106">
        <f t="shared" si="93"/>
        <v>449748.00393066683</v>
      </c>
      <c r="W171" s="106">
        <f t="shared" si="93"/>
        <v>489247.89945734345</v>
      </c>
      <c r="X171" s="106">
        <f t="shared" si="93"/>
        <v>532568.10849883675</v>
      </c>
      <c r="Y171" s="106">
        <f t="shared" si="93"/>
        <v>575005.29728829151</v>
      </c>
      <c r="Z171" s="106">
        <f t="shared" si="93"/>
        <v>616203.79003803292</v>
      </c>
      <c r="AA171" s="106">
        <f t="shared" si="93"/>
        <v>655888.82093349018</v>
      </c>
    </row>
    <row r="172" spans="1:27" x14ac:dyDescent="0.25">
      <c r="C172" s="100"/>
      <c r="D172" s="100"/>
    </row>
    <row r="173" spans="1:27" x14ac:dyDescent="0.25">
      <c r="C173" s="100"/>
      <c r="D173" s="47" t="s">
        <v>687</v>
      </c>
    </row>
    <row r="174" spans="1:27" x14ac:dyDescent="0.25">
      <c r="C174" s="100"/>
      <c r="E174" s="47" t="s">
        <v>688</v>
      </c>
      <c r="F174" s="47" t="s">
        <v>655</v>
      </c>
      <c r="H174" s="47">
        <f t="shared" ref="H174:AA175" si="94">SUM(H93,H114,H135,H156)</f>
        <v>15544.971090414099</v>
      </c>
      <c r="I174" s="47">
        <f t="shared" si="94"/>
        <v>16336.952034106649</v>
      </c>
      <c r="J174" s="47">
        <f t="shared" si="94"/>
        <v>13938.044697859272</v>
      </c>
      <c r="K174" s="47">
        <f t="shared" si="94"/>
        <v>14031.794595694631</v>
      </c>
      <c r="L174" s="47">
        <f t="shared" si="94"/>
        <v>13937.451247315785</v>
      </c>
      <c r="M174" s="47">
        <f t="shared" si="94"/>
        <v>13685.416900912191</v>
      </c>
      <c r="N174" s="47">
        <f t="shared" si="94"/>
        <v>13614.991037745342</v>
      </c>
      <c r="O174" s="47">
        <f t="shared" si="94"/>
        <v>13888.246371275116</v>
      </c>
      <c r="P174" s="47">
        <f t="shared" si="94"/>
        <v>14110.26361246391</v>
      </c>
      <c r="Q174" s="47">
        <f t="shared" si="94"/>
        <v>14426.067610562792</v>
      </c>
      <c r="R174" s="47">
        <f t="shared" si="94"/>
        <v>14747.112436557609</v>
      </c>
      <c r="S174" s="47">
        <f t="shared" si="94"/>
        <v>14990.411775872821</v>
      </c>
      <c r="T174" s="47">
        <f t="shared" si="94"/>
        <v>15210.339322882613</v>
      </c>
      <c r="U174" s="47">
        <f t="shared" si="94"/>
        <v>15345.611145822553</v>
      </c>
      <c r="V174" s="47">
        <f t="shared" si="94"/>
        <v>15466.518001478977</v>
      </c>
      <c r="W174" s="47">
        <f t="shared" si="94"/>
        <v>15506.757639241907</v>
      </c>
      <c r="X174" s="47">
        <f t="shared" si="94"/>
        <v>15601.596615746319</v>
      </c>
      <c r="Y174" s="47">
        <f t="shared" si="94"/>
        <v>15516.898538700383</v>
      </c>
      <c r="Z174" s="47">
        <f t="shared" si="94"/>
        <v>15535.883043481195</v>
      </c>
      <c r="AA174" s="47">
        <f t="shared" si="94"/>
        <v>15654.810697922314</v>
      </c>
    </row>
    <row r="175" spans="1:27" x14ac:dyDescent="0.25">
      <c r="C175" s="100"/>
      <c r="D175" s="100"/>
      <c r="E175" s="47" t="s">
        <v>689</v>
      </c>
      <c r="F175" s="47" t="s">
        <v>655</v>
      </c>
      <c r="H175" s="47">
        <f t="shared" si="94"/>
        <v>15544.971090414099</v>
      </c>
      <c r="I175" s="47">
        <f t="shared" si="94"/>
        <v>31881.923124520748</v>
      </c>
      <c r="J175" s="47">
        <f t="shared" si="94"/>
        <v>45819.967822380022</v>
      </c>
      <c r="K175" s="47">
        <f t="shared" si="94"/>
        <v>59851.76241807465</v>
      </c>
      <c r="L175" s="47">
        <f t="shared" si="94"/>
        <v>73789.213665390431</v>
      </c>
      <c r="M175" s="47">
        <f t="shared" si="94"/>
        <v>87474.630566302629</v>
      </c>
      <c r="N175" s="47">
        <f t="shared" si="94"/>
        <v>101089.62160404796</v>
      </c>
      <c r="O175" s="47">
        <f t="shared" si="94"/>
        <v>114977.86797532308</v>
      </c>
      <c r="P175" s="47">
        <f t="shared" si="94"/>
        <v>129088.13158778699</v>
      </c>
      <c r="Q175" s="47">
        <f t="shared" si="94"/>
        <v>143514.19919834979</v>
      </c>
      <c r="R175" s="47">
        <f t="shared" si="94"/>
        <v>158261.31163490738</v>
      </c>
      <c r="S175" s="47">
        <f t="shared" si="94"/>
        <v>173251.72341078022</v>
      </c>
      <c r="T175" s="47">
        <f t="shared" si="94"/>
        <v>188462.06273366284</v>
      </c>
      <c r="U175" s="47">
        <f t="shared" si="94"/>
        <v>203807.67387948537</v>
      </c>
      <c r="V175" s="47">
        <f t="shared" si="94"/>
        <v>219274.19188096435</v>
      </c>
      <c r="W175" s="47">
        <f t="shared" si="94"/>
        <v>234780.94952020628</v>
      </c>
      <c r="X175" s="47">
        <f t="shared" si="94"/>
        <v>250382.54613595261</v>
      </c>
      <c r="Y175" s="47">
        <f t="shared" si="94"/>
        <v>265899.44467465294</v>
      </c>
      <c r="Z175" s="47">
        <f t="shared" si="94"/>
        <v>281435.32771813415</v>
      </c>
      <c r="AA175" s="47">
        <f t="shared" si="94"/>
        <v>297090.13841605646</v>
      </c>
    </row>
    <row r="176" spans="1:27" x14ac:dyDescent="0.25">
      <c r="C176" s="100"/>
      <c r="D176" s="100"/>
      <c r="E176" s="47" t="s">
        <v>690</v>
      </c>
      <c r="F176" s="47" t="s">
        <v>676</v>
      </c>
      <c r="H176" s="106">
        <f>SUM(H107,H128,H149,H170)</f>
        <v>1772.2748689045334</v>
      </c>
      <c r="I176" s="106">
        <f t="shared" ref="H176:AA177" si="95">SUM(I107,I128,I149,I170)</f>
        <v>3636.6454244630495</v>
      </c>
      <c r="J176" s="106">
        <f t="shared" si="95"/>
        <v>5134.0017633505131</v>
      </c>
      <c r="K176" s="106">
        <f t="shared" si="95"/>
        <v>6645.9539396620812</v>
      </c>
      <c r="L176" s="106">
        <f t="shared" si="95"/>
        <v>8123.6660050161354</v>
      </c>
      <c r="M176" s="106">
        <f t="shared" si="95"/>
        <v>9478.8862067942464</v>
      </c>
      <c r="N176" s="106">
        <f t="shared" si="95"/>
        <v>10950.948203488751</v>
      </c>
      <c r="O176" s="106">
        <f t="shared" si="95"/>
        <v>12354.685462652109</v>
      </c>
      <c r="P176" s="106">
        <f t="shared" si="95"/>
        <v>13753.151900723753</v>
      </c>
      <c r="Q176" s="106">
        <f t="shared" si="95"/>
        <v>15036.089076528684</v>
      </c>
      <c r="R176" s="106">
        <f t="shared" si="95"/>
        <v>16445.719237658301</v>
      </c>
      <c r="S176" s="106">
        <f t="shared" si="95"/>
        <v>17865.010253582397</v>
      </c>
      <c r="T176" s="106">
        <f t="shared" si="95"/>
        <v>19281.179312718523</v>
      </c>
      <c r="U176" s="106">
        <f t="shared" si="95"/>
        <v>20697.557470460051</v>
      </c>
      <c r="V176" s="106">
        <f t="shared" si="95"/>
        <v>22108.281339087331</v>
      </c>
      <c r="W176" s="106">
        <f t="shared" si="95"/>
        <v>23510.235211603511</v>
      </c>
      <c r="X176" s="106">
        <f t="shared" si="95"/>
        <v>24811.617862282324</v>
      </c>
      <c r="Y176" s="106">
        <f t="shared" si="95"/>
        <v>26186.715383486866</v>
      </c>
      <c r="Z176" s="106">
        <f t="shared" si="95"/>
        <v>27553.717432413603</v>
      </c>
      <c r="AA176" s="106">
        <f t="shared" si="95"/>
        <v>29104.657392477879</v>
      </c>
    </row>
    <row r="177" spans="1:27" x14ac:dyDescent="0.25">
      <c r="C177" s="100"/>
      <c r="D177" s="100"/>
      <c r="E177" s="47" t="s">
        <v>691</v>
      </c>
      <c r="F177" s="47" t="s">
        <v>639</v>
      </c>
      <c r="H177" s="106">
        <f t="shared" si="95"/>
        <v>6245125.8596107643</v>
      </c>
      <c r="I177" s="106">
        <f t="shared" si="95"/>
        <v>12893597.161814652</v>
      </c>
      <c r="J177" s="106">
        <f t="shared" si="95"/>
        <v>18531002.579957001</v>
      </c>
      <c r="K177" s="106">
        <f t="shared" si="95"/>
        <v>24248564.127202962</v>
      </c>
      <c r="L177" s="106">
        <f t="shared" si="95"/>
        <v>29956271.447722342</v>
      </c>
      <c r="M177" s="106">
        <f t="shared" si="95"/>
        <v>35549854.919897206</v>
      </c>
      <c r="N177" s="106">
        <f t="shared" si="95"/>
        <v>41273960.647578053</v>
      </c>
      <c r="O177" s="106">
        <f t="shared" si="95"/>
        <v>47080138.95416452</v>
      </c>
      <c r="P177" s="106">
        <f t="shared" si="95"/>
        <v>53028419.418250188</v>
      </c>
      <c r="Q177" s="106">
        <f t="shared" si="95"/>
        <v>56727300.988714896</v>
      </c>
      <c r="R177" s="106">
        <f t="shared" si="95"/>
        <v>62420073.357796833</v>
      </c>
      <c r="S177" s="106">
        <f t="shared" si="95"/>
        <v>68191026.521264717</v>
      </c>
      <c r="T177" s="106">
        <f t="shared" si="95"/>
        <v>74031132.410554394</v>
      </c>
      <c r="U177" s="106">
        <f t="shared" si="95"/>
        <v>79901187.603013739</v>
      </c>
      <c r="V177" s="106">
        <f t="shared" si="95"/>
        <v>75939453.400006071</v>
      </c>
      <c r="W177" s="106">
        <f t="shared" si="95"/>
        <v>81150981.955842778</v>
      </c>
      <c r="X177" s="106">
        <f t="shared" si="95"/>
        <v>86307058.964245304</v>
      </c>
      <c r="Y177" s="106">
        <f t="shared" si="95"/>
        <v>91485499.071269989</v>
      </c>
      <c r="Z177" s="106">
        <f t="shared" si="95"/>
        <v>96654547.565798104</v>
      </c>
      <c r="AA177" s="106">
        <f t="shared" si="95"/>
        <v>102033699.20223655</v>
      </c>
    </row>
    <row r="178" spans="1:27" x14ac:dyDescent="0.25">
      <c r="C178" s="100"/>
      <c r="D178" s="100"/>
    </row>
    <row r="179" spans="1:27" x14ac:dyDescent="0.25">
      <c r="C179" s="100"/>
      <c r="D179" s="100"/>
      <c r="E179" s="111" t="s">
        <v>692</v>
      </c>
      <c r="F179" s="111" t="s">
        <v>693</v>
      </c>
      <c r="G179" s="111"/>
      <c r="H179" s="112">
        <f>H176*1000/H175</f>
        <v>114.00953135238812</v>
      </c>
      <c r="I179" s="112">
        <f t="shared" ref="I179:AA179" si="96">I176*1000/I175</f>
        <v>114.06606214623434</v>
      </c>
      <c r="J179" s="112">
        <f t="shared" si="96"/>
        <v>112.04725815723714</v>
      </c>
      <c r="K179" s="112">
        <f t="shared" si="96"/>
        <v>111.04023793383013</v>
      </c>
      <c r="L179" s="112">
        <f t="shared" si="96"/>
        <v>110.09286590116356</v>
      </c>
      <c r="M179" s="112">
        <f t="shared" si="96"/>
        <v>108.36154603259047</v>
      </c>
      <c r="N179" s="112">
        <f t="shared" si="96"/>
        <v>108.3291047065334</v>
      </c>
      <c r="O179" s="112">
        <f t="shared" si="96"/>
        <v>107.45272703529093</v>
      </c>
      <c r="P179" s="112">
        <f t="shared" si="96"/>
        <v>106.54079295718103</v>
      </c>
      <c r="Q179" s="112">
        <f t="shared" si="96"/>
        <v>104.77074157482794</v>
      </c>
      <c r="R179" s="112">
        <f t="shared" si="96"/>
        <v>103.91496865384819</v>
      </c>
      <c r="S179" s="112">
        <f t="shared" si="96"/>
        <v>103.1159165512277</v>
      </c>
      <c r="T179" s="112">
        <f t="shared" si="96"/>
        <v>102.30801378825481</v>
      </c>
      <c r="U179" s="112">
        <f t="shared" si="96"/>
        <v>101.55435797132367</v>
      </c>
      <c r="V179" s="112">
        <f t="shared" si="96"/>
        <v>100.8248218791251</v>
      </c>
      <c r="W179" s="112">
        <f t="shared" si="96"/>
        <v>100.13689466563861</v>
      </c>
      <c r="X179" s="112">
        <f t="shared" si="96"/>
        <v>99.094838059559166</v>
      </c>
      <c r="Y179" s="112">
        <f t="shared" si="96"/>
        <v>98.483527919842757</v>
      </c>
      <c r="Z179" s="112">
        <f t="shared" si="96"/>
        <v>97.90425976659715</v>
      </c>
      <c r="AA179" s="112">
        <f t="shared" si="96"/>
        <v>97.96574718922038</v>
      </c>
    </row>
    <row r="180" spans="1:27" x14ac:dyDescent="0.25">
      <c r="C180" s="100"/>
      <c r="D180" s="100"/>
      <c r="E180" s="111" t="s">
        <v>694</v>
      </c>
      <c r="F180" s="111" t="s">
        <v>695</v>
      </c>
      <c r="G180" s="111"/>
      <c r="H180" s="112">
        <f>H177/H175</f>
        <v>401.74573650136017</v>
      </c>
      <c r="I180" s="112">
        <f t="shared" ref="I180:AA180" si="97">I177/I175</f>
        <v>404.41717118055658</v>
      </c>
      <c r="J180" s="112">
        <f t="shared" si="97"/>
        <v>404.43072006929327</v>
      </c>
      <c r="K180" s="112">
        <f t="shared" si="97"/>
        <v>405.14369414592426</v>
      </c>
      <c r="L180" s="112">
        <f t="shared" si="97"/>
        <v>405.97087243081461</v>
      </c>
      <c r="M180" s="112">
        <f t="shared" si="97"/>
        <v>406.40188692139367</v>
      </c>
      <c r="N180" s="112">
        <f t="shared" si="97"/>
        <v>408.29078190876623</v>
      </c>
      <c r="O180" s="112">
        <f t="shared" si="97"/>
        <v>409.47131637776596</v>
      </c>
      <c r="P180" s="112">
        <f t="shared" si="97"/>
        <v>410.79236925966319</v>
      </c>
      <c r="Q180" s="112">
        <f t="shared" si="97"/>
        <v>395.27309008854633</v>
      </c>
      <c r="R180" s="112">
        <f t="shared" si="97"/>
        <v>394.41144972811509</v>
      </c>
      <c r="S180" s="112">
        <f t="shared" si="97"/>
        <v>393.59508337809513</v>
      </c>
      <c r="T180" s="112">
        <f t="shared" si="97"/>
        <v>392.81716084778401</v>
      </c>
      <c r="U180" s="112">
        <f t="shared" si="97"/>
        <v>392.04209577633736</v>
      </c>
      <c r="V180" s="112">
        <f t="shared" si="97"/>
        <v>346.32189382884934</v>
      </c>
      <c r="W180" s="112">
        <f t="shared" si="97"/>
        <v>345.64551392130119</v>
      </c>
      <c r="X180" s="112">
        <f t="shared" si="97"/>
        <v>344.70078005110759</v>
      </c>
      <c r="Y180" s="112">
        <f t="shared" si="97"/>
        <v>344.06051198493122</v>
      </c>
      <c r="Z180" s="112">
        <f t="shared" si="97"/>
        <v>343.4343099335436</v>
      </c>
      <c r="AA180" s="112">
        <f t="shared" si="97"/>
        <v>343.44357489020598</v>
      </c>
    </row>
    <row r="181" spans="1:27" x14ac:dyDescent="0.25">
      <c r="C181" s="100"/>
      <c r="D181" s="100"/>
      <c r="E181" s="111" t="s">
        <v>696</v>
      </c>
      <c r="F181" s="111" t="s">
        <v>697</v>
      </c>
      <c r="G181" s="111"/>
      <c r="H181" s="112">
        <f>H177/H176</f>
        <v>3523.7907895579197</v>
      </c>
      <c r="I181" s="112">
        <f t="shared" ref="I181:AA181" si="98">I177/I176</f>
        <v>3545.4644753326183</v>
      </c>
      <c r="J181" s="112">
        <f t="shared" si="98"/>
        <v>3609.4655658753495</v>
      </c>
      <c r="K181" s="112">
        <f t="shared" si="98"/>
        <v>3648.6205512937845</v>
      </c>
      <c r="L181" s="112">
        <f t="shared" si="98"/>
        <v>3687.5311502497993</v>
      </c>
      <c r="M181" s="112">
        <f t="shared" si="98"/>
        <v>3750.4253289184853</v>
      </c>
      <c r="N181" s="112">
        <f t="shared" si="98"/>
        <v>3768.9851034478456</v>
      </c>
      <c r="O181" s="112">
        <f t="shared" si="98"/>
        <v>3810.7112557811811</v>
      </c>
      <c r="P181" s="112">
        <f t="shared" si="98"/>
        <v>3855.7284759909903</v>
      </c>
      <c r="Q181" s="112">
        <f t="shared" si="98"/>
        <v>3772.7430783358514</v>
      </c>
      <c r="R181" s="112">
        <f t="shared" si="98"/>
        <v>3795.5210383784224</v>
      </c>
      <c r="S181" s="112">
        <f t="shared" si="98"/>
        <v>3817.0158065031419</v>
      </c>
      <c r="T181" s="112">
        <f t="shared" si="98"/>
        <v>3839.5541688531953</v>
      </c>
      <c r="U181" s="112">
        <f t="shared" si="98"/>
        <v>3860.4162697482657</v>
      </c>
      <c r="V181" s="112">
        <f t="shared" si="98"/>
        <v>3434.8872368357961</v>
      </c>
      <c r="W181" s="112">
        <f t="shared" si="98"/>
        <v>3451.7299051006767</v>
      </c>
      <c r="X181" s="112">
        <f t="shared" si="98"/>
        <v>3478.4938025120082</v>
      </c>
      <c r="Y181" s="112">
        <f t="shared" si="98"/>
        <v>3493.5843511309563</v>
      </c>
      <c r="Z181" s="112">
        <f t="shared" si="98"/>
        <v>3507.8587055587559</v>
      </c>
      <c r="AA181" s="112">
        <f t="shared" si="98"/>
        <v>3505.751599350805</v>
      </c>
    </row>
    <row r="182" spans="1:27" x14ac:dyDescent="0.25">
      <c r="C182" s="100"/>
      <c r="D182" s="100"/>
    </row>
    <row r="183" spans="1:27" x14ac:dyDescent="0.25">
      <c r="C183" s="100" t="str">
        <f>"Incremental "&amp;VLOOKUP(G4,E320:F323,2,FALSE)&amp;" Charges"</f>
        <v>Incremental Bulk Wastewater Charges</v>
      </c>
      <c r="H183" s="106"/>
      <c r="I183" s="106"/>
      <c r="J183" s="106"/>
      <c r="K183" s="106"/>
      <c r="L183" s="106"/>
      <c r="M183" s="106"/>
      <c r="N183" s="106"/>
      <c r="O183" s="106"/>
      <c r="P183" s="106"/>
      <c r="Q183" s="106"/>
      <c r="R183" s="106"/>
      <c r="S183" s="106"/>
      <c r="T183" s="106"/>
      <c r="U183" s="106"/>
      <c r="V183" s="106"/>
      <c r="W183" s="106"/>
      <c r="X183" s="106"/>
      <c r="Y183" s="106"/>
      <c r="Z183" s="106"/>
      <c r="AA183" s="106"/>
    </row>
    <row r="184" spans="1:27" x14ac:dyDescent="0.25">
      <c r="A184" s="101">
        <v>37</v>
      </c>
      <c r="E184" s="47" t="s">
        <v>698</v>
      </c>
      <c r="F184" s="47" t="s">
        <v>633</v>
      </c>
      <c r="H184" s="113">
        <f>IFERROR(SUMIFS('INPUT Opex'!AD$63:AD$72,'INPUT Opex'!$A$63:$A$72,$A$1)/SUMIFS('INPUT Opex'!AC$63:AC$72,'INPUT Opex'!$A$63:$A$72,$A$1)-1,0)</f>
        <v>-1.6437199155794335E-4</v>
      </c>
      <c r="I184" s="113">
        <f>IFERROR(SUMIFS('INPUT Opex'!AE$63:AE$72,'INPUT Opex'!$A$63:$A$72,$A$1)/SUMIFS('INPUT Opex'!AD$63:AD$72,'INPUT Opex'!$A$63:$A$72,$A$1)-1,0)</f>
        <v>-4.305540599269797E-5</v>
      </c>
      <c r="J184" s="113">
        <f>IFERROR(SUMIFS('INPUT Opex'!AF$63:AF$72,'INPUT Opex'!$A$63:$A$72,$A$1)/SUMIFS('INPUT Opex'!AE$63:AE$72,'INPUT Opex'!$A$63:$A$72,$A$1)-1,0)</f>
        <v>-6.8324296029209641E-5</v>
      </c>
      <c r="K184" s="113">
        <f>IFERROR(SUMIFS('INPUT Opex'!AG$63:AG$72,'INPUT Opex'!$A$63:$A$72,$A$1)/SUMIFS('INPUT Opex'!AF$63:AF$72,'INPUT Opex'!$A$63:$A$72,$A$1)-1,0)</f>
        <v>-7.086277761791937E-5</v>
      </c>
      <c r="L184" s="113">
        <f>IFERROR(SUMIFS('INPUT Opex'!AH$63:AH$72,'INPUT Opex'!$A$63:$A$72,$A$1)/SUMIFS('INPUT Opex'!AG$63:AG$72,'INPUT Opex'!$A$63:$A$72,$A$1)-1,0)</f>
        <v>-6.5163903426146419E-5</v>
      </c>
      <c r="M184" s="113">
        <f>IFERROR(SUMIFS('INPUT Opex'!AI$63:AI$72,'INPUT Opex'!$A$63:$A$72,$A$1)/SUMIFS('INPUT Opex'!AH$63:AH$72,'INPUT Opex'!$A$63:$A$72,$A$1)-1,0)</f>
        <v>-5.6246156952100002E-5</v>
      </c>
      <c r="N184" s="113">
        <f>IFERROR(SUMIFS('INPUT Opex'!AJ$63:AJ$72,'INPUT Opex'!$A$63:$A$72,$A$1)/SUMIFS('INPUT Opex'!AI$63:AI$72,'INPUT Opex'!$A$63:$A$72,$A$1)-1,0)</f>
        <v>-4.9947997225352481E-5</v>
      </c>
      <c r="O184" s="113">
        <f>IFERROR(SUMIFS('INPUT Opex'!AK$63:AK$72,'INPUT Opex'!$A$63:$A$72,$A$1)/SUMIFS('INPUT Opex'!AJ$63:AJ$72,'INPUT Opex'!$A$63:$A$72,$A$1)-1,0)</f>
        <v>-4.7612449614264918E-5</v>
      </c>
      <c r="P184" s="113">
        <f>IFERROR(SUMIFS('INPUT Opex'!AL$63:AL$72,'INPUT Opex'!$A$63:$A$72,$A$1)/SUMIFS('INPUT Opex'!AK$63:AK$72,'INPUT Opex'!$A$63:$A$72,$A$1)-1,0)</f>
        <v>-6.9228212529082178E-5</v>
      </c>
      <c r="Q184" s="113">
        <f>IFERROR(SUMIFS('INPUT Opex'!AM$63:AM$72,'INPUT Opex'!$A$63:$A$72,$A$1)/SUMIFS('INPUT Opex'!AL$63:AL$72,'INPUT Opex'!$A$63:$A$72,$A$1)-1,0)</f>
        <v>-6.7903723186102383E-5</v>
      </c>
      <c r="R184" s="113">
        <f>IFERROR(SUMIFS('INPUT Opex'!AN$63:AN$72,'INPUT Opex'!$A$63:$A$72,$A$1)/SUMIFS('INPUT Opex'!AM$63:AM$72,'INPUT Opex'!$A$63:$A$72,$A$1)-1,0)</f>
        <v>3.1871128155946948E-5</v>
      </c>
      <c r="S184" s="113">
        <f>IFERROR(SUMIFS('INPUT Opex'!AO$63:AO$72,'INPUT Opex'!$A$63:$A$72,$A$1)/SUMIFS('INPUT Opex'!AN$63:AN$72,'INPUT Opex'!$A$63:$A$72,$A$1)-1,0)</f>
        <v>3.519458618961302E-5</v>
      </c>
      <c r="T184" s="113">
        <f>IFERROR(SUMIFS('INPUT Opex'!AP$63:AP$72,'INPUT Opex'!$A$63:$A$72,$A$1)/SUMIFS('INPUT Opex'!AO$63:AO$72,'INPUT Opex'!$A$63:$A$72,$A$1)-1,0)</f>
        <v>2.3262816287727972E-5</v>
      </c>
      <c r="U184" s="113">
        <f>IFERROR(SUMIFS('INPUT Opex'!AQ$63:AQ$72,'INPUT Opex'!$A$63:$A$72,$A$1)/SUMIFS('INPUT Opex'!AP$63:AP$72,'INPUT Opex'!$A$63:$A$72,$A$1)-1,0)</f>
        <v>2.2426196519820252E-5</v>
      </c>
      <c r="V184" s="113">
        <f>IFERROR(SUMIFS('INPUT Opex'!AR$63:AR$72,'INPUT Opex'!$A$63:$A$72,$A$1)/SUMIFS('INPUT Opex'!AQ$63:AQ$72,'INPUT Opex'!$A$63:$A$72,$A$1)-1,0)</f>
        <v>1.6643420869044689E-5</v>
      </c>
      <c r="W184" s="113">
        <f>IFERROR(SUMIFS('INPUT Opex'!AS$63:AS$72,'INPUT Opex'!$A$63:$A$72,$A$1)/SUMIFS('INPUT Opex'!AR$63:AR$72,'INPUT Opex'!$A$63:$A$72,$A$1)-1,0)</f>
        <v>1.1908846998975875E-5</v>
      </c>
      <c r="X184" s="113">
        <f>IFERROR(SUMIFS('INPUT Opex'!AT$63:AT$72,'INPUT Opex'!$A$63:$A$72,$A$1)/SUMIFS('INPUT Opex'!AS$63:AS$72,'INPUT Opex'!$A$63:$A$72,$A$1)-1,0)</f>
        <v>5.3709756471231884E-6</v>
      </c>
      <c r="Y184" s="113">
        <f>IFERROR(SUMIFS('INPUT Opex'!AU$63:AU$72,'INPUT Opex'!$A$63:$A$72,$A$1)/SUMIFS('INPUT Opex'!AT$63:AT$72,'INPUT Opex'!$A$63:$A$72,$A$1)-1,0)</f>
        <v>-8.1182095787779573E-5</v>
      </c>
      <c r="Z184" s="113">
        <f>IFERROR(SUMIFS('INPUT Opex'!AV$63:AV$72,'INPUT Opex'!$A$63:$A$72,$A$1)/SUMIFS('INPUT Opex'!AU$63:AU$72,'INPUT Opex'!$A$63:$A$72,$A$1)-1,0)</f>
        <v>-8.0081117515118372E-5</v>
      </c>
      <c r="AA184" s="113">
        <f>IFERROR(SUMIFS('INPUT Opex'!AW$63:AW$72,'INPUT Opex'!$A$63:$A$72,$A$1)/SUMIFS('INPUT Opex'!AV$63:AV$72,'INPUT Opex'!$A$63:$A$72,$A$1)-1,0)</f>
        <v>-5.3292864131693207E-5</v>
      </c>
    </row>
    <row r="185" spans="1:27" x14ac:dyDescent="0.25">
      <c r="A185" s="101">
        <v>38</v>
      </c>
      <c r="E185" s="47" t="s">
        <v>699</v>
      </c>
      <c r="F185" s="47" t="s">
        <v>697</v>
      </c>
      <c r="G185" s="102">
        <f>SUMIFS('INPUT Opex'!AC$75:AC$80,'INPUT Opex'!$A$75:$A$80,$A$1)</f>
        <v>113.61531382203825</v>
      </c>
      <c r="H185" s="106">
        <f t="shared" ref="H185:AA185" si="99">G185*(1+$G$14)*(1+H184)</f>
        <v>113.59663864663383</v>
      </c>
      <c r="I185" s="106">
        <f t="shared" si="99"/>
        <v>113.59174769723749</v>
      </c>
      <c r="J185" s="106">
        <f t="shared" si="99"/>
        <v>113.58398662104135</v>
      </c>
      <c r="K185" s="106">
        <f t="shared" si="99"/>
        <v>113.57593774425646</v>
      </c>
      <c r="L185" s="106">
        <f t="shared" si="99"/>
        <v>113.56853669281776</v>
      </c>
      <c r="M185" s="106">
        <f t="shared" si="99"/>
        <v>113.56214889907811</v>
      </c>
      <c r="N185" s="106">
        <f t="shared" si="99"/>
        <v>113.55647669717999</v>
      </c>
      <c r="O185" s="106">
        <f t="shared" si="99"/>
        <v>113.55106999515488</v>
      </c>
      <c r="P185" s="106">
        <f t="shared" si="99"/>
        <v>113.54320905754835</v>
      </c>
      <c r="Q185" s="106">
        <f t="shared" si="99"/>
        <v>113.53549905091084</v>
      </c>
      <c r="R185" s="106">
        <f t="shared" si="99"/>
        <v>113.53911755535134</v>
      </c>
      <c r="S185" s="106">
        <f t="shared" si="99"/>
        <v>113.54311351761004</v>
      </c>
      <c r="T185" s="106">
        <f t="shared" si="99"/>
        <v>113.54575485020054</v>
      </c>
      <c r="U185" s="106">
        <f t="shared" si="99"/>
        <v>113.54830124961281</v>
      </c>
      <c r="V185" s="106">
        <f t="shared" si="99"/>
        <v>113.55019108177947</v>
      </c>
      <c r="W185" s="106">
        <f t="shared" si="99"/>
        <v>113.55154333363177</v>
      </c>
      <c r="X185" s="106">
        <f t="shared" si="99"/>
        <v>113.55215321620571</v>
      </c>
      <c r="Y185" s="106">
        <f t="shared" si="99"/>
        <v>113.5429348144264</v>
      </c>
      <c r="Z185" s="106">
        <f t="shared" si="99"/>
        <v>113.53384216932052</v>
      </c>
      <c r="AA185" s="106">
        <f t="shared" si="99"/>
        <v>113.52779162569544</v>
      </c>
    </row>
    <row r="186" spans="1:27" x14ac:dyDescent="0.25">
      <c r="A186" s="101">
        <v>39</v>
      </c>
      <c r="E186" s="47" t="s">
        <v>700</v>
      </c>
      <c r="F186" s="47" t="s">
        <v>639</v>
      </c>
      <c r="G186" s="106"/>
      <c r="H186" s="102">
        <f>SUMIFS('INPUT Opex'!AD$44:AD$53,'INPUT Opex'!$A$44:$A$53,$A$1)</f>
        <v>2401744.7580430652</v>
      </c>
      <c r="I186" s="102">
        <f>SUMIFS('INPUT Opex'!AE$44:AE$53,'INPUT Opex'!$A$44:$A$53,$A$1)</f>
        <v>4938904.607392516</v>
      </c>
      <c r="J186" s="102">
        <f>SUMIFS('INPUT Opex'!AF$44:AF$53,'INPUT Opex'!$A$44:$A$53,$A$1)</f>
        <v>6935895.6109771086</v>
      </c>
      <c r="K186" s="102">
        <f>SUMIFS('INPUT Opex'!AG$44:AG$53,'INPUT Opex'!$A$44:$A$53,$A$1)</f>
        <v>8851662.448722098</v>
      </c>
      <c r="L186" s="102">
        <f>SUMIFS('INPUT Opex'!AH$44:AH$53,'INPUT Opex'!$A$44:$A$53,$A$1)</f>
        <v>10651522.080900606</v>
      </c>
      <c r="M186" s="102">
        <f>SUMIFS('INPUT Opex'!AI$44:AI$53,'INPUT Opex'!$A$44:$A$53,$A$1)</f>
        <v>12342893.042199761</v>
      </c>
      <c r="N186" s="102">
        <f>SUMIFS('INPUT Opex'!AJ$44:AJ$53,'INPUT Opex'!$A$44:$A$53,$A$1)</f>
        <v>13969254.034653164</v>
      </c>
      <c r="O186" s="102">
        <f>SUMIFS('INPUT Opex'!AK$44:AK$53,'INPUT Opex'!$A$44:$A$53,$A$1)</f>
        <v>15584767.455952693</v>
      </c>
      <c r="P186" s="102">
        <f>SUMIFS('INPUT Opex'!AL$44:AL$53,'INPUT Opex'!$A$44:$A$53,$A$1)</f>
        <v>17176068.676208708</v>
      </c>
      <c r="Q186" s="102">
        <f>SUMIFS('INPUT Opex'!AM$44:AM$53,'INPUT Opex'!$A$44:$A$53,$A$1)</f>
        <v>18748434.293916874</v>
      </c>
      <c r="R186" s="102">
        <f>SUMIFS('INPUT Opex'!AN$44:AN$53,'INPUT Opex'!$A$44:$A$53,$A$1)</f>
        <v>20292086.623337217</v>
      </c>
      <c r="S186" s="102">
        <f>SUMIFS('INPUT Opex'!AO$44:AO$53,'INPUT Opex'!$A$44:$A$53,$A$1)</f>
        <v>21803164.848474164</v>
      </c>
      <c r="T186" s="102">
        <f>SUMIFS('INPUT Opex'!AP$44:AP$53,'INPUT Opex'!$A$44:$A$53,$A$1)</f>
        <v>23280292.34477894</v>
      </c>
      <c r="U186" s="102">
        <f>SUMIFS('INPUT Opex'!AQ$44:AQ$53,'INPUT Opex'!$A$44:$A$53,$A$1)</f>
        <v>24711311.165661901</v>
      </c>
      <c r="V186" s="102">
        <f>SUMIFS('INPUT Opex'!AR$44:AR$53,'INPUT Opex'!$A$44:$A$53,$A$1)</f>
        <v>26097809.095511466</v>
      </c>
      <c r="W186" s="102">
        <f>SUMIFS('INPUT Opex'!AS$44:AS$53,'INPUT Opex'!$A$44:$A$53,$A$1)</f>
        <v>27435962.532408983</v>
      </c>
      <c r="X186" s="102">
        <f>SUMIFS('INPUT Opex'!AT$44:AT$53,'INPUT Opex'!$A$44:$A$53,$A$1)</f>
        <v>28725267.4258359</v>
      </c>
      <c r="Y186" s="102">
        <f>SUMIFS('INPUT Opex'!AU$44:AU$53,'INPUT Opex'!$A$44:$A$53,$A$1)</f>
        <v>29961685.296468388</v>
      </c>
      <c r="Z186" s="102">
        <f>SUMIFS('INPUT Opex'!AV$44:AV$53,'INPUT Opex'!$A$44:$A$53,$A$1)</f>
        <v>31151062.707178231</v>
      </c>
      <c r="AA186" s="102">
        <f>SUMIFS('INPUT Opex'!AW$44:AW$53,'INPUT Opex'!$A$44:$A$53,$A$1)</f>
        <v>32298097.491066754</v>
      </c>
    </row>
    <row r="187" spans="1:27" x14ac:dyDescent="0.25">
      <c r="E187" s="47" t="s">
        <v>701</v>
      </c>
      <c r="F187" s="47" t="s">
        <v>639</v>
      </c>
      <c r="H187" s="106">
        <f>H185*H176+H186</f>
        <v>2603069.2259085239</v>
      </c>
      <c r="I187" s="106">
        <f t="shared" ref="I187:AA187" si="100">I185*I176+I186</f>
        <v>5351997.5169124361</v>
      </c>
      <c r="J187" s="106">
        <f t="shared" si="100"/>
        <v>7519035.9985779161</v>
      </c>
      <c r="K187" s="106">
        <f t="shared" si="100"/>
        <v>9606482.8996243551</v>
      </c>
      <c r="L187" s="106">
        <f t="shared" si="100"/>
        <v>11574114.941671478</v>
      </c>
      <c r="M187" s="106">
        <f t="shared" si="100"/>
        <v>13419335.729013147</v>
      </c>
      <c r="N187" s="106">
        <f t="shared" si="100"/>
        <v>15212805.129134661</v>
      </c>
      <c r="O187" s="106">
        <f t="shared" si="100"/>
        <v>16987655.209690426</v>
      </c>
      <c r="P187" s="106">
        <f t="shared" si="100"/>
        <v>18737645.677672803</v>
      </c>
      <c r="Q187" s="106">
        <f t="shared" si="100"/>
        <v>20455564.170994505</v>
      </c>
      <c r="R187" s="106">
        <f t="shared" si="100"/>
        <v>22159319.073144004</v>
      </c>
      <c r="S187" s="106">
        <f t="shared" si="100"/>
        <v>23831613.735689938</v>
      </c>
      <c r="T187" s="106">
        <f t="shared" si="100"/>
        <v>25469588.404243637</v>
      </c>
      <c r="U187" s="106">
        <f t="shared" si="100"/>
        <v>27061483.656448875</v>
      </c>
      <c r="V187" s="106">
        <f t="shared" si="100"/>
        <v>28608208.666054573</v>
      </c>
      <c r="W187" s="106">
        <f t="shared" si="100"/>
        <v>30105586.024823256</v>
      </c>
      <c r="X187" s="106">
        <f t="shared" si="100"/>
        <v>31542680.058875728</v>
      </c>
      <c r="Y187" s="106">
        <f t="shared" si="100"/>
        <v>32935001.814259574</v>
      </c>
      <c r="Z187" s="106">
        <f t="shared" si="100"/>
        <v>34279342.113327935</v>
      </c>
      <c r="AA187" s="106">
        <f t="shared" si="100"/>
        <v>35602284.97085724</v>
      </c>
    </row>
    <row r="188" spans="1:27" x14ac:dyDescent="0.25">
      <c r="H188" s="106"/>
      <c r="I188" s="106"/>
      <c r="J188" s="106"/>
      <c r="K188" s="106"/>
      <c r="L188" s="106"/>
      <c r="M188" s="106"/>
      <c r="N188" s="106"/>
      <c r="O188" s="106"/>
      <c r="P188" s="106"/>
      <c r="Q188" s="106"/>
      <c r="R188" s="106"/>
      <c r="S188" s="106"/>
      <c r="T188" s="106"/>
      <c r="U188" s="106"/>
      <c r="V188" s="106"/>
      <c r="W188" s="106"/>
      <c r="X188" s="106"/>
      <c r="Y188" s="106"/>
      <c r="Z188" s="106"/>
      <c r="AA188" s="106"/>
    </row>
    <row r="189" spans="1:27" x14ac:dyDescent="0.25">
      <c r="C189" s="100" t="s">
        <v>702</v>
      </c>
      <c r="G189" s="106"/>
    </row>
    <row r="190" spans="1:27" x14ac:dyDescent="0.25">
      <c r="C190" s="100"/>
      <c r="D190" s="47" t="s">
        <v>703</v>
      </c>
      <c r="G190" s="106"/>
    </row>
    <row r="191" spans="1:27" x14ac:dyDescent="0.25">
      <c r="A191" s="101">
        <v>40</v>
      </c>
      <c r="C191" s="100"/>
      <c r="E191" s="47" t="s">
        <v>704</v>
      </c>
      <c r="G191" s="106"/>
      <c r="H191" s="105">
        <f>SUMIFS('INPUT Opex'!AD$97:AD$100,'INPUT Opex'!$C$97:$C$100,$G$4)</f>
        <v>-1.9057359833210552E-2</v>
      </c>
      <c r="I191" s="105">
        <f>SUMIFS('INPUT Opex'!AE$97:AE$100,'INPUT Opex'!$C$97:$C$100,$G$4)</f>
        <v>-2.9278761105415385E-2</v>
      </c>
      <c r="J191" s="105">
        <f>SUMIFS('INPUT Opex'!AF$97:AF$100,'INPUT Opex'!$C$97:$C$100,$G$4)</f>
        <v>-2.5036762703973814E-2</v>
      </c>
      <c r="K191" s="105">
        <f>SUMIFS('INPUT Opex'!AG$97:AG$100,'INPUT Opex'!$C$97:$C$100,$G$4)</f>
        <v>-1.7460758340258731E-2</v>
      </c>
      <c r="L191" s="105">
        <f>SUMIFS('INPUT Opex'!AH$97:AH$100,'INPUT Opex'!$C$97:$C$100,$G$4)</f>
        <v>-1.4449368353551373E-2</v>
      </c>
      <c r="M191" s="105">
        <f>SUMIFS('INPUT Opex'!AI$97:AI$100,'INPUT Opex'!$C$97:$C$100,$G$4)</f>
        <v>-1.4414924226396675E-2</v>
      </c>
      <c r="N191" s="105">
        <f>SUMIFS('INPUT Opex'!AJ$97:AJ$100,'INPUT Opex'!$C$97:$C$100,$G$4)</f>
        <v>-1.4371220590543077E-2</v>
      </c>
      <c r="O191" s="105">
        <f>SUMIFS('INPUT Opex'!AK$97:AK$100,'INPUT Opex'!$C$97:$C$100,$G$4)</f>
        <v>-1.4368035038630489E-2</v>
      </c>
      <c r="P191" s="105">
        <f>SUMIFS('INPUT Opex'!AL$97:AL$100,'INPUT Opex'!$C$97:$C$100,$G$4)</f>
        <v>-1.4350252639717898E-2</v>
      </c>
      <c r="Q191" s="105">
        <f>SUMIFS('INPUT Opex'!AM$97:AM$100,'INPUT Opex'!$C$97:$C$100,$G$4)</f>
        <v>0</v>
      </c>
      <c r="R191" s="105">
        <f>SUMIFS('INPUT Opex'!AN$97:AN$100,'INPUT Opex'!$C$97:$C$100,$G$4)</f>
        <v>0</v>
      </c>
      <c r="S191" s="105">
        <f>SUMIFS('INPUT Opex'!AO$97:AO$100,'INPUT Opex'!$C$97:$C$100,$G$4)</f>
        <v>0</v>
      </c>
      <c r="T191" s="105">
        <f>SUMIFS('INPUT Opex'!AP$97:AP$100,'INPUT Opex'!$C$97:$C$100,$G$4)</f>
        <v>0</v>
      </c>
      <c r="U191" s="105">
        <f>SUMIFS('INPUT Opex'!AQ$97:AQ$100,'INPUT Opex'!$C$97:$C$100,$G$4)</f>
        <v>0</v>
      </c>
      <c r="V191" s="105">
        <f>SUMIFS('INPUT Opex'!AR$97:AR$100,'INPUT Opex'!$C$97:$C$100,$G$4)</f>
        <v>0</v>
      </c>
      <c r="W191" s="105">
        <f>SUMIFS('INPUT Opex'!AS$97:AS$100,'INPUT Opex'!$C$97:$C$100,$G$4)</f>
        <v>0</v>
      </c>
      <c r="X191" s="105">
        <f>SUMIFS('INPUT Opex'!AT$97:AT$100,'INPUT Opex'!$C$97:$C$100,$G$4)</f>
        <v>0</v>
      </c>
      <c r="Y191" s="105">
        <f>SUMIFS('INPUT Opex'!AU$97:AU$100,'INPUT Opex'!$C$97:$C$100,$G$4)</f>
        <v>0</v>
      </c>
      <c r="Z191" s="105">
        <f>SUMIFS('INPUT Opex'!AV$97:AV$100,'INPUT Opex'!$C$97:$C$100,$G$4)</f>
        <v>0</v>
      </c>
      <c r="AA191" s="105">
        <f>SUMIFS('INPUT Opex'!AW$97:AW$100,'INPUT Opex'!$C$97:$C$100,$G$4)</f>
        <v>0</v>
      </c>
    </row>
    <row r="192" spans="1:27" x14ac:dyDescent="0.25">
      <c r="A192" s="101">
        <v>41</v>
      </c>
      <c r="E192" s="47" t="s">
        <v>705</v>
      </c>
      <c r="F192" s="47" t="s">
        <v>695</v>
      </c>
      <c r="G192" s="114">
        <f>SUMIFS('INPUT Opex'!AC$97:AC$100,'INPUT Opex'!$C$97:$C$100,$G$4)</f>
        <v>147.47130701994882</v>
      </c>
      <c r="H192" s="106">
        <f t="shared" ref="H192:W193" si="101">G192*(1+$G$14)*(1+H$191)</f>
        <v>144.66089325699579</v>
      </c>
      <c r="I192" s="106">
        <f t="shared" si="101"/>
        <v>140.42540152202821</v>
      </c>
      <c r="J192" s="106">
        <f t="shared" si="101"/>
        <v>136.90960406651095</v>
      </c>
      <c r="K192" s="106">
        <f t="shared" si="101"/>
        <v>134.5190585554451</v>
      </c>
      <c r="L192" s="106">
        <f t="shared" si="101"/>
        <v>132.57534312780453</v>
      </c>
      <c r="M192" s="106">
        <f t="shared" si="101"/>
        <v>130.66427960232869</v>
      </c>
      <c r="N192" s="106">
        <f t="shared" si="101"/>
        <v>128.78647441685922</v>
      </c>
      <c r="O192" s="106">
        <f t="shared" si="101"/>
        <v>126.93606583993611</v>
      </c>
      <c r="P192" s="106">
        <f t="shared" si="101"/>
        <v>125.11450122604116</v>
      </c>
      <c r="Q192" s="106">
        <f t="shared" si="101"/>
        <v>125.11450122604116</v>
      </c>
      <c r="R192" s="106">
        <f t="shared" si="101"/>
        <v>125.11450122604116</v>
      </c>
      <c r="S192" s="106">
        <f t="shared" si="101"/>
        <v>125.11450122604116</v>
      </c>
      <c r="T192" s="106">
        <f t="shared" si="101"/>
        <v>125.11450122604116</v>
      </c>
      <c r="U192" s="106">
        <f t="shared" si="101"/>
        <v>125.11450122604116</v>
      </c>
      <c r="V192" s="106">
        <f t="shared" si="101"/>
        <v>125.11450122604116</v>
      </c>
      <c r="W192" s="106">
        <f t="shared" si="101"/>
        <v>125.11450122604116</v>
      </c>
      <c r="X192" s="106">
        <f t="shared" ref="X192:AA193" si="102">W192*(1+$G$14)*(1+X$191)</f>
        <v>125.11450122604116</v>
      </c>
      <c r="Y192" s="106">
        <f t="shared" si="102"/>
        <v>125.11450122604116</v>
      </c>
      <c r="Z192" s="106">
        <f t="shared" si="102"/>
        <v>125.11450122604116</v>
      </c>
      <c r="AA192" s="106">
        <f t="shared" si="102"/>
        <v>125.11450122604116</v>
      </c>
    </row>
    <row r="193" spans="1:29" x14ac:dyDescent="0.25">
      <c r="A193" s="101">
        <v>42</v>
      </c>
      <c r="E193" s="47" t="s">
        <v>706</v>
      </c>
      <c r="F193" s="47" t="s">
        <v>697</v>
      </c>
      <c r="G193" s="102"/>
      <c r="H193" s="106">
        <f>G193*(1+$G$14)*(1+H$191)</f>
        <v>0</v>
      </c>
      <c r="I193" s="106">
        <f t="shared" si="101"/>
        <v>0</v>
      </c>
      <c r="J193" s="106">
        <f t="shared" si="101"/>
        <v>0</v>
      </c>
      <c r="K193" s="106">
        <f t="shared" si="101"/>
        <v>0</v>
      </c>
      <c r="L193" s="106">
        <f t="shared" si="101"/>
        <v>0</v>
      </c>
      <c r="M193" s="106">
        <f t="shared" si="101"/>
        <v>0</v>
      </c>
      <c r="N193" s="106">
        <f t="shared" si="101"/>
        <v>0</v>
      </c>
      <c r="O193" s="106">
        <f t="shared" si="101"/>
        <v>0</v>
      </c>
      <c r="P193" s="106">
        <f t="shared" si="101"/>
        <v>0</v>
      </c>
      <c r="Q193" s="106">
        <f t="shared" si="101"/>
        <v>0</v>
      </c>
      <c r="R193" s="106">
        <f t="shared" si="101"/>
        <v>0</v>
      </c>
      <c r="S193" s="106">
        <f t="shared" si="101"/>
        <v>0</v>
      </c>
      <c r="T193" s="106">
        <f t="shared" si="101"/>
        <v>0</v>
      </c>
      <c r="U193" s="106">
        <f t="shared" si="101"/>
        <v>0</v>
      </c>
      <c r="V193" s="106">
        <f t="shared" si="101"/>
        <v>0</v>
      </c>
      <c r="W193" s="106">
        <f t="shared" si="101"/>
        <v>0</v>
      </c>
      <c r="X193" s="106">
        <f t="shared" si="102"/>
        <v>0</v>
      </c>
      <c r="Y193" s="106">
        <f t="shared" si="102"/>
        <v>0</v>
      </c>
      <c r="Z193" s="106">
        <f t="shared" si="102"/>
        <v>0</v>
      </c>
      <c r="AA193" s="106">
        <f t="shared" si="102"/>
        <v>0</v>
      </c>
    </row>
    <row r="194" spans="1:29" x14ac:dyDescent="0.25">
      <c r="A194" s="101">
        <v>43</v>
      </c>
      <c r="E194" s="47" t="s">
        <v>707</v>
      </c>
      <c r="F194" s="47" t="s">
        <v>639</v>
      </c>
      <c r="G194" s="106"/>
      <c r="H194" s="102"/>
      <c r="I194" s="102"/>
      <c r="J194" s="102"/>
      <c r="K194" s="102"/>
      <c r="L194" s="102"/>
      <c r="M194" s="102"/>
      <c r="N194" s="102"/>
      <c r="O194" s="102"/>
      <c r="P194" s="102"/>
      <c r="Q194" s="102"/>
      <c r="R194" s="102"/>
      <c r="S194" s="102"/>
      <c r="T194" s="102"/>
      <c r="U194" s="102"/>
      <c r="V194" s="102"/>
      <c r="W194" s="102"/>
      <c r="X194" s="102"/>
      <c r="Y194" s="102"/>
      <c r="Z194" s="102"/>
      <c r="AA194" s="102"/>
    </row>
    <row r="195" spans="1:29" x14ac:dyDescent="0.25">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row>
    <row r="196" spans="1:29" x14ac:dyDescent="0.25">
      <c r="D196" s="47" t="s">
        <v>708</v>
      </c>
      <c r="G196" s="101"/>
      <c r="H196" s="101"/>
      <c r="I196" s="101"/>
      <c r="J196" s="101"/>
      <c r="K196" s="101"/>
      <c r="L196" s="101"/>
      <c r="M196" s="101"/>
      <c r="N196" s="101"/>
      <c r="O196" s="101"/>
      <c r="P196" s="101"/>
      <c r="Q196" s="101"/>
      <c r="R196" s="101"/>
      <c r="S196" s="101"/>
      <c r="T196" s="101"/>
      <c r="U196" s="101"/>
      <c r="V196" s="101"/>
      <c r="W196" s="101"/>
      <c r="X196" s="101"/>
      <c r="Y196" s="101"/>
      <c r="Z196" s="101"/>
      <c r="AA196" s="101"/>
    </row>
    <row r="197" spans="1:29" x14ac:dyDescent="0.25">
      <c r="A197" s="101">
        <v>44</v>
      </c>
      <c r="E197" s="47" t="s">
        <v>706</v>
      </c>
      <c r="F197" s="47" t="s">
        <v>697</v>
      </c>
      <c r="G197" s="101"/>
      <c r="H197" s="102"/>
      <c r="I197" s="102"/>
      <c r="J197" s="102"/>
      <c r="K197" s="102"/>
      <c r="L197" s="102"/>
      <c r="M197" s="102"/>
      <c r="N197" s="102"/>
      <c r="O197" s="102"/>
      <c r="P197" s="102"/>
      <c r="Q197" s="102"/>
      <c r="R197" s="102"/>
      <c r="S197" s="102"/>
      <c r="T197" s="102"/>
      <c r="U197" s="102"/>
      <c r="V197" s="102"/>
      <c r="W197" s="102"/>
      <c r="X197" s="102"/>
      <c r="Y197" s="102"/>
      <c r="Z197" s="102"/>
      <c r="AA197" s="102"/>
    </row>
    <row r="198" spans="1:29" x14ac:dyDescent="0.25">
      <c r="A198" s="101">
        <v>45</v>
      </c>
      <c r="E198" s="47" t="s">
        <v>707</v>
      </c>
      <c r="F198" s="47" t="s">
        <v>639</v>
      </c>
      <c r="G198" s="106"/>
      <c r="H198" s="102"/>
      <c r="I198" s="102"/>
      <c r="J198" s="102"/>
      <c r="K198" s="102"/>
      <c r="L198" s="102"/>
      <c r="M198" s="102"/>
      <c r="N198" s="102"/>
      <c r="O198" s="102"/>
      <c r="P198" s="102"/>
      <c r="Q198" s="102"/>
      <c r="R198" s="102"/>
      <c r="S198" s="102"/>
      <c r="T198" s="102"/>
      <c r="U198" s="102"/>
      <c r="V198" s="102"/>
      <c r="W198" s="102"/>
      <c r="X198" s="102"/>
      <c r="Y198" s="102"/>
      <c r="Z198" s="102"/>
      <c r="AA198" s="102"/>
    </row>
    <row r="199" spans="1:29" x14ac:dyDescent="0.25">
      <c r="G199" s="106"/>
    </row>
    <row r="200" spans="1:29" x14ac:dyDescent="0.25">
      <c r="E200" s="47" t="s">
        <v>702</v>
      </c>
      <c r="F200" s="47" t="s">
        <v>639</v>
      </c>
      <c r="G200" s="106"/>
      <c r="H200" s="106">
        <f>H192*H175+(H193+H197)*H176+H194+H198</f>
        <v>2248749.4035934797</v>
      </c>
      <c r="I200" s="106">
        <f t="shared" ref="I200:AA200" si="103">I192*I175+(I193+I197)*I176+I194+I198</f>
        <v>4477031.8560552625</v>
      </c>
      <c r="J200" s="106">
        <f t="shared" si="103"/>
        <v>6273193.652902321</v>
      </c>
      <c r="K200" s="106">
        <f t="shared" si="103"/>
        <v>8051202.7333635725</v>
      </c>
      <c r="L200" s="106">
        <f t="shared" si="103"/>
        <v>9782630.3208200186</v>
      </c>
      <c r="M200" s="106">
        <f t="shared" si="103"/>
        <v>11429809.586425774</v>
      </c>
      <c r="N200" s="106">
        <f t="shared" si="103"/>
        <v>13018975.966519702</v>
      </c>
      <c r="O200" s="106">
        <f t="shared" si="103"/>
        <v>14594838.219451092</v>
      </c>
      <c r="P200" s="106">
        <f t="shared" si="103"/>
        <v>16150797.197807537</v>
      </c>
      <c r="Q200" s="106">
        <f t="shared" si="103"/>
        <v>17955707.45155625</v>
      </c>
      <c r="R200" s="106">
        <f t="shared" si="103"/>
        <v>19800785.068580501</v>
      </c>
      <c r="S200" s="106">
        <f t="shared" si="103"/>
        <v>21676302.961091805</v>
      </c>
      <c r="T200" s="106">
        <f t="shared" si="103"/>
        <v>23579336.978953104</v>
      </c>
      <c r="U200" s="106">
        <f t="shared" si="103"/>
        <v>25499295.463471469</v>
      </c>
      <c r="V200" s="106">
        <f t="shared" si="103"/>
        <v>27434381.148930099</v>
      </c>
      <c r="W200" s="106">
        <f t="shared" si="103"/>
        <v>29374501.396596957</v>
      </c>
      <c r="X200" s="106">
        <f t="shared" si="103"/>
        <v>31326487.37550595</v>
      </c>
      <c r="Y200" s="106">
        <f t="shared" si="103"/>
        <v>33267876.396750528</v>
      </c>
      <c r="Z200" s="106">
        <f t="shared" si="103"/>
        <v>35211640.654841788</v>
      </c>
      <c r="AA200" s="106">
        <f t="shared" si="103"/>
        <v>37170284.48710043</v>
      </c>
    </row>
    <row r="201" spans="1:29" x14ac:dyDescent="0.25">
      <c r="G201" s="106"/>
      <c r="H201" s="106"/>
      <c r="I201" s="106"/>
      <c r="J201" s="106"/>
      <c r="K201" s="106"/>
      <c r="L201" s="106"/>
      <c r="M201" s="106"/>
      <c r="N201" s="106"/>
      <c r="O201" s="106"/>
      <c r="P201" s="106"/>
      <c r="Q201" s="106"/>
      <c r="R201" s="106"/>
      <c r="S201" s="106"/>
      <c r="T201" s="106"/>
      <c r="U201" s="106"/>
      <c r="V201" s="106"/>
      <c r="W201" s="106"/>
      <c r="X201" s="106"/>
      <c r="Y201" s="106"/>
      <c r="Z201" s="106"/>
      <c r="AA201" s="106"/>
    </row>
    <row r="202" spans="1:29" x14ac:dyDescent="0.25">
      <c r="C202" s="100" t="s">
        <v>709</v>
      </c>
      <c r="G202" s="106"/>
      <c r="H202" s="106"/>
      <c r="I202" s="106"/>
      <c r="J202" s="106"/>
      <c r="K202" s="106"/>
      <c r="L202" s="106"/>
      <c r="M202" s="106"/>
      <c r="N202" s="106"/>
      <c r="O202" s="106"/>
      <c r="P202" s="106"/>
      <c r="Q202" s="106"/>
      <c r="R202" s="106"/>
      <c r="S202" s="106"/>
      <c r="T202" s="106"/>
      <c r="U202" s="106"/>
      <c r="V202" s="106"/>
      <c r="W202" s="106"/>
      <c r="X202" s="106"/>
      <c r="Y202" s="106"/>
      <c r="Z202" s="106"/>
      <c r="AA202" s="106"/>
    </row>
    <row r="203" spans="1:29" x14ac:dyDescent="0.25">
      <c r="A203" s="101">
        <v>46</v>
      </c>
      <c r="E203" s="102" t="s">
        <v>710</v>
      </c>
      <c r="F203" s="47" t="s">
        <v>639</v>
      </c>
      <c r="G203" s="106"/>
      <c r="H203" s="102"/>
      <c r="I203" s="102"/>
      <c r="J203" s="102"/>
      <c r="K203" s="102"/>
      <c r="L203" s="102"/>
      <c r="M203" s="102"/>
      <c r="N203" s="102"/>
      <c r="O203" s="102"/>
      <c r="P203" s="102"/>
      <c r="Q203" s="102"/>
      <c r="R203" s="102"/>
      <c r="S203" s="102"/>
      <c r="T203" s="102"/>
      <c r="U203" s="102"/>
      <c r="V203" s="102"/>
      <c r="W203" s="102"/>
      <c r="X203" s="102"/>
      <c r="Y203" s="102"/>
      <c r="Z203" s="102"/>
      <c r="AA203" s="102"/>
    </row>
    <row r="204" spans="1:29" x14ac:dyDescent="0.25">
      <c r="A204" s="101">
        <v>47</v>
      </c>
      <c r="E204" s="102" t="s">
        <v>711</v>
      </c>
      <c r="F204" s="47" t="s">
        <v>639</v>
      </c>
      <c r="G204" s="106"/>
      <c r="H204" s="102"/>
      <c r="I204" s="102"/>
      <c r="J204" s="102"/>
      <c r="K204" s="102"/>
      <c r="L204" s="102"/>
      <c r="M204" s="102"/>
      <c r="N204" s="102"/>
      <c r="O204" s="102"/>
      <c r="P204" s="102"/>
      <c r="Q204" s="102"/>
      <c r="R204" s="102"/>
      <c r="S204" s="102"/>
      <c r="T204" s="102"/>
      <c r="U204" s="102"/>
      <c r="V204" s="102"/>
      <c r="W204" s="102"/>
      <c r="X204" s="102"/>
      <c r="Y204" s="102"/>
      <c r="Z204" s="102"/>
      <c r="AA204" s="102"/>
    </row>
    <row r="205" spans="1:29" x14ac:dyDescent="0.25">
      <c r="A205" s="101">
        <v>48</v>
      </c>
      <c r="E205" s="102" t="s">
        <v>712</v>
      </c>
      <c r="F205" s="47" t="s">
        <v>639</v>
      </c>
      <c r="G205" s="106"/>
      <c r="H205" s="102"/>
      <c r="I205" s="102"/>
      <c r="J205" s="102"/>
      <c r="K205" s="102"/>
      <c r="L205" s="102"/>
      <c r="M205" s="102"/>
      <c r="N205" s="102"/>
      <c r="O205" s="102"/>
      <c r="P205" s="102"/>
      <c r="Q205" s="102"/>
      <c r="R205" s="102"/>
      <c r="S205" s="102"/>
      <c r="T205" s="102"/>
      <c r="U205" s="102"/>
      <c r="V205" s="102"/>
      <c r="W205" s="102"/>
      <c r="X205" s="102"/>
      <c r="Y205" s="102"/>
      <c r="Z205" s="102"/>
      <c r="AA205" s="102"/>
    </row>
    <row r="206" spans="1:29" x14ac:dyDescent="0.25">
      <c r="A206" s="101">
        <v>49</v>
      </c>
      <c r="E206" s="102" t="s">
        <v>713</v>
      </c>
      <c r="F206" s="47" t="s">
        <v>639</v>
      </c>
      <c r="G206" s="106"/>
      <c r="H206" s="102"/>
      <c r="I206" s="102"/>
      <c r="J206" s="102"/>
      <c r="K206" s="102"/>
      <c r="L206" s="102"/>
      <c r="M206" s="102"/>
      <c r="N206" s="102"/>
      <c r="O206" s="102"/>
      <c r="P206" s="102"/>
      <c r="Q206" s="102"/>
      <c r="R206" s="102"/>
      <c r="S206" s="102"/>
      <c r="T206" s="102"/>
      <c r="U206" s="102"/>
      <c r="V206" s="102"/>
      <c r="W206" s="102"/>
      <c r="X206" s="102"/>
      <c r="Y206" s="102"/>
      <c r="Z206" s="102"/>
      <c r="AA206" s="102"/>
    </row>
    <row r="207" spans="1:29" x14ac:dyDescent="0.25">
      <c r="E207" s="47" t="s">
        <v>44</v>
      </c>
      <c r="G207" s="106"/>
      <c r="H207" s="106">
        <f>SUM(H203:H206)</f>
        <v>0</v>
      </c>
      <c r="I207" s="106">
        <f t="shared" ref="I207:AA207" si="104">SUM(I203:I206)</f>
        <v>0</v>
      </c>
      <c r="J207" s="106">
        <f t="shared" si="104"/>
        <v>0</v>
      </c>
      <c r="K207" s="106">
        <f t="shared" si="104"/>
        <v>0</v>
      </c>
      <c r="L207" s="106">
        <f t="shared" si="104"/>
        <v>0</v>
      </c>
      <c r="M207" s="106">
        <f t="shared" si="104"/>
        <v>0</v>
      </c>
      <c r="N207" s="106">
        <f t="shared" si="104"/>
        <v>0</v>
      </c>
      <c r="O207" s="106">
        <f t="shared" si="104"/>
        <v>0</v>
      </c>
      <c r="P207" s="106">
        <f t="shared" si="104"/>
        <v>0</v>
      </c>
      <c r="Q207" s="106">
        <f t="shared" si="104"/>
        <v>0</v>
      </c>
      <c r="R207" s="106">
        <f t="shared" si="104"/>
        <v>0</v>
      </c>
      <c r="S207" s="106">
        <f t="shared" si="104"/>
        <v>0</v>
      </c>
      <c r="T207" s="106">
        <f t="shared" si="104"/>
        <v>0</v>
      </c>
      <c r="U207" s="106">
        <f t="shared" si="104"/>
        <v>0</v>
      </c>
      <c r="V207" s="106">
        <f t="shared" si="104"/>
        <v>0</v>
      </c>
      <c r="W207" s="106">
        <f t="shared" si="104"/>
        <v>0</v>
      </c>
      <c r="X207" s="106">
        <f t="shared" si="104"/>
        <v>0</v>
      </c>
      <c r="Y207" s="106">
        <f t="shared" si="104"/>
        <v>0</v>
      </c>
      <c r="Z207" s="106">
        <f t="shared" si="104"/>
        <v>0</v>
      </c>
      <c r="AA207" s="106">
        <f t="shared" si="104"/>
        <v>0</v>
      </c>
    </row>
    <row r="208" spans="1:29" x14ac:dyDescent="0.25">
      <c r="G208" s="106"/>
      <c r="H208" s="106"/>
      <c r="I208" s="106"/>
      <c r="J208" s="106"/>
      <c r="K208" s="106"/>
      <c r="L208" s="106"/>
      <c r="M208" s="106"/>
      <c r="N208" s="106"/>
      <c r="O208" s="106"/>
      <c r="P208" s="106"/>
      <c r="Q208" s="106"/>
      <c r="R208" s="106"/>
      <c r="S208" s="106"/>
      <c r="T208" s="106"/>
      <c r="U208" s="106"/>
      <c r="V208" s="106"/>
      <c r="W208" s="106"/>
      <c r="X208" s="106"/>
      <c r="Y208" s="106"/>
      <c r="Z208" s="106"/>
      <c r="AA208" s="106"/>
    </row>
    <row r="209" spans="1:27" x14ac:dyDescent="0.25">
      <c r="C209" s="100" t="s">
        <v>714</v>
      </c>
      <c r="G209" s="106"/>
      <c r="H209" s="106"/>
      <c r="I209" s="106"/>
      <c r="J209" s="106"/>
      <c r="K209" s="106"/>
      <c r="L209" s="106"/>
      <c r="M209" s="106"/>
      <c r="N209" s="106"/>
      <c r="O209" s="106"/>
      <c r="P209" s="106"/>
      <c r="Q209" s="106"/>
      <c r="R209" s="106"/>
      <c r="S209" s="106"/>
      <c r="T209" s="106"/>
      <c r="U209" s="106"/>
      <c r="V209" s="106"/>
      <c r="W209" s="106"/>
      <c r="X209" s="106"/>
      <c r="Y209" s="106"/>
      <c r="Z209" s="106"/>
      <c r="AA209" s="106"/>
    </row>
    <row r="210" spans="1:27" x14ac:dyDescent="0.25">
      <c r="A210" s="101">
        <v>50</v>
      </c>
      <c r="E210" s="102" t="s">
        <v>715</v>
      </c>
      <c r="F210" s="47" t="s">
        <v>639</v>
      </c>
      <c r="G210" s="106"/>
      <c r="H210" s="102"/>
      <c r="I210" s="102"/>
      <c r="J210" s="102"/>
      <c r="K210" s="102"/>
      <c r="L210" s="102"/>
      <c r="M210" s="102"/>
      <c r="N210" s="102"/>
      <c r="O210" s="102"/>
      <c r="P210" s="102"/>
      <c r="Q210" s="102"/>
      <c r="R210" s="102"/>
      <c r="S210" s="102"/>
      <c r="T210" s="102"/>
      <c r="U210" s="102"/>
      <c r="V210" s="102"/>
      <c r="W210" s="102"/>
      <c r="X210" s="102"/>
      <c r="Y210" s="102"/>
      <c r="Z210" s="102"/>
      <c r="AA210" s="102"/>
    </row>
    <row r="211" spans="1:27" x14ac:dyDescent="0.25">
      <c r="A211" s="101">
        <v>51</v>
      </c>
      <c r="E211" s="102" t="s">
        <v>716</v>
      </c>
      <c r="F211" s="47" t="s">
        <v>639</v>
      </c>
      <c r="G211" s="106"/>
      <c r="H211" s="102"/>
      <c r="I211" s="102"/>
      <c r="J211" s="102"/>
      <c r="K211" s="102"/>
      <c r="L211" s="102"/>
      <c r="M211" s="102"/>
      <c r="N211" s="102"/>
      <c r="O211" s="102"/>
      <c r="P211" s="102"/>
      <c r="Q211" s="102"/>
      <c r="R211" s="102"/>
      <c r="S211" s="102"/>
      <c r="T211" s="102"/>
      <c r="U211" s="102"/>
      <c r="V211" s="102"/>
      <c r="W211" s="102"/>
      <c r="X211" s="102"/>
      <c r="Y211" s="102"/>
      <c r="Z211" s="102"/>
      <c r="AA211" s="102"/>
    </row>
    <row r="212" spans="1:27" x14ac:dyDescent="0.25">
      <c r="A212" s="101">
        <v>52</v>
      </c>
      <c r="E212" s="102" t="s">
        <v>717</v>
      </c>
      <c r="F212" s="47" t="s">
        <v>639</v>
      </c>
      <c r="G212" s="106"/>
      <c r="H212" s="102"/>
      <c r="I212" s="102"/>
      <c r="J212" s="102"/>
      <c r="K212" s="102"/>
      <c r="L212" s="102"/>
      <c r="M212" s="102"/>
      <c r="N212" s="102"/>
      <c r="O212" s="102"/>
      <c r="P212" s="102"/>
      <c r="Q212" s="102"/>
      <c r="R212" s="102"/>
      <c r="S212" s="102"/>
      <c r="T212" s="102"/>
      <c r="U212" s="102"/>
      <c r="V212" s="102"/>
      <c r="W212" s="102"/>
      <c r="X212" s="102"/>
      <c r="Y212" s="102"/>
      <c r="Z212" s="102"/>
      <c r="AA212" s="102"/>
    </row>
    <row r="213" spans="1:27" x14ac:dyDescent="0.25">
      <c r="A213" s="101">
        <v>53</v>
      </c>
      <c r="E213" s="102" t="s">
        <v>718</v>
      </c>
      <c r="F213" s="47" t="s">
        <v>639</v>
      </c>
      <c r="G213" s="106"/>
      <c r="H213" s="102"/>
      <c r="I213" s="102"/>
      <c r="J213" s="102"/>
      <c r="K213" s="102"/>
      <c r="L213" s="102"/>
      <c r="M213" s="102"/>
      <c r="N213" s="102"/>
      <c r="O213" s="102"/>
      <c r="P213" s="102"/>
      <c r="Q213" s="102"/>
      <c r="R213" s="102"/>
      <c r="S213" s="102"/>
      <c r="T213" s="102"/>
      <c r="U213" s="102"/>
      <c r="V213" s="102"/>
      <c r="W213" s="102"/>
      <c r="X213" s="102"/>
      <c r="Y213" s="102"/>
      <c r="Z213" s="102"/>
      <c r="AA213" s="102"/>
    </row>
    <row r="214" spans="1:27" x14ac:dyDescent="0.25">
      <c r="E214" s="47" t="s">
        <v>44</v>
      </c>
      <c r="G214" s="106"/>
      <c r="H214" s="106">
        <f>SUM(H210:H213)</f>
        <v>0</v>
      </c>
      <c r="I214" s="106">
        <f t="shared" ref="I214:AA214" si="105">SUM(I210:I213)</f>
        <v>0</v>
      </c>
      <c r="J214" s="106">
        <f t="shared" si="105"/>
        <v>0</v>
      </c>
      <c r="K214" s="106">
        <f t="shared" si="105"/>
        <v>0</v>
      </c>
      <c r="L214" s="106">
        <f t="shared" si="105"/>
        <v>0</v>
      </c>
      <c r="M214" s="106">
        <f t="shared" si="105"/>
        <v>0</v>
      </c>
      <c r="N214" s="106">
        <f t="shared" si="105"/>
        <v>0</v>
      </c>
      <c r="O214" s="106">
        <f t="shared" si="105"/>
        <v>0</v>
      </c>
      <c r="P214" s="106">
        <f t="shared" si="105"/>
        <v>0</v>
      </c>
      <c r="Q214" s="106">
        <f t="shared" si="105"/>
        <v>0</v>
      </c>
      <c r="R214" s="106">
        <f t="shared" si="105"/>
        <v>0</v>
      </c>
      <c r="S214" s="106">
        <f t="shared" si="105"/>
        <v>0</v>
      </c>
      <c r="T214" s="106">
        <f t="shared" si="105"/>
        <v>0</v>
      </c>
      <c r="U214" s="106">
        <f t="shared" si="105"/>
        <v>0</v>
      </c>
      <c r="V214" s="106">
        <f t="shared" si="105"/>
        <v>0</v>
      </c>
      <c r="W214" s="106">
        <f t="shared" si="105"/>
        <v>0</v>
      </c>
      <c r="X214" s="106">
        <f t="shared" si="105"/>
        <v>0</v>
      </c>
      <c r="Y214" s="106">
        <f t="shared" si="105"/>
        <v>0</v>
      </c>
      <c r="Z214" s="106">
        <f t="shared" si="105"/>
        <v>0</v>
      </c>
      <c r="AA214" s="106">
        <f t="shared" si="105"/>
        <v>0</v>
      </c>
    </row>
    <row r="215" spans="1:27" x14ac:dyDescent="0.25">
      <c r="G215" s="106"/>
      <c r="H215" s="106"/>
      <c r="I215" s="106"/>
      <c r="J215" s="106"/>
      <c r="K215" s="106"/>
      <c r="L215" s="106"/>
      <c r="M215" s="106"/>
      <c r="N215" s="106"/>
      <c r="O215" s="106"/>
      <c r="P215" s="106"/>
      <c r="Q215" s="106"/>
      <c r="R215" s="106"/>
      <c r="S215" s="106"/>
      <c r="T215" s="106"/>
      <c r="U215" s="106"/>
      <c r="V215" s="106"/>
      <c r="W215" s="106"/>
      <c r="X215" s="106"/>
      <c r="Y215" s="106"/>
      <c r="Z215" s="106"/>
      <c r="AA215" s="106"/>
    </row>
    <row r="216" spans="1:27" x14ac:dyDescent="0.25">
      <c r="C216" s="100" t="s">
        <v>719</v>
      </c>
      <c r="G216" s="106"/>
      <c r="H216" s="106"/>
      <c r="I216" s="106"/>
      <c r="J216" s="106"/>
      <c r="K216" s="106"/>
      <c r="L216" s="106"/>
      <c r="M216" s="106"/>
      <c r="N216" s="106"/>
      <c r="O216" s="106"/>
      <c r="P216" s="106"/>
      <c r="Q216" s="106"/>
      <c r="R216" s="106"/>
      <c r="S216" s="106"/>
      <c r="T216" s="106"/>
      <c r="U216" s="106"/>
      <c r="V216" s="106"/>
      <c r="W216" s="106"/>
      <c r="X216" s="106"/>
      <c r="Y216" s="106"/>
      <c r="Z216" s="106"/>
      <c r="AA216" s="106"/>
    </row>
    <row r="217" spans="1:27" x14ac:dyDescent="0.25">
      <c r="C217" s="100"/>
      <c r="D217" s="100"/>
      <c r="E217" s="47" t="s">
        <v>404</v>
      </c>
      <c r="F217" s="47" t="s">
        <v>655</v>
      </c>
      <c r="G217" s="106"/>
      <c r="H217" s="106">
        <f t="shared" ref="H217:AA217" si="106">H174</f>
        <v>15544.971090414099</v>
      </c>
      <c r="I217" s="106">
        <f t="shared" si="106"/>
        <v>16336.952034106649</v>
      </c>
      <c r="J217" s="106">
        <f t="shared" si="106"/>
        <v>13938.044697859272</v>
      </c>
      <c r="K217" s="106">
        <f t="shared" si="106"/>
        <v>14031.794595694631</v>
      </c>
      <c r="L217" s="106">
        <f t="shared" si="106"/>
        <v>13937.451247315785</v>
      </c>
      <c r="M217" s="106">
        <f t="shared" si="106"/>
        <v>13685.416900912191</v>
      </c>
      <c r="N217" s="106">
        <f t="shared" si="106"/>
        <v>13614.991037745342</v>
      </c>
      <c r="O217" s="106">
        <f>O174</f>
        <v>13888.246371275116</v>
      </c>
      <c r="P217" s="106">
        <f t="shared" si="106"/>
        <v>14110.26361246391</v>
      </c>
      <c r="Q217" s="106">
        <f t="shared" si="106"/>
        <v>14426.067610562792</v>
      </c>
      <c r="R217" s="106">
        <f t="shared" si="106"/>
        <v>14747.112436557609</v>
      </c>
      <c r="S217" s="106">
        <f t="shared" si="106"/>
        <v>14990.411775872821</v>
      </c>
      <c r="T217" s="106">
        <f t="shared" si="106"/>
        <v>15210.339322882613</v>
      </c>
      <c r="U217" s="106">
        <f t="shared" si="106"/>
        <v>15345.611145822553</v>
      </c>
      <c r="V217" s="106">
        <f t="shared" si="106"/>
        <v>15466.518001478977</v>
      </c>
      <c r="W217" s="106">
        <f t="shared" si="106"/>
        <v>15506.757639241907</v>
      </c>
      <c r="X217" s="106">
        <f t="shared" si="106"/>
        <v>15601.596615746319</v>
      </c>
      <c r="Y217" s="106">
        <f t="shared" si="106"/>
        <v>15516.898538700383</v>
      </c>
      <c r="Z217" s="106">
        <f t="shared" si="106"/>
        <v>15535.883043481195</v>
      </c>
      <c r="AA217" s="106">
        <f t="shared" si="106"/>
        <v>15654.810697922314</v>
      </c>
    </row>
    <row r="218" spans="1:27" x14ac:dyDescent="0.25">
      <c r="E218" s="47" t="s">
        <v>720</v>
      </c>
      <c r="F218" s="47" t="s">
        <v>695</v>
      </c>
      <c r="G218" s="115">
        <f>MAX(0,-G245/(NPV($G$16,H217:AP217)))</f>
        <v>2862.742242168064</v>
      </c>
      <c r="H218" s="106">
        <f t="shared" ref="H218:AA218" si="107">G218*(1+$G$14)</f>
        <v>2862.742242168064</v>
      </c>
      <c r="I218" s="106">
        <f t="shared" si="107"/>
        <v>2862.742242168064</v>
      </c>
      <c r="J218" s="106">
        <f t="shared" si="107"/>
        <v>2862.742242168064</v>
      </c>
      <c r="K218" s="106">
        <f t="shared" si="107"/>
        <v>2862.742242168064</v>
      </c>
      <c r="L218" s="106">
        <f t="shared" si="107"/>
        <v>2862.742242168064</v>
      </c>
      <c r="M218" s="106">
        <f t="shared" si="107"/>
        <v>2862.742242168064</v>
      </c>
      <c r="N218" s="106">
        <f t="shared" si="107"/>
        <v>2862.742242168064</v>
      </c>
      <c r="O218" s="106">
        <f t="shared" si="107"/>
        <v>2862.742242168064</v>
      </c>
      <c r="P218" s="106">
        <f t="shared" si="107"/>
        <v>2862.742242168064</v>
      </c>
      <c r="Q218" s="106">
        <f t="shared" si="107"/>
        <v>2862.742242168064</v>
      </c>
      <c r="R218" s="106">
        <f t="shared" si="107"/>
        <v>2862.742242168064</v>
      </c>
      <c r="S218" s="106">
        <f t="shared" si="107"/>
        <v>2862.742242168064</v>
      </c>
      <c r="T218" s="106">
        <f t="shared" si="107"/>
        <v>2862.742242168064</v>
      </c>
      <c r="U218" s="106">
        <f t="shared" si="107"/>
        <v>2862.742242168064</v>
      </c>
      <c r="V218" s="106">
        <f t="shared" si="107"/>
        <v>2862.742242168064</v>
      </c>
      <c r="W218" s="106">
        <f t="shared" si="107"/>
        <v>2862.742242168064</v>
      </c>
      <c r="X218" s="106">
        <f t="shared" si="107"/>
        <v>2862.742242168064</v>
      </c>
      <c r="Y218" s="106">
        <f t="shared" si="107"/>
        <v>2862.742242168064</v>
      </c>
      <c r="Z218" s="106">
        <f t="shared" si="107"/>
        <v>2862.742242168064</v>
      </c>
      <c r="AA218" s="106">
        <f t="shared" si="107"/>
        <v>2862.742242168064</v>
      </c>
    </row>
    <row r="219" spans="1:27" x14ac:dyDescent="0.25">
      <c r="E219" s="47" t="s">
        <v>721</v>
      </c>
      <c r="F219" s="47" t="s">
        <v>639</v>
      </c>
      <c r="H219" s="106">
        <f>H218*H217</f>
        <v>44501245.393809795</v>
      </c>
      <c r="I219" s="106">
        <f t="shared" ref="I219:AA219" si="108">I218*I217</f>
        <v>46768482.69631058</v>
      </c>
      <c r="J219" s="106">
        <f t="shared" si="108"/>
        <v>39901029.32978835</v>
      </c>
      <c r="K219" s="106">
        <f t="shared" si="108"/>
        <v>40169411.122520573</v>
      </c>
      <c r="L219" s="106">
        <f t="shared" si="108"/>
        <v>39899330.433848873</v>
      </c>
      <c r="M219" s="106">
        <f t="shared" si="108"/>
        <v>39177821.063922085</v>
      </c>
      <c r="N219" s="106">
        <f t="shared" si="108"/>
        <v>38976209.970493197</v>
      </c>
      <c r="O219" s="106">
        <f t="shared" si="108"/>
        <v>39758469.556686603</v>
      </c>
      <c r="P219" s="106">
        <f t="shared" si="108"/>
        <v>40394047.691527382</v>
      </c>
      <c r="Q219" s="106">
        <f t="shared" si="108"/>
        <v>41298113.137130611</v>
      </c>
      <c r="R219" s="106">
        <f t="shared" si="108"/>
        <v>42217181.722135469</v>
      </c>
      <c r="S219" s="106">
        <f t="shared" si="108"/>
        <v>42913685.018284708</v>
      </c>
      <c r="T219" s="106">
        <f t="shared" si="108"/>
        <v>43543280.897326045</v>
      </c>
      <c r="U219" s="106">
        <f t="shared" si="108"/>
        <v>43930529.259031288</v>
      </c>
      <c r="V219" s="106">
        <f t="shared" si="108"/>
        <v>44276654.422086649</v>
      </c>
      <c r="W219" s="106">
        <f t="shared" si="108"/>
        <v>44391850.132920131</v>
      </c>
      <c r="X219" s="106">
        <f t="shared" si="108"/>
        <v>44663349.677163295</v>
      </c>
      <c r="Y219" s="106">
        <f t="shared" si="108"/>
        <v>44420880.914173491</v>
      </c>
      <c r="Z219" s="106">
        <f t="shared" si="108"/>
        <v>44475228.657956161</v>
      </c>
      <c r="AA219" s="106">
        <f t="shared" si="108"/>
        <v>44815687.878086716</v>
      </c>
    </row>
    <row r="221" spans="1:27" x14ac:dyDescent="0.25">
      <c r="D221" s="47" t="s">
        <v>722</v>
      </c>
    </row>
    <row r="222" spans="1:27" x14ac:dyDescent="0.25">
      <c r="E222" s="47" t="s">
        <v>573</v>
      </c>
      <c r="F222" s="47" t="s">
        <v>639</v>
      </c>
      <c r="G222" s="106">
        <f t="shared" ref="G222:AA222" si="109">G42</f>
        <v>0</v>
      </c>
      <c r="H222" s="106">
        <f t="shared" si="109"/>
        <v>29137833.369118281</v>
      </c>
      <c r="I222" s="106">
        <f t="shared" si="109"/>
        <v>29770525.217831567</v>
      </c>
      <c r="J222" s="106">
        <f t="shared" si="109"/>
        <v>31662012.661598999</v>
      </c>
      <c r="K222" s="106">
        <f t="shared" si="109"/>
        <v>32083025.498539194</v>
      </c>
      <c r="L222" s="106">
        <f t="shared" si="109"/>
        <v>28907118.84044873</v>
      </c>
      <c r="M222" s="106">
        <f t="shared" si="109"/>
        <v>29320774.881199837</v>
      </c>
      <c r="N222" s="106">
        <f t="shared" si="109"/>
        <v>28507173.32624105</v>
      </c>
      <c r="O222" s="106">
        <f t="shared" si="109"/>
        <v>30018179.436078906</v>
      </c>
      <c r="P222" s="106">
        <f t="shared" si="109"/>
        <v>30782038.63685365</v>
      </c>
      <c r="Q222" s="106">
        <f t="shared" si="109"/>
        <v>30308532.435973182</v>
      </c>
      <c r="R222" s="106">
        <f t="shared" si="109"/>
        <v>29622618.192988455</v>
      </c>
      <c r="S222" s="106">
        <f t="shared" si="109"/>
        <v>28817473.047035478</v>
      </c>
      <c r="T222" s="106">
        <f t="shared" si="109"/>
        <v>27127969.631916676</v>
      </c>
      <c r="U222" s="106">
        <f t="shared" si="109"/>
        <v>25056919.277748596</v>
      </c>
      <c r="V222" s="106">
        <f t="shared" si="109"/>
        <v>22660957.847471118</v>
      </c>
      <c r="W222" s="106">
        <f t="shared" si="109"/>
        <v>20405473.779831529</v>
      </c>
      <c r="X222" s="106">
        <f t="shared" si="109"/>
        <v>18963543.786380295</v>
      </c>
      <c r="Y222" s="106">
        <f t="shared" si="109"/>
        <v>16565190.854703283</v>
      </c>
      <c r="Z222" s="106">
        <f t="shared" si="109"/>
        <v>13929295.825652843</v>
      </c>
      <c r="AA222" s="106">
        <f t="shared" si="109"/>
        <v>11903561.759870797</v>
      </c>
    </row>
    <row r="223" spans="1:27" x14ac:dyDescent="0.25">
      <c r="E223" s="47" t="s">
        <v>723</v>
      </c>
      <c r="F223" s="47" t="s">
        <v>639</v>
      </c>
      <c r="G223" s="106">
        <f t="shared" ref="G223:AA223" si="110">G177</f>
        <v>0</v>
      </c>
      <c r="H223" s="106">
        <f t="shared" si="110"/>
        <v>6245125.8596107643</v>
      </c>
      <c r="I223" s="106">
        <f t="shared" si="110"/>
        <v>12893597.161814652</v>
      </c>
      <c r="J223" s="106">
        <f t="shared" si="110"/>
        <v>18531002.579957001</v>
      </c>
      <c r="K223" s="106">
        <f t="shared" si="110"/>
        <v>24248564.127202962</v>
      </c>
      <c r="L223" s="106">
        <f t="shared" si="110"/>
        <v>29956271.447722342</v>
      </c>
      <c r="M223" s="106">
        <f t="shared" si="110"/>
        <v>35549854.919897206</v>
      </c>
      <c r="N223" s="106">
        <f t="shared" si="110"/>
        <v>41273960.647578053</v>
      </c>
      <c r="O223" s="106">
        <f t="shared" si="110"/>
        <v>47080138.95416452</v>
      </c>
      <c r="P223" s="106">
        <f t="shared" si="110"/>
        <v>53028419.418250188</v>
      </c>
      <c r="Q223" s="106">
        <f t="shared" si="110"/>
        <v>56727300.988714896</v>
      </c>
      <c r="R223" s="106">
        <f t="shared" si="110"/>
        <v>62420073.357796833</v>
      </c>
      <c r="S223" s="106">
        <f t="shared" si="110"/>
        <v>68191026.521264717</v>
      </c>
      <c r="T223" s="106">
        <f t="shared" si="110"/>
        <v>74031132.410554394</v>
      </c>
      <c r="U223" s="106">
        <f t="shared" si="110"/>
        <v>79901187.603013739</v>
      </c>
      <c r="V223" s="106">
        <f t="shared" si="110"/>
        <v>75939453.400006071</v>
      </c>
      <c r="W223" s="106">
        <f t="shared" si="110"/>
        <v>81150981.955842778</v>
      </c>
      <c r="X223" s="106">
        <f t="shared" si="110"/>
        <v>86307058.964245304</v>
      </c>
      <c r="Y223" s="106">
        <f t="shared" si="110"/>
        <v>91485499.071269989</v>
      </c>
      <c r="Z223" s="106">
        <f t="shared" si="110"/>
        <v>96654547.565798104</v>
      </c>
      <c r="AA223" s="106">
        <f t="shared" si="110"/>
        <v>102033699.20223655</v>
      </c>
    </row>
    <row r="224" spans="1:27" x14ac:dyDescent="0.25">
      <c r="E224" s="47" t="s">
        <v>701</v>
      </c>
      <c r="F224" s="47" t="s">
        <v>639</v>
      </c>
      <c r="G224" s="106">
        <f t="shared" ref="G224:AA224" si="111">-G187</f>
        <v>0</v>
      </c>
      <c r="H224" s="106">
        <f t="shared" si="111"/>
        <v>-2603069.2259085239</v>
      </c>
      <c r="I224" s="106">
        <f t="shared" si="111"/>
        <v>-5351997.5169124361</v>
      </c>
      <c r="J224" s="106">
        <f t="shared" si="111"/>
        <v>-7519035.9985779161</v>
      </c>
      <c r="K224" s="106">
        <f t="shared" si="111"/>
        <v>-9606482.8996243551</v>
      </c>
      <c r="L224" s="106">
        <f t="shared" si="111"/>
        <v>-11574114.941671478</v>
      </c>
      <c r="M224" s="106">
        <f t="shared" si="111"/>
        <v>-13419335.729013147</v>
      </c>
      <c r="N224" s="106">
        <f t="shared" si="111"/>
        <v>-15212805.129134661</v>
      </c>
      <c r="O224" s="106">
        <f t="shared" si="111"/>
        <v>-16987655.209690426</v>
      </c>
      <c r="P224" s="106">
        <f t="shared" si="111"/>
        <v>-18737645.677672803</v>
      </c>
      <c r="Q224" s="106">
        <f t="shared" si="111"/>
        <v>-20455564.170994505</v>
      </c>
      <c r="R224" s="106">
        <f t="shared" si="111"/>
        <v>-22159319.073144004</v>
      </c>
      <c r="S224" s="106">
        <f t="shared" si="111"/>
        <v>-23831613.735689938</v>
      </c>
      <c r="T224" s="106">
        <f t="shared" si="111"/>
        <v>-25469588.404243637</v>
      </c>
      <c r="U224" s="106">
        <f t="shared" si="111"/>
        <v>-27061483.656448875</v>
      </c>
      <c r="V224" s="106">
        <f t="shared" si="111"/>
        <v>-28608208.666054573</v>
      </c>
      <c r="W224" s="106">
        <f t="shared" si="111"/>
        <v>-30105586.024823256</v>
      </c>
      <c r="X224" s="106">
        <f t="shared" si="111"/>
        <v>-31542680.058875728</v>
      </c>
      <c r="Y224" s="106">
        <f t="shared" si="111"/>
        <v>-32935001.814259574</v>
      </c>
      <c r="Z224" s="106">
        <f t="shared" si="111"/>
        <v>-34279342.113327935</v>
      </c>
      <c r="AA224" s="106">
        <f t="shared" si="111"/>
        <v>-35602284.97085724</v>
      </c>
    </row>
    <row r="225" spans="4:28" x14ac:dyDescent="0.25">
      <c r="E225" s="47" t="s">
        <v>702</v>
      </c>
      <c r="F225" s="47" t="s">
        <v>639</v>
      </c>
      <c r="G225" s="106">
        <f t="shared" ref="G225:AA225" si="112">-G200</f>
        <v>0</v>
      </c>
      <c r="H225" s="106">
        <f t="shared" si="112"/>
        <v>-2248749.4035934797</v>
      </c>
      <c r="I225" s="106">
        <f t="shared" si="112"/>
        <v>-4477031.8560552625</v>
      </c>
      <c r="J225" s="106">
        <f t="shared" si="112"/>
        <v>-6273193.652902321</v>
      </c>
      <c r="K225" s="106">
        <f t="shared" si="112"/>
        <v>-8051202.7333635725</v>
      </c>
      <c r="L225" s="106">
        <f t="shared" si="112"/>
        <v>-9782630.3208200186</v>
      </c>
      <c r="M225" s="106">
        <f t="shared" si="112"/>
        <v>-11429809.586425774</v>
      </c>
      <c r="N225" s="106">
        <f t="shared" si="112"/>
        <v>-13018975.966519702</v>
      </c>
      <c r="O225" s="106">
        <f t="shared" si="112"/>
        <v>-14594838.219451092</v>
      </c>
      <c r="P225" s="106">
        <f t="shared" si="112"/>
        <v>-16150797.197807537</v>
      </c>
      <c r="Q225" s="106">
        <f t="shared" si="112"/>
        <v>-17955707.45155625</v>
      </c>
      <c r="R225" s="106">
        <f t="shared" si="112"/>
        <v>-19800785.068580501</v>
      </c>
      <c r="S225" s="106">
        <f t="shared" si="112"/>
        <v>-21676302.961091805</v>
      </c>
      <c r="T225" s="106">
        <f t="shared" si="112"/>
        <v>-23579336.978953104</v>
      </c>
      <c r="U225" s="106">
        <f t="shared" si="112"/>
        <v>-25499295.463471469</v>
      </c>
      <c r="V225" s="106">
        <f t="shared" si="112"/>
        <v>-27434381.148930099</v>
      </c>
      <c r="W225" s="106">
        <f t="shared" si="112"/>
        <v>-29374501.396596957</v>
      </c>
      <c r="X225" s="106">
        <f t="shared" si="112"/>
        <v>-31326487.37550595</v>
      </c>
      <c r="Y225" s="106">
        <f t="shared" si="112"/>
        <v>-33267876.396750528</v>
      </c>
      <c r="Z225" s="106">
        <f t="shared" si="112"/>
        <v>-35211640.654841788</v>
      </c>
      <c r="AA225" s="106">
        <f t="shared" si="112"/>
        <v>-37170284.48710043</v>
      </c>
    </row>
    <row r="226" spans="4:28" x14ac:dyDescent="0.25">
      <c r="E226" s="47" t="s">
        <v>724</v>
      </c>
      <c r="F226" s="47" t="s">
        <v>639</v>
      </c>
      <c r="G226" s="106">
        <f t="shared" ref="G226:AA226" si="113">-G34-G50-G85</f>
        <v>0</v>
      </c>
      <c r="H226" s="106">
        <f t="shared" si="113"/>
        <v>-615904.48746388627</v>
      </c>
      <c r="I226" s="106">
        <f t="shared" si="113"/>
        <v>-1285526.9068147901</v>
      </c>
      <c r="J226" s="106">
        <f t="shared" si="113"/>
        <v>-2146052.2182271872</v>
      </c>
      <c r="K226" s="106">
        <f t="shared" si="113"/>
        <v>-3040236.2494576443</v>
      </c>
      <c r="L226" s="106">
        <f t="shared" si="113"/>
        <v>-3943906.3510259301</v>
      </c>
      <c r="M226" s="106">
        <f t="shared" si="113"/>
        <v>-4837575.3039438343</v>
      </c>
      <c r="N226" s="106">
        <f t="shared" si="113"/>
        <v>-5703220.1346633108</v>
      </c>
      <c r="O226" s="106">
        <f t="shared" si="113"/>
        <v>-6670247.5137648974</v>
      </c>
      <c r="P226" s="106">
        <f t="shared" si="113"/>
        <v>-7517072.7426758166</v>
      </c>
      <c r="Q226" s="106">
        <f t="shared" si="113"/>
        <v>-8421345.3236728795</v>
      </c>
      <c r="R226" s="106">
        <f t="shared" si="113"/>
        <v>-9317996.635303447</v>
      </c>
      <c r="S226" s="106">
        <f t="shared" si="113"/>
        <v>-10205701.88975676</v>
      </c>
      <c r="T226" s="106">
        <f t="shared" si="113"/>
        <v>-11074634.884042084</v>
      </c>
      <c r="U226" s="106">
        <f t="shared" si="113"/>
        <v>-11920556.207725542</v>
      </c>
      <c r="V226" s="106">
        <f t="shared" si="113"/>
        <v>-12739855.73773925</v>
      </c>
      <c r="W226" s="106">
        <f t="shared" si="113"/>
        <v>-13534094.333668076</v>
      </c>
      <c r="X226" s="106">
        <f t="shared" si="113"/>
        <v>-14312311.485225225</v>
      </c>
      <c r="Y226" s="106">
        <f t="shared" si="113"/>
        <v>-15063880.270874852</v>
      </c>
      <c r="Z226" s="106">
        <f t="shared" si="113"/>
        <v>-15786161.333979469</v>
      </c>
      <c r="AA226" s="106">
        <f t="shared" si="113"/>
        <v>-16485934.24079762</v>
      </c>
    </row>
    <row r="227" spans="4:28" x14ac:dyDescent="0.25">
      <c r="E227" s="47" t="s">
        <v>709</v>
      </c>
      <c r="F227" s="47" t="s">
        <v>639</v>
      </c>
      <c r="G227" s="106">
        <f t="shared" ref="G227:AA227" si="114">G207</f>
        <v>0</v>
      </c>
      <c r="H227" s="106">
        <f t="shared" si="114"/>
        <v>0</v>
      </c>
      <c r="I227" s="106">
        <f t="shared" si="114"/>
        <v>0</v>
      </c>
      <c r="J227" s="106">
        <f t="shared" si="114"/>
        <v>0</v>
      </c>
      <c r="K227" s="106">
        <f t="shared" si="114"/>
        <v>0</v>
      </c>
      <c r="L227" s="106">
        <f t="shared" si="114"/>
        <v>0</v>
      </c>
      <c r="M227" s="106">
        <f t="shared" si="114"/>
        <v>0</v>
      </c>
      <c r="N227" s="106">
        <f t="shared" si="114"/>
        <v>0</v>
      </c>
      <c r="O227" s="106">
        <f t="shared" si="114"/>
        <v>0</v>
      </c>
      <c r="P227" s="106">
        <f t="shared" si="114"/>
        <v>0</v>
      </c>
      <c r="Q227" s="106">
        <f t="shared" si="114"/>
        <v>0</v>
      </c>
      <c r="R227" s="106">
        <f t="shared" si="114"/>
        <v>0</v>
      </c>
      <c r="S227" s="106">
        <f t="shared" si="114"/>
        <v>0</v>
      </c>
      <c r="T227" s="106">
        <f t="shared" si="114"/>
        <v>0</v>
      </c>
      <c r="U227" s="106">
        <f t="shared" si="114"/>
        <v>0</v>
      </c>
      <c r="V227" s="106">
        <f t="shared" si="114"/>
        <v>0</v>
      </c>
      <c r="W227" s="106">
        <f t="shared" si="114"/>
        <v>0</v>
      </c>
      <c r="X227" s="106">
        <f t="shared" si="114"/>
        <v>0</v>
      </c>
      <c r="Y227" s="106">
        <f t="shared" si="114"/>
        <v>0</v>
      </c>
      <c r="Z227" s="106">
        <f t="shared" si="114"/>
        <v>0</v>
      </c>
      <c r="AA227" s="106">
        <f t="shared" si="114"/>
        <v>0</v>
      </c>
    </row>
    <row r="228" spans="4:28" x14ac:dyDescent="0.25">
      <c r="E228" s="47" t="s">
        <v>725</v>
      </c>
      <c r="F228" s="47" t="s">
        <v>639</v>
      </c>
      <c r="H228" s="106">
        <f t="shared" ref="H228:AA228" si="115">H219</f>
        <v>44501245.393809795</v>
      </c>
      <c r="I228" s="106">
        <f t="shared" si="115"/>
        <v>46768482.69631058</v>
      </c>
      <c r="J228" s="106">
        <f t="shared" si="115"/>
        <v>39901029.32978835</v>
      </c>
      <c r="K228" s="106">
        <f t="shared" si="115"/>
        <v>40169411.122520573</v>
      </c>
      <c r="L228" s="106">
        <f t="shared" si="115"/>
        <v>39899330.433848873</v>
      </c>
      <c r="M228" s="106">
        <f t="shared" si="115"/>
        <v>39177821.063922085</v>
      </c>
      <c r="N228" s="106">
        <f t="shared" si="115"/>
        <v>38976209.970493197</v>
      </c>
      <c r="O228" s="106">
        <f t="shared" si="115"/>
        <v>39758469.556686603</v>
      </c>
      <c r="P228" s="106">
        <f t="shared" si="115"/>
        <v>40394047.691527382</v>
      </c>
      <c r="Q228" s="106">
        <f t="shared" si="115"/>
        <v>41298113.137130611</v>
      </c>
      <c r="R228" s="106">
        <f t="shared" si="115"/>
        <v>42217181.722135469</v>
      </c>
      <c r="S228" s="106">
        <f t="shared" si="115"/>
        <v>42913685.018284708</v>
      </c>
      <c r="T228" s="106">
        <f t="shared" si="115"/>
        <v>43543280.897326045</v>
      </c>
      <c r="U228" s="106">
        <f t="shared" si="115"/>
        <v>43930529.259031288</v>
      </c>
      <c r="V228" s="106">
        <f t="shared" si="115"/>
        <v>44276654.422086649</v>
      </c>
      <c r="W228" s="106">
        <f t="shared" si="115"/>
        <v>44391850.132920131</v>
      </c>
      <c r="X228" s="106">
        <f t="shared" si="115"/>
        <v>44663349.677163295</v>
      </c>
      <c r="Y228" s="106">
        <f t="shared" si="115"/>
        <v>44420880.914173491</v>
      </c>
      <c r="Z228" s="106">
        <f t="shared" si="115"/>
        <v>44475228.657956161</v>
      </c>
      <c r="AA228" s="106">
        <f t="shared" si="115"/>
        <v>44815687.878086716</v>
      </c>
    </row>
    <row r="230" spans="4:28" x14ac:dyDescent="0.25">
      <c r="E230" s="47" t="s">
        <v>726</v>
      </c>
      <c r="F230" s="47" t="s">
        <v>639</v>
      </c>
      <c r="G230" s="106">
        <f t="shared" ref="G230:AA230" si="116">SUM(G222:G228)</f>
        <v>0</v>
      </c>
      <c r="H230" s="106">
        <f t="shared" si="116"/>
        <v>74416481.505572945</v>
      </c>
      <c r="I230" s="106">
        <f t="shared" si="116"/>
        <v>78318048.796174303</v>
      </c>
      <c r="J230" s="106">
        <f t="shared" si="116"/>
        <v>74155762.70163694</v>
      </c>
      <c r="K230" s="106">
        <f t="shared" si="116"/>
        <v>75803078.865817159</v>
      </c>
      <c r="L230" s="106">
        <f t="shared" si="116"/>
        <v>73462069.108502507</v>
      </c>
      <c r="M230" s="106">
        <f t="shared" si="116"/>
        <v>74361730.245636374</v>
      </c>
      <c r="N230" s="106">
        <f t="shared" si="116"/>
        <v>74822342.713994622</v>
      </c>
      <c r="O230" s="106">
        <f t="shared" si="116"/>
        <v>78604047.004023612</v>
      </c>
      <c r="P230" s="106">
        <f t="shared" si="116"/>
        <v>81798990.12847507</v>
      </c>
      <c r="Q230" s="106">
        <f t="shared" si="116"/>
        <v>81501329.615595043</v>
      </c>
      <c r="R230" s="106">
        <f t="shared" si="116"/>
        <v>82981772.495892808</v>
      </c>
      <c r="S230" s="106">
        <f t="shared" si="116"/>
        <v>84208566.000046402</v>
      </c>
      <c r="T230" s="106">
        <f t="shared" si="116"/>
        <v>84578822.672558278</v>
      </c>
      <c r="U230" s="106">
        <f t="shared" si="116"/>
        <v>84407300.812147737</v>
      </c>
      <c r="V230" s="106">
        <f t="shared" si="116"/>
        <v>74094620.116839916</v>
      </c>
      <c r="W230" s="106">
        <f t="shared" si="116"/>
        <v>72934124.113506138</v>
      </c>
      <c r="X230" s="106">
        <f t="shared" si="116"/>
        <v>72752473.508181989</v>
      </c>
      <c r="Y230" s="106">
        <f t="shared" si="116"/>
        <v>71204812.358261809</v>
      </c>
      <c r="Z230" s="106">
        <f t="shared" si="116"/>
        <v>69781927.947257906</v>
      </c>
      <c r="AA230" s="106">
        <f t="shared" si="116"/>
        <v>69494445.141438767</v>
      </c>
    </row>
    <row r="231" spans="4:28" x14ac:dyDescent="0.25">
      <c r="E231" s="47" t="s">
        <v>727</v>
      </c>
      <c r="F231" s="47" t="s">
        <v>639</v>
      </c>
      <c r="G231" s="106">
        <f>-G230*G$18</f>
        <v>0</v>
      </c>
      <c r="H231" s="106">
        <f t="shared" ref="H231:AA231" si="117">-H230*H$18</f>
        <v>-22324944.451671883</v>
      </c>
      <c r="I231" s="106">
        <f t="shared" si="117"/>
        <v>-23495414.638852291</v>
      </c>
      <c r="J231" s="106">
        <f t="shared" si="117"/>
        <v>-22246728.810491081</v>
      </c>
      <c r="K231" s="106">
        <f t="shared" si="117"/>
        <v>-22740923.659745146</v>
      </c>
      <c r="L231" s="106">
        <f t="shared" si="117"/>
        <v>-22038620.732550751</v>
      </c>
      <c r="M231" s="106">
        <f t="shared" si="117"/>
        <v>-22308519.07369091</v>
      </c>
      <c r="N231" s="106">
        <f t="shared" si="117"/>
        <v>-22446702.814198386</v>
      </c>
      <c r="O231" s="106">
        <f t="shared" si="117"/>
        <v>-23581214.101207081</v>
      </c>
      <c r="P231" s="106">
        <f t="shared" si="117"/>
        <v>-24539697.03854252</v>
      </c>
      <c r="Q231" s="106">
        <f t="shared" si="117"/>
        <v>-24450398.884678513</v>
      </c>
      <c r="R231" s="106">
        <f t="shared" si="117"/>
        <v>-24894531.748767842</v>
      </c>
      <c r="S231" s="106">
        <f t="shared" si="117"/>
        <v>-25262569.800013918</v>
      </c>
      <c r="T231" s="106">
        <f t="shared" si="117"/>
        <v>-25373646.801767483</v>
      </c>
      <c r="U231" s="106">
        <f t="shared" si="117"/>
        <v>-25322190.243644319</v>
      </c>
      <c r="V231" s="106">
        <f t="shared" si="117"/>
        <v>-22228386.035051975</v>
      </c>
      <c r="W231" s="106">
        <f t="shared" si="117"/>
        <v>-21880237.234051842</v>
      </c>
      <c r="X231" s="106">
        <f t="shared" si="117"/>
        <v>-21825742.052454595</v>
      </c>
      <c r="Y231" s="106">
        <f t="shared" si="117"/>
        <v>-21361443.707478542</v>
      </c>
      <c r="Z231" s="106">
        <f t="shared" si="117"/>
        <v>-20934578.384177372</v>
      </c>
      <c r="AA231" s="106">
        <f t="shared" si="117"/>
        <v>-20848333.54243163</v>
      </c>
    </row>
    <row r="233" spans="4:28" x14ac:dyDescent="0.25">
      <c r="D233" s="47" t="s">
        <v>728</v>
      </c>
    </row>
    <row r="234" spans="4:28" x14ac:dyDescent="0.25">
      <c r="E234" s="47" t="s">
        <v>638</v>
      </c>
      <c r="F234" s="47" t="s">
        <v>639</v>
      </c>
      <c r="G234" s="106">
        <f t="shared" ref="G234:AA234" si="118">-G26</f>
        <v>0</v>
      </c>
      <c r="H234" s="106">
        <f t="shared" si="118"/>
        <v>-24786665.932264633</v>
      </c>
      <c r="I234" s="106">
        <f t="shared" si="118"/>
        <v>-29101267.60031046</v>
      </c>
      <c r="J234" s="106">
        <f t="shared" si="118"/>
        <v>-44505114.054224342</v>
      </c>
      <c r="K234" s="106">
        <f t="shared" si="118"/>
        <v>-47437443.379304178</v>
      </c>
      <c r="L234" s="106">
        <f t="shared" si="118"/>
        <v>-51697735.984262228</v>
      </c>
      <c r="M234" s="106">
        <f t="shared" si="118"/>
        <v>-50106500.277692601</v>
      </c>
      <c r="N234" s="106">
        <f t="shared" si="118"/>
        <v>-48536668.978435054</v>
      </c>
      <c r="O234" s="106">
        <f t="shared" si="118"/>
        <v>-56150092.222987078</v>
      </c>
      <c r="P234" s="106">
        <f t="shared" si="118"/>
        <v>-44568039.505052403</v>
      </c>
      <c r="Q234" s="106">
        <f t="shared" si="118"/>
        <v>-50211807.393685862</v>
      </c>
      <c r="R234" s="106">
        <f>-R26</f>
        <v>-50211807.393685862</v>
      </c>
      <c r="S234" s="106">
        <f t="shared" si="118"/>
        <v>-50211807.393685862</v>
      </c>
      <c r="T234" s="106">
        <f t="shared" si="118"/>
        <v>-50211807.393685862</v>
      </c>
      <c r="U234" s="106">
        <f t="shared" si="118"/>
        <v>-50211807.393685862</v>
      </c>
      <c r="V234" s="106">
        <f t="shared" si="118"/>
        <v>-50211807.393685862</v>
      </c>
      <c r="W234" s="106">
        <f t="shared" si="118"/>
        <v>-50211807.393685862</v>
      </c>
      <c r="X234" s="106">
        <f t="shared" si="118"/>
        <v>-50211807.393685862</v>
      </c>
      <c r="Y234" s="106">
        <f t="shared" si="118"/>
        <v>-50211807.393685862</v>
      </c>
      <c r="Z234" s="106">
        <f t="shared" si="118"/>
        <v>-50211807.393685862</v>
      </c>
      <c r="AA234" s="106">
        <f t="shared" si="118"/>
        <v>-50211807.393685862</v>
      </c>
    </row>
    <row r="235" spans="4:28" x14ac:dyDescent="0.25">
      <c r="E235" s="47" t="s">
        <v>729</v>
      </c>
      <c r="F235" s="47" t="s">
        <v>639</v>
      </c>
      <c r="G235" s="106">
        <f t="shared" ref="G235:AA235" si="119">G84</f>
        <v>0</v>
      </c>
      <c r="H235" s="106">
        <f t="shared" si="119"/>
        <v>0</v>
      </c>
      <c r="I235" s="106">
        <f t="shared" si="119"/>
        <v>0</v>
      </c>
      <c r="J235" s="106">
        <f t="shared" si="119"/>
        <v>0</v>
      </c>
      <c r="K235" s="106">
        <f t="shared" si="119"/>
        <v>0</v>
      </c>
      <c r="L235" s="106">
        <f t="shared" si="119"/>
        <v>0</v>
      </c>
      <c r="M235" s="106">
        <f t="shared" si="119"/>
        <v>0</v>
      </c>
      <c r="N235" s="106">
        <f t="shared" si="119"/>
        <v>0</v>
      </c>
      <c r="O235" s="106">
        <f t="shared" si="119"/>
        <v>0</v>
      </c>
      <c r="P235" s="106">
        <f t="shared" si="119"/>
        <v>0</v>
      </c>
      <c r="Q235" s="106">
        <f t="shared" si="119"/>
        <v>0</v>
      </c>
      <c r="R235" s="106">
        <f t="shared" si="119"/>
        <v>0</v>
      </c>
      <c r="S235" s="106">
        <f t="shared" si="119"/>
        <v>0</v>
      </c>
      <c r="T235" s="106">
        <f t="shared" si="119"/>
        <v>0</v>
      </c>
      <c r="U235" s="106">
        <f t="shared" si="119"/>
        <v>0</v>
      </c>
      <c r="V235" s="106">
        <f t="shared" si="119"/>
        <v>0</v>
      </c>
      <c r="W235" s="106">
        <f t="shared" si="119"/>
        <v>0</v>
      </c>
      <c r="X235" s="106">
        <f t="shared" si="119"/>
        <v>0</v>
      </c>
      <c r="Y235" s="106">
        <f t="shared" si="119"/>
        <v>0</v>
      </c>
      <c r="Z235" s="106">
        <f t="shared" si="119"/>
        <v>0</v>
      </c>
      <c r="AA235" s="106">
        <f t="shared" si="119"/>
        <v>0</v>
      </c>
    </row>
    <row r="236" spans="4:28" x14ac:dyDescent="0.25">
      <c r="E236" s="47" t="s">
        <v>645</v>
      </c>
      <c r="F236" s="47" t="s">
        <v>639</v>
      </c>
      <c r="G236" s="106">
        <f t="shared" ref="G236:AA236" si="120">G53</f>
        <v>0</v>
      </c>
      <c r="H236" s="106">
        <f t="shared" si="120"/>
        <v>0</v>
      </c>
      <c r="I236" s="106">
        <f t="shared" si="120"/>
        <v>0</v>
      </c>
      <c r="J236" s="106">
        <f t="shared" si="120"/>
        <v>0</v>
      </c>
      <c r="K236" s="106">
        <f t="shared" si="120"/>
        <v>0</v>
      </c>
      <c r="L236" s="106">
        <f t="shared" si="120"/>
        <v>0</v>
      </c>
      <c r="M236" s="106">
        <f t="shared" si="120"/>
        <v>0</v>
      </c>
      <c r="N236" s="106">
        <f t="shared" si="120"/>
        <v>0</v>
      </c>
      <c r="O236" s="106">
        <f t="shared" si="120"/>
        <v>0</v>
      </c>
      <c r="P236" s="106">
        <f t="shared" si="120"/>
        <v>0</v>
      </c>
      <c r="Q236" s="106">
        <f t="shared" si="120"/>
        <v>0</v>
      </c>
      <c r="R236" s="106">
        <f t="shared" si="120"/>
        <v>0</v>
      </c>
      <c r="S236" s="106">
        <f t="shared" si="120"/>
        <v>0</v>
      </c>
      <c r="T236" s="106">
        <f t="shared" si="120"/>
        <v>0</v>
      </c>
      <c r="U236" s="106">
        <f t="shared" si="120"/>
        <v>0</v>
      </c>
      <c r="V236" s="106">
        <f t="shared" si="120"/>
        <v>0</v>
      </c>
      <c r="W236" s="106">
        <f t="shared" si="120"/>
        <v>0</v>
      </c>
      <c r="X236" s="106">
        <f t="shared" si="120"/>
        <v>0</v>
      </c>
      <c r="Y236" s="106">
        <f t="shared" si="120"/>
        <v>0</v>
      </c>
      <c r="Z236" s="106">
        <f t="shared" si="120"/>
        <v>0</v>
      </c>
      <c r="AA236" s="106">
        <f t="shared" si="120"/>
        <v>0</v>
      </c>
    </row>
    <row r="237" spans="4:28" x14ac:dyDescent="0.25">
      <c r="E237" s="47" t="s">
        <v>723</v>
      </c>
      <c r="F237" s="47" t="s">
        <v>639</v>
      </c>
      <c r="G237" s="106">
        <f t="shared" ref="G237:AA237" si="121">G177</f>
        <v>0</v>
      </c>
      <c r="H237" s="106">
        <f t="shared" si="121"/>
        <v>6245125.8596107643</v>
      </c>
      <c r="I237" s="106">
        <f t="shared" si="121"/>
        <v>12893597.161814652</v>
      </c>
      <c r="J237" s="106">
        <f t="shared" si="121"/>
        <v>18531002.579957001</v>
      </c>
      <c r="K237" s="106">
        <f t="shared" si="121"/>
        <v>24248564.127202962</v>
      </c>
      <c r="L237" s="106">
        <f t="shared" si="121"/>
        <v>29956271.447722342</v>
      </c>
      <c r="M237" s="106">
        <f t="shared" si="121"/>
        <v>35549854.919897206</v>
      </c>
      <c r="N237" s="106">
        <f t="shared" si="121"/>
        <v>41273960.647578053</v>
      </c>
      <c r="O237" s="106">
        <f t="shared" si="121"/>
        <v>47080138.95416452</v>
      </c>
      <c r="P237" s="106">
        <f t="shared" si="121"/>
        <v>53028419.418250188</v>
      </c>
      <c r="Q237" s="106">
        <f t="shared" si="121"/>
        <v>56727300.988714896</v>
      </c>
      <c r="R237" s="106">
        <f t="shared" si="121"/>
        <v>62420073.357796833</v>
      </c>
      <c r="S237" s="106">
        <f t="shared" si="121"/>
        <v>68191026.521264717</v>
      </c>
      <c r="T237" s="106">
        <f t="shared" si="121"/>
        <v>74031132.410554394</v>
      </c>
      <c r="U237" s="106">
        <f t="shared" si="121"/>
        <v>79901187.603013739</v>
      </c>
      <c r="V237" s="106">
        <f t="shared" si="121"/>
        <v>75939453.400006071</v>
      </c>
      <c r="W237" s="106">
        <f t="shared" si="121"/>
        <v>81150981.955842778</v>
      </c>
      <c r="X237" s="106">
        <f t="shared" si="121"/>
        <v>86307058.964245304</v>
      </c>
      <c r="Y237" s="106">
        <f t="shared" si="121"/>
        <v>91485499.071269989</v>
      </c>
      <c r="Z237" s="106">
        <f t="shared" si="121"/>
        <v>96654547.565798104</v>
      </c>
      <c r="AA237" s="106">
        <f t="shared" si="121"/>
        <v>102033699.20223655</v>
      </c>
      <c r="AB237" s="106">
        <f t="shared" ref="AB237:AB241" si="122">IF(V237=0,0,IF($G$15&gt;(AA237/V237)^(1/5)-1+2%,AA237*(AA237/V237)^(1/5)/($G$15-((AA237/V237)^(1/5)-1)),AA237*(1+$G$14)/$G$16))</f>
        <v>4233763452.3749585</v>
      </c>
    </row>
    <row r="238" spans="4:28" x14ac:dyDescent="0.25">
      <c r="E238" s="47" t="s">
        <v>701</v>
      </c>
      <c r="F238" s="47" t="s">
        <v>639</v>
      </c>
      <c r="G238" s="106">
        <f t="shared" ref="G238:AA238" si="123">G224</f>
        <v>0</v>
      </c>
      <c r="H238" s="106">
        <f t="shared" si="123"/>
        <v>-2603069.2259085239</v>
      </c>
      <c r="I238" s="106">
        <f t="shared" si="123"/>
        <v>-5351997.5169124361</v>
      </c>
      <c r="J238" s="106">
        <f t="shared" si="123"/>
        <v>-7519035.9985779161</v>
      </c>
      <c r="K238" s="106">
        <f t="shared" si="123"/>
        <v>-9606482.8996243551</v>
      </c>
      <c r="L238" s="106">
        <f t="shared" si="123"/>
        <v>-11574114.941671478</v>
      </c>
      <c r="M238" s="106">
        <f t="shared" si="123"/>
        <v>-13419335.729013147</v>
      </c>
      <c r="N238" s="106">
        <f t="shared" si="123"/>
        <v>-15212805.129134661</v>
      </c>
      <c r="O238" s="106">
        <f t="shared" si="123"/>
        <v>-16987655.209690426</v>
      </c>
      <c r="P238" s="106">
        <f t="shared" si="123"/>
        <v>-18737645.677672803</v>
      </c>
      <c r="Q238" s="106">
        <f t="shared" si="123"/>
        <v>-20455564.170994505</v>
      </c>
      <c r="R238" s="106">
        <f t="shared" si="123"/>
        <v>-22159319.073144004</v>
      </c>
      <c r="S238" s="106">
        <f t="shared" si="123"/>
        <v>-23831613.735689938</v>
      </c>
      <c r="T238" s="106">
        <f t="shared" si="123"/>
        <v>-25469588.404243637</v>
      </c>
      <c r="U238" s="106">
        <f t="shared" si="123"/>
        <v>-27061483.656448875</v>
      </c>
      <c r="V238" s="106">
        <f t="shared" si="123"/>
        <v>-28608208.666054573</v>
      </c>
      <c r="W238" s="106">
        <f t="shared" si="123"/>
        <v>-30105586.024823256</v>
      </c>
      <c r="X238" s="106">
        <f t="shared" si="123"/>
        <v>-31542680.058875728</v>
      </c>
      <c r="Y238" s="106">
        <f t="shared" si="123"/>
        <v>-32935001.814259574</v>
      </c>
      <c r="Z238" s="106">
        <f t="shared" si="123"/>
        <v>-34279342.113327935</v>
      </c>
      <c r="AA238" s="106">
        <f t="shared" si="123"/>
        <v>-35602284.97085724</v>
      </c>
      <c r="AB238" s="106">
        <f t="shared" si="122"/>
        <v>-1477273235.305279</v>
      </c>
    </row>
    <row r="239" spans="4:28" x14ac:dyDescent="0.25">
      <c r="E239" s="47" t="s">
        <v>702</v>
      </c>
      <c r="F239" s="47" t="s">
        <v>639</v>
      </c>
      <c r="G239" s="106">
        <f t="shared" ref="G239:AA239" si="124">-G200</f>
        <v>0</v>
      </c>
      <c r="H239" s="106">
        <f t="shared" si="124"/>
        <v>-2248749.4035934797</v>
      </c>
      <c r="I239" s="106">
        <f t="shared" si="124"/>
        <v>-4477031.8560552625</v>
      </c>
      <c r="J239" s="106">
        <f t="shared" si="124"/>
        <v>-6273193.652902321</v>
      </c>
      <c r="K239" s="106">
        <f t="shared" si="124"/>
        <v>-8051202.7333635725</v>
      </c>
      <c r="L239" s="106">
        <f t="shared" si="124"/>
        <v>-9782630.3208200186</v>
      </c>
      <c r="M239" s="106">
        <f t="shared" si="124"/>
        <v>-11429809.586425774</v>
      </c>
      <c r="N239" s="106">
        <f t="shared" si="124"/>
        <v>-13018975.966519702</v>
      </c>
      <c r="O239" s="106">
        <f t="shared" si="124"/>
        <v>-14594838.219451092</v>
      </c>
      <c r="P239" s="106">
        <f t="shared" si="124"/>
        <v>-16150797.197807537</v>
      </c>
      <c r="Q239" s="106">
        <f t="shared" si="124"/>
        <v>-17955707.45155625</v>
      </c>
      <c r="R239" s="106">
        <f t="shared" si="124"/>
        <v>-19800785.068580501</v>
      </c>
      <c r="S239" s="106">
        <f t="shared" si="124"/>
        <v>-21676302.961091805</v>
      </c>
      <c r="T239" s="106">
        <f t="shared" si="124"/>
        <v>-23579336.978953104</v>
      </c>
      <c r="U239" s="106">
        <f t="shared" si="124"/>
        <v>-25499295.463471469</v>
      </c>
      <c r="V239" s="106">
        <f t="shared" si="124"/>
        <v>-27434381.148930099</v>
      </c>
      <c r="W239" s="106">
        <f t="shared" si="124"/>
        <v>-29374501.396596957</v>
      </c>
      <c r="X239" s="106">
        <f t="shared" si="124"/>
        <v>-31326487.37550595</v>
      </c>
      <c r="Y239" s="106">
        <f t="shared" si="124"/>
        <v>-33267876.396750528</v>
      </c>
      <c r="Z239" s="106">
        <f t="shared" si="124"/>
        <v>-35211640.654841788</v>
      </c>
      <c r="AA239" s="106">
        <f t="shared" si="124"/>
        <v>-37170284.48710043</v>
      </c>
      <c r="AB239" s="106">
        <f t="shared" si="122"/>
        <v>-1542335455.8962827</v>
      </c>
    </row>
    <row r="240" spans="4:28" x14ac:dyDescent="0.25">
      <c r="E240" s="47" t="s">
        <v>709</v>
      </c>
      <c r="F240" s="47" t="s">
        <v>639</v>
      </c>
      <c r="G240" s="106">
        <f t="shared" ref="G240:AA240" si="125">G207</f>
        <v>0</v>
      </c>
      <c r="H240" s="106">
        <f t="shared" si="125"/>
        <v>0</v>
      </c>
      <c r="I240" s="106">
        <f t="shared" si="125"/>
        <v>0</v>
      </c>
      <c r="J240" s="106">
        <f t="shared" si="125"/>
        <v>0</v>
      </c>
      <c r="K240" s="106">
        <f t="shared" si="125"/>
        <v>0</v>
      </c>
      <c r="L240" s="106">
        <f t="shared" si="125"/>
        <v>0</v>
      </c>
      <c r="M240" s="106">
        <f t="shared" si="125"/>
        <v>0</v>
      </c>
      <c r="N240" s="106">
        <f t="shared" si="125"/>
        <v>0</v>
      </c>
      <c r="O240" s="106">
        <f t="shared" si="125"/>
        <v>0</v>
      </c>
      <c r="P240" s="106">
        <f t="shared" si="125"/>
        <v>0</v>
      </c>
      <c r="Q240" s="106">
        <f t="shared" si="125"/>
        <v>0</v>
      </c>
      <c r="R240" s="106">
        <f t="shared" si="125"/>
        <v>0</v>
      </c>
      <c r="S240" s="106">
        <f t="shared" si="125"/>
        <v>0</v>
      </c>
      <c r="T240" s="106">
        <f t="shared" si="125"/>
        <v>0</v>
      </c>
      <c r="U240" s="106">
        <f t="shared" si="125"/>
        <v>0</v>
      </c>
      <c r="V240" s="106">
        <f t="shared" si="125"/>
        <v>0</v>
      </c>
      <c r="W240" s="106">
        <f t="shared" si="125"/>
        <v>0</v>
      </c>
      <c r="X240" s="106">
        <f t="shared" si="125"/>
        <v>0</v>
      </c>
      <c r="Y240" s="106">
        <f t="shared" si="125"/>
        <v>0</v>
      </c>
      <c r="Z240" s="106">
        <f t="shared" si="125"/>
        <v>0</v>
      </c>
      <c r="AA240" s="106">
        <f t="shared" si="125"/>
        <v>0</v>
      </c>
      <c r="AB240" s="106">
        <f t="shared" si="122"/>
        <v>0</v>
      </c>
    </row>
    <row r="241" spans="3:40" x14ac:dyDescent="0.25">
      <c r="E241" s="47" t="s">
        <v>714</v>
      </c>
      <c r="F241" s="47" t="s">
        <v>639</v>
      </c>
      <c r="G241" s="106">
        <f t="shared" ref="G241:AA241" si="126">G214</f>
        <v>0</v>
      </c>
      <c r="H241" s="106">
        <f t="shared" si="126"/>
        <v>0</v>
      </c>
      <c r="I241" s="106">
        <f t="shared" si="126"/>
        <v>0</v>
      </c>
      <c r="J241" s="106">
        <f t="shared" si="126"/>
        <v>0</v>
      </c>
      <c r="K241" s="106">
        <f t="shared" si="126"/>
        <v>0</v>
      </c>
      <c r="L241" s="106">
        <f t="shared" si="126"/>
        <v>0</v>
      </c>
      <c r="M241" s="106">
        <f t="shared" si="126"/>
        <v>0</v>
      </c>
      <c r="N241" s="106">
        <f t="shared" si="126"/>
        <v>0</v>
      </c>
      <c r="O241" s="106">
        <f t="shared" si="126"/>
        <v>0</v>
      </c>
      <c r="P241" s="106">
        <f t="shared" si="126"/>
        <v>0</v>
      </c>
      <c r="Q241" s="106">
        <f t="shared" si="126"/>
        <v>0</v>
      </c>
      <c r="R241" s="106">
        <f t="shared" si="126"/>
        <v>0</v>
      </c>
      <c r="S241" s="106">
        <f t="shared" si="126"/>
        <v>0</v>
      </c>
      <c r="T241" s="106">
        <f t="shared" si="126"/>
        <v>0</v>
      </c>
      <c r="U241" s="106">
        <f t="shared" si="126"/>
        <v>0</v>
      </c>
      <c r="V241" s="106">
        <f t="shared" si="126"/>
        <v>0</v>
      </c>
      <c r="W241" s="106">
        <f t="shared" si="126"/>
        <v>0</v>
      </c>
      <c r="X241" s="106">
        <f t="shared" si="126"/>
        <v>0</v>
      </c>
      <c r="Y241" s="106">
        <f t="shared" si="126"/>
        <v>0</v>
      </c>
      <c r="Z241" s="106">
        <f t="shared" si="126"/>
        <v>0</v>
      </c>
      <c r="AA241" s="106">
        <f t="shared" si="126"/>
        <v>0</v>
      </c>
      <c r="AB241" s="106">
        <f t="shared" si="122"/>
        <v>0</v>
      </c>
    </row>
    <row r="242" spans="3:40" x14ac:dyDescent="0.25">
      <c r="E242" s="47" t="s">
        <v>458</v>
      </c>
      <c r="F242" s="47" t="s">
        <v>639</v>
      </c>
      <c r="G242" s="106">
        <f t="shared" ref="G242:AA242" si="127">G231</f>
        <v>0</v>
      </c>
      <c r="H242" s="106">
        <f t="shared" si="127"/>
        <v>-22324944.451671883</v>
      </c>
      <c r="I242" s="106">
        <f t="shared" si="127"/>
        <v>-23495414.638852291</v>
      </c>
      <c r="J242" s="106">
        <f t="shared" si="127"/>
        <v>-22246728.810491081</v>
      </c>
      <c r="K242" s="106">
        <f t="shared" si="127"/>
        <v>-22740923.659745146</v>
      </c>
      <c r="L242" s="106">
        <f t="shared" si="127"/>
        <v>-22038620.732550751</v>
      </c>
      <c r="M242" s="106">
        <f t="shared" si="127"/>
        <v>-22308519.07369091</v>
      </c>
      <c r="N242" s="106">
        <f t="shared" si="127"/>
        <v>-22446702.814198386</v>
      </c>
      <c r="O242" s="106">
        <f t="shared" si="127"/>
        <v>-23581214.101207081</v>
      </c>
      <c r="P242" s="106">
        <f t="shared" si="127"/>
        <v>-24539697.03854252</v>
      </c>
      <c r="Q242" s="106">
        <f t="shared" si="127"/>
        <v>-24450398.884678513</v>
      </c>
      <c r="R242" s="106">
        <f t="shared" si="127"/>
        <v>-24894531.748767842</v>
      </c>
      <c r="S242" s="106">
        <f t="shared" si="127"/>
        <v>-25262569.800013918</v>
      </c>
      <c r="T242" s="106">
        <f t="shared" si="127"/>
        <v>-25373646.801767483</v>
      </c>
      <c r="U242" s="106">
        <f t="shared" si="127"/>
        <v>-25322190.243644319</v>
      </c>
      <c r="V242" s="106">
        <f t="shared" si="127"/>
        <v>-22228386.035051975</v>
      </c>
      <c r="W242" s="106">
        <f t="shared" si="127"/>
        <v>-21880237.234051842</v>
      </c>
      <c r="X242" s="106">
        <f t="shared" si="127"/>
        <v>-21825742.052454595</v>
      </c>
      <c r="Y242" s="106">
        <f t="shared" si="127"/>
        <v>-21361443.707478542</v>
      </c>
      <c r="Z242" s="106">
        <f t="shared" si="127"/>
        <v>-20934578.384177372</v>
      </c>
      <c r="AA242" s="106">
        <f t="shared" si="127"/>
        <v>-20848333.54243163</v>
      </c>
      <c r="AB242" s="106">
        <f>IF(V242=0,0,IF($G$15&gt;(AA242/V242)^(1/5)-1+2%,AA242*(AA242/V242)^(1/5)/($G$15-((AA242/V242)^(1/5)-1)),AA242*(1+$G$14)/$G$16))</f>
        <v>-558746746.80207431</v>
      </c>
      <c r="AN242" s="104"/>
    </row>
    <row r="243" spans="3:40" x14ac:dyDescent="0.25">
      <c r="E243" s="47" t="s">
        <v>730</v>
      </c>
      <c r="F243" s="47" t="s">
        <v>639</v>
      </c>
      <c r="G243" s="106">
        <f>-$G$17*G242</f>
        <v>0</v>
      </c>
      <c r="H243" s="106">
        <f t="shared" ref="H243:AA243" si="128">-$G$17*H242</f>
        <v>11162472.225835942</v>
      </c>
      <c r="I243" s="106">
        <f t="shared" si="128"/>
        <v>11747707.319426145</v>
      </c>
      <c r="J243" s="106">
        <f t="shared" si="128"/>
        <v>11123364.405245541</v>
      </c>
      <c r="K243" s="106">
        <f t="shared" si="128"/>
        <v>11370461.829872573</v>
      </c>
      <c r="L243" s="106">
        <f t="shared" si="128"/>
        <v>11019310.366275376</v>
      </c>
      <c r="M243" s="106">
        <f t="shared" si="128"/>
        <v>11154259.536845455</v>
      </c>
      <c r="N243" s="106">
        <f t="shared" si="128"/>
        <v>11223351.407099193</v>
      </c>
      <c r="O243" s="106">
        <f t="shared" si="128"/>
        <v>11790607.050603541</v>
      </c>
      <c r="P243" s="106">
        <f t="shared" si="128"/>
        <v>12269848.51927126</v>
      </c>
      <c r="Q243" s="106">
        <f t="shared" si="128"/>
        <v>12225199.442339256</v>
      </c>
      <c r="R243" s="106">
        <f t="shared" si="128"/>
        <v>12447265.874383921</v>
      </c>
      <c r="S243" s="106">
        <f t="shared" si="128"/>
        <v>12631284.900006959</v>
      </c>
      <c r="T243" s="106">
        <f t="shared" si="128"/>
        <v>12686823.400883742</v>
      </c>
      <c r="U243" s="106">
        <f t="shared" si="128"/>
        <v>12661095.12182216</v>
      </c>
      <c r="V243" s="106">
        <f t="shared" si="128"/>
        <v>11114193.017525988</v>
      </c>
      <c r="W243" s="106">
        <f t="shared" si="128"/>
        <v>10940118.617025921</v>
      </c>
      <c r="X243" s="106">
        <f t="shared" si="128"/>
        <v>10912871.026227297</v>
      </c>
      <c r="Y243" s="106">
        <f t="shared" si="128"/>
        <v>10680721.853739271</v>
      </c>
      <c r="Z243" s="106">
        <f t="shared" si="128"/>
        <v>10467289.192088686</v>
      </c>
      <c r="AA243" s="106">
        <f t="shared" si="128"/>
        <v>10424166.771215815</v>
      </c>
      <c r="AB243" s="106">
        <f t="shared" ref="AB243" si="129">IF(V243=0,0,IF($G$15&gt;(AA243/V243)^(1/5)-1+2%,AA243*(AA243/V243)^(1/5)/($G$15-((AA243/V243)^(1/5)-1)),AA243*(1+$G$14)/$G$16))</f>
        <v>279373373.40103716</v>
      </c>
    </row>
    <row r="244" spans="3:40" x14ac:dyDescent="0.25">
      <c r="E244" s="47" t="s">
        <v>731</v>
      </c>
      <c r="F244" s="47" t="s">
        <v>639</v>
      </c>
      <c r="G244" s="116">
        <f>SUM(G234:G243)</f>
        <v>0</v>
      </c>
      <c r="H244" s="116">
        <f>SUM(H234:H243)</f>
        <v>-34555830.927991815</v>
      </c>
      <c r="I244" s="116">
        <f t="shared" ref="I244:Z244" si="130">SUM(I234:I243)</f>
        <v>-37784407.130889654</v>
      </c>
      <c r="J244" s="116">
        <f t="shared" si="130"/>
        <v>-50889705.530993119</v>
      </c>
      <c r="K244" s="116">
        <f t="shared" si="130"/>
        <v>-52217026.714961715</v>
      </c>
      <c r="L244" s="116">
        <f t="shared" si="130"/>
        <v>-54117520.165306754</v>
      </c>
      <c r="M244" s="116">
        <f t="shared" si="130"/>
        <v>-50560050.210079767</v>
      </c>
      <c r="N244" s="116">
        <f t="shared" si="130"/>
        <v>-46717840.833610557</v>
      </c>
      <c r="O244" s="116">
        <f t="shared" si="130"/>
        <v>-52443053.748567611</v>
      </c>
      <c r="P244" s="116">
        <f t="shared" si="130"/>
        <v>-38697911.481553815</v>
      </c>
      <c r="Q244" s="116">
        <f t="shared" si="130"/>
        <v>-44120977.469860978</v>
      </c>
      <c r="R244" s="116">
        <f t="shared" si="130"/>
        <v>-42199104.05199746</v>
      </c>
      <c r="S244" s="116">
        <f t="shared" si="130"/>
        <v>-40159982.46920985</v>
      </c>
      <c r="T244" s="116">
        <f t="shared" si="130"/>
        <v>-37916423.767211951</v>
      </c>
      <c r="U244" s="116">
        <f t="shared" si="130"/>
        <v>-35532494.03241463</v>
      </c>
      <c r="V244" s="116">
        <f t="shared" si="130"/>
        <v>-41429136.826190457</v>
      </c>
      <c r="W244" s="116">
        <f t="shared" si="130"/>
        <v>-39481031.47628922</v>
      </c>
      <c r="X244" s="116">
        <f t="shared" si="130"/>
        <v>-37686786.890049532</v>
      </c>
      <c r="Y244" s="116">
        <f t="shared" si="130"/>
        <v>-35609908.387165248</v>
      </c>
      <c r="Z244" s="116">
        <f t="shared" si="130"/>
        <v>-33515531.788146168</v>
      </c>
      <c r="AA244" s="116">
        <f>SUM(AA234:AA243)</f>
        <v>-31374844.4206228</v>
      </c>
      <c r="AB244" s="116">
        <f>SUM(AB234:AB243)</f>
        <v>934781387.77235937</v>
      </c>
    </row>
    <row r="245" spans="3:40" x14ac:dyDescent="0.25">
      <c r="E245" s="47" t="s">
        <v>732</v>
      </c>
      <c r="F245" s="47" t="s">
        <v>639</v>
      </c>
      <c r="G245" s="116">
        <f>NPV($G$15,H244:AA244)+G244</f>
        <v>-666416388.94085789</v>
      </c>
      <c r="H245" s="48"/>
      <c r="I245" s="48"/>
      <c r="J245" s="48"/>
      <c r="K245" s="48"/>
      <c r="L245" s="48"/>
      <c r="M245" s="48"/>
      <c r="N245" s="48"/>
      <c r="O245" s="48"/>
      <c r="P245" s="48"/>
      <c r="Q245" s="48"/>
      <c r="R245" s="48"/>
      <c r="S245" s="48"/>
      <c r="T245" s="48"/>
      <c r="U245" s="48"/>
      <c r="V245" s="48"/>
      <c r="W245" s="48"/>
      <c r="X245" s="48"/>
      <c r="Y245" s="48"/>
      <c r="Z245" s="48"/>
      <c r="AA245" s="48"/>
      <c r="AB245" s="48"/>
    </row>
    <row r="246" spans="3:40" x14ac:dyDescent="0.25">
      <c r="G246" s="48"/>
      <c r="H246" s="48"/>
      <c r="I246" s="48"/>
      <c r="J246" s="48"/>
      <c r="K246" s="48"/>
      <c r="L246" s="48"/>
      <c r="M246" s="48"/>
      <c r="N246" s="48"/>
      <c r="O246" s="48"/>
      <c r="P246" s="48"/>
      <c r="Q246" s="48"/>
      <c r="R246" s="48"/>
      <c r="S246" s="48"/>
      <c r="T246" s="48"/>
      <c r="U246" s="48"/>
      <c r="V246" s="48"/>
      <c r="W246" s="48"/>
      <c r="X246" s="48"/>
      <c r="Y246" s="48"/>
      <c r="Z246" s="48"/>
      <c r="AA246" s="48"/>
      <c r="AB246" s="48"/>
    </row>
    <row r="247" spans="3:40" x14ac:dyDescent="0.25">
      <c r="E247" s="47" t="s">
        <v>725</v>
      </c>
      <c r="F247" s="47" t="s">
        <v>639</v>
      </c>
      <c r="G247" s="48"/>
      <c r="H247" s="116">
        <f t="shared" ref="H247:AA247" si="131">H219</f>
        <v>44501245.393809795</v>
      </c>
      <c r="I247" s="116">
        <f t="shared" si="131"/>
        <v>46768482.69631058</v>
      </c>
      <c r="J247" s="116">
        <f t="shared" si="131"/>
        <v>39901029.32978835</v>
      </c>
      <c r="K247" s="116">
        <f t="shared" si="131"/>
        <v>40169411.122520573</v>
      </c>
      <c r="L247" s="116">
        <f t="shared" si="131"/>
        <v>39899330.433848873</v>
      </c>
      <c r="M247" s="116">
        <f t="shared" si="131"/>
        <v>39177821.063922085</v>
      </c>
      <c r="N247" s="116">
        <f t="shared" si="131"/>
        <v>38976209.970493197</v>
      </c>
      <c r="O247" s="116">
        <f t="shared" si="131"/>
        <v>39758469.556686603</v>
      </c>
      <c r="P247" s="116">
        <f t="shared" si="131"/>
        <v>40394047.691527382</v>
      </c>
      <c r="Q247" s="116">
        <f t="shared" si="131"/>
        <v>41298113.137130611</v>
      </c>
      <c r="R247" s="116">
        <f t="shared" si="131"/>
        <v>42217181.722135469</v>
      </c>
      <c r="S247" s="116">
        <f t="shared" si="131"/>
        <v>42913685.018284708</v>
      </c>
      <c r="T247" s="116">
        <f t="shared" si="131"/>
        <v>43543280.897326045</v>
      </c>
      <c r="U247" s="116">
        <f t="shared" si="131"/>
        <v>43930529.259031288</v>
      </c>
      <c r="V247" s="116">
        <f t="shared" si="131"/>
        <v>44276654.422086649</v>
      </c>
      <c r="W247" s="116">
        <f t="shared" si="131"/>
        <v>44391850.132920131</v>
      </c>
      <c r="X247" s="116">
        <f t="shared" si="131"/>
        <v>44663349.677163295</v>
      </c>
      <c r="Y247" s="116">
        <f t="shared" si="131"/>
        <v>44420880.914173491</v>
      </c>
      <c r="Z247" s="116">
        <f t="shared" si="131"/>
        <v>44475228.657956161</v>
      </c>
      <c r="AA247" s="116">
        <f t="shared" si="131"/>
        <v>44815687.878086716</v>
      </c>
      <c r="AB247" s="48"/>
    </row>
    <row r="248" spans="3:40" x14ac:dyDescent="0.25">
      <c r="E248" s="47" t="s">
        <v>733</v>
      </c>
      <c r="F248" s="47" t="s">
        <v>639</v>
      </c>
      <c r="G248" s="117">
        <f>NPV($G$15,H247:AA247)+G247</f>
        <v>666416388.94085789</v>
      </c>
      <c r="H248" s="48"/>
      <c r="I248" s="48"/>
      <c r="J248" s="48"/>
      <c r="K248" s="48"/>
      <c r="L248" s="48"/>
      <c r="M248" s="48"/>
      <c r="N248" s="48"/>
      <c r="O248" s="48"/>
      <c r="P248" s="48"/>
      <c r="Q248" s="48"/>
      <c r="R248" s="48"/>
      <c r="S248" s="48"/>
      <c r="T248" s="48"/>
      <c r="U248" s="48"/>
      <c r="V248" s="48"/>
      <c r="W248" s="48"/>
      <c r="X248" s="48"/>
      <c r="Y248" s="48"/>
      <c r="Z248" s="48"/>
      <c r="AA248" s="48"/>
      <c r="AB248" s="48"/>
    </row>
    <row r="249" spans="3:40" x14ac:dyDescent="0.25">
      <c r="E249" s="111" t="s">
        <v>734</v>
      </c>
      <c r="F249" s="111"/>
      <c r="G249" s="118" t="str">
        <f>IF(G245&gt;0,"N/A",IF(ABS(G245+G248)&gt;1,"Error","OK"))</f>
        <v>OK</v>
      </c>
    </row>
    <row r="251" spans="3:40" hidden="1" x14ac:dyDescent="0.25">
      <c r="C251" s="100" t="s">
        <v>735</v>
      </c>
      <c r="D251" s="100"/>
    </row>
    <row r="252" spans="3:40" hidden="1" x14ac:dyDescent="0.25">
      <c r="C252" s="100"/>
      <c r="D252" s="100"/>
    </row>
    <row r="253" spans="3:40" hidden="1" x14ac:dyDescent="0.25">
      <c r="C253" s="100"/>
      <c r="D253" s="47" t="s">
        <v>735</v>
      </c>
      <c r="F253" s="47" t="s">
        <v>639</v>
      </c>
      <c r="G253" s="115" t="e">
        <f>MAX(0,-G279)</f>
        <v>#REF!</v>
      </c>
    </row>
    <row r="254" spans="3:40" hidden="1" x14ac:dyDescent="0.25"/>
    <row r="255" spans="3:40" hidden="1" x14ac:dyDescent="0.25">
      <c r="D255" s="47" t="s">
        <v>722</v>
      </c>
    </row>
    <row r="256" spans="3:40" hidden="1" x14ac:dyDescent="0.25">
      <c r="E256" s="47" t="s">
        <v>573</v>
      </c>
      <c r="F256" s="47" t="s">
        <v>639</v>
      </c>
      <c r="G256" s="106">
        <f t="shared" ref="G256:AA261" si="132">G222</f>
        <v>0</v>
      </c>
      <c r="H256" s="106">
        <f t="shared" si="132"/>
        <v>29137833.369118281</v>
      </c>
      <c r="I256" s="106">
        <f t="shared" si="132"/>
        <v>29770525.217831567</v>
      </c>
      <c r="J256" s="106">
        <f t="shared" si="132"/>
        <v>31662012.661598999</v>
      </c>
      <c r="K256" s="106">
        <f t="shared" si="132"/>
        <v>32083025.498539194</v>
      </c>
      <c r="L256" s="106">
        <f t="shared" si="132"/>
        <v>28907118.84044873</v>
      </c>
      <c r="M256" s="106">
        <f t="shared" si="132"/>
        <v>29320774.881199837</v>
      </c>
      <c r="N256" s="106">
        <f t="shared" si="132"/>
        <v>28507173.32624105</v>
      </c>
      <c r="O256" s="106">
        <f t="shared" si="132"/>
        <v>30018179.436078906</v>
      </c>
      <c r="P256" s="106">
        <f t="shared" si="132"/>
        <v>30782038.63685365</v>
      </c>
      <c r="Q256" s="106">
        <f t="shared" si="132"/>
        <v>30308532.435973182</v>
      </c>
      <c r="R256" s="106">
        <f t="shared" si="132"/>
        <v>29622618.192988455</v>
      </c>
      <c r="S256" s="106">
        <f t="shared" si="132"/>
        <v>28817473.047035478</v>
      </c>
      <c r="T256" s="106">
        <f t="shared" si="132"/>
        <v>27127969.631916676</v>
      </c>
      <c r="U256" s="106">
        <f t="shared" si="132"/>
        <v>25056919.277748596</v>
      </c>
      <c r="V256" s="106">
        <f t="shared" si="132"/>
        <v>22660957.847471118</v>
      </c>
      <c r="W256" s="106">
        <f t="shared" si="132"/>
        <v>20405473.779831529</v>
      </c>
      <c r="X256" s="106">
        <f t="shared" si="132"/>
        <v>18963543.786380295</v>
      </c>
      <c r="Y256" s="106">
        <f t="shared" si="132"/>
        <v>16565190.854703283</v>
      </c>
      <c r="Z256" s="106">
        <f t="shared" si="132"/>
        <v>13929295.825652843</v>
      </c>
      <c r="AA256" s="106">
        <f t="shared" si="132"/>
        <v>11903561.759870797</v>
      </c>
    </row>
    <row r="257" spans="4:28" hidden="1" x14ac:dyDescent="0.25">
      <c r="E257" s="47" t="s">
        <v>723</v>
      </c>
      <c r="F257" s="47" t="s">
        <v>639</v>
      </c>
      <c r="G257" s="106">
        <f t="shared" si="132"/>
        <v>0</v>
      </c>
      <c r="H257" s="106">
        <f t="shared" si="132"/>
        <v>6245125.8596107643</v>
      </c>
      <c r="I257" s="106">
        <f t="shared" si="132"/>
        <v>12893597.161814652</v>
      </c>
      <c r="J257" s="106">
        <f t="shared" si="132"/>
        <v>18531002.579957001</v>
      </c>
      <c r="K257" s="106">
        <f t="shared" si="132"/>
        <v>24248564.127202962</v>
      </c>
      <c r="L257" s="106">
        <f t="shared" si="132"/>
        <v>29956271.447722342</v>
      </c>
      <c r="M257" s="106">
        <f t="shared" si="132"/>
        <v>35549854.919897206</v>
      </c>
      <c r="N257" s="106">
        <f t="shared" si="132"/>
        <v>41273960.647578053</v>
      </c>
      <c r="O257" s="106">
        <f t="shared" si="132"/>
        <v>47080138.95416452</v>
      </c>
      <c r="P257" s="106">
        <f t="shared" si="132"/>
        <v>53028419.418250188</v>
      </c>
      <c r="Q257" s="106">
        <f t="shared" si="132"/>
        <v>56727300.988714896</v>
      </c>
      <c r="R257" s="106">
        <f t="shared" si="132"/>
        <v>62420073.357796833</v>
      </c>
      <c r="S257" s="106">
        <f t="shared" si="132"/>
        <v>68191026.521264717</v>
      </c>
      <c r="T257" s="106">
        <f t="shared" si="132"/>
        <v>74031132.410554394</v>
      </c>
      <c r="U257" s="106">
        <f t="shared" si="132"/>
        <v>79901187.603013739</v>
      </c>
      <c r="V257" s="106">
        <f t="shared" si="132"/>
        <v>75939453.400006071</v>
      </c>
      <c r="W257" s="106">
        <f t="shared" si="132"/>
        <v>81150981.955842778</v>
      </c>
      <c r="X257" s="106">
        <f t="shared" si="132"/>
        <v>86307058.964245304</v>
      </c>
      <c r="Y257" s="106">
        <f t="shared" si="132"/>
        <v>91485499.071269989</v>
      </c>
      <c r="Z257" s="106">
        <f t="shared" si="132"/>
        <v>96654547.565798104</v>
      </c>
      <c r="AA257" s="106">
        <f t="shared" si="132"/>
        <v>102033699.20223655</v>
      </c>
    </row>
    <row r="258" spans="4:28" hidden="1" x14ac:dyDescent="0.25">
      <c r="E258" s="47" t="s">
        <v>701</v>
      </c>
      <c r="F258" s="47" t="s">
        <v>639</v>
      </c>
      <c r="G258" s="106">
        <f t="shared" si="132"/>
        <v>0</v>
      </c>
      <c r="H258" s="106">
        <f t="shared" si="132"/>
        <v>-2603069.2259085239</v>
      </c>
      <c r="I258" s="106">
        <f t="shared" si="132"/>
        <v>-5351997.5169124361</v>
      </c>
      <c r="J258" s="106">
        <f t="shared" si="132"/>
        <v>-7519035.9985779161</v>
      </c>
      <c r="K258" s="106">
        <f t="shared" si="132"/>
        <v>-9606482.8996243551</v>
      </c>
      <c r="L258" s="106">
        <f t="shared" si="132"/>
        <v>-11574114.941671478</v>
      </c>
      <c r="M258" s="106">
        <f t="shared" si="132"/>
        <v>-13419335.729013147</v>
      </c>
      <c r="N258" s="106">
        <f t="shared" si="132"/>
        <v>-15212805.129134661</v>
      </c>
      <c r="O258" s="106">
        <f t="shared" si="132"/>
        <v>-16987655.209690426</v>
      </c>
      <c r="P258" s="106">
        <f t="shared" si="132"/>
        <v>-18737645.677672803</v>
      </c>
      <c r="Q258" s="106">
        <f t="shared" si="132"/>
        <v>-20455564.170994505</v>
      </c>
      <c r="R258" s="106">
        <f t="shared" si="132"/>
        <v>-22159319.073144004</v>
      </c>
      <c r="S258" s="106">
        <f t="shared" si="132"/>
        <v>-23831613.735689938</v>
      </c>
      <c r="T258" s="106">
        <f t="shared" si="132"/>
        <v>-25469588.404243637</v>
      </c>
      <c r="U258" s="106">
        <f t="shared" si="132"/>
        <v>-27061483.656448875</v>
      </c>
      <c r="V258" s="106">
        <f t="shared" si="132"/>
        <v>-28608208.666054573</v>
      </c>
      <c r="W258" s="106">
        <f t="shared" si="132"/>
        <v>-30105586.024823256</v>
      </c>
      <c r="X258" s="106">
        <f t="shared" si="132"/>
        <v>-31542680.058875728</v>
      </c>
      <c r="Y258" s="106">
        <f t="shared" si="132"/>
        <v>-32935001.814259574</v>
      </c>
      <c r="Z258" s="106">
        <f t="shared" si="132"/>
        <v>-34279342.113327935</v>
      </c>
      <c r="AA258" s="106">
        <f t="shared" si="132"/>
        <v>-35602284.97085724</v>
      </c>
    </row>
    <row r="259" spans="4:28" hidden="1" x14ac:dyDescent="0.25">
      <c r="E259" s="47" t="s">
        <v>702</v>
      </c>
      <c r="F259" s="47" t="s">
        <v>639</v>
      </c>
      <c r="G259" s="106">
        <f t="shared" si="132"/>
        <v>0</v>
      </c>
      <c r="H259" s="106">
        <f t="shared" si="132"/>
        <v>-2248749.4035934797</v>
      </c>
      <c r="I259" s="106">
        <f t="shared" si="132"/>
        <v>-4477031.8560552625</v>
      </c>
      <c r="J259" s="106">
        <f t="shared" si="132"/>
        <v>-6273193.652902321</v>
      </c>
      <c r="K259" s="106">
        <f t="shared" si="132"/>
        <v>-8051202.7333635725</v>
      </c>
      <c r="L259" s="106">
        <f t="shared" si="132"/>
        <v>-9782630.3208200186</v>
      </c>
      <c r="M259" s="106">
        <f t="shared" si="132"/>
        <v>-11429809.586425774</v>
      </c>
      <c r="N259" s="106">
        <f t="shared" si="132"/>
        <v>-13018975.966519702</v>
      </c>
      <c r="O259" s="106">
        <f t="shared" si="132"/>
        <v>-14594838.219451092</v>
      </c>
      <c r="P259" s="106">
        <f t="shared" si="132"/>
        <v>-16150797.197807537</v>
      </c>
      <c r="Q259" s="106">
        <f t="shared" si="132"/>
        <v>-17955707.45155625</v>
      </c>
      <c r="R259" s="106">
        <f t="shared" si="132"/>
        <v>-19800785.068580501</v>
      </c>
      <c r="S259" s="106">
        <f t="shared" si="132"/>
        <v>-21676302.961091805</v>
      </c>
      <c r="T259" s="106">
        <f t="shared" si="132"/>
        <v>-23579336.978953104</v>
      </c>
      <c r="U259" s="106">
        <f t="shared" si="132"/>
        <v>-25499295.463471469</v>
      </c>
      <c r="V259" s="106">
        <f t="shared" si="132"/>
        <v>-27434381.148930099</v>
      </c>
      <c r="W259" s="106">
        <f t="shared" si="132"/>
        <v>-29374501.396596957</v>
      </c>
      <c r="X259" s="106">
        <f t="shared" si="132"/>
        <v>-31326487.37550595</v>
      </c>
      <c r="Y259" s="106">
        <f t="shared" si="132"/>
        <v>-33267876.396750528</v>
      </c>
      <c r="Z259" s="106">
        <f t="shared" si="132"/>
        <v>-35211640.654841788</v>
      </c>
      <c r="AA259" s="106">
        <f t="shared" si="132"/>
        <v>-37170284.48710043</v>
      </c>
    </row>
    <row r="260" spans="4:28" hidden="1" x14ac:dyDescent="0.25">
      <c r="E260" s="47" t="s">
        <v>724</v>
      </c>
      <c r="F260" s="47" t="s">
        <v>639</v>
      </c>
      <c r="G260" s="106">
        <f t="shared" si="132"/>
        <v>0</v>
      </c>
      <c r="H260" s="106">
        <f t="shared" si="132"/>
        <v>-615904.48746388627</v>
      </c>
      <c r="I260" s="106">
        <f t="shared" si="132"/>
        <v>-1285526.9068147901</v>
      </c>
      <c r="J260" s="106">
        <f t="shared" si="132"/>
        <v>-2146052.2182271872</v>
      </c>
      <c r="K260" s="106">
        <f t="shared" si="132"/>
        <v>-3040236.2494576443</v>
      </c>
      <c r="L260" s="106">
        <f t="shared" si="132"/>
        <v>-3943906.3510259301</v>
      </c>
      <c r="M260" s="106">
        <f t="shared" si="132"/>
        <v>-4837575.3039438343</v>
      </c>
      <c r="N260" s="106">
        <f t="shared" si="132"/>
        <v>-5703220.1346633108</v>
      </c>
      <c r="O260" s="106">
        <f t="shared" si="132"/>
        <v>-6670247.5137648974</v>
      </c>
      <c r="P260" s="106">
        <f t="shared" si="132"/>
        <v>-7517072.7426758166</v>
      </c>
      <c r="Q260" s="106">
        <f t="shared" si="132"/>
        <v>-8421345.3236728795</v>
      </c>
      <c r="R260" s="106">
        <f t="shared" si="132"/>
        <v>-9317996.635303447</v>
      </c>
      <c r="S260" s="106">
        <f t="shared" si="132"/>
        <v>-10205701.88975676</v>
      </c>
      <c r="T260" s="106">
        <f t="shared" si="132"/>
        <v>-11074634.884042084</v>
      </c>
      <c r="U260" s="106">
        <f t="shared" si="132"/>
        <v>-11920556.207725542</v>
      </c>
      <c r="V260" s="106">
        <f t="shared" si="132"/>
        <v>-12739855.73773925</v>
      </c>
      <c r="W260" s="106">
        <f t="shared" si="132"/>
        <v>-13534094.333668076</v>
      </c>
      <c r="X260" s="106">
        <f t="shared" si="132"/>
        <v>-14312311.485225225</v>
      </c>
      <c r="Y260" s="106">
        <f t="shared" si="132"/>
        <v>-15063880.270874852</v>
      </c>
      <c r="Z260" s="106">
        <f t="shared" si="132"/>
        <v>-15786161.333979469</v>
      </c>
      <c r="AA260" s="106">
        <f t="shared" si="132"/>
        <v>-16485934.24079762</v>
      </c>
    </row>
    <row r="261" spans="4:28" hidden="1" x14ac:dyDescent="0.25">
      <c r="E261" s="47" t="s">
        <v>709</v>
      </c>
      <c r="F261" s="47" t="s">
        <v>639</v>
      </c>
      <c r="G261" s="106">
        <f t="shared" si="132"/>
        <v>0</v>
      </c>
      <c r="H261" s="106">
        <f t="shared" si="132"/>
        <v>0</v>
      </c>
      <c r="I261" s="106">
        <f t="shared" si="132"/>
        <v>0</v>
      </c>
      <c r="J261" s="106">
        <f t="shared" si="132"/>
        <v>0</v>
      </c>
      <c r="K261" s="106">
        <f t="shared" si="132"/>
        <v>0</v>
      </c>
      <c r="L261" s="106">
        <f t="shared" si="132"/>
        <v>0</v>
      </c>
      <c r="M261" s="106">
        <f t="shared" si="132"/>
        <v>0</v>
      </c>
      <c r="N261" s="106">
        <f t="shared" si="132"/>
        <v>0</v>
      </c>
      <c r="O261" s="106">
        <f t="shared" si="132"/>
        <v>0</v>
      </c>
      <c r="P261" s="106">
        <f t="shared" si="132"/>
        <v>0</v>
      </c>
      <c r="Q261" s="106">
        <f t="shared" si="132"/>
        <v>0</v>
      </c>
      <c r="R261" s="106">
        <f t="shared" si="132"/>
        <v>0</v>
      </c>
      <c r="S261" s="106">
        <f t="shared" si="132"/>
        <v>0</v>
      </c>
      <c r="T261" s="106">
        <f t="shared" si="132"/>
        <v>0</v>
      </c>
      <c r="U261" s="106">
        <f t="shared" si="132"/>
        <v>0</v>
      </c>
      <c r="V261" s="106">
        <f t="shared" si="132"/>
        <v>0</v>
      </c>
      <c r="W261" s="106">
        <f t="shared" si="132"/>
        <v>0</v>
      </c>
      <c r="X261" s="106">
        <f t="shared" si="132"/>
        <v>0</v>
      </c>
      <c r="Y261" s="106">
        <f t="shared" si="132"/>
        <v>0</v>
      </c>
      <c r="Z261" s="106">
        <f t="shared" si="132"/>
        <v>0</v>
      </c>
      <c r="AA261" s="106">
        <f t="shared" si="132"/>
        <v>0</v>
      </c>
    </row>
    <row r="262" spans="4:28" hidden="1" x14ac:dyDescent="0.25">
      <c r="E262" s="47" t="s">
        <v>725</v>
      </c>
      <c r="F262" s="47" t="s">
        <v>639</v>
      </c>
      <c r="G262" s="106" t="e">
        <f>G253</f>
        <v>#REF!</v>
      </c>
      <c r="H262" s="106"/>
      <c r="I262" s="106"/>
      <c r="J262" s="106"/>
      <c r="K262" s="106"/>
      <c r="L262" s="106"/>
      <c r="M262" s="106"/>
      <c r="N262" s="106"/>
      <c r="O262" s="106"/>
      <c r="P262" s="106"/>
      <c r="Q262" s="106"/>
      <c r="R262" s="106"/>
      <c r="S262" s="106"/>
      <c r="T262" s="106"/>
      <c r="U262" s="106"/>
      <c r="V262" s="106"/>
      <c r="W262" s="106"/>
      <c r="X262" s="106"/>
      <c r="Y262" s="106"/>
      <c r="Z262" s="106"/>
      <c r="AA262" s="106"/>
    </row>
    <row r="263" spans="4:28" hidden="1" x14ac:dyDescent="0.25"/>
    <row r="264" spans="4:28" hidden="1" x14ac:dyDescent="0.25">
      <c r="E264" s="47" t="s">
        <v>726</v>
      </c>
      <c r="F264" s="47" t="s">
        <v>639</v>
      </c>
      <c r="G264" s="106" t="e">
        <f t="shared" ref="G264:AA264" si="133">SUM(G256:G262)</f>
        <v>#REF!</v>
      </c>
      <c r="H264" s="106">
        <f t="shared" si="133"/>
        <v>29915236.111763153</v>
      </c>
      <c r="I264" s="106">
        <f t="shared" si="133"/>
        <v>31549566.099863727</v>
      </c>
      <c r="J264" s="106">
        <f t="shared" si="133"/>
        <v>34254733.371848583</v>
      </c>
      <c r="K264" s="106">
        <f t="shared" si="133"/>
        <v>35633667.743296579</v>
      </c>
      <c r="L264" s="106">
        <f t="shared" si="133"/>
        <v>33562738.674653642</v>
      </c>
      <c r="M264" s="106">
        <f t="shared" si="133"/>
        <v>35183909.181714289</v>
      </c>
      <c r="N264" s="106">
        <f t="shared" si="133"/>
        <v>35846132.743501425</v>
      </c>
      <c r="O264" s="106">
        <f t="shared" si="133"/>
        <v>38845577.447337016</v>
      </c>
      <c r="P264" s="106">
        <f t="shared" si="133"/>
        <v>41404942.436947681</v>
      </c>
      <c r="Q264" s="106">
        <f t="shared" si="133"/>
        <v>40203216.47846444</v>
      </c>
      <c r="R264" s="106">
        <f t="shared" si="133"/>
        <v>40764590.773757339</v>
      </c>
      <c r="S264" s="106">
        <f t="shared" si="133"/>
        <v>41294880.981761687</v>
      </c>
      <c r="T264" s="106">
        <f t="shared" si="133"/>
        <v>41035541.775232241</v>
      </c>
      <c r="U264" s="106">
        <f t="shared" si="133"/>
        <v>40476771.553116456</v>
      </c>
      <c r="V264" s="106">
        <f t="shared" si="133"/>
        <v>29817965.694753259</v>
      </c>
      <c r="W264" s="106">
        <f t="shared" si="133"/>
        <v>28542273.980586015</v>
      </c>
      <c r="X264" s="106">
        <f t="shared" si="133"/>
        <v>28089123.831018694</v>
      </c>
      <c r="Y264" s="106">
        <f t="shared" si="133"/>
        <v>26783931.444088317</v>
      </c>
      <c r="Z264" s="106">
        <f t="shared" si="133"/>
        <v>25306699.289301749</v>
      </c>
      <c r="AA264" s="106">
        <f t="shared" si="133"/>
        <v>24678757.263352048</v>
      </c>
    </row>
    <row r="265" spans="4:28" hidden="1" x14ac:dyDescent="0.25">
      <c r="E265" s="47" t="s">
        <v>727</v>
      </c>
      <c r="F265" s="47" t="s">
        <v>639</v>
      </c>
      <c r="G265" s="106" t="e">
        <f>-G264*G$18</f>
        <v>#REF!</v>
      </c>
      <c r="H265" s="106">
        <f t="shared" ref="H265:AA265" si="134">-H264*H$18</f>
        <v>-8974570.8335289452</v>
      </c>
      <c r="I265" s="106">
        <f t="shared" si="134"/>
        <v>-9464869.8299591169</v>
      </c>
      <c r="J265" s="106">
        <f t="shared" si="134"/>
        <v>-10276420.011554575</v>
      </c>
      <c r="K265" s="106">
        <f t="shared" si="134"/>
        <v>-10690100.322988974</v>
      </c>
      <c r="L265" s="106">
        <f t="shared" si="134"/>
        <v>-10068821.602396091</v>
      </c>
      <c r="M265" s="106">
        <f t="shared" si="134"/>
        <v>-10555172.754514286</v>
      </c>
      <c r="N265" s="106">
        <f t="shared" si="134"/>
        <v>-10753839.823050426</v>
      </c>
      <c r="O265" s="106">
        <f t="shared" si="134"/>
        <v>-11653673.234201105</v>
      </c>
      <c r="P265" s="106">
        <f t="shared" si="134"/>
        <v>-12421482.731084304</v>
      </c>
      <c r="Q265" s="106">
        <f t="shared" si="134"/>
        <v>-12060964.943539331</v>
      </c>
      <c r="R265" s="106">
        <f t="shared" si="134"/>
        <v>-12229377.232127201</v>
      </c>
      <c r="S265" s="106">
        <f t="shared" si="134"/>
        <v>-12388464.294528505</v>
      </c>
      <c r="T265" s="106">
        <f t="shared" si="134"/>
        <v>-12310662.532569671</v>
      </c>
      <c r="U265" s="106">
        <f t="shared" si="134"/>
        <v>-12143031.465934936</v>
      </c>
      <c r="V265" s="106">
        <f t="shared" si="134"/>
        <v>-8945389.7084259782</v>
      </c>
      <c r="W265" s="106">
        <f t="shared" si="134"/>
        <v>-8562682.194175804</v>
      </c>
      <c r="X265" s="106">
        <f t="shared" si="134"/>
        <v>-8426737.1493056081</v>
      </c>
      <c r="Y265" s="106">
        <f t="shared" si="134"/>
        <v>-8035179.433226495</v>
      </c>
      <c r="Z265" s="106">
        <f t="shared" si="134"/>
        <v>-7592009.7867905246</v>
      </c>
      <c r="AA265" s="106">
        <f t="shared" si="134"/>
        <v>-7403627.1790056145</v>
      </c>
    </row>
    <row r="266" spans="4:28" hidden="1" x14ac:dyDescent="0.25"/>
    <row r="267" spans="4:28" hidden="1" x14ac:dyDescent="0.25">
      <c r="D267" s="47" t="s">
        <v>728</v>
      </c>
    </row>
    <row r="268" spans="4:28" hidden="1" x14ac:dyDescent="0.25">
      <c r="E268" s="47" t="s">
        <v>638</v>
      </c>
      <c r="F268" s="47" t="s">
        <v>639</v>
      </c>
      <c r="G268" s="106">
        <f t="shared" ref="G268:AA275" si="135">G234</f>
        <v>0</v>
      </c>
      <c r="H268" s="106">
        <f t="shared" si="135"/>
        <v>-24786665.932264633</v>
      </c>
      <c r="I268" s="106">
        <f t="shared" si="135"/>
        <v>-29101267.60031046</v>
      </c>
      <c r="J268" s="106">
        <f t="shared" si="135"/>
        <v>-44505114.054224342</v>
      </c>
      <c r="K268" s="106">
        <f t="shared" si="135"/>
        <v>-47437443.379304178</v>
      </c>
      <c r="L268" s="106">
        <f t="shared" si="135"/>
        <v>-51697735.984262228</v>
      </c>
      <c r="M268" s="106">
        <f t="shared" si="135"/>
        <v>-50106500.277692601</v>
      </c>
      <c r="N268" s="106">
        <f t="shared" si="135"/>
        <v>-48536668.978435054</v>
      </c>
      <c r="O268" s="106">
        <f t="shared" si="135"/>
        <v>-56150092.222987078</v>
      </c>
      <c r="P268" s="106">
        <f t="shared" si="135"/>
        <v>-44568039.505052403</v>
      </c>
      <c r="Q268" s="106">
        <f t="shared" si="135"/>
        <v>-50211807.393685862</v>
      </c>
      <c r="R268" s="106">
        <f t="shared" si="135"/>
        <v>-50211807.393685862</v>
      </c>
      <c r="S268" s="106">
        <f t="shared" si="135"/>
        <v>-50211807.393685862</v>
      </c>
      <c r="T268" s="106">
        <f t="shared" si="135"/>
        <v>-50211807.393685862</v>
      </c>
      <c r="U268" s="106">
        <f t="shared" si="135"/>
        <v>-50211807.393685862</v>
      </c>
      <c r="V268" s="106">
        <f t="shared" si="135"/>
        <v>-50211807.393685862</v>
      </c>
      <c r="W268" s="106">
        <f t="shared" si="135"/>
        <v>-50211807.393685862</v>
      </c>
      <c r="X268" s="106">
        <f t="shared" si="135"/>
        <v>-50211807.393685862</v>
      </c>
      <c r="Y268" s="106">
        <f t="shared" si="135"/>
        <v>-50211807.393685862</v>
      </c>
      <c r="Z268" s="106">
        <f t="shared" si="135"/>
        <v>-50211807.393685862</v>
      </c>
      <c r="AA268" s="106">
        <f t="shared" si="135"/>
        <v>-50211807.393685862</v>
      </c>
    </row>
    <row r="269" spans="4:28" hidden="1" x14ac:dyDescent="0.25">
      <c r="E269" s="47" t="s">
        <v>729</v>
      </c>
      <c r="F269" s="47" t="s">
        <v>639</v>
      </c>
      <c r="G269" s="106">
        <f t="shared" si="135"/>
        <v>0</v>
      </c>
      <c r="H269" s="106">
        <f t="shared" si="135"/>
        <v>0</v>
      </c>
      <c r="I269" s="106">
        <f t="shared" si="135"/>
        <v>0</v>
      </c>
      <c r="J269" s="106">
        <f t="shared" si="135"/>
        <v>0</v>
      </c>
      <c r="K269" s="106">
        <f t="shared" si="135"/>
        <v>0</v>
      </c>
      <c r="L269" s="106">
        <f t="shared" si="135"/>
        <v>0</v>
      </c>
      <c r="M269" s="106">
        <f t="shared" si="135"/>
        <v>0</v>
      </c>
      <c r="N269" s="106">
        <f t="shared" si="135"/>
        <v>0</v>
      </c>
      <c r="O269" s="106">
        <f t="shared" si="135"/>
        <v>0</v>
      </c>
      <c r="P269" s="106">
        <f t="shared" si="135"/>
        <v>0</v>
      </c>
      <c r="Q269" s="106">
        <f t="shared" si="135"/>
        <v>0</v>
      </c>
      <c r="R269" s="106">
        <f t="shared" si="135"/>
        <v>0</v>
      </c>
      <c r="S269" s="106">
        <f t="shared" si="135"/>
        <v>0</v>
      </c>
      <c r="T269" s="106">
        <f t="shared" si="135"/>
        <v>0</v>
      </c>
      <c r="U269" s="106">
        <f t="shared" si="135"/>
        <v>0</v>
      </c>
      <c r="V269" s="106">
        <f t="shared" si="135"/>
        <v>0</v>
      </c>
      <c r="W269" s="106">
        <f t="shared" si="135"/>
        <v>0</v>
      </c>
      <c r="X269" s="106">
        <f t="shared" si="135"/>
        <v>0</v>
      </c>
      <c r="Y269" s="106">
        <f t="shared" si="135"/>
        <v>0</v>
      </c>
      <c r="Z269" s="106">
        <f t="shared" si="135"/>
        <v>0</v>
      </c>
      <c r="AA269" s="106">
        <f t="shared" si="135"/>
        <v>0</v>
      </c>
    </row>
    <row r="270" spans="4:28" hidden="1" x14ac:dyDescent="0.25">
      <c r="E270" s="47" t="s">
        <v>645</v>
      </c>
      <c r="F270" s="47" t="s">
        <v>639</v>
      </c>
      <c r="G270" s="106">
        <f t="shared" si="135"/>
        <v>0</v>
      </c>
      <c r="H270" s="106">
        <f t="shared" si="135"/>
        <v>0</v>
      </c>
      <c r="I270" s="106">
        <f t="shared" si="135"/>
        <v>0</v>
      </c>
      <c r="J270" s="106">
        <f t="shared" si="135"/>
        <v>0</v>
      </c>
      <c r="K270" s="106">
        <f t="shared" si="135"/>
        <v>0</v>
      </c>
      <c r="L270" s="106">
        <f t="shared" si="135"/>
        <v>0</v>
      </c>
      <c r="M270" s="106">
        <f t="shared" si="135"/>
        <v>0</v>
      </c>
      <c r="N270" s="106">
        <f t="shared" si="135"/>
        <v>0</v>
      </c>
      <c r="O270" s="106">
        <f t="shared" si="135"/>
        <v>0</v>
      </c>
      <c r="P270" s="106">
        <f t="shared" si="135"/>
        <v>0</v>
      </c>
      <c r="Q270" s="106">
        <f t="shared" si="135"/>
        <v>0</v>
      </c>
      <c r="R270" s="106">
        <f t="shared" si="135"/>
        <v>0</v>
      </c>
      <c r="S270" s="106">
        <f t="shared" si="135"/>
        <v>0</v>
      </c>
      <c r="T270" s="106">
        <f t="shared" si="135"/>
        <v>0</v>
      </c>
      <c r="U270" s="106">
        <f t="shared" si="135"/>
        <v>0</v>
      </c>
      <c r="V270" s="106">
        <f t="shared" si="135"/>
        <v>0</v>
      </c>
      <c r="W270" s="106">
        <f t="shared" si="135"/>
        <v>0</v>
      </c>
      <c r="X270" s="106">
        <f t="shared" si="135"/>
        <v>0</v>
      </c>
      <c r="Y270" s="106">
        <f t="shared" si="135"/>
        <v>0</v>
      </c>
      <c r="Z270" s="106">
        <f t="shared" si="135"/>
        <v>0</v>
      </c>
      <c r="AA270" s="106">
        <f t="shared" si="135"/>
        <v>0</v>
      </c>
    </row>
    <row r="271" spans="4:28" hidden="1" x14ac:dyDescent="0.25">
      <c r="E271" s="47" t="s">
        <v>723</v>
      </c>
      <c r="F271" s="47" t="s">
        <v>639</v>
      </c>
      <c r="G271" s="106">
        <f t="shared" si="135"/>
        <v>0</v>
      </c>
      <c r="H271" s="106">
        <f t="shared" si="135"/>
        <v>6245125.8596107643</v>
      </c>
      <c r="I271" s="106">
        <f t="shared" si="135"/>
        <v>12893597.161814652</v>
      </c>
      <c r="J271" s="106">
        <f t="shared" si="135"/>
        <v>18531002.579957001</v>
      </c>
      <c r="K271" s="106">
        <f t="shared" si="135"/>
        <v>24248564.127202962</v>
      </c>
      <c r="L271" s="106">
        <f t="shared" si="135"/>
        <v>29956271.447722342</v>
      </c>
      <c r="M271" s="106">
        <f t="shared" si="135"/>
        <v>35549854.919897206</v>
      </c>
      <c r="N271" s="106">
        <f t="shared" si="135"/>
        <v>41273960.647578053</v>
      </c>
      <c r="O271" s="106">
        <f t="shared" si="135"/>
        <v>47080138.95416452</v>
      </c>
      <c r="P271" s="106">
        <f t="shared" si="135"/>
        <v>53028419.418250188</v>
      </c>
      <c r="Q271" s="106">
        <f t="shared" si="135"/>
        <v>56727300.988714896</v>
      </c>
      <c r="R271" s="106">
        <f t="shared" si="135"/>
        <v>62420073.357796833</v>
      </c>
      <c r="S271" s="106">
        <f t="shared" si="135"/>
        <v>68191026.521264717</v>
      </c>
      <c r="T271" s="106">
        <f t="shared" si="135"/>
        <v>74031132.410554394</v>
      </c>
      <c r="U271" s="106">
        <f t="shared" si="135"/>
        <v>79901187.603013739</v>
      </c>
      <c r="V271" s="106">
        <f t="shared" si="135"/>
        <v>75939453.400006071</v>
      </c>
      <c r="W271" s="106">
        <f t="shared" si="135"/>
        <v>81150981.955842778</v>
      </c>
      <c r="X271" s="106">
        <f t="shared" si="135"/>
        <v>86307058.964245304</v>
      </c>
      <c r="Y271" s="106">
        <f t="shared" si="135"/>
        <v>91485499.071269989</v>
      </c>
      <c r="Z271" s="106">
        <f t="shared" si="135"/>
        <v>96654547.565798104</v>
      </c>
      <c r="AA271" s="106">
        <f t="shared" si="135"/>
        <v>102033699.20223655</v>
      </c>
      <c r="AB271" s="106">
        <f t="shared" ref="AB271:AB275" si="136">IF(V271=0,0,IF($G$15&gt;(AA271/V271)^(1/5)-1+2%,AA271*(AA271/V271)^(1/5)/($G$15-((AA271/V271)^(1/5)-1)),AA271*(1+$G$14)/$G$16))</f>
        <v>4233763452.3749585</v>
      </c>
    </row>
    <row r="272" spans="4:28" hidden="1" x14ac:dyDescent="0.25">
      <c r="E272" s="47" t="s">
        <v>701</v>
      </c>
      <c r="F272" s="47" t="s">
        <v>639</v>
      </c>
      <c r="G272" s="106">
        <f t="shared" si="135"/>
        <v>0</v>
      </c>
      <c r="H272" s="106">
        <f t="shared" si="135"/>
        <v>-2603069.2259085239</v>
      </c>
      <c r="I272" s="106">
        <f t="shared" si="135"/>
        <v>-5351997.5169124361</v>
      </c>
      <c r="J272" s="106">
        <f t="shared" si="135"/>
        <v>-7519035.9985779161</v>
      </c>
      <c r="K272" s="106">
        <f t="shared" si="135"/>
        <v>-9606482.8996243551</v>
      </c>
      <c r="L272" s="106">
        <f t="shared" si="135"/>
        <v>-11574114.941671478</v>
      </c>
      <c r="M272" s="106">
        <f t="shared" si="135"/>
        <v>-13419335.729013147</v>
      </c>
      <c r="N272" s="106">
        <f t="shared" si="135"/>
        <v>-15212805.129134661</v>
      </c>
      <c r="O272" s="106">
        <f t="shared" si="135"/>
        <v>-16987655.209690426</v>
      </c>
      <c r="P272" s="106">
        <f t="shared" si="135"/>
        <v>-18737645.677672803</v>
      </c>
      <c r="Q272" s="106">
        <f t="shared" si="135"/>
        <v>-20455564.170994505</v>
      </c>
      <c r="R272" s="106">
        <f t="shared" si="135"/>
        <v>-22159319.073144004</v>
      </c>
      <c r="S272" s="106">
        <f t="shared" si="135"/>
        <v>-23831613.735689938</v>
      </c>
      <c r="T272" s="106">
        <f t="shared" si="135"/>
        <v>-25469588.404243637</v>
      </c>
      <c r="U272" s="106">
        <f t="shared" si="135"/>
        <v>-27061483.656448875</v>
      </c>
      <c r="V272" s="106">
        <f t="shared" si="135"/>
        <v>-28608208.666054573</v>
      </c>
      <c r="W272" s="106">
        <f t="shared" si="135"/>
        <v>-30105586.024823256</v>
      </c>
      <c r="X272" s="106">
        <f t="shared" si="135"/>
        <v>-31542680.058875728</v>
      </c>
      <c r="Y272" s="106">
        <f t="shared" si="135"/>
        <v>-32935001.814259574</v>
      </c>
      <c r="Z272" s="106">
        <f t="shared" si="135"/>
        <v>-34279342.113327935</v>
      </c>
      <c r="AA272" s="106">
        <f t="shared" si="135"/>
        <v>-35602284.97085724</v>
      </c>
      <c r="AB272" s="106">
        <f t="shared" si="136"/>
        <v>-1477273235.305279</v>
      </c>
    </row>
    <row r="273" spans="1:28" hidden="1" x14ac:dyDescent="0.25">
      <c r="E273" s="47" t="s">
        <v>702</v>
      </c>
      <c r="F273" s="47" t="s">
        <v>639</v>
      </c>
      <c r="G273" s="106">
        <f t="shared" si="135"/>
        <v>0</v>
      </c>
      <c r="H273" s="106">
        <f t="shared" si="135"/>
        <v>-2248749.4035934797</v>
      </c>
      <c r="I273" s="106">
        <f t="shared" si="135"/>
        <v>-4477031.8560552625</v>
      </c>
      <c r="J273" s="106">
        <f t="shared" si="135"/>
        <v>-6273193.652902321</v>
      </c>
      <c r="K273" s="106">
        <f t="shared" si="135"/>
        <v>-8051202.7333635725</v>
      </c>
      <c r="L273" s="106">
        <f t="shared" si="135"/>
        <v>-9782630.3208200186</v>
      </c>
      <c r="M273" s="106">
        <f t="shared" si="135"/>
        <v>-11429809.586425774</v>
      </c>
      <c r="N273" s="106">
        <f t="shared" si="135"/>
        <v>-13018975.966519702</v>
      </c>
      <c r="O273" s="106">
        <f t="shared" si="135"/>
        <v>-14594838.219451092</v>
      </c>
      <c r="P273" s="106">
        <f t="shared" si="135"/>
        <v>-16150797.197807537</v>
      </c>
      <c r="Q273" s="106">
        <f t="shared" si="135"/>
        <v>-17955707.45155625</v>
      </c>
      <c r="R273" s="106">
        <f t="shared" si="135"/>
        <v>-19800785.068580501</v>
      </c>
      <c r="S273" s="106">
        <f t="shared" si="135"/>
        <v>-21676302.961091805</v>
      </c>
      <c r="T273" s="106">
        <f t="shared" si="135"/>
        <v>-23579336.978953104</v>
      </c>
      <c r="U273" s="106">
        <f t="shared" si="135"/>
        <v>-25499295.463471469</v>
      </c>
      <c r="V273" s="106">
        <f t="shared" si="135"/>
        <v>-27434381.148930099</v>
      </c>
      <c r="W273" s="106">
        <f t="shared" si="135"/>
        <v>-29374501.396596957</v>
      </c>
      <c r="X273" s="106">
        <f t="shared" si="135"/>
        <v>-31326487.37550595</v>
      </c>
      <c r="Y273" s="106">
        <f t="shared" si="135"/>
        <v>-33267876.396750528</v>
      </c>
      <c r="Z273" s="106">
        <f t="shared" si="135"/>
        <v>-35211640.654841788</v>
      </c>
      <c r="AA273" s="106">
        <f t="shared" si="135"/>
        <v>-37170284.48710043</v>
      </c>
      <c r="AB273" s="106">
        <f t="shared" si="136"/>
        <v>-1542335455.8962827</v>
      </c>
    </row>
    <row r="274" spans="1:28" hidden="1" x14ac:dyDescent="0.25">
      <c r="E274" s="47" t="s">
        <v>709</v>
      </c>
      <c r="F274" s="47" t="s">
        <v>639</v>
      </c>
      <c r="G274" s="106">
        <f t="shared" si="135"/>
        <v>0</v>
      </c>
      <c r="H274" s="106">
        <f t="shared" si="135"/>
        <v>0</v>
      </c>
      <c r="I274" s="106">
        <f t="shared" si="135"/>
        <v>0</v>
      </c>
      <c r="J274" s="106">
        <f t="shared" si="135"/>
        <v>0</v>
      </c>
      <c r="K274" s="106">
        <f t="shared" si="135"/>
        <v>0</v>
      </c>
      <c r="L274" s="106">
        <f t="shared" si="135"/>
        <v>0</v>
      </c>
      <c r="M274" s="106">
        <f t="shared" si="135"/>
        <v>0</v>
      </c>
      <c r="N274" s="106">
        <f t="shared" si="135"/>
        <v>0</v>
      </c>
      <c r="O274" s="106">
        <f t="shared" si="135"/>
        <v>0</v>
      </c>
      <c r="P274" s="106">
        <f t="shared" si="135"/>
        <v>0</v>
      </c>
      <c r="Q274" s="106">
        <f t="shared" si="135"/>
        <v>0</v>
      </c>
      <c r="R274" s="106">
        <f t="shared" si="135"/>
        <v>0</v>
      </c>
      <c r="S274" s="106">
        <f t="shared" si="135"/>
        <v>0</v>
      </c>
      <c r="T274" s="106">
        <f t="shared" si="135"/>
        <v>0</v>
      </c>
      <c r="U274" s="106">
        <f t="shared" si="135"/>
        <v>0</v>
      </c>
      <c r="V274" s="106">
        <f t="shared" si="135"/>
        <v>0</v>
      </c>
      <c r="W274" s="106">
        <f t="shared" si="135"/>
        <v>0</v>
      </c>
      <c r="X274" s="106">
        <f t="shared" si="135"/>
        <v>0</v>
      </c>
      <c r="Y274" s="106">
        <f t="shared" si="135"/>
        <v>0</v>
      </c>
      <c r="Z274" s="106">
        <f t="shared" si="135"/>
        <v>0</v>
      </c>
      <c r="AA274" s="106">
        <f t="shared" si="135"/>
        <v>0</v>
      </c>
      <c r="AB274" s="106">
        <f t="shared" si="136"/>
        <v>0</v>
      </c>
    </row>
    <row r="275" spans="1:28" hidden="1" x14ac:dyDescent="0.25">
      <c r="E275" s="47" t="s">
        <v>714</v>
      </c>
      <c r="F275" s="47" t="s">
        <v>639</v>
      </c>
      <c r="G275" s="106">
        <f t="shared" si="135"/>
        <v>0</v>
      </c>
      <c r="H275" s="106">
        <f t="shared" si="135"/>
        <v>0</v>
      </c>
      <c r="I275" s="106">
        <f t="shared" si="135"/>
        <v>0</v>
      </c>
      <c r="J275" s="106">
        <f t="shared" si="135"/>
        <v>0</v>
      </c>
      <c r="K275" s="106">
        <f t="shared" si="135"/>
        <v>0</v>
      </c>
      <c r="L275" s="106">
        <f t="shared" si="135"/>
        <v>0</v>
      </c>
      <c r="M275" s="106">
        <f t="shared" si="135"/>
        <v>0</v>
      </c>
      <c r="N275" s="106">
        <f t="shared" si="135"/>
        <v>0</v>
      </c>
      <c r="O275" s="106">
        <f t="shared" si="135"/>
        <v>0</v>
      </c>
      <c r="P275" s="106">
        <f t="shared" si="135"/>
        <v>0</v>
      </c>
      <c r="Q275" s="106">
        <f t="shared" si="135"/>
        <v>0</v>
      </c>
      <c r="R275" s="106">
        <f t="shared" si="135"/>
        <v>0</v>
      </c>
      <c r="S275" s="106">
        <f t="shared" si="135"/>
        <v>0</v>
      </c>
      <c r="T275" s="106">
        <f t="shared" si="135"/>
        <v>0</v>
      </c>
      <c r="U275" s="106">
        <f t="shared" si="135"/>
        <v>0</v>
      </c>
      <c r="V275" s="106">
        <f t="shared" si="135"/>
        <v>0</v>
      </c>
      <c r="W275" s="106">
        <f t="shared" si="135"/>
        <v>0</v>
      </c>
      <c r="X275" s="106">
        <f t="shared" si="135"/>
        <v>0</v>
      </c>
      <c r="Y275" s="106">
        <f t="shared" si="135"/>
        <v>0</v>
      </c>
      <c r="Z275" s="106">
        <f t="shared" si="135"/>
        <v>0</v>
      </c>
      <c r="AA275" s="106">
        <f t="shared" si="135"/>
        <v>0</v>
      </c>
      <c r="AB275" s="106">
        <f t="shared" si="136"/>
        <v>0</v>
      </c>
    </row>
    <row r="276" spans="1:28" hidden="1" x14ac:dyDescent="0.25">
      <c r="E276" s="47" t="s">
        <v>458</v>
      </c>
      <c r="F276" s="47" t="s">
        <v>639</v>
      </c>
      <c r="G276" s="106" t="e">
        <f t="shared" ref="G276:AA276" si="137">G265</f>
        <v>#REF!</v>
      </c>
      <c r="H276" s="106">
        <f t="shared" si="137"/>
        <v>-8974570.8335289452</v>
      </c>
      <c r="I276" s="106">
        <f t="shared" si="137"/>
        <v>-9464869.8299591169</v>
      </c>
      <c r="J276" s="106">
        <f t="shared" si="137"/>
        <v>-10276420.011554575</v>
      </c>
      <c r="K276" s="106">
        <f t="shared" si="137"/>
        <v>-10690100.322988974</v>
      </c>
      <c r="L276" s="106">
        <f t="shared" si="137"/>
        <v>-10068821.602396091</v>
      </c>
      <c r="M276" s="106">
        <f t="shared" si="137"/>
        <v>-10555172.754514286</v>
      </c>
      <c r="N276" s="106">
        <f t="shared" si="137"/>
        <v>-10753839.823050426</v>
      </c>
      <c r="O276" s="106">
        <f t="shared" si="137"/>
        <v>-11653673.234201105</v>
      </c>
      <c r="P276" s="106">
        <f t="shared" si="137"/>
        <v>-12421482.731084304</v>
      </c>
      <c r="Q276" s="106">
        <f t="shared" si="137"/>
        <v>-12060964.943539331</v>
      </c>
      <c r="R276" s="106">
        <f t="shared" si="137"/>
        <v>-12229377.232127201</v>
      </c>
      <c r="S276" s="106">
        <f t="shared" si="137"/>
        <v>-12388464.294528505</v>
      </c>
      <c r="T276" s="106">
        <f t="shared" si="137"/>
        <v>-12310662.532569671</v>
      </c>
      <c r="U276" s="106">
        <f t="shared" si="137"/>
        <v>-12143031.465934936</v>
      </c>
      <c r="V276" s="106">
        <f t="shared" si="137"/>
        <v>-8945389.7084259782</v>
      </c>
      <c r="W276" s="106">
        <f t="shared" si="137"/>
        <v>-8562682.194175804</v>
      </c>
      <c r="X276" s="106">
        <f t="shared" si="137"/>
        <v>-8426737.1493056081</v>
      </c>
      <c r="Y276" s="106">
        <f t="shared" si="137"/>
        <v>-8035179.433226495</v>
      </c>
      <c r="Z276" s="106">
        <f t="shared" si="137"/>
        <v>-7592009.7867905246</v>
      </c>
      <c r="AA276" s="106">
        <f t="shared" si="137"/>
        <v>-7403627.1790056145</v>
      </c>
      <c r="AB276" s="106">
        <f>IF(V276=0,0,IF($G$15&gt;(AA276/V276)^(1/5)-1+2%,AA276*(AA276/V276)^(1/5)/($G$15-((AA276/V276)^(1/5)-1)),AA276*(1+$G$14)/$G$16))</f>
        <v>-116431728.36172131</v>
      </c>
    </row>
    <row r="277" spans="1:28" hidden="1" x14ac:dyDescent="0.25">
      <c r="E277" s="47" t="s">
        <v>730</v>
      </c>
      <c r="F277" s="47" t="s">
        <v>639</v>
      </c>
      <c r="G277" s="106" t="e">
        <f>-$G$17*G276</f>
        <v>#REF!</v>
      </c>
      <c r="H277" s="106">
        <f t="shared" ref="H277:AA277" si="138">-$G$17*H276</f>
        <v>4487285.4167644726</v>
      </c>
      <c r="I277" s="106">
        <f t="shared" si="138"/>
        <v>4732434.9149795584</v>
      </c>
      <c r="J277" s="106">
        <f t="shared" si="138"/>
        <v>5138210.0057772873</v>
      </c>
      <c r="K277" s="106">
        <f t="shared" si="138"/>
        <v>5345050.161494487</v>
      </c>
      <c r="L277" s="106">
        <f t="shared" si="138"/>
        <v>5034410.8011980457</v>
      </c>
      <c r="M277" s="106">
        <f t="shared" si="138"/>
        <v>5277586.3772571431</v>
      </c>
      <c r="N277" s="106">
        <f t="shared" si="138"/>
        <v>5376919.9115252132</v>
      </c>
      <c r="O277" s="106">
        <f t="shared" si="138"/>
        <v>5826836.6171005527</v>
      </c>
      <c r="P277" s="106">
        <f t="shared" si="138"/>
        <v>6210741.365542152</v>
      </c>
      <c r="Q277" s="106">
        <f t="shared" si="138"/>
        <v>6030482.4717696654</v>
      </c>
      <c r="R277" s="106">
        <f t="shared" si="138"/>
        <v>6114688.6160636004</v>
      </c>
      <c r="S277" s="106">
        <f t="shared" si="138"/>
        <v>6194232.1472642524</v>
      </c>
      <c r="T277" s="106">
        <f t="shared" si="138"/>
        <v>6155331.2662848355</v>
      </c>
      <c r="U277" s="106">
        <f t="shared" si="138"/>
        <v>6071515.732967468</v>
      </c>
      <c r="V277" s="106">
        <f t="shared" si="138"/>
        <v>4472694.8542129891</v>
      </c>
      <c r="W277" s="106">
        <f t="shared" si="138"/>
        <v>4281341.097087902</v>
      </c>
      <c r="X277" s="106">
        <f t="shared" si="138"/>
        <v>4213368.5746528041</v>
      </c>
      <c r="Y277" s="106">
        <f t="shared" si="138"/>
        <v>4017589.7166132475</v>
      </c>
      <c r="Z277" s="106">
        <f t="shared" si="138"/>
        <v>3796004.8933952623</v>
      </c>
      <c r="AA277" s="106">
        <f t="shared" si="138"/>
        <v>3701813.5895028072</v>
      </c>
      <c r="AB277" s="106">
        <f t="shared" ref="AB277" si="139">IF(V277=0,0,IF($G$15&gt;(AA277/V277)^(1/5)-1+2%,AA277*(AA277/V277)^(1/5)/($G$15-((AA277/V277)^(1/5)-1)),AA277*(1+$G$14)/$G$16))</f>
        <v>58215864.180860654</v>
      </c>
    </row>
    <row r="278" spans="1:28" hidden="1" x14ac:dyDescent="0.25">
      <c r="E278" s="47" t="s">
        <v>731</v>
      </c>
      <c r="F278" s="47" t="s">
        <v>639</v>
      </c>
      <c r="G278" s="106" t="e">
        <f t="shared" ref="G278:AA278" si="140">SUM(G268:G277)</f>
        <v>#REF!</v>
      </c>
      <c r="H278" s="106">
        <f t="shared" si="140"/>
        <v>-27880644.118920345</v>
      </c>
      <c r="I278" s="106">
        <f t="shared" si="140"/>
        <v>-30769134.726443071</v>
      </c>
      <c r="J278" s="106">
        <f t="shared" si="140"/>
        <v>-44904551.131524868</v>
      </c>
      <c r="K278" s="106">
        <f t="shared" si="140"/>
        <v>-46191615.04658363</v>
      </c>
      <c r="L278" s="106">
        <f t="shared" si="140"/>
        <v>-48132620.600229435</v>
      </c>
      <c r="M278" s="106">
        <f t="shared" si="140"/>
        <v>-44683377.050491452</v>
      </c>
      <c r="N278" s="106">
        <f t="shared" si="140"/>
        <v>-40871409.338036574</v>
      </c>
      <c r="O278" s="106">
        <f t="shared" si="140"/>
        <v>-46479283.315064624</v>
      </c>
      <c r="P278" s="106">
        <f t="shared" si="140"/>
        <v>-32638804.327824704</v>
      </c>
      <c r="Q278" s="106">
        <f t="shared" si="140"/>
        <v>-37926260.499291383</v>
      </c>
      <c r="R278" s="106">
        <f t="shared" si="140"/>
        <v>-35866526.793677129</v>
      </c>
      <c r="S278" s="106">
        <f t="shared" si="140"/>
        <v>-33722929.716467142</v>
      </c>
      <c r="T278" s="106">
        <f t="shared" si="140"/>
        <v>-31384931.632613044</v>
      </c>
      <c r="U278" s="106">
        <f t="shared" si="140"/>
        <v>-28942914.643559933</v>
      </c>
      <c r="V278" s="106">
        <f t="shared" si="140"/>
        <v>-34787638.662877448</v>
      </c>
      <c r="W278" s="106">
        <f t="shared" si="140"/>
        <v>-32822253.956351202</v>
      </c>
      <c r="X278" s="106">
        <f t="shared" si="140"/>
        <v>-30987284.438475043</v>
      </c>
      <c r="Y278" s="106">
        <f t="shared" si="140"/>
        <v>-28946776.250039224</v>
      </c>
      <c r="Z278" s="106">
        <f t="shared" si="140"/>
        <v>-26844247.489452742</v>
      </c>
      <c r="AA278" s="106">
        <f t="shared" si="140"/>
        <v>-24652491.238909792</v>
      </c>
      <c r="AB278" s="106" t="e">
        <f>SUM(AB268:AB277)*IF(DASH!#REF!="yes",1,0)</f>
        <v>#REF!</v>
      </c>
    </row>
    <row r="279" spans="1:28" hidden="1" x14ac:dyDescent="0.25">
      <c r="E279" s="47" t="s">
        <v>732</v>
      </c>
      <c r="F279" s="47" t="s">
        <v>639</v>
      </c>
      <c r="G279" s="106" t="e">
        <f>NPV($G$15,H278:AQ278)+G278</f>
        <v>#REF!</v>
      </c>
    </row>
    <row r="280" spans="1:28" hidden="1" x14ac:dyDescent="0.25">
      <c r="E280" s="111" t="s">
        <v>734</v>
      </c>
      <c r="F280" s="111"/>
      <c r="G280" s="118" t="e">
        <f>IF(G279&gt;0,"N/A",IF(ABS(G279+G253)&gt;1,"Error","OK"))</f>
        <v>#REF!</v>
      </c>
    </row>
    <row r="281" spans="1:28" hidden="1" x14ac:dyDescent="0.25"/>
    <row r="282" spans="1:28" hidden="1" x14ac:dyDescent="0.25">
      <c r="C282" s="100" t="s">
        <v>736</v>
      </c>
      <c r="D282" s="100"/>
    </row>
    <row r="283" spans="1:28" hidden="1" x14ac:dyDescent="0.25">
      <c r="A283" s="101">
        <v>54</v>
      </c>
      <c r="C283" s="100"/>
      <c r="D283" s="100"/>
      <c r="E283" s="47" t="s">
        <v>737</v>
      </c>
      <c r="F283" s="47" t="s">
        <v>655</v>
      </c>
      <c r="G283" s="102">
        <v>1</v>
      </c>
      <c r="H283" s="102">
        <v>1</v>
      </c>
      <c r="I283" s="102">
        <v>1</v>
      </c>
      <c r="J283" s="102">
        <v>1</v>
      </c>
      <c r="K283" s="102">
        <v>1</v>
      </c>
      <c r="L283" s="102">
        <v>1</v>
      </c>
      <c r="M283" s="102">
        <v>0</v>
      </c>
      <c r="N283" s="102">
        <v>0</v>
      </c>
      <c r="O283" s="102">
        <v>0</v>
      </c>
      <c r="P283" s="102">
        <v>0</v>
      </c>
      <c r="Q283" s="102">
        <v>0</v>
      </c>
      <c r="R283" s="102">
        <v>0</v>
      </c>
      <c r="S283" s="102">
        <v>0</v>
      </c>
      <c r="T283" s="102">
        <v>0</v>
      </c>
      <c r="U283" s="102">
        <v>0</v>
      </c>
      <c r="V283" s="102">
        <v>0</v>
      </c>
      <c r="W283" s="102">
        <v>0</v>
      </c>
      <c r="X283" s="102">
        <v>0</v>
      </c>
      <c r="Y283" s="102">
        <v>0</v>
      </c>
      <c r="Z283" s="102">
        <v>0</v>
      </c>
      <c r="AA283" s="102">
        <v>0</v>
      </c>
    </row>
    <row r="284" spans="1:28" hidden="1" x14ac:dyDescent="0.25">
      <c r="E284" s="47" t="s">
        <v>738</v>
      </c>
      <c r="F284" s="47" t="s">
        <v>739</v>
      </c>
      <c r="G284" s="115" t="e">
        <f>MAX(0,-G311/(NPV($G$16,H283:AA283)+G283))</f>
        <v>#VALUE!</v>
      </c>
      <c r="H284" s="106" t="e">
        <f t="shared" ref="H284:AA284" si="141">G284*(1+$G$14)</f>
        <v>#VALUE!</v>
      </c>
      <c r="I284" s="106" t="e">
        <f t="shared" si="141"/>
        <v>#VALUE!</v>
      </c>
      <c r="J284" s="106" t="e">
        <f t="shared" si="141"/>
        <v>#VALUE!</v>
      </c>
      <c r="K284" s="106" t="e">
        <f t="shared" si="141"/>
        <v>#VALUE!</v>
      </c>
      <c r="L284" s="106" t="e">
        <f t="shared" si="141"/>
        <v>#VALUE!</v>
      </c>
      <c r="M284" s="106" t="e">
        <f t="shared" si="141"/>
        <v>#VALUE!</v>
      </c>
      <c r="N284" s="106" t="e">
        <f t="shared" si="141"/>
        <v>#VALUE!</v>
      </c>
      <c r="O284" s="106" t="e">
        <f t="shared" si="141"/>
        <v>#VALUE!</v>
      </c>
      <c r="P284" s="106" t="e">
        <f t="shared" si="141"/>
        <v>#VALUE!</v>
      </c>
      <c r="Q284" s="106" t="e">
        <f t="shared" si="141"/>
        <v>#VALUE!</v>
      </c>
      <c r="R284" s="106" t="e">
        <f t="shared" si="141"/>
        <v>#VALUE!</v>
      </c>
      <c r="S284" s="106" t="e">
        <f t="shared" si="141"/>
        <v>#VALUE!</v>
      </c>
      <c r="T284" s="106" t="e">
        <f t="shared" si="141"/>
        <v>#VALUE!</v>
      </c>
      <c r="U284" s="106" t="e">
        <f t="shared" si="141"/>
        <v>#VALUE!</v>
      </c>
      <c r="V284" s="106" t="e">
        <f t="shared" si="141"/>
        <v>#VALUE!</v>
      </c>
      <c r="W284" s="106" t="e">
        <f t="shared" si="141"/>
        <v>#VALUE!</v>
      </c>
      <c r="X284" s="106" t="e">
        <f t="shared" si="141"/>
        <v>#VALUE!</v>
      </c>
      <c r="Y284" s="106" t="e">
        <f t="shared" si="141"/>
        <v>#VALUE!</v>
      </c>
      <c r="Z284" s="106" t="e">
        <f t="shared" si="141"/>
        <v>#VALUE!</v>
      </c>
      <c r="AA284" s="106" t="e">
        <f t="shared" si="141"/>
        <v>#VALUE!</v>
      </c>
    </row>
    <row r="285" spans="1:28" hidden="1" x14ac:dyDescent="0.25">
      <c r="E285" s="47" t="s">
        <v>721</v>
      </c>
      <c r="F285" s="47" t="s">
        <v>639</v>
      </c>
      <c r="G285" s="106" t="e">
        <f>G283*G284</f>
        <v>#VALUE!</v>
      </c>
      <c r="H285" s="106" t="e">
        <f t="shared" ref="H285:AA285" si="142">H283*H284</f>
        <v>#VALUE!</v>
      </c>
      <c r="I285" s="106" t="e">
        <f t="shared" si="142"/>
        <v>#VALUE!</v>
      </c>
      <c r="J285" s="106" t="e">
        <f t="shared" si="142"/>
        <v>#VALUE!</v>
      </c>
      <c r="K285" s="106" t="e">
        <f t="shared" si="142"/>
        <v>#VALUE!</v>
      </c>
      <c r="L285" s="106" t="e">
        <f t="shared" si="142"/>
        <v>#VALUE!</v>
      </c>
      <c r="M285" s="106" t="e">
        <f t="shared" si="142"/>
        <v>#VALUE!</v>
      </c>
      <c r="N285" s="106" t="e">
        <f t="shared" si="142"/>
        <v>#VALUE!</v>
      </c>
      <c r="O285" s="106" t="e">
        <f t="shared" si="142"/>
        <v>#VALUE!</v>
      </c>
      <c r="P285" s="106" t="e">
        <f t="shared" si="142"/>
        <v>#VALUE!</v>
      </c>
      <c r="Q285" s="106" t="e">
        <f t="shared" si="142"/>
        <v>#VALUE!</v>
      </c>
      <c r="R285" s="106" t="e">
        <f t="shared" si="142"/>
        <v>#VALUE!</v>
      </c>
      <c r="S285" s="106" t="e">
        <f t="shared" si="142"/>
        <v>#VALUE!</v>
      </c>
      <c r="T285" s="106" t="e">
        <f t="shared" si="142"/>
        <v>#VALUE!</v>
      </c>
      <c r="U285" s="106" t="e">
        <f t="shared" si="142"/>
        <v>#VALUE!</v>
      </c>
      <c r="V285" s="106" t="e">
        <f t="shared" si="142"/>
        <v>#VALUE!</v>
      </c>
      <c r="W285" s="106" t="e">
        <f t="shared" si="142"/>
        <v>#VALUE!</v>
      </c>
      <c r="X285" s="106" t="e">
        <f t="shared" si="142"/>
        <v>#VALUE!</v>
      </c>
      <c r="Y285" s="106" t="e">
        <f t="shared" si="142"/>
        <v>#VALUE!</v>
      </c>
      <c r="Z285" s="106" t="e">
        <f t="shared" si="142"/>
        <v>#VALUE!</v>
      </c>
      <c r="AA285" s="106" t="e">
        <f t="shared" si="142"/>
        <v>#VALUE!</v>
      </c>
    </row>
    <row r="286" spans="1:28" hidden="1" x14ac:dyDescent="0.25"/>
    <row r="287" spans="1:28" hidden="1" x14ac:dyDescent="0.25">
      <c r="D287" s="47" t="s">
        <v>722</v>
      </c>
    </row>
    <row r="288" spans="1:28" hidden="1" x14ac:dyDescent="0.25">
      <c r="E288" s="47" t="s">
        <v>573</v>
      </c>
      <c r="F288" s="47" t="s">
        <v>639</v>
      </c>
      <c r="G288" s="106">
        <f t="shared" ref="G288:AA293" si="143">G222</f>
        <v>0</v>
      </c>
      <c r="H288" s="106">
        <f t="shared" si="143"/>
        <v>29137833.369118281</v>
      </c>
      <c r="I288" s="106">
        <f t="shared" si="143"/>
        <v>29770525.217831567</v>
      </c>
      <c r="J288" s="106">
        <f t="shared" si="143"/>
        <v>31662012.661598999</v>
      </c>
      <c r="K288" s="106">
        <f t="shared" si="143"/>
        <v>32083025.498539194</v>
      </c>
      <c r="L288" s="106">
        <f t="shared" si="143"/>
        <v>28907118.84044873</v>
      </c>
      <c r="M288" s="106">
        <f t="shared" si="143"/>
        <v>29320774.881199837</v>
      </c>
      <c r="N288" s="106">
        <f t="shared" si="143"/>
        <v>28507173.32624105</v>
      </c>
      <c r="O288" s="106">
        <f t="shared" si="143"/>
        <v>30018179.436078906</v>
      </c>
      <c r="P288" s="106">
        <f t="shared" si="143"/>
        <v>30782038.63685365</v>
      </c>
      <c r="Q288" s="106">
        <f t="shared" si="143"/>
        <v>30308532.435973182</v>
      </c>
      <c r="R288" s="106">
        <f t="shared" si="143"/>
        <v>29622618.192988455</v>
      </c>
      <c r="S288" s="106">
        <f t="shared" si="143"/>
        <v>28817473.047035478</v>
      </c>
      <c r="T288" s="106">
        <f t="shared" si="143"/>
        <v>27127969.631916676</v>
      </c>
      <c r="U288" s="106">
        <f t="shared" si="143"/>
        <v>25056919.277748596</v>
      </c>
      <c r="V288" s="106">
        <f t="shared" si="143"/>
        <v>22660957.847471118</v>
      </c>
      <c r="W288" s="106">
        <f t="shared" si="143"/>
        <v>20405473.779831529</v>
      </c>
      <c r="X288" s="106">
        <f t="shared" si="143"/>
        <v>18963543.786380295</v>
      </c>
      <c r="Y288" s="106">
        <f t="shared" si="143"/>
        <v>16565190.854703283</v>
      </c>
      <c r="Z288" s="106">
        <f t="shared" si="143"/>
        <v>13929295.825652843</v>
      </c>
      <c r="AA288" s="106">
        <f t="shared" si="143"/>
        <v>11903561.759870797</v>
      </c>
    </row>
    <row r="289" spans="4:28" hidden="1" x14ac:dyDescent="0.25">
      <c r="E289" s="47" t="s">
        <v>723</v>
      </c>
      <c r="F289" s="47" t="s">
        <v>639</v>
      </c>
      <c r="G289" s="106">
        <f t="shared" si="143"/>
        <v>0</v>
      </c>
      <c r="H289" s="106">
        <f t="shared" si="143"/>
        <v>6245125.8596107643</v>
      </c>
      <c r="I289" s="106">
        <f t="shared" si="143"/>
        <v>12893597.161814652</v>
      </c>
      <c r="J289" s="106">
        <f t="shared" si="143"/>
        <v>18531002.579957001</v>
      </c>
      <c r="K289" s="106">
        <f t="shared" si="143"/>
        <v>24248564.127202962</v>
      </c>
      <c r="L289" s="106">
        <f t="shared" si="143"/>
        <v>29956271.447722342</v>
      </c>
      <c r="M289" s="106">
        <f t="shared" si="143"/>
        <v>35549854.919897206</v>
      </c>
      <c r="N289" s="106">
        <f t="shared" si="143"/>
        <v>41273960.647578053</v>
      </c>
      <c r="O289" s="106">
        <f t="shared" si="143"/>
        <v>47080138.95416452</v>
      </c>
      <c r="P289" s="106">
        <f t="shared" si="143"/>
        <v>53028419.418250188</v>
      </c>
      <c r="Q289" s="106">
        <f t="shared" si="143"/>
        <v>56727300.988714896</v>
      </c>
      <c r="R289" s="106">
        <f t="shared" si="143"/>
        <v>62420073.357796833</v>
      </c>
      <c r="S289" s="106">
        <f t="shared" si="143"/>
        <v>68191026.521264717</v>
      </c>
      <c r="T289" s="106">
        <f t="shared" si="143"/>
        <v>74031132.410554394</v>
      </c>
      <c r="U289" s="106">
        <f t="shared" si="143"/>
        <v>79901187.603013739</v>
      </c>
      <c r="V289" s="106">
        <f t="shared" si="143"/>
        <v>75939453.400006071</v>
      </c>
      <c r="W289" s="106">
        <f t="shared" si="143"/>
        <v>81150981.955842778</v>
      </c>
      <c r="X289" s="106">
        <f t="shared" si="143"/>
        <v>86307058.964245304</v>
      </c>
      <c r="Y289" s="106">
        <f t="shared" si="143"/>
        <v>91485499.071269989</v>
      </c>
      <c r="Z289" s="106">
        <f t="shared" si="143"/>
        <v>96654547.565798104</v>
      </c>
      <c r="AA289" s="106">
        <f t="shared" si="143"/>
        <v>102033699.20223655</v>
      </c>
    </row>
    <row r="290" spans="4:28" hidden="1" x14ac:dyDescent="0.25">
      <c r="E290" s="47" t="s">
        <v>701</v>
      </c>
      <c r="F290" s="47" t="s">
        <v>639</v>
      </c>
      <c r="G290" s="106">
        <f t="shared" si="143"/>
        <v>0</v>
      </c>
      <c r="H290" s="106">
        <f t="shared" si="143"/>
        <v>-2603069.2259085239</v>
      </c>
      <c r="I290" s="106">
        <f t="shared" si="143"/>
        <v>-5351997.5169124361</v>
      </c>
      <c r="J290" s="106">
        <f t="shared" si="143"/>
        <v>-7519035.9985779161</v>
      </c>
      <c r="K290" s="106">
        <f t="shared" si="143"/>
        <v>-9606482.8996243551</v>
      </c>
      <c r="L290" s="106">
        <f t="shared" si="143"/>
        <v>-11574114.941671478</v>
      </c>
      <c r="M290" s="106">
        <f t="shared" si="143"/>
        <v>-13419335.729013147</v>
      </c>
      <c r="N290" s="106">
        <f t="shared" si="143"/>
        <v>-15212805.129134661</v>
      </c>
      <c r="O290" s="106">
        <f t="shared" si="143"/>
        <v>-16987655.209690426</v>
      </c>
      <c r="P290" s="106">
        <f t="shared" si="143"/>
        <v>-18737645.677672803</v>
      </c>
      <c r="Q290" s="106">
        <f t="shared" si="143"/>
        <v>-20455564.170994505</v>
      </c>
      <c r="R290" s="106">
        <f t="shared" si="143"/>
        <v>-22159319.073144004</v>
      </c>
      <c r="S290" s="106">
        <f t="shared" si="143"/>
        <v>-23831613.735689938</v>
      </c>
      <c r="T290" s="106">
        <f t="shared" si="143"/>
        <v>-25469588.404243637</v>
      </c>
      <c r="U290" s="106">
        <f t="shared" si="143"/>
        <v>-27061483.656448875</v>
      </c>
      <c r="V290" s="106">
        <f t="shared" si="143"/>
        <v>-28608208.666054573</v>
      </c>
      <c r="W290" s="106">
        <f t="shared" si="143"/>
        <v>-30105586.024823256</v>
      </c>
      <c r="X290" s="106">
        <f t="shared" si="143"/>
        <v>-31542680.058875728</v>
      </c>
      <c r="Y290" s="106">
        <f t="shared" si="143"/>
        <v>-32935001.814259574</v>
      </c>
      <c r="Z290" s="106">
        <f t="shared" si="143"/>
        <v>-34279342.113327935</v>
      </c>
      <c r="AA290" s="106">
        <f t="shared" si="143"/>
        <v>-35602284.97085724</v>
      </c>
    </row>
    <row r="291" spans="4:28" hidden="1" x14ac:dyDescent="0.25">
      <c r="E291" s="47" t="s">
        <v>702</v>
      </c>
      <c r="F291" s="47" t="s">
        <v>639</v>
      </c>
      <c r="G291" s="106">
        <f t="shared" si="143"/>
        <v>0</v>
      </c>
      <c r="H291" s="106">
        <f t="shared" si="143"/>
        <v>-2248749.4035934797</v>
      </c>
      <c r="I291" s="106">
        <f t="shared" si="143"/>
        <v>-4477031.8560552625</v>
      </c>
      <c r="J291" s="106">
        <f t="shared" si="143"/>
        <v>-6273193.652902321</v>
      </c>
      <c r="K291" s="106">
        <f t="shared" si="143"/>
        <v>-8051202.7333635725</v>
      </c>
      <c r="L291" s="106">
        <f t="shared" si="143"/>
        <v>-9782630.3208200186</v>
      </c>
      <c r="M291" s="106">
        <f t="shared" si="143"/>
        <v>-11429809.586425774</v>
      </c>
      <c r="N291" s="106">
        <f t="shared" si="143"/>
        <v>-13018975.966519702</v>
      </c>
      <c r="O291" s="106">
        <f t="shared" si="143"/>
        <v>-14594838.219451092</v>
      </c>
      <c r="P291" s="106">
        <f t="shared" si="143"/>
        <v>-16150797.197807537</v>
      </c>
      <c r="Q291" s="106">
        <f t="shared" si="143"/>
        <v>-17955707.45155625</v>
      </c>
      <c r="R291" s="106">
        <f t="shared" si="143"/>
        <v>-19800785.068580501</v>
      </c>
      <c r="S291" s="106">
        <f t="shared" si="143"/>
        <v>-21676302.961091805</v>
      </c>
      <c r="T291" s="106">
        <f t="shared" si="143"/>
        <v>-23579336.978953104</v>
      </c>
      <c r="U291" s="106">
        <f t="shared" si="143"/>
        <v>-25499295.463471469</v>
      </c>
      <c r="V291" s="106">
        <f t="shared" si="143"/>
        <v>-27434381.148930099</v>
      </c>
      <c r="W291" s="106">
        <f t="shared" si="143"/>
        <v>-29374501.396596957</v>
      </c>
      <c r="X291" s="106">
        <f t="shared" si="143"/>
        <v>-31326487.37550595</v>
      </c>
      <c r="Y291" s="106">
        <f t="shared" si="143"/>
        <v>-33267876.396750528</v>
      </c>
      <c r="Z291" s="106">
        <f t="shared" si="143"/>
        <v>-35211640.654841788</v>
      </c>
      <c r="AA291" s="106">
        <f t="shared" si="143"/>
        <v>-37170284.48710043</v>
      </c>
    </row>
    <row r="292" spans="4:28" hidden="1" x14ac:dyDescent="0.25">
      <c r="E292" s="47" t="s">
        <v>724</v>
      </c>
      <c r="F292" s="47" t="s">
        <v>639</v>
      </c>
      <c r="G292" s="106">
        <f t="shared" si="143"/>
        <v>0</v>
      </c>
      <c r="H292" s="106">
        <f t="shared" si="143"/>
        <v>-615904.48746388627</v>
      </c>
      <c r="I292" s="106">
        <f t="shared" si="143"/>
        <v>-1285526.9068147901</v>
      </c>
      <c r="J292" s="106">
        <f t="shared" si="143"/>
        <v>-2146052.2182271872</v>
      </c>
      <c r="K292" s="106">
        <f t="shared" si="143"/>
        <v>-3040236.2494576443</v>
      </c>
      <c r="L292" s="106">
        <f t="shared" si="143"/>
        <v>-3943906.3510259301</v>
      </c>
      <c r="M292" s="106">
        <f t="shared" si="143"/>
        <v>-4837575.3039438343</v>
      </c>
      <c r="N292" s="106">
        <f t="shared" si="143"/>
        <v>-5703220.1346633108</v>
      </c>
      <c r="O292" s="106">
        <f t="shared" si="143"/>
        <v>-6670247.5137648974</v>
      </c>
      <c r="P292" s="106">
        <f t="shared" si="143"/>
        <v>-7517072.7426758166</v>
      </c>
      <c r="Q292" s="106">
        <f t="shared" si="143"/>
        <v>-8421345.3236728795</v>
      </c>
      <c r="R292" s="106">
        <f t="shared" si="143"/>
        <v>-9317996.635303447</v>
      </c>
      <c r="S292" s="106">
        <f t="shared" si="143"/>
        <v>-10205701.88975676</v>
      </c>
      <c r="T292" s="106">
        <f t="shared" si="143"/>
        <v>-11074634.884042084</v>
      </c>
      <c r="U292" s="106">
        <f t="shared" si="143"/>
        <v>-11920556.207725542</v>
      </c>
      <c r="V292" s="106">
        <f t="shared" si="143"/>
        <v>-12739855.73773925</v>
      </c>
      <c r="W292" s="106">
        <f t="shared" si="143"/>
        <v>-13534094.333668076</v>
      </c>
      <c r="X292" s="106">
        <f t="shared" si="143"/>
        <v>-14312311.485225225</v>
      </c>
      <c r="Y292" s="106">
        <f t="shared" si="143"/>
        <v>-15063880.270874852</v>
      </c>
      <c r="Z292" s="106">
        <f t="shared" si="143"/>
        <v>-15786161.333979469</v>
      </c>
      <c r="AA292" s="106">
        <f t="shared" si="143"/>
        <v>-16485934.24079762</v>
      </c>
    </row>
    <row r="293" spans="4:28" hidden="1" x14ac:dyDescent="0.25">
      <c r="E293" s="47" t="s">
        <v>709</v>
      </c>
      <c r="F293" s="47" t="s">
        <v>639</v>
      </c>
      <c r="G293" s="106">
        <f t="shared" si="143"/>
        <v>0</v>
      </c>
      <c r="H293" s="106">
        <f t="shared" si="143"/>
        <v>0</v>
      </c>
      <c r="I293" s="106">
        <f t="shared" si="143"/>
        <v>0</v>
      </c>
      <c r="J293" s="106">
        <f t="shared" si="143"/>
        <v>0</v>
      </c>
      <c r="K293" s="106">
        <f t="shared" si="143"/>
        <v>0</v>
      </c>
      <c r="L293" s="106">
        <f t="shared" si="143"/>
        <v>0</v>
      </c>
      <c r="M293" s="106">
        <f t="shared" si="143"/>
        <v>0</v>
      </c>
      <c r="N293" s="106">
        <f t="shared" si="143"/>
        <v>0</v>
      </c>
      <c r="O293" s="106">
        <f t="shared" si="143"/>
        <v>0</v>
      </c>
      <c r="P293" s="106">
        <f t="shared" si="143"/>
        <v>0</v>
      </c>
      <c r="Q293" s="106">
        <f t="shared" si="143"/>
        <v>0</v>
      </c>
      <c r="R293" s="106">
        <f t="shared" si="143"/>
        <v>0</v>
      </c>
      <c r="S293" s="106">
        <f t="shared" si="143"/>
        <v>0</v>
      </c>
      <c r="T293" s="106">
        <f t="shared" si="143"/>
        <v>0</v>
      </c>
      <c r="U293" s="106">
        <f t="shared" si="143"/>
        <v>0</v>
      </c>
      <c r="V293" s="106">
        <f t="shared" si="143"/>
        <v>0</v>
      </c>
      <c r="W293" s="106">
        <f t="shared" si="143"/>
        <v>0</v>
      </c>
      <c r="X293" s="106">
        <f t="shared" si="143"/>
        <v>0</v>
      </c>
      <c r="Y293" s="106">
        <f t="shared" si="143"/>
        <v>0</v>
      </c>
      <c r="Z293" s="106">
        <f t="shared" si="143"/>
        <v>0</v>
      </c>
      <c r="AA293" s="106">
        <f t="shared" si="143"/>
        <v>0</v>
      </c>
    </row>
    <row r="294" spans="4:28" hidden="1" x14ac:dyDescent="0.25">
      <c r="E294" s="47" t="s">
        <v>725</v>
      </c>
      <c r="F294" s="47" t="s">
        <v>639</v>
      </c>
      <c r="G294" s="106" t="e">
        <f t="shared" ref="G294:AA294" si="144">G285</f>
        <v>#VALUE!</v>
      </c>
      <c r="H294" s="106" t="e">
        <f t="shared" si="144"/>
        <v>#VALUE!</v>
      </c>
      <c r="I294" s="106" t="e">
        <f t="shared" si="144"/>
        <v>#VALUE!</v>
      </c>
      <c r="J294" s="106" t="e">
        <f t="shared" si="144"/>
        <v>#VALUE!</v>
      </c>
      <c r="K294" s="106" t="e">
        <f t="shared" si="144"/>
        <v>#VALUE!</v>
      </c>
      <c r="L294" s="106" t="e">
        <f t="shared" si="144"/>
        <v>#VALUE!</v>
      </c>
      <c r="M294" s="106" t="e">
        <f t="shared" si="144"/>
        <v>#VALUE!</v>
      </c>
      <c r="N294" s="106" t="e">
        <f t="shared" si="144"/>
        <v>#VALUE!</v>
      </c>
      <c r="O294" s="106" t="e">
        <f t="shared" si="144"/>
        <v>#VALUE!</v>
      </c>
      <c r="P294" s="106" t="e">
        <f t="shared" si="144"/>
        <v>#VALUE!</v>
      </c>
      <c r="Q294" s="106" t="e">
        <f t="shared" si="144"/>
        <v>#VALUE!</v>
      </c>
      <c r="R294" s="106" t="e">
        <f t="shared" si="144"/>
        <v>#VALUE!</v>
      </c>
      <c r="S294" s="106" t="e">
        <f t="shared" si="144"/>
        <v>#VALUE!</v>
      </c>
      <c r="T294" s="106" t="e">
        <f t="shared" si="144"/>
        <v>#VALUE!</v>
      </c>
      <c r="U294" s="106" t="e">
        <f t="shared" si="144"/>
        <v>#VALUE!</v>
      </c>
      <c r="V294" s="106" t="e">
        <f t="shared" si="144"/>
        <v>#VALUE!</v>
      </c>
      <c r="W294" s="106" t="e">
        <f t="shared" si="144"/>
        <v>#VALUE!</v>
      </c>
      <c r="X294" s="106" t="e">
        <f t="shared" si="144"/>
        <v>#VALUE!</v>
      </c>
      <c r="Y294" s="106" t="e">
        <f t="shared" si="144"/>
        <v>#VALUE!</v>
      </c>
      <c r="Z294" s="106" t="e">
        <f t="shared" si="144"/>
        <v>#VALUE!</v>
      </c>
      <c r="AA294" s="106" t="e">
        <f t="shared" si="144"/>
        <v>#VALUE!</v>
      </c>
    </row>
    <row r="295" spans="4:28" hidden="1" x14ac:dyDescent="0.25"/>
    <row r="296" spans="4:28" hidden="1" x14ac:dyDescent="0.25">
      <c r="E296" s="47" t="s">
        <v>726</v>
      </c>
      <c r="F296" s="47" t="s">
        <v>639</v>
      </c>
      <c r="G296" s="106" t="e">
        <f t="shared" ref="G296:AA296" si="145">SUM(G288:G294)</f>
        <v>#VALUE!</v>
      </c>
      <c r="H296" s="106" t="e">
        <f t="shared" si="145"/>
        <v>#VALUE!</v>
      </c>
      <c r="I296" s="106" t="e">
        <f t="shared" si="145"/>
        <v>#VALUE!</v>
      </c>
      <c r="J296" s="106" t="e">
        <f t="shared" si="145"/>
        <v>#VALUE!</v>
      </c>
      <c r="K296" s="106" t="e">
        <f t="shared" si="145"/>
        <v>#VALUE!</v>
      </c>
      <c r="L296" s="106" t="e">
        <f t="shared" si="145"/>
        <v>#VALUE!</v>
      </c>
      <c r="M296" s="106" t="e">
        <f t="shared" si="145"/>
        <v>#VALUE!</v>
      </c>
      <c r="N296" s="106" t="e">
        <f t="shared" si="145"/>
        <v>#VALUE!</v>
      </c>
      <c r="O296" s="106" t="e">
        <f t="shared" si="145"/>
        <v>#VALUE!</v>
      </c>
      <c r="P296" s="106" t="e">
        <f t="shared" si="145"/>
        <v>#VALUE!</v>
      </c>
      <c r="Q296" s="106" t="e">
        <f t="shared" si="145"/>
        <v>#VALUE!</v>
      </c>
      <c r="R296" s="106" t="e">
        <f t="shared" si="145"/>
        <v>#VALUE!</v>
      </c>
      <c r="S296" s="106" t="e">
        <f t="shared" si="145"/>
        <v>#VALUE!</v>
      </c>
      <c r="T296" s="106" t="e">
        <f t="shared" si="145"/>
        <v>#VALUE!</v>
      </c>
      <c r="U296" s="106" t="e">
        <f t="shared" si="145"/>
        <v>#VALUE!</v>
      </c>
      <c r="V296" s="106" t="e">
        <f t="shared" si="145"/>
        <v>#VALUE!</v>
      </c>
      <c r="W296" s="106" t="e">
        <f t="shared" si="145"/>
        <v>#VALUE!</v>
      </c>
      <c r="X296" s="106" t="e">
        <f t="shared" si="145"/>
        <v>#VALUE!</v>
      </c>
      <c r="Y296" s="106" t="e">
        <f t="shared" si="145"/>
        <v>#VALUE!</v>
      </c>
      <c r="Z296" s="106" t="e">
        <f t="shared" si="145"/>
        <v>#VALUE!</v>
      </c>
      <c r="AA296" s="106" t="e">
        <f t="shared" si="145"/>
        <v>#VALUE!</v>
      </c>
    </row>
    <row r="297" spans="4:28" hidden="1" x14ac:dyDescent="0.25">
      <c r="E297" s="47" t="s">
        <v>727</v>
      </c>
      <c r="F297" s="47" t="s">
        <v>639</v>
      </c>
      <c r="G297" s="106" t="e">
        <f t="shared" ref="G297:AA297" si="146">-G296*G$18</f>
        <v>#VALUE!</v>
      </c>
      <c r="H297" s="106" t="e">
        <f t="shared" si="146"/>
        <v>#VALUE!</v>
      </c>
      <c r="I297" s="106" t="e">
        <f t="shared" si="146"/>
        <v>#VALUE!</v>
      </c>
      <c r="J297" s="106" t="e">
        <f t="shared" si="146"/>
        <v>#VALUE!</v>
      </c>
      <c r="K297" s="106" t="e">
        <f t="shared" si="146"/>
        <v>#VALUE!</v>
      </c>
      <c r="L297" s="106" t="e">
        <f t="shared" si="146"/>
        <v>#VALUE!</v>
      </c>
      <c r="M297" s="106" t="e">
        <f t="shared" si="146"/>
        <v>#VALUE!</v>
      </c>
      <c r="N297" s="106" t="e">
        <f t="shared" si="146"/>
        <v>#VALUE!</v>
      </c>
      <c r="O297" s="106" t="e">
        <f t="shared" si="146"/>
        <v>#VALUE!</v>
      </c>
      <c r="P297" s="106" t="e">
        <f t="shared" si="146"/>
        <v>#VALUE!</v>
      </c>
      <c r="Q297" s="106" t="e">
        <f t="shared" si="146"/>
        <v>#VALUE!</v>
      </c>
      <c r="R297" s="106" t="e">
        <f t="shared" si="146"/>
        <v>#VALUE!</v>
      </c>
      <c r="S297" s="106" t="e">
        <f t="shared" si="146"/>
        <v>#VALUE!</v>
      </c>
      <c r="T297" s="106" t="e">
        <f t="shared" si="146"/>
        <v>#VALUE!</v>
      </c>
      <c r="U297" s="106" t="e">
        <f t="shared" si="146"/>
        <v>#VALUE!</v>
      </c>
      <c r="V297" s="106" t="e">
        <f t="shared" si="146"/>
        <v>#VALUE!</v>
      </c>
      <c r="W297" s="106" t="e">
        <f t="shared" si="146"/>
        <v>#VALUE!</v>
      </c>
      <c r="X297" s="106" t="e">
        <f t="shared" si="146"/>
        <v>#VALUE!</v>
      </c>
      <c r="Y297" s="106" t="e">
        <f t="shared" si="146"/>
        <v>#VALUE!</v>
      </c>
      <c r="Z297" s="106" t="e">
        <f t="shared" si="146"/>
        <v>#VALUE!</v>
      </c>
      <c r="AA297" s="106" t="e">
        <f t="shared" si="146"/>
        <v>#VALUE!</v>
      </c>
    </row>
    <row r="298" spans="4:28" hidden="1" x14ac:dyDescent="0.25"/>
    <row r="299" spans="4:28" hidden="1" x14ac:dyDescent="0.25">
      <c r="D299" s="47" t="s">
        <v>728</v>
      </c>
    </row>
    <row r="300" spans="4:28" hidden="1" x14ac:dyDescent="0.25">
      <c r="E300" s="47" t="s">
        <v>638</v>
      </c>
      <c r="F300" s="47" t="s">
        <v>639</v>
      </c>
      <c r="G300" s="106">
        <f t="shared" ref="G300:AA307" si="147">G234</f>
        <v>0</v>
      </c>
      <c r="H300" s="106">
        <f t="shared" si="147"/>
        <v>-24786665.932264633</v>
      </c>
      <c r="I300" s="106">
        <f t="shared" si="147"/>
        <v>-29101267.60031046</v>
      </c>
      <c r="J300" s="106">
        <f t="shared" si="147"/>
        <v>-44505114.054224342</v>
      </c>
      <c r="K300" s="106">
        <f t="shared" si="147"/>
        <v>-47437443.379304178</v>
      </c>
      <c r="L300" s="106">
        <f t="shared" si="147"/>
        <v>-51697735.984262228</v>
      </c>
      <c r="M300" s="106">
        <f t="shared" si="147"/>
        <v>-50106500.277692601</v>
      </c>
      <c r="N300" s="106">
        <f t="shared" si="147"/>
        <v>-48536668.978435054</v>
      </c>
      <c r="O300" s="106">
        <f t="shared" si="147"/>
        <v>-56150092.222987078</v>
      </c>
      <c r="P300" s="106">
        <f t="shared" si="147"/>
        <v>-44568039.505052403</v>
      </c>
      <c r="Q300" s="106">
        <f t="shared" si="147"/>
        <v>-50211807.393685862</v>
      </c>
      <c r="R300" s="106">
        <f t="shared" si="147"/>
        <v>-50211807.393685862</v>
      </c>
      <c r="S300" s="106">
        <f t="shared" si="147"/>
        <v>-50211807.393685862</v>
      </c>
      <c r="T300" s="106">
        <f t="shared" si="147"/>
        <v>-50211807.393685862</v>
      </c>
      <c r="U300" s="106">
        <f t="shared" si="147"/>
        <v>-50211807.393685862</v>
      </c>
      <c r="V300" s="106">
        <f t="shared" si="147"/>
        <v>-50211807.393685862</v>
      </c>
      <c r="W300" s="106">
        <f t="shared" si="147"/>
        <v>-50211807.393685862</v>
      </c>
      <c r="X300" s="106">
        <f t="shared" si="147"/>
        <v>-50211807.393685862</v>
      </c>
      <c r="Y300" s="106">
        <f t="shared" si="147"/>
        <v>-50211807.393685862</v>
      </c>
      <c r="Z300" s="106">
        <f t="shared" si="147"/>
        <v>-50211807.393685862</v>
      </c>
      <c r="AA300" s="106">
        <f t="shared" si="147"/>
        <v>-50211807.393685862</v>
      </c>
    </row>
    <row r="301" spans="4:28" hidden="1" x14ac:dyDescent="0.25">
      <c r="E301" s="47" t="s">
        <v>729</v>
      </c>
      <c r="F301" s="47" t="s">
        <v>639</v>
      </c>
      <c r="G301" s="106">
        <f t="shared" si="147"/>
        <v>0</v>
      </c>
      <c r="H301" s="106">
        <f t="shared" si="147"/>
        <v>0</v>
      </c>
      <c r="I301" s="106">
        <f t="shared" si="147"/>
        <v>0</v>
      </c>
      <c r="J301" s="106">
        <f t="shared" si="147"/>
        <v>0</v>
      </c>
      <c r="K301" s="106">
        <f t="shared" si="147"/>
        <v>0</v>
      </c>
      <c r="L301" s="106">
        <f t="shared" si="147"/>
        <v>0</v>
      </c>
      <c r="M301" s="106">
        <f t="shared" si="147"/>
        <v>0</v>
      </c>
      <c r="N301" s="106">
        <f t="shared" si="147"/>
        <v>0</v>
      </c>
      <c r="O301" s="106">
        <f t="shared" si="147"/>
        <v>0</v>
      </c>
      <c r="P301" s="106">
        <f t="shared" si="147"/>
        <v>0</v>
      </c>
      <c r="Q301" s="106">
        <f t="shared" si="147"/>
        <v>0</v>
      </c>
      <c r="R301" s="106">
        <f t="shared" si="147"/>
        <v>0</v>
      </c>
      <c r="S301" s="106">
        <f t="shared" si="147"/>
        <v>0</v>
      </c>
      <c r="T301" s="106">
        <f t="shared" si="147"/>
        <v>0</v>
      </c>
      <c r="U301" s="106">
        <f t="shared" si="147"/>
        <v>0</v>
      </c>
      <c r="V301" s="106">
        <f t="shared" si="147"/>
        <v>0</v>
      </c>
      <c r="W301" s="106">
        <f t="shared" si="147"/>
        <v>0</v>
      </c>
      <c r="X301" s="106">
        <f t="shared" si="147"/>
        <v>0</v>
      </c>
      <c r="Y301" s="106">
        <f t="shared" si="147"/>
        <v>0</v>
      </c>
      <c r="Z301" s="106">
        <f t="shared" si="147"/>
        <v>0</v>
      </c>
      <c r="AA301" s="106">
        <f t="shared" si="147"/>
        <v>0</v>
      </c>
    </row>
    <row r="302" spans="4:28" hidden="1" x14ac:dyDescent="0.25">
      <c r="E302" s="47" t="s">
        <v>645</v>
      </c>
      <c r="F302" s="47" t="s">
        <v>639</v>
      </c>
      <c r="G302" s="106">
        <f t="shared" si="147"/>
        <v>0</v>
      </c>
      <c r="H302" s="106">
        <f t="shared" si="147"/>
        <v>0</v>
      </c>
      <c r="I302" s="106">
        <f t="shared" si="147"/>
        <v>0</v>
      </c>
      <c r="J302" s="106">
        <f t="shared" si="147"/>
        <v>0</v>
      </c>
      <c r="K302" s="106">
        <f t="shared" si="147"/>
        <v>0</v>
      </c>
      <c r="L302" s="106">
        <f t="shared" si="147"/>
        <v>0</v>
      </c>
      <c r="M302" s="106">
        <f t="shared" si="147"/>
        <v>0</v>
      </c>
      <c r="N302" s="106">
        <f t="shared" si="147"/>
        <v>0</v>
      </c>
      <c r="O302" s="106">
        <f t="shared" si="147"/>
        <v>0</v>
      </c>
      <c r="P302" s="106">
        <f t="shared" si="147"/>
        <v>0</v>
      </c>
      <c r="Q302" s="106">
        <f t="shared" si="147"/>
        <v>0</v>
      </c>
      <c r="R302" s="106">
        <f t="shared" si="147"/>
        <v>0</v>
      </c>
      <c r="S302" s="106">
        <f t="shared" si="147"/>
        <v>0</v>
      </c>
      <c r="T302" s="106">
        <f t="shared" si="147"/>
        <v>0</v>
      </c>
      <c r="U302" s="106">
        <f t="shared" si="147"/>
        <v>0</v>
      </c>
      <c r="V302" s="106">
        <f t="shared" si="147"/>
        <v>0</v>
      </c>
      <c r="W302" s="106">
        <f t="shared" si="147"/>
        <v>0</v>
      </c>
      <c r="X302" s="106">
        <f t="shared" si="147"/>
        <v>0</v>
      </c>
      <c r="Y302" s="106">
        <f t="shared" si="147"/>
        <v>0</v>
      </c>
      <c r="Z302" s="106">
        <f t="shared" si="147"/>
        <v>0</v>
      </c>
      <c r="AA302" s="106">
        <f t="shared" si="147"/>
        <v>0</v>
      </c>
    </row>
    <row r="303" spans="4:28" hidden="1" x14ac:dyDescent="0.25">
      <c r="E303" s="47" t="s">
        <v>723</v>
      </c>
      <c r="F303" s="47" t="s">
        <v>639</v>
      </c>
      <c r="G303" s="106">
        <f t="shared" si="147"/>
        <v>0</v>
      </c>
      <c r="H303" s="106">
        <f t="shared" si="147"/>
        <v>6245125.8596107643</v>
      </c>
      <c r="I303" s="106">
        <f t="shared" si="147"/>
        <v>12893597.161814652</v>
      </c>
      <c r="J303" s="106">
        <f t="shared" si="147"/>
        <v>18531002.579957001</v>
      </c>
      <c r="K303" s="106">
        <f t="shared" si="147"/>
        <v>24248564.127202962</v>
      </c>
      <c r="L303" s="106">
        <f t="shared" si="147"/>
        <v>29956271.447722342</v>
      </c>
      <c r="M303" s="106">
        <f t="shared" si="147"/>
        <v>35549854.919897206</v>
      </c>
      <c r="N303" s="106">
        <f t="shared" si="147"/>
        <v>41273960.647578053</v>
      </c>
      <c r="O303" s="106">
        <f t="shared" si="147"/>
        <v>47080138.95416452</v>
      </c>
      <c r="P303" s="106">
        <f t="shared" si="147"/>
        <v>53028419.418250188</v>
      </c>
      <c r="Q303" s="106">
        <f t="shared" si="147"/>
        <v>56727300.988714896</v>
      </c>
      <c r="R303" s="106">
        <f t="shared" si="147"/>
        <v>62420073.357796833</v>
      </c>
      <c r="S303" s="106">
        <f t="shared" si="147"/>
        <v>68191026.521264717</v>
      </c>
      <c r="T303" s="106">
        <f t="shared" si="147"/>
        <v>74031132.410554394</v>
      </c>
      <c r="U303" s="106">
        <f t="shared" si="147"/>
        <v>79901187.603013739</v>
      </c>
      <c r="V303" s="106">
        <f t="shared" si="147"/>
        <v>75939453.400006071</v>
      </c>
      <c r="W303" s="106">
        <f t="shared" si="147"/>
        <v>81150981.955842778</v>
      </c>
      <c r="X303" s="106">
        <f t="shared" si="147"/>
        <v>86307058.964245304</v>
      </c>
      <c r="Y303" s="106">
        <f t="shared" si="147"/>
        <v>91485499.071269989</v>
      </c>
      <c r="Z303" s="106">
        <f t="shared" si="147"/>
        <v>96654547.565798104</v>
      </c>
      <c r="AA303" s="106">
        <f t="shared" si="147"/>
        <v>102033699.20223655</v>
      </c>
      <c r="AB303" s="106">
        <f t="shared" ref="AB303:AB307" si="148">IF(V303=0,0,IF($G$15&gt;(AA303/V303)^(1/5)-1+2%,AA303*(AA303/V303)^(1/5)/($G$15-((AA303/V303)^(1/5)-1)),AA303*(1+$G$14)/$G$16))</f>
        <v>4233763452.3749585</v>
      </c>
    </row>
    <row r="304" spans="4:28" hidden="1" x14ac:dyDescent="0.25">
      <c r="E304" s="47" t="s">
        <v>701</v>
      </c>
      <c r="F304" s="47" t="s">
        <v>639</v>
      </c>
      <c r="G304" s="106">
        <f t="shared" si="147"/>
        <v>0</v>
      </c>
      <c r="H304" s="106">
        <f t="shared" si="147"/>
        <v>-2603069.2259085239</v>
      </c>
      <c r="I304" s="106">
        <f t="shared" si="147"/>
        <v>-5351997.5169124361</v>
      </c>
      <c r="J304" s="106">
        <f t="shared" si="147"/>
        <v>-7519035.9985779161</v>
      </c>
      <c r="K304" s="106">
        <f t="shared" si="147"/>
        <v>-9606482.8996243551</v>
      </c>
      <c r="L304" s="106">
        <f t="shared" si="147"/>
        <v>-11574114.941671478</v>
      </c>
      <c r="M304" s="106">
        <f t="shared" si="147"/>
        <v>-13419335.729013147</v>
      </c>
      <c r="N304" s="106">
        <f t="shared" si="147"/>
        <v>-15212805.129134661</v>
      </c>
      <c r="O304" s="106">
        <f t="shared" si="147"/>
        <v>-16987655.209690426</v>
      </c>
      <c r="P304" s="106">
        <f t="shared" si="147"/>
        <v>-18737645.677672803</v>
      </c>
      <c r="Q304" s="106">
        <f t="shared" si="147"/>
        <v>-20455564.170994505</v>
      </c>
      <c r="R304" s="106">
        <f t="shared" si="147"/>
        <v>-22159319.073144004</v>
      </c>
      <c r="S304" s="106">
        <f t="shared" si="147"/>
        <v>-23831613.735689938</v>
      </c>
      <c r="T304" s="106">
        <f t="shared" si="147"/>
        <v>-25469588.404243637</v>
      </c>
      <c r="U304" s="106">
        <f t="shared" si="147"/>
        <v>-27061483.656448875</v>
      </c>
      <c r="V304" s="106">
        <f t="shared" si="147"/>
        <v>-28608208.666054573</v>
      </c>
      <c r="W304" s="106">
        <f t="shared" si="147"/>
        <v>-30105586.024823256</v>
      </c>
      <c r="X304" s="106">
        <f t="shared" si="147"/>
        <v>-31542680.058875728</v>
      </c>
      <c r="Y304" s="106">
        <f t="shared" si="147"/>
        <v>-32935001.814259574</v>
      </c>
      <c r="Z304" s="106">
        <f t="shared" si="147"/>
        <v>-34279342.113327935</v>
      </c>
      <c r="AA304" s="106">
        <f t="shared" si="147"/>
        <v>-35602284.97085724</v>
      </c>
      <c r="AB304" s="106">
        <f t="shared" si="148"/>
        <v>-1477273235.305279</v>
      </c>
    </row>
    <row r="305" spans="1:28" hidden="1" x14ac:dyDescent="0.25">
      <c r="E305" s="47" t="s">
        <v>702</v>
      </c>
      <c r="F305" s="47" t="s">
        <v>639</v>
      </c>
      <c r="G305" s="106">
        <f t="shared" si="147"/>
        <v>0</v>
      </c>
      <c r="H305" s="106">
        <f t="shared" si="147"/>
        <v>-2248749.4035934797</v>
      </c>
      <c r="I305" s="106">
        <f t="shared" si="147"/>
        <v>-4477031.8560552625</v>
      </c>
      <c r="J305" s="106">
        <f t="shared" si="147"/>
        <v>-6273193.652902321</v>
      </c>
      <c r="K305" s="106">
        <f t="shared" si="147"/>
        <v>-8051202.7333635725</v>
      </c>
      <c r="L305" s="106">
        <f t="shared" si="147"/>
        <v>-9782630.3208200186</v>
      </c>
      <c r="M305" s="106">
        <f t="shared" si="147"/>
        <v>-11429809.586425774</v>
      </c>
      <c r="N305" s="106">
        <f t="shared" si="147"/>
        <v>-13018975.966519702</v>
      </c>
      <c r="O305" s="106">
        <f t="shared" si="147"/>
        <v>-14594838.219451092</v>
      </c>
      <c r="P305" s="106">
        <f t="shared" si="147"/>
        <v>-16150797.197807537</v>
      </c>
      <c r="Q305" s="106">
        <f t="shared" si="147"/>
        <v>-17955707.45155625</v>
      </c>
      <c r="R305" s="106">
        <f t="shared" si="147"/>
        <v>-19800785.068580501</v>
      </c>
      <c r="S305" s="106">
        <f t="shared" si="147"/>
        <v>-21676302.961091805</v>
      </c>
      <c r="T305" s="106">
        <f t="shared" si="147"/>
        <v>-23579336.978953104</v>
      </c>
      <c r="U305" s="106">
        <f t="shared" si="147"/>
        <v>-25499295.463471469</v>
      </c>
      <c r="V305" s="106">
        <f t="shared" si="147"/>
        <v>-27434381.148930099</v>
      </c>
      <c r="W305" s="106">
        <f t="shared" si="147"/>
        <v>-29374501.396596957</v>
      </c>
      <c r="X305" s="106">
        <f t="shared" si="147"/>
        <v>-31326487.37550595</v>
      </c>
      <c r="Y305" s="106">
        <f t="shared" si="147"/>
        <v>-33267876.396750528</v>
      </c>
      <c r="Z305" s="106">
        <f t="shared" si="147"/>
        <v>-35211640.654841788</v>
      </c>
      <c r="AA305" s="106">
        <f t="shared" si="147"/>
        <v>-37170284.48710043</v>
      </c>
      <c r="AB305" s="106">
        <f t="shared" si="148"/>
        <v>-1542335455.8962827</v>
      </c>
    </row>
    <row r="306" spans="1:28" hidden="1" x14ac:dyDescent="0.25">
      <c r="E306" s="47" t="s">
        <v>709</v>
      </c>
      <c r="F306" s="47" t="s">
        <v>639</v>
      </c>
      <c r="G306" s="106">
        <f t="shared" si="147"/>
        <v>0</v>
      </c>
      <c r="H306" s="106">
        <f t="shared" si="147"/>
        <v>0</v>
      </c>
      <c r="I306" s="106">
        <f t="shared" si="147"/>
        <v>0</v>
      </c>
      <c r="J306" s="106">
        <f t="shared" si="147"/>
        <v>0</v>
      </c>
      <c r="K306" s="106">
        <f t="shared" si="147"/>
        <v>0</v>
      </c>
      <c r="L306" s="106">
        <f t="shared" si="147"/>
        <v>0</v>
      </c>
      <c r="M306" s="106">
        <f t="shared" si="147"/>
        <v>0</v>
      </c>
      <c r="N306" s="106">
        <f t="shared" si="147"/>
        <v>0</v>
      </c>
      <c r="O306" s="106">
        <f t="shared" si="147"/>
        <v>0</v>
      </c>
      <c r="P306" s="106">
        <f t="shared" si="147"/>
        <v>0</v>
      </c>
      <c r="Q306" s="106">
        <f t="shared" si="147"/>
        <v>0</v>
      </c>
      <c r="R306" s="106">
        <f t="shared" si="147"/>
        <v>0</v>
      </c>
      <c r="S306" s="106">
        <f t="shared" si="147"/>
        <v>0</v>
      </c>
      <c r="T306" s="106">
        <f t="shared" si="147"/>
        <v>0</v>
      </c>
      <c r="U306" s="106">
        <f t="shared" si="147"/>
        <v>0</v>
      </c>
      <c r="V306" s="106">
        <f t="shared" si="147"/>
        <v>0</v>
      </c>
      <c r="W306" s="106">
        <f t="shared" si="147"/>
        <v>0</v>
      </c>
      <c r="X306" s="106">
        <f t="shared" si="147"/>
        <v>0</v>
      </c>
      <c r="Y306" s="106">
        <f t="shared" si="147"/>
        <v>0</v>
      </c>
      <c r="Z306" s="106">
        <f t="shared" si="147"/>
        <v>0</v>
      </c>
      <c r="AA306" s="106">
        <f t="shared" si="147"/>
        <v>0</v>
      </c>
      <c r="AB306" s="106">
        <f t="shared" si="148"/>
        <v>0</v>
      </c>
    </row>
    <row r="307" spans="1:28" hidden="1" x14ac:dyDescent="0.25">
      <c r="E307" s="47" t="s">
        <v>714</v>
      </c>
      <c r="F307" s="47" t="s">
        <v>639</v>
      </c>
      <c r="G307" s="106">
        <f t="shared" si="147"/>
        <v>0</v>
      </c>
      <c r="H307" s="106">
        <f t="shared" si="147"/>
        <v>0</v>
      </c>
      <c r="I307" s="106">
        <f t="shared" si="147"/>
        <v>0</v>
      </c>
      <c r="J307" s="106">
        <f t="shared" si="147"/>
        <v>0</v>
      </c>
      <c r="K307" s="106">
        <f t="shared" si="147"/>
        <v>0</v>
      </c>
      <c r="L307" s="106">
        <f t="shared" si="147"/>
        <v>0</v>
      </c>
      <c r="M307" s="106">
        <f t="shared" si="147"/>
        <v>0</v>
      </c>
      <c r="N307" s="106">
        <f t="shared" si="147"/>
        <v>0</v>
      </c>
      <c r="O307" s="106">
        <f t="shared" si="147"/>
        <v>0</v>
      </c>
      <c r="P307" s="106">
        <f t="shared" si="147"/>
        <v>0</v>
      </c>
      <c r="Q307" s="106">
        <f t="shared" si="147"/>
        <v>0</v>
      </c>
      <c r="R307" s="106">
        <f t="shared" si="147"/>
        <v>0</v>
      </c>
      <c r="S307" s="106">
        <f t="shared" si="147"/>
        <v>0</v>
      </c>
      <c r="T307" s="106">
        <f t="shared" si="147"/>
        <v>0</v>
      </c>
      <c r="U307" s="106">
        <f t="shared" si="147"/>
        <v>0</v>
      </c>
      <c r="V307" s="106">
        <f t="shared" si="147"/>
        <v>0</v>
      </c>
      <c r="W307" s="106">
        <f t="shared" si="147"/>
        <v>0</v>
      </c>
      <c r="X307" s="106">
        <f t="shared" si="147"/>
        <v>0</v>
      </c>
      <c r="Y307" s="106">
        <f t="shared" si="147"/>
        <v>0</v>
      </c>
      <c r="Z307" s="106">
        <f t="shared" si="147"/>
        <v>0</v>
      </c>
      <c r="AA307" s="106">
        <f t="shared" si="147"/>
        <v>0</v>
      </c>
      <c r="AB307" s="106">
        <f t="shared" si="148"/>
        <v>0</v>
      </c>
    </row>
    <row r="308" spans="1:28" hidden="1" x14ac:dyDescent="0.25">
      <c r="E308" s="47" t="s">
        <v>458</v>
      </c>
      <c r="F308" s="47" t="s">
        <v>639</v>
      </c>
      <c r="G308" s="106" t="e">
        <f t="shared" ref="G308:AA308" si="149">G297</f>
        <v>#VALUE!</v>
      </c>
      <c r="H308" s="106" t="e">
        <f t="shared" si="149"/>
        <v>#VALUE!</v>
      </c>
      <c r="I308" s="106" t="e">
        <f t="shared" si="149"/>
        <v>#VALUE!</v>
      </c>
      <c r="J308" s="106" t="e">
        <f t="shared" si="149"/>
        <v>#VALUE!</v>
      </c>
      <c r="K308" s="106" t="e">
        <f t="shared" si="149"/>
        <v>#VALUE!</v>
      </c>
      <c r="L308" s="106" t="e">
        <f t="shared" si="149"/>
        <v>#VALUE!</v>
      </c>
      <c r="M308" s="106" t="e">
        <f t="shared" si="149"/>
        <v>#VALUE!</v>
      </c>
      <c r="N308" s="106" t="e">
        <f t="shared" si="149"/>
        <v>#VALUE!</v>
      </c>
      <c r="O308" s="106" t="e">
        <f t="shared" si="149"/>
        <v>#VALUE!</v>
      </c>
      <c r="P308" s="106" t="e">
        <f t="shared" si="149"/>
        <v>#VALUE!</v>
      </c>
      <c r="Q308" s="106" t="e">
        <f t="shared" si="149"/>
        <v>#VALUE!</v>
      </c>
      <c r="R308" s="106" t="e">
        <f t="shared" si="149"/>
        <v>#VALUE!</v>
      </c>
      <c r="S308" s="106" t="e">
        <f t="shared" si="149"/>
        <v>#VALUE!</v>
      </c>
      <c r="T308" s="106" t="e">
        <f t="shared" si="149"/>
        <v>#VALUE!</v>
      </c>
      <c r="U308" s="106" t="e">
        <f t="shared" si="149"/>
        <v>#VALUE!</v>
      </c>
      <c r="V308" s="106" t="e">
        <f t="shared" si="149"/>
        <v>#VALUE!</v>
      </c>
      <c r="W308" s="106" t="e">
        <f t="shared" si="149"/>
        <v>#VALUE!</v>
      </c>
      <c r="X308" s="106" t="e">
        <f t="shared" si="149"/>
        <v>#VALUE!</v>
      </c>
      <c r="Y308" s="106" t="e">
        <f t="shared" si="149"/>
        <v>#VALUE!</v>
      </c>
      <c r="Z308" s="106" t="e">
        <f t="shared" si="149"/>
        <v>#VALUE!</v>
      </c>
      <c r="AA308" s="106" t="e">
        <f t="shared" si="149"/>
        <v>#VALUE!</v>
      </c>
      <c r="AB308" s="106" t="e">
        <f>IF(V308=0,0,IF($G$15&gt;(AA308/V308)^(1/5)-1+2%,AA308*(AA308/V308)^(1/5)/($G$15-((AA308/V308)^(1/5)-1)),AA308*(1+$G$14)/$G$16))</f>
        <v>#VALUE!</v>
      </c>
    </row>
    <row r="309" spans="1:28" hidden="1" x14ac:dyDescent="0.25">
      <c r="E309" s="47" t="s">
        <v>730</v>
      </c>
      <c r="F309" s="47" t="s">
        <v>639</v>
      </c>
      <c r="G309" s="106" t="e">
        <f>-$G$17*G308</f>
        <v>#VALUE!</v>
      </c>
      <c r="H309" s="106" t="e">
        <f t="shared" ref="H309:AA309" si="150">-$G$17*H308</f>
        <v>#VALUE!</v>
      </c>
      <c r="I309" s="106" t="e">
        <f t="shared" si="150"/>
        <v>#VALUE!</v>
      </c>
      <c r="J309" s="106" t="e">
        <f t="shared" si="150"/>
        <v>#VALUE!</v>
      </c>
      <c r="K309" s="106" t="e">
        <f t="shared" si="150"/>
        <v>#VALUE!</v>
      </c>
      <c r="L309" s="106" t="e">
        <f t="shared" si="150"/>
        <v>#VALUE!</v>
      </c>
      <c r="M309" s="106" t="e">
        <f t="shared" si="150"/>
        <v>#VALUE!</v>
      </c>
      <c r="N309" s="106" t="e">
        <f t="shared" si="150"/>
        <v>#VALUE!</v>
      </c>
      <c r="O309" s="106" t="e">
        <f t="shared" si="150"/>
        <v>#VALUE!</v>
      </c>
      <c r="P309" s="106" t="e">
        <f t="shared" si="150"/>
        <v>#VALUE!</v>
      </c>
      <c r="Q309" s="106" t="e">
        <f t="shared" si="150"/>
        <v>#VALUE!</v>
      </c>
      <c r="R309" s="106" t="e">
        <f t="shared" si="150"/>
        <v>#VALUE!</v>
      </c>
      <c r="S309" s="106" t="e">
        <f t="shared" si="150"/>
        <v>#VALUE!</v>
      </c>
      <c r="T309" s="106" t="e">
        <f t="shared" si="150"/>
        <v>#VALUE!</v>
      </c>
      <c r="U309" s="106" t="e">
        <f t="shared" si="150"/>
        <v>#VALUE!</v>
      </c>
      <c r="V309" s="106" t="e">
        <f t="shared" si="150"/>
        <v>#VALUE!</v>
      </c>
      <c r="W309" s="106" t="e">
        <f t="shared" si="150"/>
        <v>#VALUE!</v>
      </c>
      <c r="X309" s="106" t="e">
        <f t="shared" si="150"/>
        <v>#VALUE!</v>
      </c>
      <c r="Y309" s="106" t="e">
        <f t="shared" si="150"/>
        <v>#VALUE!</v>
      </c>
      <c r="Z309" s="106" t="e">
        <f t="shared" si="150"/>
        <v>#VALUE!</v>
      </c>
      <c r="AA309" s="106" t="e">
        <f t="shared" si="150"/>
        <v>#VALUE!</v>
      </c>
      <c r="AB309" s="106" t="e">
        <f t="shared" ref="AB309" si="151">IF(V309=0,0,IF($G$15&gt;(AA309/V309)^(1/5)-1+2%,AA309*(AA309/V309)^(1/5)/($G$15-((AA309/V309)^(1/5)-1)),AA309*(1+$G$14)/$G$16))</f>
        <v>#VALUE!</v>
      </c>
    </row>
    <row r="310" spans="1:28" hidden="1" x14ac:dyDescent="0.25">
      <c r="E310" s="47" t="s">
        <v>731</v>
      </c>
      <c r="F310" s="47" t="s">
        <v>639</v>
      </c>
      <c r="G310" s="106" t="e">
        <f t="shared" ref="G310:AA310" si="152">SUM(G300:G309)</f>
        <v>#VALUE!</v>
      </c>
      <c r="H310" s="106" t="e">
        <f t="shared" si="152"/>
        <v>#VALUE!</v>
      </c>
      <c r="I310" s="106" t="e">
        <f t="shared" si="152"/>
        <v>#VALUE!</v>
      </c>
      <c r="J310" s="106" t="e">
        <f t="shared" si="152"/>
        <v>#VALUE!</v>
      </c>
      <c r="K310" s="106" t="e">
        <f t="shared" si="152"/>
        <v>#VALUE!</v>
      </c>
      <c r="L310" s="106" t="e">
        <f t="shared" si="152"/>
        <v>#VALUE!</v>
      </c>
      <c r="M310" s="106" t="e">
        <f t="shared" si="152"/>
        <v>#VALUE!</v>
      </c>
      <c r="N310" s="106" t="e">
        <f t="shared" si="152"/>
        <v>#VALUE!</v>
      </c>
      <c r="O310" s="106" t="e">
        <f t="shared" si="152"/>
        <v>#VALUE!</v>
      </c>
      <c r="P310" s="106" t="e">
        <f t="shared" si="152"/>
        <v>#VALUE!</v>
      </c>
      <c r="Q310" s="106" t="e">
        <f t="shared" si="152"/>
        <v>#VALUE!</v>
      </c>
      <c r="R310" s="106" t="e">
        <f t="shared" si="152"/>
        <v>#VALUE!</v>
      </c>
      <c r="S310" s="106" t="e">
        <f t="shared" si="152"/>
        <v>#VALUE!</v>
      </c>
      <c r="T310" s="106" t="e">
        <f t="shared" si="152"/>
        <v>#VALUE!</v>
      </c>
      <c r="U310" s="106" t="e">
        <f t="shared" si="152"/>
        <v>#VALUE!</v>
      </c>
      <c r="V310" s="106" t="e">
        <f t="shared" si="152"/>
        <v>#VALUE!</v>
      </c>
      <c r="W310" s="106" t="e">
        <f t="shared" si="152"/>
        <v>#VALUE!</v>
      </c>
      <c r="X310" s="106" t="e">
        <f t="shared" si="152"/>
        <v>#VALUE!</v>
      </c>
      <c r="Y310" s="106" t="e">
        <f t="shared" si="152"/>
        <v>#VALUE!</v>
      </c>
      <c r="Z310" s="106" t="e">
        <f t="shared" si="152"/>
        <v>#VALUE!</v>
      </c>
      <c r="AA310" s="106" t="e">
        <f t="shared" si="152"/>
        <v>#VALUE!</v>
      </c>
      <c r="AB310" s="106" t="e">
        <f>SUM(AB300:AB309)*IF(DASH!#REF!="yes",1,0)</f>
        <v>#VALUE!</v>
      </c>
    </row>
    <row r="311" spans="1:28" hidden="1" x14ac:dyDescent="0.25">
      <c r="E311" s="47" t="s">
        <v>732</v>
      </c>
      <c r="F311" s="47" t="s">
        <v>639</v>
      </c>
      <c r="G311" s="106" t="e">
        <f>NPV($G$15,H310:AQ310)+G310</f>
        <v>#VALUE!</v>
      </c>
    </row>
    <row r="312" spans="1:28" hidden="1" x14ac:dyDescent="0.25"/>
    <row r="313" spans="1:28" hidden="1" x14ac:dyDescent="0.25">
      <c r="E313" s="47" t="s">
        <v>725</v>
      </c>
      <c r="F313" s="47" t="s">
        <v>639</v>
      </c>
      <c r="G313" s="106" t="e">
        <f t="shared" ref="G313:AA313" si="153">G285</f>
        <v>#VALUE!</v>
      </c>
      <c r="H313" s="106" t="e">
        <f t="shared" si="153"/>
        <v>#VALUE!</v>
      </c>
      <c r="I313" s="106" t="e">
        <f t="shared" si="153"/>
        <v>#VALUE!</v>
      </c>
      <c r="J313" s="106" t="e">
        <f t="shared" si="153"/>
        <v>#VALUE!</v>
      </c>
      <c r="K313" s="106" t="e">
        <f t="shared" si="153"/>
        <v>#VALUE!</v>
      </c>
      <c r="L313" s="106" t="e">
        <f t="shared" si="153"/>
        <v>#VALUE!</v>
      </c>
      <c r="M313" s="106" t="e">
        <f t="shared" si="153"/>
        <v>#VALUE!</v>
      </c>
      <c r="N313" s="106" t="e">
        <f t="shared" si="153"/>
        <v>#VALUE!</v>
      </c>
      <c r="O313" s="106" t="e">
        <f t="shared" si="153"/>
        <v>#VALUE!</v>
      </c>
      <c r="P313" s="106" t="e">
        <f t="shared" si="153"/>
        <v>#VALUE!</v>
      </c>
      <c r="Q313" s="106" t="e">
        <f t="shared" si="153"/>
        <v>#VALUE!</v>
      </c>
      <c r="R313" s="106" t="e">
        <f t="shared" si="153"/>
        <v>#VALUE!</v>
      </c>
      <c r="S313" s="106" t="e">
        <f t="shared" si="153"/>
        <v>#VALUE!</v>
      </c>
      <c r="T313" s="106" t="e">
        <f t="shared" si="153"/>
        <v>#VALUE!</v>
      </c>
      <c r="U313" s="106" t="e">
        <f t="shared" si="153"/>
        <v>#VALUE!</v>
      </c>
      <c r="V313" s="106" t="e">
        <f t="shared" si="153"/>
        <v>#VALUE!</v>
      </c>
      <c r="W313" s="106" t="e">
        <f t="shared" si="153"/>
        <v>#VALUE!</v>
      </c>
      <c r="X313" s="106" t="e">
        <f t="shared" si="153"/>
        <v>#VALUE!</v>
      </c>
      <c r="Y313" s="106" t="e">
        <f t="shared" si="153"/>
        <v>#VALUE!</v>
      </c>
      <c r="Z313" s="106" t="e">
        <f t="shared" si="153"/>
        <v>#VALUE!</v>
      </c>
      <c r="AA313" s="106" t="e">
        <f t="shared" si="153"/>
        <v>#VALUE!</v>
      </c>
    </row>
    <row r="314" spans="1:28" hidden="1" x14ac:dyDescent="0.25">
      <c r="E314" s="47" t="s">
        <v>733</v>
      </c>
      <c r="F314" s="47" t="s">
        <v>639</v>
      </c>
      <c r="G314" s="106" t="e">
        <f>NPV($G$15,H313:AP313)+G313</f>
        <v>#VALUE!</v>
      </c>
    </row>
    <row r="315" spans="1:28" hidden="1" x14ac:dyDescent="0.25">
      <c r="E315" s="111" t="s">
        <v>734</v>
      </c>
      <c r="F315" s="111"/>
      <c r="G315" s="118" t="e">
        <f>IF(G311&gt;0,"N/A",IF(ABS(G311+G314)&gt;1,"Error","OK"))</f>
        <v>#VALUE!</v>
      </c>
    </row>
    <row r="316" spans="1:28" hidden="1" x14ac:dyDescent="0.25"/>
    <row r="317" spans="1:28" hidden="1" x14ac:dyDescent="0.25"/>
    <row r="318" spans="1:28" x14ac:dyDescent="0.25">
      <c r="C318" s="100" t="s">
        <v>740</v>
      </c>
    </row>
    <row r="319" spans="1:28" x14ac:dyDescent="0.25">
      <c r="E319" s="47" t="s">
        <v>741</v>
      </c>
      <c r="F319" s="47" t="s">
        <v>742</v>
      </c>
    </row>
    <row r="320" spans="1:28" x14ac:dyDescent="0.25">
      <c r="A320" s="101">
        <v>55</v>
      </c>
      <c r="E320" s="119" t="s">
        <v>301</v>
      </c>
      <c r="F320" s="119" t="s">
        <v>743</v>
      </c>
    </row>
    <row r="321" spans="5:6" x14ac:dyDescent="0.25">
      <c r="E321" s="119" t="s">
        <v>303</v>
      </c>
      <c r="F321" s="119" t="s">
        <v>744</v>
      </c>
    </row>
    <row r="322" spans="5:6" x14ac:dyDescent="0.25">
      <c r="E322" s="119" t="s">
        <v>310</v>
      </c>
      <c r="F322" s="119" t="s">
        <v>745</v>
      </c>
    </row>
    <row r="323" spans="5:6" x14ac:dyDescent="0.25">
      <c r="E323" s="119" t="s">
        <v>305</v>
      </c>
      <c r="F323" s="119" t="s">
        <v>746</v>
      </c>
    </row>
  </sheetData>
  <mergeCells count="1">
    <mergeCell ref="G4:H4"/>
  </mergeCells>
  <dataValidations count="1">
    <dataValidation type="list" showInputMessage="1" showErrorMessage="1" sqref="G4:H4" xr:uid="{1FA28157-B5A2-4E8F-8BC7-D38559681DEB}">
      <formula1>$E$320:$E$323</formula1>
    </dataValidation>
  </dataValidations>
  <pageMargins left="0.75" right="0.75" top="1" bottom="1" header="0.5" footer="0.5"/>
  <pageSetup paperSize="9" orientation="portrait" horizontalDpi="4294967292" verticalDpi="429496729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511A8-9E4F-4800-A10D-8ACF659B7D6C}">
  <sheetPr codeName="Sheet40">
    <tabColor rgb="FF8EA9DB"/>
  </sheetPr>
  <dimension ref="A1:AN323"/>
  <sheetViews>
    <sheetView zoomScale="80" zoomScaleNormal="80" workbookViewId="0">
      <pane xSplit="5" ySplit="2" topLeftCell="G87" activePane="bottomRight" state="frozenSplit"/>
      <selection pane="topRight" activeCell="G37" sqref="G37:AA37"/>
      <selection pane="bottomLeft" activeCell="G37" sqref="G37:AA37"/>
      <selection pane="bottomRight" activeCell="G15" sqref="G15"/>
    </sheetView>
  </sheetViews>
  <sheetFormatPr defaultColWidth="14" defaultRowHeight="15.75" x14ac:dyDescent="0.25"/>
  <cols>
    <col min="1" max="1" width="12.83203125" style="101" customWidth="1"/>
    <col min="2" max="2" width="3.83203125" style="47" customWidth="1"/>
    <col min="3" max="3" width="4.33203125" style="47" customWidth="1"/>
    <col min="4" max="4" width="3.6640625" style="47" customWidth="1"/>
    <col min="5" max="5" width="46.5" style="47" bestFit="1" customWidth="1"/>
    <col min="6" max="6" width="22.33203125" style="47" customWidth="1"/>
    <col min="7" max="7" width="16.5" style="47" customWidth="1"/>
    <col min="8" max="26" width="14" style="47"/>
    <col min="27" max="27" width="16.83203125" style="47" customWidth="1"/>
    <col min="28" max="28" width="14.1640625" style="47" customWidth="1"/>
    <col min="29" max="16384" width="14" style="47"/>
  </cols>
  <sheetData>
    <row r="1" spans="1:27" ht="28.5" x14ac:dyDescent="0.45">
      <c r="A1" s="95" t="str" cm="1">
        <f t="array" ref="A1">RIGHT(CELL("filename",A1),LEN(CELL("filename",A1))-SEARCH("]",CELL("filename",A1)))</f>
        <v>SA</v>
      </c>
      <c r="E1" s="96" t="str">
        <f>INDEX(TariffName,MATCH(A1,TariffCode,0))</f>
        <v>Standard - Water and Sewer</v>
      </c>
      <c r="F1" s="97">
        <f>G218</f>
        <v>3775.7100584309469</v>
      </c>
      <c r="G1" s="98" t="str">
        <f>'INPUT Opex'!AC7</f>
        <v>2023-24</v>
      </c>
      <c r="H1" s="98" t="str">
        <f>'INPUT Opex'!AD7</f>
        <v>2024-25</v>
      </c>
      <c r="I1" s="98" t="str">
        <f>'INPUT Opex'!AE7</f>
        <v>2025-26</v>
      </c>
      <c r="J1" s="98" t="str">
        <f>'INPUT Opex'!AF7</f>
        <v>2026-27</v>
      </c>
      <c r="K1" s="98" t="str">
        <f>'INPUT Opex'!AG7</f>
        <v>2027-28</v>
      </c>
      <c r="L1" s="98" t="str">
        <f>'INPUT Opex'!AH7</f>
        <v>2028-29</v>
      </c>
      <c r="M1" s="98" t="str">
        <f>'INPUT Opex'!AI7</f>
        <v>2029-30</v>
      </c>
      <c r="N1" s="98" t="str">
        <f>'INPUT Opex'!AJ7</f>
        <v>2030-31</v>
      </c>
      <c r="O1" s="98" t="str">
        <f>'INPUT Opex'!AK7</f>
        <v>2031-32</v>
      </c>
      <c r="P1" s="98" t="str">
        <f>'INPUT Opex'!AL7</f>
        <v>2032-33</v>
      </c>
      <c r="Q1" s="98" t="str">
        <f>'INPUT Opex'!AM7</f>
        <v>2033-34</v>
      </c>
      <c r="R1" s="98" t="str">
        <f>'INPUT Opex'!AN7</f>
        <v>2034-35</v>
      </c>
      <c r="S1" s="98" t="str">
        <f>'INPUT Opex'!AO7</f>
        <v>2035-36</v>
      </c>
      <c r="T1" s="98" t="str">
        <f>'INPUT Opex'!AP7</f>
        <v>2036-37</v>
      </c>
      <c r="U1" s="98" t="str">
        <f>'INPUT Opex'!AQ7</f>
        <v>2037-38</v>
      </c>
      <c r="V1" s="98" t="str">
        <f>'INPUT Opex'!AR7</f>
        <v>2038-39</v>
      </c>
      <c r="W1" s="98" t="str">
        <f>'INPUT Opex'!AS7</f>
        <v>2039-40</v>
      </c>
      <c r="X1" s="98" t="str">
        <f>'INPUT Opex'!AT7</f>
        <v>2040-41</v>
      </c>
      <c r="Y1" s="98" t="str">
        <f>'INPUT Opex'!AU7</f>
        <v>2041-42</v>
      </c>
      <c r="Z1" s="98" t="str">
        <f>'INPUT Opex'!AV7</f>
        <v>2042-43</v>
      </c>
      <c r="AA1" s="98" t="str">
        <f>'INPUT Opex'!AW7</f>
        <v>2043-44</v>
      </c>
    </row>
    <row r="2" spans="1:27" x14ac:dyDescent="0.25">
      <c r="A2" s="99"/>
      <c r="C2" s="100" t="s">
        <v>625</v>
      </c>
      <c r="D2" s="100"/>
      <c r="E2" s="106"/>
      <c r="F2" s="97"/>
      <c r="G2" s="47">
        <v>0</v>
      </c>
      <c r="H2" s="47">
        <v>1</v>
      </c>
      <c r="I2" s="47">
        <v>2</v>
      </c>
      <c r="J2" s="47">
        <v>3</v>
      </c>
      <c r="K2" s="47">
        <v>4</v>
      </c>
      <c r="L2" s="47">
        <v>5</v>
      </c>
      <c r="M2" s="47">
        <v>6</v>
      </c>
      <c r="N2" s="47">
        <v>7</v>
      </c>
      <c r="O2" s="47">
        <v>8</v>
      </c>
      <c r="P2" s="47">
        <v>9</v>
      </c>
      <c r="Q2" s="47">
        <v>10</v>
      </c>
      <c r="R2" s="47">
        <v>11</v>
      </c>
      <c r="S2" s="47">
        <v>12</v>
      </c>
      <c r="T2" s="47">
        <v>13</v>
      </c>
      <c r="U2" s="47">
        <v>14</v>
      </c>
      <c r="V2" s="47">
        <v>15</v>
      </c>
      <c r="W2" s="47">
        <v>16</v>
      </c>
      <c r="X2" s="47">
        <v>17</v>
      </c>
      <c r="Y2" s="47">
        <v>18</v>
      </c>
      <c r="Z2" s="47">
        <v>19</v>
      </c>
      <c r="AA2" s="47">
        <v>20</v>
      </c>
    </row>
    <row r="4" spans="1:27" x14ac:dyDescent="0.25">
      <c r="A4" s="101">
        <v>1</v>
      </c>
      <c r="C4" s="100" t="s">
        <v>626</v>
      </c>
      <c r="F4" s="47" t="s">
        <v>627</v>
      </c>
      <c r="G4" s="310" t="str">
        <f>INDEX(TariffProduct,MATCH(A1,TariffCode,0))</f>
        <v>Water and Sewer</v>
      </c>
      <c r="H4" s="310"/>
    </row>
    <row r="6" spans="1:27" x14ac:dyDescent="0.25">
      <c r="C6" s="100" t="s">
        <v>628</v>
      </c>
    </row>
    <row r="7" spans="1:27" x14ac:dyDescent="0.25">
      <c r="A7" s="101">
        <v>2</v>
      </c>
      <c r="E7" s="102" t="s">
        <v>616</v>
      </c>
      <c r="F7" s="47" t="s">
        <v>629</v>
      </c>
      <c r="G7" s="102">
        <f>Assumptions!H23</f>
        <v>90</v>
      </c>
    </row>
    <row r="8" spans="1:27" x14ac:dyDescent="0.25">
      <c r="A8" s="101">
        <v>3</v>
      </c>
      <c r="E8" s="102" t="s">
        <v>617</v>
      </c>
      <c r="F8" s="47" t="s">
        <v>629</v>
      </c>
      <c r="G8" s="102">
        <f>Assumptions!H24</f>
        <v>30</v>
      </c>
    </row>
    <row r="9" spans="1:27" x14ac:dyDescent="0.25">
      <c r="A9" s="101">
        <v>4</v>
      </c>
      <c r="E9" s="102" t="s">
        <v>144</v>
      </c>
      <c r="F9" s="47" t="s">
        <v>629</v>
      </c>
      <c r="G9" s="102">
        <f>Assumptions!H25</f>
        <v>80</v>
      </c>
    </row>
    <row r="10" spans="1:27" x14ac:dyDescent="0.25">
      <c r="A10" s="101">
        <v>5</v>
      </c>
      <c r="E10" s="47" t="s">
        <v>630</v>
      </c>
      <c r="F10" s="47" t="s">
        <v>629</v>
      </c>
      <c r="G10" s="102">
        <f>Assumptions!H26</f>
        <v>5</v>
      </c>
    </row>
    <row r="13" spans="1:27" x14ac:dyDescent="0.25">
      <c r="C13" s="100" t="s">
        <v>631</v>
      </c>
    </row>
    <row r="14" spans="1:27" x14ac:dyDescent="0.25">
      <c r="A14" s="101">
        <v>6</v>
      </c>
      <c r="E14" s="47" t="s">
        <v>632</v>
      </c>
      <c r="F14" s="47" t="s">
        <v>633</v>
      </c>
      <c r="G14" s="103">
        <f>Assumptions!H16</f>
        <v>0</v>
      </c>
    </row>
    <row r="15" spans="1:27" x14ac:dyDescent="0.25">
      <c r="A15" s="101">
        <v>7</v>
      </c>
      <c r="E15" s="47" t="s">
        <v>634</v>
      </c>
      <c r="F15" s="47" t="s">
        <v>633</v>
      </c>
      <c r="G15" s="103">
        <f>'INPUT Reg'!AD20</f>
        <v>2.41E-2</v>
      </c>
    </row>
    <row r="16" spans="1:27" x14ac:dyDescent="0.25">
      <c r="E16" s="47" t="s">
        <v>635</v>
      </c>
      <c r="F16" s="47" t="s">
        <v>633</v>
      </c>
      <c r="G16" s="104">
        <f>(1+G15)/(1+G14)-1</f>
        <v>2.410000000000001E-2</v>
      </c>
    </row>
    <row r="17" spans="1:27" x14ac:dyDescent="0.25">
      <c r="E17" s="47" t="s">
        <v>636</v>
      </c>
      <c r="F17" s="47" t="s">
        <v>633</v>
      </c>
      <c r="G17" s="105">
        <f>'INPUT Reg'!E22</f>
        <v>0.5</v>
      </c>
    </row>
    <row r="18" spans="1:27" x14ac:dyDescent="0.25">
      <c r="A18" s="101">
        <v>9</v>
      </c>
      <c r="E18" s="47" t="s">
        <v>637</v>
      </c>
      <c r="F18" s="47" t="s">
        <v>633</v>
      </c>
      <c r="G18" s="105">
        <f>'INPUT Reg'!E23</f>
        <v>0.3</v>
      </c>
      <c r="H18" s="105">
        <f>G18</f>
        <v>0.3</v>
      </c>
      <c r="I18" s="105">
        <f t="shared" ref="I18:AA18" si="0">H18</f>
        <v>0.3</v>
      </c>
      <c r="J18" s="105">
        <f t="shared" si="0"/>
        <v>0.3</v>
      </c>
      <c r="K18" s="105">
        <f t="shared" si="0"/>
        <v>0.3</v>
      </c>
      <c r="L18" s="105">
        <f t="shared" si="0"/>
        <v>0.3</v>
      </c>
      <c r="M18" s="105">
        <f t="shared" si="0"/>
        <v>0.3</v>
      </c>
      <c r="N18" s="105">
        <f t="shared" si="0"/>
        <v>0.3</v>
      </c>
      <c r="O18" s="105">
        <f t="shared" si="0"/>
        <v>0.3</v>
      </c>
      <c r="P18" s="105">
        <f t="shared" si="0"/>
        <v>0.3</v>
      </c>
      <c r="Q18" s="105">
        <f t="shared" si="0"/>
        <v>0.3</v>
      </c>
      <c r="R18" s="105">
        <f t="shared" si="0"/>
        <v>0.3</v>
      </c>
      <c r="S18" s="105">
        <f t="shared" si="0"/>
        <v>0.3</v>
      </c>
      <c r="T18" s="105">
        <f t="shared" si="0"/>
        <v>0.3</v>
      </c>
      <c r="U18" s="105">
        <f t="shared" si="0"/>
        <v>0.3</v>
      </c>
      <c r="V18" s="105">
        <f t="shared" si="0"/>
        <v>0.3</v>
      </c>
      <c r="W18" s="105">
        <f t="shared" si="0"/>
        <v>0.3</v>
      </c>
      <c r="X18" s="105">
        <f t="shared" si="0"/>
        <v>0.3</v>
      </c>
      <c r="Y18" s="105">
        <f t="shared" si="0"/>
        <v>0.3</v>
      </c>
      <c r="Z18" s="105">
        <f t="shared" si="0"/>
        <v>0.3</v>
      </c>
      <c r="AA18" s="105">
        <f t="shared" si="0"/>
        <v>0.3</v>
      </c>
    </row>
    <row r="20" spans="1:27" x14ac:dyDescent="0.25">
      <c r="A20" s="101">
        <v>10</v>
      </c>
      <c r="C20" s="100" t="s">
        <v>638</v>
      </c>
      <c r="D20" s="100"/>
    </row>
    <row r="21" spans="1:27" x14ac:dyDescent="0.25">
      <c r="E21" s="106" t="str">
        <f>E7</f>
        <v>Pipes / Storage</v>
      </c>
      <c r="F21" s="47" t="s">
        <v>639</v>
      </c>
      <c r="G21" s="102">
        <f>SS!G21+SW!G21</f>
        <v>0</v>
      </c>
      <c r="H21" s="102">
        <f>SS!H21+SW!H21</f>
        <v>30357627.610187605</v>
      </c>
      <c r="I21" s="102">
        <f>SS!I21+SW!I21</f>
        <v>32093195.434709985</v>
      </c>
      <c r="J21" s="102">
        <f>SS!J21+SW!J21</f>
        <v>54065662.935708895</v>
      </c>
      <c r="K21" s="102">
        <f>SS!K21+SW!K21</f>
        <v>60451915.16292543</v>
      </c>
      <c r="L21" s="102">
        <f>SS!L21+SW!L21</f>
        <v>67139594.913069934</v>
      </c>
      <c r="M21" s="102">
        <f>SS!M21+SW!M21</f>
        <v>71460247.844368085</v>
      </c>
      <c r="N21" s="102">
        <f>SS!N21+SW!N21</f>
        <v>87588535.803862423</v>
      </c>
      <c r="O21" s="102">
        <f>SS!O21+SW!O21</f>
        <v>105117461.41177304</v>
      </c>
      <c r="P21" s="102">
        <f>SS!P21+SW!P21</f>
        <v>81056015.276933968</v>
      </c>
      <c r="Q21" s="102">
        <f>SS!Q21+SW!Q21</f>
        <v>82472371.050001487</v>
      </c>
      <c r="R21" s="102">
        <f>SS!R21+SW!R21</f>
        <v>82472371.050001487</v>
      </c>
      <c r="S21" s="102">
        <f>SS!S21+SW!S21</f>
        <v>82472371.050001487</v>
      </c>
      <c r="T21" s="102">
        <f>SS!T21+SW!T21</f>
        <v>82472371.050001487</v>
      </c>
      <c r="U21" s="102">
        <f>SS!U21+SW!U21</f>
        <v>82472371.050001487</v>
      </c>
      <c r="V21" s="102">
        <f>SS!V21+SW!V21</f>
        <v>82472371.050001487</v>
      </c>
      <c r="W21" s="102">
        <f>SS!W21+SW!W21</f>
        <v>82472371.050001487</v>
      </c>
      <c r="X21" s="102">
        <f>SS!X21+SW!X21</f>
        <v>82472371.050001487</v>
      </c>
      <c r="Y21" s="102">
        <f>SS!Y21+SW!Y21</f>
        <v>82472371.050001487</v>
      </c>
      <c r="Z21" s="102">
        <f>SS!Z21+SW!Z21</f>
        <v>82472371.050001487</v>
      </c>
      <c r="AA21" s="102">
        <f>SS!AA21+SW!AA21</f>
        <v>82472371.050001487</v>
      </c>
    </row>
    <row r="22" spans="1:27" x14ac:dyDescent="0.25">
      <c r="E22" s="106" t="str">
        <f>E8</f>
        <v>Pumps / Valves</v>
      </c>
      <c r="F22" s="47" t="s">
        <v>639</v>
      </c>
      <c r="G22" s="102">
        <f>SS!G22+SW!G22</f>
        <v>0</v>
      </c>
      <c r="H22" s="102">
        <f>SS!H22+SW!H22</f>
        <v>0</v>
      </c>
      <c r="I22" s="102">
        <f>SS!I22+SW!I22</f>
        <v>0</v>
      </c>
      <c r="J22" s="102">
        <f>SS!J22+SW!J22</f>
        <v>0</v>
      </c>
      <c r="K22" s="102">
        <f>SS!K22+SW!K22</f>
        <v>0</v>
      </c>
      <c r="L22" s="102">
        <f>SS!L22+SW!L22</f>
        <v>0</v>
      </c>
      <c r="M22" s="102">
        <f>SS!M22+SW!M22</f>
        <v>0</v>
      </c>
      <c r="N22" s="102">
        <f>SS!N22+SW!N22</f>
        <v>0</v>
      </c>
      <c r="O22" s="102">
        <f>SS!O22+SW!O22</f>
        <v>0</v>
      </c>
      <c r="P22" s="102">
        <f>SS!P22+SW!P22</f>
        <v>0</v>
      </c>
      <c r="Q22" s="102">
        <f>SS!Q22+SW!Q22</f>
        <v>0</v>
      </c>
      <c r="R22" s="102">
        <f>SS!R22+SW!R22</f>
        <v>0</v>
      </c>
      <c r="S22" s="102">
        <f>SS!S22+SW!S22</f>
        <v>0</v>
      </c>
      <c r="T22" s="102">
        <f>SS!T22+SW!T22</f>
        <v>0</v>
      </c>
      <c r="U22" s="102">
        <f>SS!U22+SW!U22</f>
        <v>0</v>
      </c>
      <c r="V22" s="102">
        <f>SS!V22+SW!V22</f>
        <v>0</v>
      </c>
      <c r="W22" s="102">
        <f>SS!W22+SW!W22</f>
        <v>0</v>
      </c>
      <c r="X22" s="102">
        <f>SS!X22+SW!X22</f>
        <v>0</v>
      </c>
      <c r="Y22" s="102">
        <f>SS!Y22+SW!Y22</f>
        <v>0</v>
      </c>
      <c r="Z22" s="102">
        <f>SS!Z22+SW!Z22</f>
        <v>0</v>
      </c>
      <c r="AA22" s="102">
        <f>SS!AA22+SW!AA22</f>
        <v>0</v>
      </c>
    </row>
    <row r="23" spans="1:27" x14ac:dyDescent="0.25">
      <c r="E23" s="106" t="str">
        <f>E9</f>
        <v>Treatment</v>
      </c>
      <c r="F23" s="47" t="s">
        <v>639</v>
      </c>
      <c r="G23" s="102">
        <f>SS!G23+SW!G23</f>
        <v>0</v>
      </c>
      <c r="H23" s="102">
        <f>SS!H23+SW!H23</f>
        <v>16334182.418060098</v>
      </c>
      <c r="I23" s="102">
        <f>SS!I23+SW!I23</f>
        <v>15330562.162751492</v>
      </c>
      <c r="J23" s="102">
        <f>SS!J23+SW!J23</f>
        <v>14339441.550245889</v>
      </c>
      <c r="K23" s="102">
        <f>SS!K23+SW!K23</f>
        <v>10312286.156476265</v>
      </c>
      <c r="L23" s="102">
        <f>SS!L23+SW!L23</f>
        <v>9018383.1122368164</v>
      </c>
      <c r="M23" s="102">
        <f>SS!M23+SW!M23</f>
        <v>12386317.903637962</v>
      </c>
      <c r="N23" s="102">
        <f>SS!N23+SW!N23</f>
        <v>11276412.754501475</v>
      </c>
      <c r="O23" s="102">
        <f>SS!O23+SW!O23</f>
        <v>8980163.7682451308</v>
      </c>
      <c r="P23" s="102">
        <f>SS!P23+SW!P23</f>
        <v>8980163.7682451308</v>
      </c>
      <c r="Q23" s="102">
        <f>SS!Q23+SW!Q23</f>
        <v>10128288.261373302</v>
      </c>
      <c r="R23" s="102">
        <f>SS!R23+SW!R23</f>
        <v>10128288.261373302</v>
      </c>
      <c r="S23" s="102">
        <f>SS!S23+SW!S23</f>
        <v>10128288.261373302</v>
      </c>
      <c r="T23" s="102">
        <f>SS!T23+SW!T23</f>
        <v>10128288.261373302</v>
      </c>
      <c r="U23" s="102">
        <f>SS!U23+SW!U23</f>
        <v>10128288.261373302</v>
      </c>
      <c r="V23" s="102">
        <f>SS!V23+SW!V23</f>
        <v>10128288.261373302</v>
      </c>
      <c r="W23" s="102">
        <f>SS!W23+SW!W23</f>
        <v>10128288.261373302</v>
      </c>
      <c r="X23" s="102">
        <f>SS!X23+SW!X23</f>
        <v>10128288.261373302</v>
      </c>
      <c r="Y23" s="102">
        <f>SS!Y23+SW!Y23</f>
        <v>10128288.261373302</v>
      </c>
      <c r="Z23" s="102">
        <f>SS!Z23+SW!Z23</f>
        <v>10128288.261373302</v>
      </c>
      <c r="AA23" s="102">
        <f>SS!AA23+SW!AA23</f>
        <v>10128288.261373302</v>
      </c>
    </row>
    <row r="24" spans="1:27" x14ac:dyDescent="0.25">
      <c r="E24" s="47" t="s">
        <v>630</v>
      </c>
      <c r="F24" s="47" t="s">
        <v>639</v>
      </c>
      <c r="G24" s="102"/>
      <c r="H24" s="102"/>
      <c r="I24" s="102"/>
      <c r="J24" s="102"/>
      <c r="K24" s="102"/>
      <c r="L24" s="102"/>
      <c r="M24" s="102"/>
      <c r="N24" s="102"/>
      <c r="O24" s="102"/>
      <c r="P24" s="102"/>
      <c r="Q24" s="102"/>
      <c r="R24" s="102"/>
      <c r="S24" s="102"/>
      <c r="T24" s="102"/>
      <c r="U24" s="102"/>
      <c r="V24" s="102"/>
      <c r="W24" s="102"/>
      <c r="X24" s="102"/>
      <c r="Y24" s="102"/>
      <c r="Z24" s="102"/>
      <c r="AA24" s="102"/>
    </row>
    <row r="25" spans="1:27" x14ac:dyDescent="0.25">
      <c r="E25" s="47" t="s">
        <v>640</v>
      </c>
      <c r="F25" s="47" t="s">
        <v>639</v>
      </c>
      <c r="G25" s="102"/>
      <c r="H25" s="102"/>
      <c r="I25" s="102"/>
      <c r="J25" s="102"/>
      <c r="K25" s="102"/>
      <c r="L25" s="102"/>
      <c r="M25" s="102"/>
      <c r="N25" s="102"/>
      <c r="O25" s="102"/>
      <c r="P25" s="102"/>
      <c r="Q25" s="102"/>
      <c r="R25" s="102"/>
      <c r="S25" s="102"/>
      <c r="T25" s="102"/>
      <c r="U25" s="102"/>
      <c r="V25" s="102"/>
      <c r="W25" s="102"/>
      <c r="X25" s="102"/>
      <c r="Y25" s="102"/>
      <c r="Z25" s="102"/>
      <c r="AA25" s="102"/>
    </row>
    <row r="26" spans="1:27" x14ac:dyDescent="0.25">
      <c r="G26" s="106">
        <f>SUM(G21:G25)</f>
        <v>0</v>
      </c>
      <c r="H26" s="106">
        <f t="shared" ref="H26:AA26" si="1">SUM(H21:H25)</f>
        <v>46691810.028247699</v>
      </c>
      <c r="I26" s="106">
        <f t="shared" si="1"/>
        <v>47423757.597461477</v>
      </c>
      <c r="J26" s="106">
        <f t="shared" si="1"/>
        <v>68405104.485954791</v>
      </c>
      <c r="K26" s="106">
        <f t="shared" si="1"/>
        <v>70764201.319401696</v>
      </c>
      <c r="L26" s="106">
        <f t="shared" si="1"/>
        <v>76157978.025306746</v>
      </c>
      <c r="M26" s="106">
        <f t="shared" si="1"/>
        <v>83846565.748006046</v>
      </c>
      <c r="N26" s="106">
        <f t="shared" si="1"/>
        <v>98864948.5583639</v>
      </c>
      <c r="O26" s="106">
        <f t="shared" si="1"/>
        <v>114097625.18001817</v>
      </c>
      <c r="P26" s="106">
        <f t="shared" si="1"/>
        <v>90036179.045179099</v>
      </c>
      <c r="Q26" s="106">
        <f t="shared" si="1"/>
        <v>92600659.311374784</v>
      </c>
      <c r="R26" s="106">
        <f t="shared" si="1"/>
        <v>92600659.311374784</v>
      </c>
      <c r="S26" s="106">
        <f t="shared" si="1"/>
        <v>92600659.311374784</v>
      </c>
      <c r="T26" s="106">
        <f t="shared" si="1"/>
        <v>92600659.311374784</v>
      </c>
      <c r="U26" s="106">
        <f t="shared" si="1"/>
        <v>92600659.311374784</v>
      </c>
      <c r="V26" s="106">
        <f t="shared" si="1"/>
        <v>92600659.311374784</v>
      </c>
      <c r="W26" s="106">
        <f t="shared" si="1"/>
        <v>92600659.311374784</v>
      </c>
      <c r="X26" s="106">
        <f t="shared" si="1"/>
        <v>92600659.311374784</v>
      </c>
      <c r="Y26" s="106">
        <f t="shared" si="1"/>
        <v>92600659.311374784</v>
      </c>
      <c r="Z26" s="106">
        <f t="shared" si="1"/>
        <v>92600659.311374784</v>
      </c>
      <c r="AA26" s="106">
        <f t="shared" si="1"/>
        <v>92600659.311374784</v>
      </c>
    </row>
    <row r="27" spans="1:27" x14ac:dyDescent="0.25">
      <c r="G27" s="106"/>
      <c r="H27" s="106"/>
      <c r="I27" s="106"/>
      <c r="J27" s="106"/>
      <c r="K27" s="106"/>
      <c r="L27" s="106"/>
      <c r="M27" s="106"/>
      <c r="N27" s="106"/>
      <c r="O27" s="106"/>
      <c r="P27" s="106"/>
      <c r="Q27" s="106"/>
    </row>
    <row r="28" spans="1:27" x14ac:dyDescent="0.25">
      <c r="D28" s="47" t="s">
        <v>641</v>
      </c>
      <c r="G28" s="106"/>
      <c r="H28" s="106"/>
      <c r="I28" s="106"/>
      <c r="J28" s="106"/>
      <c r="K28" s="106"/>
      <c r="L28" s="106"/>
      <c r="M28" s="106"/>
      <c r="N28" s="106"/>
      <c r="O28" s="106"/>
      <c r="P28" s="106"/>
      <c r="Q28" s="106"/>
    </row>
    <row r="29" spans="1:27" x14ac:dyDescent="0.25">
      <c r="E29" s="106" t="str">
        <f>E21</f>
        <v>Pipes / Storage</v>
      </c>
      <c r="F29" s="47" t="s">
        <v>639</v>
      </c>
      <c r="G29" s="106">
        <f>G21/$G7+IF((G$2-$G7+1)&gt;0,-INDEX($G21:$AP21,1,(G$2-$G7+1))/$G7,0)</f>
        <v>0</v>
      </c>
      <c r="H29" s="106">
        <f t="shared" ref="H29:AA29" si="2">H21/$G7+IF((H$2-$G7+1)&gt;0,-INDEX($G21:$AP21,1,(H$2-$G7+1))/$G7,0)</f>
        <v>337306.97344652895</v>
      </c>
      <c r="I29" s="106">
        <f t="shared" si="2"/>
        <v>356591.0603856665</v>
      </c>
      <c r="J29" s="106">
        <f t="shared" si="2"/>
        <v>600729.58817454323</v>
      </c>
      <c r="K29" s="106">
        <f t="shared" si="2"/>
        <v>671687.94625472696</v>
      </c>
      <c r="L29" s="106">
        <f t="shared" si="2"/>
        <v>745995.49903411034</v>
      </c>
      <c r="M29" s="106">
        <f t="shared" si="2"/>
        <v>794002.75382631202</v>
      </c>
      <c r="N29" s="106">
        <f t="shared" si="2"/>
        <v>973205.95337624918</v>
      </c>
      <c r="O29" s="106">
        <f t="shared" si="2"/>
        <v>1167971.7934641449</v>
      </c>
      <c r="P29" s="106">
        <f t="shared" si="2"/>
        <v>900622.39196593303</v>
      </c>
      <c r="Q29" s="106">
        <f t="shared" si="2"/>
        <v>916359.67833334988</v>
      </c>
      <c r="R29" s="106">
        <f t="shared" si="2"/>
        <v>916359.67833334988</v>
      </c>
      <c r="S29" s="106">
        <f t="shared" si="2"/>
        <v>916359.67833334988</v>
      </c>
      <c r="T29" s="106">
        <f t="shared" si="2"/>
        <v>916359.67833334988</v>
      </c>
      <c r="U29" s="106">
        <f t="shared" si="2"/>
        <v>916359.67833334988</v>
      </c>
      <c r="V29" s="106">
        <f t="shared" si="2"/>
        <v>916359.67833334988</v>
      </c>
      <c r="W29" s="106">
        <f t="shared" si="2"/>
        <v>916359.67833334988</v>
      </c>
      <c r="X29" s="106">
        <f t="shared" si="2"/>
        <v>916359.67833334988</v>
      </c>
      <c r="Y29" s="106">
        <f t="shared" si="2"/>
        <v>916359.67833334988</v>
      </c>
      <c r="Z29" s="106">
        <f t="shared" si="2"/>
        <v>916359.67833334988</v>
      </c>
      <c r="AA29" s="106">
        <f t="shared" si="2"/>
        <v>916359.67833334988</v>
      </c>
    </row>
    <row r="30" spans="1:27" x14ac:dyDescent="0.25">
      <c r="E30" s="106" t="str">
        <f t="shared" ref="E30:E32" si="3">E22</f>
        <v>Pumps / Valves</v>
      </c>
      <c r="F30" s="47" t="s">
        <v>639</v>
      </c>
      <c r="G30" s="106">
        <f t="shared" ref="G30:AA32" si="4">G22/$G8+IF((G$2-$G8+1)&gt;0,-INDEX($G22:$AP22,1,(G$2-$G8+1))/$G8,0)</f>
        <v>0</v>
      </c>
      <c r="H30" s="106">
        <f t="shared" si="4"/>
        <v>0</v>
      </c>
      <c r="I30" s="106">
        <f t="shared" si="4"/>
        <v>0</v>
      </c>
      <c r="J30" s="106">
        <f t="shared" si="4"/>
        <v>0</v>
      </c>
      <c r="K30" s="106">
        <f t="shared" si="4"/>
        <v>0</v>
      </c>
      <c r="L30" s="106">
        <f t="shared" si="4"/>
        <v>0</v>
      </c>
      <c r="M30" s="106">
        <f t="shared" si="4"/>
        <v>0</v>
      </c>
      <c r="N30" s="106">
        <f t="shared" si="4"/>
        <v>0</v>
      </c>
      <c r="O30" s="106">
        <f t="shared" si="4"/>
        <v>0</v>
      </c>
      <c r="P30" s="106">
        <f t="shared" si="4"/>
        <v>0</v>
      </c>
      <c r="Q30" s="106">
        <f t="shared" si="4"/>
        <v>0</v>
      </c>
      <c r="R30" s="106">
        <f t="shared" si="4"/>
        <v>0</v>
      </c>
      <c r="S30" s="106">
        <f t="shared" si="4"/>
        <v>0</v>
      </c>
      <c r="T30" s="106">
        <f t="shared" si="4"/>
        <v>0</v>
      </c>
      <c r="U30" s="106">
        <f t="shared" si="4"/>
        <v>0</v>
      </c>
      <c r="V30" s="106">
        <f t="shared" si="4"/>
        <v>0</v>
      </c>
      <c r="W30" s="106">
        <f t="shared" si="4"/>
        <v>0</v>
      </c>
      <c r="X30" s="106">
        <f t="shared" si="4"/>
        <v>0</v>
      </c>
      <c r="Y30" s="106">
        <f t="shared" si="4"/>
        <v>0</v>
      </c>
      <c r="Z30" s="106">
        <f t="shared" si="4"/>
        <v>0</v>
      </c>
      <c r="AA30" s="106">
        <f t="shared" si="4"/>
        <v>0</v>
      </c>
    </row>
    <row r="31" spans="1:27" x14ac:dyDescent="0.25">
      <c r="E31" s="106" t="str">
        <f t="shared" si="3"/>
        <v>Treatment</v>
      </c>
      <c r="F31" s="47" t="s">
        <v>639</v>
      </c>
      <c r="G31" s="106">
        <f t="shared" si="4"/>
        <v>0</v>
      </c>
      <c r="H31" s="106">
        <f t="shared" si="4"/>
        <v>204177.28022575122</v>
      </c>
      <c r="I31" s="106">
        <f t="shared" si="4"/>
        <v>191632.02703439366</v>
      </c>
      <c r="J31" s="106">
        <f t="shared" si="4"/>
        <v>179243.0193780736</v>
      </c>
      <c r="K31" s="106">
        <f t="shared" si="4"/>
        <v>128903.57695595331</v>
      </c>
      <c r="L31" s="106">
        <f t="shared" si="4"/>
        <v>112729.78890296021</v>
      </c>
      <c r="M31" s="106">
        <f t="shared" si="4"/>
        <v>154828.97379547454</v>
      </c>
      <c r="N31" s="106">
        <f t="shared" si="4"/>
        <v>140955.15943126843</v>
      </c>
      <c r="O31" s="106">
        <f t="shared" si="4"/>
        <v>112252.04710306413</v>
      </c>
      <c r="P31" s="106">
        <f t="shared" si="4"/>
        <v>112252.04710306413</v>
      </c>
      <c r="Q31" s="106">
        <f t="shared" si="4"/>
        <v>126603.60326716627</v>
      </c>
      <c r="R31" s="106">
        <f t="shared" si="4"/>
        <v>126603.60326716627</v>
      </c>
      <c r="S31" s="106">
        <f t="shared" si="4"/>
        <v>126603.60326716627</v>
      </c>
      <c r="T31" s="106">
        <f t="shared" si="4"/>
        <v>126603.60326716627</v>
      </c>
      <c r="U31" s="106">
        <f t="shared" si="4"/>
        <v>126603.60326716627</v>
      </c>
      <c r="V31" s="106">
        <f t="shared" si="4"/>
        <v>126603.60326716627</v>
      </c>
      <c r="W31" s="106">
        <f t="shared" si="4"/>
        <v>126603.60326716627</v>
      </c>
      <c r="X31" s="106">
        <f t="shared" si="4"/>
        <v>126603.60326716627</v>
      </c>
      <c r="Y31" s="106">
        <f t="shared" si="4"/>
        <v>126603.60326716627</v>
      </c>
      <c r="Z31" s="106">
        <f t="shared" si="4"/>
        <v>126603.60326716627</v>
      </c>
      <c r="AA31" s="106">
        <f t="shared" si="4"/>
        <v>126603.60326716627</v>
      </c>
    </row>
    <row r="32" spans="1:27" x14ac:dyDescent="0.25">
      <c r="E32" s="106" t="str">
        <f t="shared" si="3"/>
        <v>Temporary Assets</v>
      </c>
      <c r="F32" s="47" t="s">
        <v>639</v>
      </c>
      <c r="G32" s="106">
        <f t="shared" si="4"/>
        <v>0</v>
      </c>
      <c r="H32" s="106">
        <f t="shared" si="4"/>
        <v>0</v>
      </c>
      <c r="I32" s="106">
        <f t="shared" si="4"/>
        <v>0</v>
      </c>
      <c r="J32" s="106">
        <f t="shared" si="4"/>
        <v>0</v>
      </c>
      <c r="K32" s="106">
        <f t="shared" si="4"/>
        <v>0</v>
      </c>
      <c r="L32" s="106">
        <f t="shared" si="4"/>
        <v>0</v>
      </c>
      <c r="M32" s="106">
        <f t="shared" si="4"/>
        <v>0</v>
      </c>
      <c r="N32" s="106">
        <f t="shared" si="4"/>
        <v>0</v>
      </c>
      <c r="O32" s="106">
        <f t="shared" si="4"/>
        <v>0</v>
      </c>
      <c r="P32" s="106">
        <f t="shared" si="4"/>
        <v>0</v>
      </c>
      <c r="Q32" s="106">
        <f t="shared" si="4"/>
        <v>0</v>
      </c>
      <c r="R32" s="106">
        <f t="shared" si="4"/>
        <v>0</v>
      </c>
      <c r="S32" s="106">
        <f t="shared" si="4"/>
        <v>0</v>
      </c>
      <c r="T32" s="106">
        <f t="shared" si="4"/>
        <v>0</v>
      </c>
      <c r="U32" s="106">
        <f t="shared" si="4"/>
        <v>0</v>
      </c>
      <c r="V32" s="106">
        <f t="shared" si="4"/>
        <v>0</v>
      </c>
      <c r="W32" s="106">
        <f t="shared" si="4"/>
        <v>0</v>
      </c>
      <c r="X32" s="106">
        <f t="shared" si="4"/>
        <v>0</v>
      </c>
      <c r="Y32" s="106">
        <f t="shared" si="4"/>
        <v>0</v>
      </c>
      <c r="Z32" s="106">
        <f t="shared" si="4"/>
        <v>0</v>
      </c>
      <c r="AA32" s="106">
        <f t="shared" si="4"/>
        <v>0</v>
      </c>
    </row>
    <row r="33" spans="1:27" x14ac:dyDescent="0.25">
      <c r="G33" s="106"/>
      <c r="H33" s="106"/>
      <c r="I33" s="106"/>
      <c r="J33" s="106"/>
      <c r="K33" s="106"/>
      <c r="L33" s="106"/>
      <c r="M33" s="106"/>
      <c r="N33" s="106"/>
      <c r="O33" s="106"/>
      <c r="P33" s="106"/>
      <c r="Q33" s="106"/>
    </row>
    <row r="34" spans="1:27" x14ac:dyDescent="0.25">
      <c r="D34" s="47" t="s">
        <v>642</v>
      </c>
      <c r="F34" s="47" t="s">
        <v>639</v>
      </c>
      <c r="G34" s="106">
        <f>SUM($G$29:G32)</f>
        <v>0</v>
      </c>
      <c r="H34" s="106">
        <f>SUM($G$29:H32)</f>
        <v>541484.25367228012</v>
      </c>
      <c r="I34" s="106">
        <f>SUM($G$29:I32)</f>
        <v>1089707.3410923404</v>
      </c>
      <c r="J34" s="106">
        <f>SUM($G$29:J32)</f>
        <v>1869679.948644957</v>
      </c>
      <c r="K34" s="106">
        <f>SUM($G$29:K32)</f>
        <v>2670271.4718556372</v>
      </c>
      <c r="L34" s="106">
        <f>SUM($G$29:L32)</f>
        <v>3528996.7597927079</v>
      </c>
      <c r="M34" s="106">
        <f>SUM($G$29:M32)</f>
        <v>4477828.4874144942</v>
      </c>
      <c r="N34" s="106">
        <f>SUM($G$29:N32)</f>
        <v>5591989.600222012</v>
      </c>
      <c r="O34" s="106">
        <f>SUM($G$29:O32)</f>
        <v>6872213.4407892209</v>
      </c>
      <c r="P34" s="106">
        <f>SUM($G$29:P32)</f>
        <v>7885087.8798582181</v>
      </c>
      <c r="Q34" s="106">
        <f>SUM($G$29:Q32)</f>
        <v>8928051.1614587344</v>
      </c>
      <c r="R34" s="106">
        <f>SUM($G$29:R32)</f>
        <v>9971014.4430592526</v>
      </c>
      <c r="S34" s="106">
        <f>SUM($G$29:S32)</f>
        <v>11013977.724659771</v>
      </c>
      <c r="T34" s="106">
        <f>SUM($G$29:T32)</f>
        <v>12056941.006260287</v>
      </c>
      <c r="U34" s="106">
        <f>SUM($G$29:U32)</f>
        <v>13099904.287860803</v>
      </c>
      <c r="V34" s="106">
        <f>SUM($G$29:V32)</f>
        <v>14142867.56946132</v>
      </c>
      <c r="W34" s="106">
        <f>SUM($G$29:W32)</f>
        <v>15185830.851061836</v>
      </c>
      <c r="X34" s="106">
        <f>SUM($G$29:X32)</f>
        <v>16228794.132662352</v>
      </c>
      <c r="Y34" s="106">
        <f>SUM($G$29:Y32)</f>
        <v>17271757.414262868</v>
      </c>
      <c r="Z34" s="106">
        <f>SUM($G$29:Z32)</f>
        <v>18314720.695863381</v>
      </c>
      <c r="AA34" s="106">
        <f>SUM($G$29:AA32)</f>
        <v>19357683.977463897</v>
      </c>
    </row>
    <row r="35" spans="1:27" x14ac:dyDescent="0.25">
      <c r="G35" s="106"/>
      <c r="H35" s="106"/>
      <c r="I35" s="106"/>
      <c r="J35" s="106"/>
      <c r="K35" s="106"/>
      <c r="L35" s="106"/>
      <c r="M35" s="106"/>
      <c r="N35" s="106"/>
      <c r="O35" s="106"/>
      <c r="P35" s="106"/>
      <c r="Q35" s="106"/>
      <c r="R35" s="106"/>
      <c r="S35" s="106"/>
      <c r="T35" s="106"/>
      <c r="U35" s="106"/>
      <c r="V35" s="106"/>
      <c r="W35" s="106"/>
      <c r="X35" s="106"/>
      <c r="Y35" s="106"/>
      <c r="Z35" s="106"/>
      <c r="AA35" s="106"/>
    </row>
    <row r="36" spans="1:27" x14ac:dyDescent="0.25">
      <c r="A36" s="101">
        <v>11</v>
      </c>
      <c r="C36" s="100" t="s">
        <v>573</v>
      </c>
      <c r="D36" s="100"/>
    </row>
    <row r="37" spans="1:27" x14ac:dyDescent="0.25">
      <c r="E37" s="106" t="str">
        <f>E7</f>
        <v>Pipes / Storage</v>
      </c>
      <c r="F37" s="47" t="s">
        <v>639</v>
      </c>
      <c r="G37" s="102">
        <f>SS!G37+SW!G37</f>
        <v>0</v>
      </c>
      <c r="H37" s="102">
        <f>SS!H37+SW!H37</f>
        <v>38681921.948851243</v>
      </c>
      <c r="I37" s="102">
        <f>SS!I37+SW!I37</f>
        <v>39521998.891712219</v>
      </c>
      <c r="J37" s="102">
        <f>SS!J37+SW!J37</f>
        <v>42033118.265981808</v>
      </c>
      <c r="K37" s="102">
        <f>SS!K37+SW!K37</f>
        <v>42591664.044101633</v>
      </c>
      <c r="L37" s="102">
        <f>SS!L37+SW!L37</f>
        <v>38375648.676506177</v>
      </c>
      <c r="M37" s="102">
        <f>SS!M37+SW!M37</f>
        <v>38924797.797191493</v>
      </c>
      <c r="N37" s="102">
        <f>SS!N37+SW!N37</f>
        <v>37844700.966784842</v>
      </c>
      <c r="O37" s="102">
        <f>SS!O37+SW!O37</f>
        <v>39850637.287842631</v>
      </c>
      <c r="P37" s="102">
        <f>SS!P37+SW!P37</f>
        <v>40864698.650687002</v>
      </c>
      <c r="Q37" s="102">
        <f>SS!Q37+SW!Q37</f>
        <v>40236095.443586729</v>
      </c>
      <c r="R37" s="102">
        <f>SS!R37+SW!R37</f>
        <v>39325509.917707063</v>
      </c>
      <c r="S37" s="102">
        <f>SS!S37+SW!S37</f>
        <v>38256639.393971272</v>
      </c>
      <c r="T37" s="102">
        <f>SS!T37+SW!T37</f>
        <v>36013738.956393406</v>
      </c>
      <c r="U37" s="102">
        <f>SS!U37+SW!U37</f>
        <v>33264315.839493237</v>
      </c>
      <c r="V37" s="102">
        <f>SS!V37+SW!V37</f>
        <v>30083556.989111878</v>
      </c>
      <c r="W37" s="102">
        <f>SS!W37+SW!W37</f>
        <v>27089288.876369976</v>
      </c>
      <c r="X37" s="102">
        <f>SS!X37+SW!X37</f>
        <v>25175054.560933016</v>
      </c>
      <c r="Y37" s="102">
        <f>SS!Y37+SW!Y37</f>
        <v>21991120.872615352</v>
      </c>
      <c r="Z37" s="102">
        <f>SS!Z37+SW!Z37</f>
        <v>18491838.147785448</v>
      </c>
      <c r="AA37" s="102">
        <f>SS!AA37+SW!AA37</f>
        <v>15802574.674329042</v>
      </c>
    </row>
    <row r="38" spans="1:27" x14ac:dyDescent="0.25">
      <c r="E38" s="106" t="str">
        <f>E8</f>
        <v>Pumps / Valves</v>
      </c>
      <c r="F38" s="47" t="s">
        <v>639</v>
      </c>
      <c r="G38" s="102"/>
      <c r="H38" s="102"/>
      <c r="I38" s="102"/>
      <c r="J38" s="102"/>
      <c r="K38" s="102"/>
      <c r="L38" s="102"/>
      <c r="M38" s="102"/>
      <c r="N38" s="102"/>
      <c r="O38" s="102"/>
      <c r="P38" s="102"/>
      <c r="Q38" s="102"/>
      <c r="R38" s="102"/>
      <c r="S38" s="102"/>
      <c r="T38" s="102"/>
      <c r="U38" s="102"/>
      <c r="V38" s="102"/>
      <c r="W38" s="102"/>
      <c r="X38" s="102"/>
      <c r="Y38" s="102"/>
      <c r="Z38" s="102"/>
      <c r="AA38" s="102"/>
    </row>
    <row r="39" spans="1:27" x14ac:dyDescent="0.25">
      <c r="E39" s="106" t="str">
        <f>E9</f>
        <v>Treatment</v>
      </c>
      <c r="F39" s="47" t="s">
        <v>639</v>
      </c>
      <c r="G39" s="102"/>
      <c r="H39" s="102"/>
      <c r="I39" s="102"/>
      <c r="J39" s="102"/>
      <c r="K39" s="102"/>
      <c r="L39" s="102"/>
      <c r="M39" s="102"/>
      <c r="N39" s="102"/>
      <c r="O39" s="102"/>
      <c r="P39" s="102"/>
      <c r="Q39" s="102"/>
      <c r="R39" s="102"/>
      <c r="S39" s="102"/>
      <c r="T39" s="102"/>
      <c r="U39" s="102"/>
      <c r="V39" s="102"/>
      <c r="W39" s="102"/>
      <c r="X39" s="102"/>
      <c r="Y39" s="102"/>
      <c r="Z39" s="102"/>
      <c r="AA39" s="102"/>
    </row>
    <row r="40" spans="1:27" x14ac:dyDescent="0.25">
      <c r="E40" s="106" t="str">
        <f>E10</f>
        <v>Temporary Assets</v>
      </c>
      <c r="F40" s="47" t="s">
        <v>639</v>
      </c>
      <c r="G40" s="102"/>
      <c r="H40" s="102"/>
      <c r="I40" s="102"/>
      <c r="J40" s="102"/>
      <c r="K40" s="102"/>
      <c r="L40" s="102"/>
      <c r="M40" s="102"/>
      <c r="N40" s="102"/>
      <c r="O40" s="102"/>
      <c r="P40" s="102"/>
      <c r="Q40" s="102"/>
      <c r="R40" s="102"/>
      <c r="S40" s="102"/>
      <c r="T40" s="102"/>
      <c r="U40" s="102"/>
      <c r="V40" s="102"/>
      <c r="W40" s="102"/>
      <c r="X40" s="102"/>
      <c r="Y40" s="102"/>
      <c r="Z40" s="102"/>
      <c r="AA40" s="102"/>
    </row>
    <row r="41" spans="1:27" x14ac:dyDescent="0.25">
      <c r="E41" s="47" t="s">
        <v>640</v>
      </c>
      <c r="F41" s="47" t="s">
        <v>639</v>
      </c>
      <c r="G41" s="102"/>
      <c r="H41" s="102"/>
      <c r="I41" s="102"/>
      <c r="J41" s="102"/>
      <c r="K41" s="102"/>
      <c r="L41" s="102"/>
      <c r="M41" s="102"/>
      <c r="N41" s="102"/>
      <c r="O41" s="102"/>
      <c r="P41" s="102"/>
      <c r="Q41" s="102"/>
      <c r="R41" s="102"/>
      <c r="S41" s="102"/>
      <c r="T41" s="102"/>
      <c r="U41" s="102"/>
      <c r="V41" s="102"/>
      <c r="W41" s="102"/>
      <c r="X41" s="102"/>
      <c r="Y41" s="102"/>
      <c r="Z41" s="102"/>
      <c r="AA41" s="102"/>
    </row>
    <row r="42" spans="1:27" x14ac:dyDescent="0.25">
      <c r="G42" s="106">
        <f>SUM(G37:G41)</f>
        <v>0</v>
      </c>
      <c r="H42" s="106">
        <f t="shared" ref="H42:AA42" si="5">SUM(H37:H41)</f>
        <v>38681921.948851243</v>
      </c>
      <c r="I42" s="106">
        <f t="shared" si="5"/>
        <v>39521998.891712219</v>
      </c>
      <c r="J42" s="106">
        <f t="shared" si="5"/>
        <v>42033118.265981808</v>
      </c>
      <c r="K42" s="106">
        <f t="shared" si="5"/>
        <v>42591664.044101633</v>
      </c>
      <c r="L42" s="106">
        <f t="shared" si="5"/>
        <v>38375648.676506177</v>
      </c>
      <c r="M42" s="106">
        <f t="shared" si="5"/>
        <v>38924797.797191493</v>
      </c>
      <c r="N42" s="106">
        <f t="shared" si="5"/>
        <v>37844700.966784842</v>
      </c>
      <c r="O42" s="106">
        <f t="shared" si="5"/>
        <v>39850637.287842631</v>
      </c>
      <c r="P42" s="106">
        <f t="shared" si="5"/>
        <v>40864698.650687002</v>
      </c>
      <c r="Q42" s="106">
        <f t="shared" si="5"/>
        <v>40236095.443586729</v>
      </c>
      <c r="R42" s="106">
        <f t="shared" si="5"/>
        <v>39325509.917707063</v>
      </c>
      <c r="S42" s="106">
        <f t="shared" si="5"/>
        <v>38256639.393971272</v>
      </c>
      <c r="T42" s="106">
        <f t="shared" si="5"/>
        <v>36013738.956393406</v>
      </c>
      <c r="U42" s="106">
        <f t="shared" si="5"/>
        <v>33264315.839493237</v>
      </c>
      <c r="V42" s="106">
        <f t="shared" si="5"/>
        <v>30083556.989111878</v>
      </c>
      <c r="W42" s="106">
        <f t="shared" si="5"/>
        <v>27089288.876369976</v>
      </c>
      <c r="X42" s="106">
        <f t="shared" si="5"/>
        <v>25175054.560933016</v>
      </c>
      <c r="Y42" s="106">
        <f t="shared" si="5"/>
        <v>21991120.872615352</v>
      </c>
      <c r="Z42" s="106">
        <f t="shared" si="5"/>
        <v>18491838.147785448</v>
      </c>
      <c r="AA42" s="106">
        <f t="shared" si="5"/>
        <v>15802574.674329042</v>
      </c>
    </row>
    <row r="43" spans="1:27" x14ac:dyDescent="0.25">
      <c r="G43" s="106"/>
      <c r="H43" s="106"/>
      <c r="I43" s="106"/>
      <c r="J43" s="106"/>
      <c r="K43" s="106"/>
      <c r="L43" s="106"/>
      <c r="M43" s="106"/>
      <c r="N43" s="106"/>
      <c r="O43" s="106"/>
      <c r="P43" s="106"/>
      <c r="Q43" s="106"/>
    </row>
    <row r="44" spans="1:27" x14ac:dyDescent="0.25">
      <c r="D44" s="47" t="s">
        <v>643</v>
      </c>
      <c r="G44" s="106"/>
      <c r="H44" s="106"/>
      <c r="I44" s="106"/>
      <c r="J44" s="106"/>
      <c r="K44" s="106"/>
      <c r="L44" s="106"/>
      <c r="M44" s="106"/>
      <c r="N44" s="106"/>
      <c r="O44" s="106"/>
      <c r="P44" s="106"/>
      <c r="Q44" s="106"/>
    </row>
    <row r="45" spans="1:27" x14ac:dyDescent="0.25">
      <c r="E45" s="106" t="str">
        <f>E37</f>
        <v>Pipes / Storage</v>
      </c>
      <c r="F45" s="47" t="s">
        <v>639</v>
      </c>
      <c r="G45" s="106">
        <f>G37/$G7+IF((G$2-$G7+1)&gt;0,-INDEX($G37:$AP37,1,(G$2-$G7+1))/$G7,0)</f>
        <v>0</v>
      </c>
      <c r="H45" s="106">
        <f t="shared" ref="H45:AA45" si="6">H37/$G7+IF((H$2-$G7+1)&gt;0,-INDEX($G37:$AP37,1,(H$2-$G7+1))/$G7,0)</f>
        <v>429799.13276501378</v>
      </c>
      <c r="I45" s="106">
        <f t="shared" si="6"/>
        <v>439133.32101902465</v>
      </c>
      <c r="J45" s="106">
        <f t="shared" si="6"/>
        <v>467034.64739979786</v>
      </c>
      <c r="K45" s="106">
        <f t="shared" si="6"/>
        <v>473240.71160112927</v>
      </c>
      <c r="L45" s="106">
        <f t="shared" si="6"/>
        <v>426396.09640562418</v>
      </c>
      <c r="M45" s="106">
        <f t="shared" si="6"/>
        <v>432497.7533021277</v>
      </c>
      <c r="N45" s="106">
        <f t="shared" si="6"/>
        <v>420496.67740872048</v>
      </c>
      <c r="O45" s="106">
        <f t="shared" si="6"/>
        <v>442784.85875380703</v>
      </c>
      <c r="P45" s="106">
        <f t="shared" si="6"/>
        <v>454052.20722985559</v>
      </c>
      <c r="Q45" s="106">
        <f t="shared" si="6"/>
        <v>447067.72715096368</v>
      </c>
      <c r="R45" s="106">
        <f t="shared" si="6"/>
        <v>436950.11019674514</v>
      </c>
      <c r="S45" s="106">
        <f t="shared" si="6"/>
        <v>425073.77104412526</v>
      </c>
      <c r="T45" s="106">
        <f t="shared" si="6"/>
        <v>400152.65507103782</v>
      </c>
      <c r="U45" s="106">
        <f t="shared" si="6"/>
        <v>369603.50932770263</v>
      </c>
      <c r="V45" s="106">
        <f t="shared" si="6"/>
        <v>334261.74432346533</v>
      </c>
      <c r="W45" s="106">
        <f t="shared" si="6"/>
        <v>300992.09862633306</v>
      </c>
      <c r="X45" s="106">
        <f t="shared" si="6"/>
        <v>279722.8284548113</v>
      </c>
      <c r="Y45" s="106">
        <f t="shared" si="6"/>
        <v>244345.78747350391</v>
      </c>
      <c r="Z45" s="106">
        <f t="shared" si="6"/>
        <v>205464.86830872719</v>
      </c>
      <c r="AA45" s="106">
        <f t="shared" si="6"/>
        <v>175584.16304810048</v>
      </c>
    </row>
    <row r="46" spans="1:27" x14ac:dyDescent="0.25">
      <c r="E46" s="106" t="str">
        <f t="shared" ref="E46:E48" si="7">E38</f>
        <v>Pumps / Valves</v>
      </c>
      <c r="F46" s="47" t="s">
        <v>639</v>
      </c>
      <c r="G46" s="106">
        <f t="shared" ref="G46:AA48" si="8">G38/$G8+IF((G$2-$G8+1)&gt;0,-INDEX($G38:$AP38,1,(G$2-$G8+1))/$G8,0)</f>
        <v>0</v>
      </c>
      <c r="H46" s="106">
        <f t="shared" si="8"/>
        <v>0</v>
      </c>
      <c r="I46" s="106">
        <f t="shared" si="8"/>
        <v>0</v>
      </c>
      <c r="J46" s="106">
        <f t="shared" si="8"/>
        <v>0</v>
      </c>
      <c r="K46" s="106">
        <f t="shared" si="8"/>
        <v>0</v>
      </c>
      <c r="L46" s="106">
        <f t="shared" si="8"/>
        <v>0</v>
      </c>
      <c r="M46" s="106">
        <f t="shared" si="8"/>
        <v>0</v>
      </c>
      <c r="N46" s="106">
        <f t="shared" si="8"/>
        <v>0</v>
      </c>
      <c r="O46" s="106">
        <f t="shared" si="8"/>
        <v>0</v>
      </c>
      <c r="P46" s="106">
        <f t="shared" si="8"/>
        <v>0</v>
      </c>
      <c r="Q46" s="106">
        <f t="shared" si="8"/>
        <v>0</v>
      </c>
      <c r="R46" s="106">
        <f t="shared" si="8"/>
        <v>0</v>
      </c>
      <c r="S46" s="106">
        <f t="shared" si="8"/>
        <v>0</v>
      </c>
      <c r="T46" s="106">
        <f t="shared" si="8"/>
        <v>0</v>
      </c>
      <c r="U46" s="106">
        <f t="shared" si="8"/>
        <v>0</v>
      </c>
      <c r="V46" s="106">
        <f t="shared" si="8"/>
        <v>0</v>
      </c>
      <c r="W46" s="106">
        <f t="shared" si="8"/>
        <v>0</v>
      </c>
      <c r="X46" s="106">
        <f t="shared" si="8"/>
        <v>0</v>
      </c>
      <c r="Y46" s="106">
        <f t="shared" si="8"/>
        <v>0</v>
      </c>
      <c r="Z46" s="106">
        <f t="shared" si="8"/>
        <v>0</v>
      </c>
      <c r="AA46" s="106">
        <f t="shared" si="8"/>
        <v>0</v>
      </c>
    </row>
    <row r="47" spans="1:27" x14ac:dyDescent="0.25">
      <c r="E47" s="106" t="str">
        <f t="shared" si="7"/>
        <v>Treatment</v>
      </c>
      <c r="F47" s="47" t="s">
        <v>639</v>
      </c>
      <c r="G47" s="106">
        <f t="shared" si="8"/>
        <v>0</v>
      </c>
      <c r="H47" s="106">
        <f t="shared" si="8"/>
        <v>0</v>
      </c>
      <c r="I47" s="106">
        <f t="shared" si="8"/>
        <v>0</v>
      </c>
      <c r="J47" s="106">
        <f t="shared" si="8"/>
        <v>0</v>
      </c>
      <c r="K47" s="106">
        <f t="shared" si="8"/>
        <v>0</v>
      </c>
      <c r="L47" s="106">
        <f t="shared" si="8"/>
        <v>0</v>
      </c>
      <c r="M47" s="106">
        <f t="shared" si="8"/>
        <v>0</v>
      </c>
      <c r="N47" s="106">
        <f t="shared" si="8"/>
        <v>0</v>
      </c>
      <c r="O47" s="106">
        <f t="shared" si="8"/>
        <v>0</v>
      </c>
      <c r="P47" s="106">
        <f t="shared" si="8"/>
        <v>0</v>
      </c>
      <c r="Q47" s="106">
        <f t="shared" si="8"/>
        <v>0</v>
      </c>
      <c r="R47" s="106">
        <f t="shared" si="8"/>
        <v>0</v>
      </c>
      <c r="S47" s="106">
        <f t="shared" si="8"/>
        <v>0</v>
      </c>
      <c r="T47" s="106">
        <f t="shared" si="8"/>
        <v>0</v>
      </c>
      <c r="U47" s="106">
        <f t="shared" si="8"/>
        <v>0</v>
      </c>
      <c r="V47" s="106">
        <f t="shared" si="8"/>
        <v>0</v>
      </c>
      <c r="W47" s="106">
        <f t="shared" si="8"/>
        <v>0</v>
      </c>
      <c r="X47" s="106">
        <f t="shared" si="8"/>
        <v>0</v>
      </c>
      <c r="Y47" s="106">
        <f t="shared" si="8"/>
        <v>0</v>
      </c>
      <c r="Z47" s="106">
        <f t="shared" si="8"/>
        <v>0</v>
      </c>
      <c r="AA47" s="106">
        <f t="shared" si="8"/>
        <v>0</v>
      </c>
    </row>
    <row r="48" spans="1:27" x14ac:dyDescent="0.25">
      <c r="E48" s="106" t="str">
        <f t="shared" si="7"/>
        <v>Temporary Assets</v>
      </c>
      <c r="F48" s="47" t="s">
        <v>639</v>
      </c>
      <c r="G48" s="106">
        <f t="shared" si="8"/>
        <v>0</v>
      </c>
      <c r="H48" s="106">
        <f t="shared" si="8"/>
        <v>0</v>
      </c>
      <c r="I48" s="106">
        <f t="shared" si="8"/>
        <v>0</v>
      </c>
      <c r="J48" s="106">
        <f t="shared" si="8"/>
        <v>0</v>
      </c>
      <c r="K48" s="106">
        <f t="shared" si="8"/>
        <v>0</v>
      </c>
      <c r="L48" s="106">
        <f t="shared" si="8"/>
        <v>0</v>
      </c>
      <c r="M48" s="106">
        <f t="shared" si="8"/>
        <v>0</v>
      </c>
      <c r="N48" s="106">
        <f t="shared" si="8"/>
        <v>0</v>
      </c>
      <c r="O48" s="106">
        <f t="shared" si="8"/>
        <v>0</v>
      </c>
      <c r="P48" s="106">
        <f t="shared" si="8"/>
        <v>0</v>
      </c>
      <c r="Q48" s="106">
        <f t="shared" si="8"/>
        <v>0</v>
      </c>
      <c r="R48" s="106">
        <f t="shared" si="8"/>
        <v>0</v>
      </c>
      <c r="S48" s="106">
        <f t="shared" si="8"/>
        <v>0</v>
      </c>
      <c r="T48" s="106">
        <f t="shared" si="8"/>
        <v>0</v>
      </c>
      <c r="U48" s="106">
        <f t="shared" si="8"/>
        <v>0</v>
      </c>
      <c r="V48" s="106">
        <f t="shared" si="8"/>
        <v>0</v>
      </c>
      <c r="W48" s="106">
        <f t="shared" si="8"/>
        <v>0</v>
      </c>
      <c r="X48" s="106">
        <f t="shared" si="8"/>
        <v>0</v>
      </c>
      <c r="Y48" s="106">
        <f t="shared" si="8"/>
        <v>0</v>
      </c>
      <c r="Z48" s="106">
        <f t="shared" si="8"/>
        <v>0</v>
      </c>
      <c r="AA48" s="106">
        <f t="shared" si="8"/>
        <v>0</v>
      </c>
    </row>
    <row r="49" spans="1:27" x14ac:dyDescent="0.25">
      <c r="G49" s="106"/>
      <c r="H49" s="106"/>
      <c r="I49" s="106"/>
      <c r="J49" s="106"/>
      <c r="K49" s="106"/>
      <c r="L49" s="106"/>
      <c r="M49" s="106"/>
      <c r="N49" s="106"/>
      <c r="O49" s="106"/>
      <c r="P49" s="106"/>
      <c r="Q49" s="106"/>
    </row>
    <row r="50" spans="1:27" x14ac:dyDescent="0.25">
      <c r="D50" s="47" t="s">
        <v>644</v>
      </c>
      <c r="F50" s="47" t="s">
        <v>639</v>
      </c>
      <c r="G50" s="106">
        <f>SUM($G$45:G48)</f>
        <v>0</v>
      </c>
      <c r="H50" s="106">
        <f>SUM($G$45:H48)</f>
        <v>429799.13276501378</v>
      </c>
      <c r="I50" s="106">
        <f>SUM($G$45:I48)</f>
        <v>868932.45378403843</v>
      </c>
      <c r="J50" s="106">
        <f>SUM($G$45:J48)</f>
        <v>1335967.1011838363</v>
      </c>
      <c r="K50" s="106">
        <f>SUM($G$45:K48)</f>
        <v>1809207.8127849656</v>
      </c>
      <c r="L50" s="106">
        <f>SUM($G$45:L48)</f>
        <v>2235603.9091905896</v>
      </c>
      <c r="M50" s="106">
        <f>SUM($G$45:M48)</f>
        <v>2668101.6624927172</v>
      </c>
      <c r="N50" s="106">
        <f>SUM($G$45:N48)</f>
        <v>3088598.3399014375</v>
      </c>
      <c r="O50" s="106">
        <f>SUM($G$45:O48)</f>
        <v>3531383.1986552444</v>
      </c>
      <c r="P50" s="106">
        <f>SUM($G$45:P48)</f>
        <v>3985435.4058850999</v>
      </c>
      <c r="Q50" s="106">
        <f>SUM($G$45:Q48)</f>
        <v>4432503.133036064</v>
      </c>
      <c r="R50" s="106">
        <f>SUM($G$45:R48)</f>
        <v>4869453.243232809</v>
      </c>
      <c r="S50" s="106">
        <f>SUM($G$45:S48)</f>
        <v>5294527.0142769339</v>
      </c>
      <c r="T50" s="106">
        <f>SUM($G$45:T48)</f>
        <v>5694679.6693479717</v>
      </c>
      <c r="U50" s="106">
        <f>SUM($G$45:U48)</f>
        <v>6064283.1786756739</v>
      </c>
      <c r="V50" s="106">
        <f>SUM($G$45:V48)</f>
        <v>6398544.9229991389</v>
      </c>
      <c r="W50" s="106">
        <f>SUM($G$45:W48)</f>
        <v>6699537.0216254722</v>
      </c>
      <c r="X50" s="106">
        <f>SUM($G$45:X48)</f>
        <v>6979259.8500802834</v>
      </c>
      <c r="Y50" s="106">
        <f>SUM($G$45:Y48)</f>
        <v>7223605.6375537869</v>
      </c>
      <c r="Z50" s="106">
        <f>SUM($G$45:Z48)</f>
        <v>7429070.5058625145</v>
      </c>
      <c r="AA50" s="106">
        <f>SUM($G$45:AA48)</f>
        <v>7604654.6689106151</v>
      </c>
    </row>
    <row r="51" spans="1:27" x14ac:dyDescent="0.25">
      <c r="G51" s="106"/>
      <c r="H51" s="106"/>
      <c r="I51" s="106"/>
      <c r="J51" s="106"/>
      <c r="K51" s="106"/>
      <c r="L51" s="106"/>
      <c r="M51" s="106"/>
      <c r="N51" s="106"/>
      <c r="O51" s="106"/>
      <c r="P51" s="106"/>
      <c r="Q51" s="106"/>
      <c r="R51" s="106"/>
      <c r="S51" s="106"/>
      <c r="T51" s="106"/>
      <c r="U51" s="106"/>
      <c r="V51" s="106"/>
      <c r="W51" s="106"/>
      <c r="X51" s="106"/>
      <c r="Y51" s="106"/>
      <c r="Z51" s="106"/>
      <c r="AA51" s="106"/>
    </row>
    <row r="52" spans="1:27" x14ac:dyDescent="0.25">
      <c r="A52" s="101">
        <v>12</v>
      </c>
      <c r="C52" s="100" t="s">
        <v>645</v>
      </c>
      <c r="G52" s="106"/>
      <c r="H52" s="106"/>
      <c r="I52" s="106"/>
      <c r="J52" s="106"/>
      <c r="K52" s="106"/>
      <c r="L52" s="106"/>
      <c r="M52" s="106"/>
      <c r="N52" s="106"/>
      <c r="O52" s="106"/>
      <c r="P52" s="106"/>
      <c r="Q52" s="106"/>
      <c r="R52" s="106"/>
      <c r="S52" s="106"/>
      <c r="T52" s="106"/>
      <c r="U52" s="106"/>
      <c r="V52" s="106"/>
      <c r="W52" s="106"/>
      <c r="X52" s="106"/>
      <c r="Y52" s="106"/>
      <c r="Z52" s="106"/>
      <c r="AA52" s="106"/>
    </row>
    <row r="53" spans="1:27" x14ac:dyDescent="0.25">
      <c r="E53" s="47" t="s">
        <v>645</v>
      </c>
      <c r="F53" s="47" t="s">
        <v>639</v>
      </c>
      <c r="G53" s="102"/>
      <c r="H53" s="102"/>
      <c r="I53" s="102"/>
      <c r="J53" s="102"/>
      <c r="K53" s="102"/>
      <c r="L53" s="102"/>
      <c r="M53" s="102"/>
      <c r="N53" s="102"/>
      <c r="O53" s="102"/>
      <c r="P53" s="102"/>
      <c r="Q53" s="102"/>
      <c r="R53" s="102"/>
      <c r="S53" s="102"/>
      <c r="T53" s="102"/>
      <c r="U53" s="102"/>
      <c r="V53" s="102"/>
      <c r="W53" s="102"/>
      <c r="X53" s="102"/>
      <c r="Y53" s="102"/>
      <c r="Z53" s="102"/>
      <c r="AA53" s="102"/>
    </row>
    <row r="55" spans="1:27" x14ac:dyDescent="0.25">
      <c r="C55" s="100" t="s">
        <v>646</v>
      </c>
      <c r="D55" s="100"/>
    </row>
    <row r="56" spans="1:27" x14ac:dyDescent="0.25">
      <c r="A56" s="101">
        <v>13</v>
      </c>
      <c r="D56" s="47" t="s">
        <v>647</v>
      </c>
    </row>
    <row r="57" spans="1:27" x14ac:dyDescent="0.25">
      <c r="E57" s="106" t="str">
        <f>E7</f>
        <v>Pipes / Storage</v>
      </c>
      <c r="F57" s="47" t="s">
        <v>639</v>
      </c>
      <c r="G57" s="102"/>
      <c r="H57" s="102"/>
      <c r="I57" s="102"/>
      <c r="J57" s="102"/>
      <c r="K57" s="102"/>
      <c r="L57" s="102"/>
      <c r="M57" s="102"/>
      <c r="N57" s="102"/>
      <c r="O57" s="102"/>
      <c r="P57" s="102"/>
      <c r="Q57" s="102"/>
      <c r="R57" s="102"/>
      <c r="S57" s="102"/>
      <c r="T57" s="102"/>
      <c r="U57" s="102"/>
      <c r="V57" s="102"/>
      <c r="W57" s="102"/>
      <c r="X57" s="102"/>
      <c r="Y57" s="102"/>
      <c r="Z57" s="102"/>
      <c r="AA57" s="102"/>
    </row>
    <row r="58" spans="1:27" x14ac:dyDescent="0.25">
      <c r="E58" s="106" t="str">
        <f>E8</f>
        <v>Pumps / Valves</v>
      </c>
      <c r="F58" s="47" t="s">
        <v>639</v>
      </c>
      <c r="G58" s="102"/>
      <c r="H58" s="102"/>
      <c r="I58" s="102"/>
      <c r="J58" s="102"/>
      <c r="K58" s="102"/>
      <c r="L58" s="102"/>
      <c r="M58" s="102"/>
      <c r="N58" s="102"/>
      <c r="O58" s="102"/>
      <c r="P58" s="102"/>
      <c r="Q58" s="102"/>
      <c r="R58" s="102"/>
      <c r="S58" s="102"/>
      <c r="T58" s="102"/>
      <c r="U58" s="102"/>
      <c r="V58" s="102"/>
      <c r="W58" s="102"/>
      <c r="X58" s="102"/>
      <c r="Y58" s="102"/>
      <c r="Z58" s="102"/>
      <c r="AA58" s="102"/>
    </row>
    <row r="59" spans="1:27" x14ac:dyDescent="0.25">
      <c r="E59" s="106" t="str">
        <f>E9</f>
        <v>Treatment</v>
      </c>
      <c r="F59" s="47" t="s">
        <v>639</v>
      </c>
      <c r="G59" s="102"/>
      <c r="H59" s="102"/>
      <c r="I59" s="102"/>
      <c r="J59" s="102"/>
      <c r="K59" s="102"/>
      <c r="L59" s="102"/>
      <c r="M59" s="102"/>
      <c r="N59" s="102"/>
      <c r="O59" s="102"/>
      <c r="P59" s="102"/>
      <c r="Q59" s="102"/>
      <c r="R59" s="102"/>
      <c r="S59" s="102"/>
      <c r="T59" s="102"/>
      <c r="U59" s="102"/>
      <c r="V59" s="102"/>
      <c r="W59" s="102"/>
      <c r="X59" s="102"/>
      <c r="Y59" s="102"/>
      <c r="Z59" s="102"/>
      <c r="AA59" s="102"/>
    </row>
    <row r="60" spans="1:27" x14ac:dyDescent="0.25">
      <c r="E60" s="47" t="s">
        <v>640</v>
      </c>
      <c r="F60" s="47" t="s">
        <v>639</v>
      </c>
      <c r="G60" s="102"/>
      <c r="H60" s="102"/>
      <c r="I60" s="102"/>
      <c r="J60" s="102"/>
      <c r="K60" s="102"/>
      <c r="L60" s="102"/>
      <c r="M60" s="102"/>
      <c r="N60" s="102"/>
      <c r="O60" s="102"/>
      <c r="P60" s="102"/>
      <c r="Q60" s="102"/>
      <c r="R60" s="102"/>
      <c r="S60" s="102"/>
      <c r="T60" s="102"/>
      <c r="U60" s="102"/>
      <c r="V60" s="102"/>
      <c r="W60" s="102"/>
      <c r="X60" s="102"/>
      <c r="Y60" s="102"/>
      <c r="Z60" s="102"/>
      <c r="AA60" s="102"/>
    </row>
    <row r="61" spans="1:27" x14ac:dyDescent="0.25">
      <c r="G61" s="106">
        <f>SUM(G57:G60)</f>
        <v>0</v>
      </c>
      <c r="H61" s="106">
        <f t="shared" ref="H61:AA61" si="9">SUM(H57:H60)</f>
        <v>0</v>
      </c>
      <c r="I61" s="106">
        <f t="shared" si="9"/>
        <v>0</v>
      </c>
      <c r="J61" s="106">
        <f t="shared" si="9"/>
        <v>0</v>
      </c>
      <c r="K61" s="106">
        <f t="shared" si="9"/>
        <v>0</v>
      </c>
      <c r="L61" s="106">
        <f t="shared" si="9"/>
        <v>0</v>
      </c>
      <c r="M61" s="106">
        <f t="shared" si="9"/>
        <v>0</v>
      </c>
      <c r="N61" s="106">
        <f t="shared" si="9"/>
        <v>0</v>
      </c>
      <c r="O61" s="106">
        <f t="shared" si="9"/>
        <v>0</v>
      </c>
      <c r="P61" s="106">
        <f t="shared" si="9"/>
        <v>0</v>
      </c>
      <c r="Q61" s="106">
        <f t="shared" si="9"/>
        <v>0</v>
      </c>
      <c r="R61" s="106">
        <f t="shared" si="9"/>
        <v>0</v>
      </c>
      <c r="S61" s="106">
        <f t="shared" si="9"/>
        <v>0</v>
      </c>
      <c r="T61" s="106">
        <f t="shared" si="9"/>
        <v>0</v>
      </c>
      <c r="U61" s="106">
        <f t="shared" si="9"/>
        <v>0</v>
      </c>
      <c r="V61" s="106">
        <f t="shared" si="9"/>
        <v>0</v>
      </c>
      <c r="W61" s="106">
        <f t="shared" si="9"/>
        <v>0</v>
      </c>
      <c r="X61" s="106">
        <f t="shared" si="9"/>
        <v>0</v>
      </c>
      <c r="Y61" s="106">
        <f t="shared" si="9"/>
        <v>0</v>
      </c>
      <c r="Z61" s="106">
        <f t="shared" si="9"/>
        <v>0</v>
      </c>
      <c r="AA61" s="106">
        <f t="shared" si="9"/>
        <v>0</v>
      </c>
    </row>
    <row r="63" spans="1:27" x14ac:dyDescent="0.25">
      <c r="D63" s="47" t="s">
        <v>648</v>
      </c>
      <c r="G63" s="106"/>
      <c r="H63" s="106"/>
      <c r="I63" s="106"/>
      <c r="J63" s="106"/>
      <c r="K63" s="106"/>
      <c r="L63" s="106"/>
      <c r="M63" s="106"/>
      <c r="N63" s="106"/>
      <c r="O63" s="106"/>
      <c r="P63" s="106"/>
      <c r="Q63" s="106"/>
    </row>
    <row r="64" spans="1:27" x14ac:dyDescent="0.25">
      <c r="E64" s="106" t="str">
        <f>E57</f>
        <v>Pipes / Storage</v>
      </c>
      <c r="F64" s="47" t="s">
        <v>639</v>
      </c>
      <c r="G64" s="106">
        <f>G57/$G7+IF((G$2-$G7+1)&gt;0,-INDEX($G57:$AP57,1,(G$2-$G7+1))/$G7,0)</f>
        <v>0</v>
      </c>
      <c r="H64" s="106">
        <f t="shared" ref="H64:AA64" si="10">H57/$G7+IF((H$2-$G7+1)&gt;0,-INDEX($G57:$AP57,1,(H$2-$G7+1))/$G7,0)</f>
        <v>0</v>
      </c>
      <c r="I64" s="106">
        <f t="shared" si="10"/>
        <v>0</v>
      </c>
      <c r="J64" s="106">
        <f t="shared" si="10"/>
        <v>0</v>
      </c>
      <c r="K64" s="106">
        <f t="shared" si="10"/>
        <v>0</v>
      </c>
      <c r="L64" s="106">
        <f t="shared" si="10"/>
        <v>0</v>
      </c>
      <c r="M64" s="106">
        <f t="shared" si="10"/>
        <v>0</v>
      </c>
      <c r="N64" s="106">
        <f t="shared" si="10"/>
        <v>0</v>
      </c>
      <c r="O64" s="106">
        <f t="shared" si="10"/>
        <v>0</v>
      </c>
      <c r="P64" s="106">
        <f t="shared" si="10"/>
        <v>0</v>
      </c>
      <c r="Q64" s="106">
        <f t="shared" si="10"/>
        <v>0</v>
      </c>
      <c r="R64" s="106">
        <f t="shared" si="10"/>
        <v>0</v>
      </c>
      <c r="S64" s="106">
        <f t="shared" si="10"/>
        <v>0</v>
      </c>
      <c r="T64" s="106">
        <f t="shared" si="10"/>
        <v>0</v>
      </c>
      <c r="U64" s="106">
        <f t="shared" si="10"/>
        <v>0</v>
      </c>
      <c r="V64" s="106">
        <f t="shared" si="10"/>
        <v>0</v>
      </c>
      <c r="W64" s="106">
        <f t="shared" si="10"/>
        <v>0</v>
      </c>
      <c r="X64" s="106">
        <f t="shared" si="10"/>
        <v>0</v>
      </c>
      <c r="Y64" s="106">
        <f t="shared" si="10"/>
        <v>0</v>
      </c>
      <c r="Z64" s="106">
        <f t="shared" si="10"/>
        <v>0</v>
      </c>
      <c r="AA64" s="106">
        <f t="shared" si="10"/>
        <v>0</v>
      </c>
    </row>
    <row r="65" spans="1:27" x14ac:dyDescent="0.25">
      <c r="E65" s="106" t="str">
        <f t="shared" ref="E65:E66" si="11">E58</f>
        <v>Pumps / Valves</v>
      </c>
      <c r="F65" s="47" t="s">
        <v>639</v>
      </c>
      <c r="G65" s="106">
        <f t="shared" ref="G65:AA66" si="12">G58/$G8+IF((G$2-$G8+1)&gt;0,-INDEX($G58:$AP58,1,(G$2-$G8+1))/$G8,0)</f>
        <v>0</v>
      </c>
      <c r="H65" s="106">
        <f t="shared" si="12"/>
        <v>0</v>
      </c>
      <c r="I65" s="106">
        <f t="shared" si="12"/>
        <v>0</v>
      </c>
      <c r="J65" s="106">
        <f t="shared" si="12"/>
        <v>0</v>
      </c>
      <c r="K65" s="106">
        <f t="shared" si="12"/>
        <v>0</v>
      </c>
      <c r="L65" s="106">
        <f t="shared" si="12"/>
        <v>0</v>
      </c>
      <c r="M65" s="106">
        <f t="shared" si="12"/>
        <v>0</v>
      </c>
      <c r="N65" s="106">
        <f t="shared" si="12"/>
        <v>0</v>
      </c>
      <c r="O65" s="106">
        <f t="shared" si="12"/>
        <v>0</v>
      </c>
      <c r="P65" s="106">
        <f t="shared" si="12"/>
        <v>0</v>
      </c>
      <c r="Q65" s="106">
        <f t="shared" si="12"/>
        <v>0</v>
      </c>
      <c r="R65" s="106">
        <f t="shared" si="12"/>
        <v>0</v>
      </c>
      <c r="S65" s="106">
        <f t="shared" si="12"/>
        <v>0</v>
      </c>
      <c r="T65" s="106">
        <f t="shared" si="12"/>
        <v>0</v>
      </c>
      <c r="U65" s="106">
        <f t="shared" si="12"/>
        <v>0</v>
      </c>
      <c r="V65" s="106">
        <f t="shared" si="12"/>
        <v>0</v>
      </c>
      <c r="W65" s="106">
        <f t="shared" si="12"/>
        <v>0</v>
      </c>
      <c r="X65" s="106">
        <f t="shared" si="12"/>
        <v>0</v>
      </c>
      <c r="Y65" s="106">
        <f t="shared" si="12"/>
        <v>0</v>
      </c>
      <c r="Z65" s="106">
        <f t="shared" si="12"/>
        <v>0</v>
      </c>
      <c r="AA65" s="106">
        <f t="shared" si="12"/>
        <v>0</v>
      </c>
    </row>
    <row r="66" spans="1:27" x14ac:dyDescent="0.25">
      <c r="E66" s="106" t="str">
        <f t="shared" si="11"/>
        <v>Treatment</v>
      </c>
      <c r="F66" s="47" t="s">
        <v>639</v>
      </c>
      <c r="G66" s="106">
        <f t="shared" si="12"/>
        <v>0</v>
      </c>
      <c r="H66" s="106">
        <f t="shared" si="12"/>
        <v>0</v>
      </c>
      <c r="I66" s="106">
        <f t="shared" si="12"/>
        <v>0</v>
      </c>
      <c r="J66" s="106">
        <f t="shared" si="12"/>
        <v>0</v>
      </c>
      <c r="K66" s="106">
        <f t="shared" si="12"/>
        <v>0</v>
      </c>
      <c r="L66" s="106">
        <f t="shared" si="12"/>
        <v>0</v>
      </c>
      <c r="M66" s="106">
        <f t="shared" si="12"/>
        <v>0</v>
      </c>
      <c r="N66" s="106">
        <f t="shared" si="12"/>
        <v>0</v>
      </c>
      <c r="O66" s="106">
        <f t="shared" si="12"/>
        <v>0</v>
      </c>
      <c r="P66" s="106">
        <f t="shared" si="12"/>
        <v>0</v>
      </c>
      <c r="Q66" s="106">
        <f t="shared" si="12"/>
        <v>0</v>
      </c>
      <c r="R66" s="106">
        <f t="shared" si="12"/>
        <v>0</v>
      </c>
      <c r="S66" s="106">
        <f t="shared" si="12"/>
        <v>0</v>
      </c>
      <c r="T66" s="106">
        <f t="shared" si="12"/>
        <v>0</v>
      </c>
      <c r="U66" s="106">
        <f t="shared" si="12"/>
        <v>0</v>
      </c>
      <c r="V66" s="106">
        <f t="shared" si="12"/>
        <v>0</v>
      </c>
      <c r="W66" s="106">
        <f t="shared" si="12"/>
        <v>0</v>
      </c>
      <c r="X66" s="106">
        <f t="shared" si="12"/>
        <v>0</v>
      </c>
      <c r="Y66" s="106">
        <f t="shared" si="12"/>
        <v>0</v>
      </c>
      <c r="Z66" s="106">
        <f t="shared" si="12"/>
        <v>0</v>
      </c>
      <c r="AA66" s="106">
        <f t="shared" si="12"/>
        <v>0</v>
      </c>
    </row>
    <row r="68" spans="1:27" x14ac:dyDescent="0.25">
      <c r="D68" s="47" t="s">
        <v>649</v>
      </c>
      <c r="F68" s="47" t="s">
        <v>639</v>
      </c>
      <c r="G68" s="106">
        <f>SUM($G$64:G66)</f>
        <v>0</v>
      </c>
      <c r="H68" s="106">
        <f>SUM($G$64:H66)</f>
        <v>0</v>
      </c>
      <c r="I68" s="106">
        <f>SUM($G$64:I66)</f>
        <v>0</v>
      </c>
      <c r="J68" s="106">
        <f>SUM($G$64:J66)</f>
        <v>0</v>
      </c>
      <c r="K68" s="106">
        <f>SUM($G$64:K66)</f>
        <v>0</v>
      </c>
      <c r="L68" s="106">
        <f>SUM($G$64:L66)</f>
        <v>0</v>
      </c>
      <c r="M68" s="106">
        <f>SUM($G$64:M66)</f>
        <v>0</v>
      </c>
      <c r="N68" s="106">
        <f>SUM($G$64:N66)</f>
        <v>0</v>
      </c>
      <c r="O68" s="106">
        <f>SUM($G$64:O66)</f>
        <v>0</v>
      </c>
      <c r="P68" s="106">
        <f>SUM($G$64:P66)</f>
        <v>0</v>
      </c>
      <c r="Q68" s="106">
        <f>SUM($G$64:Q66)</f>
        <v>0</v>
      </c>
      <c r="R68" s="106">
        <f>SUM($G$64:R66)</f>
        <v>0</v>
      </c>
      <c r="S68" s="106">
        <f>SUM($G$64:S66)</f>
        <v>0</v>
      </c>
      <c r="T68" s="106">
        <f>SUM($G$64:T66)</f>
        <v>0</v>
      </c>
      <c r="U68" s="106">
        <f>SUM($G$64:U66)</f>
        <v>0</v>
      </c>
      <c r="V68" s="106">
        <f>SUM($G$64:V66)</f>
        <v>0</v>
      </c>
      <c r="W68" s="106">
        <f>SUM($G$64:W66)</f>
        <v>0</v>
      </c>
      <c r="X68" s="106">
        <f>SUM($G$64:X66)</f>
        <v>0</v>
      </c>
      <c r="Y68" s="106">
        <f>SUM($G$64:Y66)</f>
        <v>0</v>
      </c>
      <c r="Z68" s="106">
        <f>SUM($G$64:Z66)</f>
        <v>0</v>
      </c>
      <c r="AA68" s="106">
        <f>SUM($G$64:AA66)</f>
        <v>0</v>
      </c>
    </row>
    <row r="70" spans="1:27" x14ac:dyDescent="0.25">
      <c r="A70" s="101">
        <v>14</v>
      </c>
      <c r="D70" s="47" t="s">
        <v>650</v>
      </c>
    </row>
    <row r="71" spans="1:27" x14ac:dyDescent="0.25">
      <c r="E71" s="106" t="str">
        <f>E7</f>
        <v>Pipes / Storage</v>
      </c>
      <c r="F71" s="47" t="s">
        <v>639</v>
      </c>
      <c r="G71" s="102"/>
      <c r="H71" s="102"/>
      <c r="I71" s="102"/>
      <c r="J71" s="102"/>
      <c r="K71" s="102"/>
      <c r="L71" s="102"/>
      <c r="M71" s="102"/>
      <c r="N71" s="102"/>
      <c r="O71" s="102"/>
      <c r="P71" s="102"/>
      <c r="Q71" s="102"/>
      <c r="R71" s="102"/>
      <c r="S71" s="102"/>
      <c r="T71" s="102"/>
      <c r="U71" s="102"/>
      <c r="V71" s="102"/>
      <c r="W71" s="102"/>
      <c r="X71" s="102"/>
      <c r="Y71" s="102"/>
      <c r="Z71" s="102"/>
      <c r="AA71" s="102"/>
    </row>
    <row r="72" spans="1:27" x14ac:dyDescent="0.25">
      <c r="E72" s="106" t="str">
        <f>E8</f>
        <v>Pumps / Valves</v>
      </c>
      <c r="F72" s="47" t="s">
        <v>639</v>
      </c>
      <c r="G72" s="102"/>
      <c r="H72" s="102"/>
      <c r="I72" s="102"/>
      <c r="J72" s="102"/>
      <c r="K72" s="102"/>
      <c r="L72" s="102"/>
      <c r="M72" s="102"/>
      <c r="N72" s="102"/>
      <c r="O72" s="102"/>
      <c r="P72" s="102"/>
      <c r="Q72" s="102"/>
      <c r="R72" s="102"/>
      <c r="S72" s="102"/>
      <c r="T72" s="102"/>
      <c r="U72" s="102"/>
      <c r="V72" s="102"/>
      <c r="W72" s="102"/>
      <c r="X72" s="102"/>
      <c r="Y72" s="102"/>
      <c r="Z72" s="102"/>
      <c r="AA72" s="102"/>
    </row>
    <row r="73" spans="1:27" x14ac:dyDescent="0.25">
      <c r="E73" s="106" t="str">
        <f>E9</f>
        <v>Treatment</v>
      </c>
      <c r="F73" s="47" t="s">
        <v>639</v>
      </c>
      <c r="G73" s="102"/>
      <c r="H73" s="102"/>
      <c r="I73" s="102"/>
      <c r="J73" s="102"/>
      <c r="K73" s="102"/>
      <c r="L73" s="102"/>
      <c r="M73" s="102"/>
      <c r="N73" s="102"/>
      <c r="O73" s="102"/>
      <c r="P73" s="102"/>
      <c r="Q73" s="102"/>
      <c r="R73" s="102"/>
      <c r="S73" s="102"/>
      <c r="T73" s="102"/>
      <c r="U73" s="102"/>
      <c r="V73" s="102"/>
      <c r="W73" s="102"/>
      <c r="X73" s="102"/>
      <c r="Y73" s="102"/>
      <c r="Z73" s="102"/>
      <c r="AA73" s="102"/>
    </row>
    <row r="74" spans="1:27" x14ac:dyDescent="0.25">
      <c r="E74" s="47" t="s">
        <v>640</v>
      </c>
      <c r="F74" s="47" t="s">
        <v>639</v>
      </c>
      <c r="G74" s="102"/>
      <c r="H74" s="102"/>
      <c r="I74" s="102"/>
      <c r="J74" s="102"/>
      <c r="K74" s="102"/>
      <c r="L74" s="102"/>
      <c r="M74" s="102"/>
      <c r="N74" s="102"/>
      <c r="O74" s="102"/>
      <c r="P74" s="102"/>
      <c r="Q74" s="102"/>
      <c r="R74" s="102"/>
      <c r="S74" s="102"/>
      <c r="T74" s="102"/>
      <c r="U74" s="102"/>
      <c r="V74" s="102"/>
      <c r="W74" s="102"/>
      <c r="X74" s="102"/>
      <c r="Y74" s="102"/>
      <c r="Z74" s="102"/>
      <c r="AA74" s="102"/>
    </row>
    <row r="75" spans="1:27" x14ac:dyDescent="0.25">
      <c r="G75" s="106">
        <f>SUM(G71:G74)</f>
        <v>0</v>
      </c>
      <c r="H75" s="106">
        <f t="shared" ref="H75:AA75" si="13">SUM(H71:H74)</f>
        <v>0</v>
      </c>
      <c r="I75" s="106">
        <f t="shared" si="13"/>
        <v>0</v>
      </c>
      <c r="J75" s="106">
        <f t="shared" si="13"/>
        <v>0</v>
      </c>
      <c r="K75" s="106">
        <f t="shared" si="13"/>
        <v>0</v>
      </c>
      <c r="L75" s="106">
        <f t="shared" si="13"/>
        <v>0</v>
      </c>
      <c r="M75" s="106">
        <f t="shared" si="13"/>
        <v>0</v>
      </c>
      <c r="N75" s="106">
        <f t="shared" si="13"/>
        <v>0</v>
      </c>
      <c r="O75" s="106">
        <f t="shared" si="13"/>
        <v>0</v>
      </c>
      <c r="P75" s="106">
        <f t="shared" si="13"/>
        <v>0</v>
      </c>
      <c r="Q75" s="106">
        <f t="shared" si="13"/>
        <v>0</v>
      </c>
      <c r="R75" s="106">
        <f t="shared" si="13"/>
        <v>0</v>
      </c>
      <c r="S75" s="106">
        <f t="shared" si="13"/>
        <v>0</v>
      </c>
      <c r="T75" s="106">
        <f t="shared" si="13"/>
        <v>0</v>
      </c>
      <c r="U75" s="106">
        <f t="shared" si="13"/>
        <v>0</v>
      </c>
      <c r="V75" s="106">
        <f t="shared" si="13"/>
        <v>0</v>
      </c>
      <c r="W75" s="106">
        <f t="shared" si="13"/>
        <v>0</v>
      </c>
      <c r="X75" s="106">
        <f t="shared" si="13"/>
        <v>0</v>
      </c>
      <c r="Y75" s="106">
        <f t="shared" si="13"/>
        <v>0</v>
      </c>
      <c r="Z75" s="106">
        <f t="shared" si="13"/>
        <v>0</v>
      </c>
      <c r="AA75" s="106">
        <f t="shared" si="13"/>
        <v>0</v>
      </c>
    </row>
    <row r="76" spans="1:27" x14ac:dyDescent="0.25">
      <c r="G76" s="106"/>
      <c r="H76" s="106"/>
      <c r="I76" s="106"/>
      <c r="J76" s="106"/>
      <c r="K76" s="106"/>
      <c r="L76" s="106"/>
      <c r="M76" s="106"/>
      <c r="N76" s="106"/>
      <c r="O76" s="106"/>
      <c r="P76" s="106"/>
      <c r="Q76" s="106"/>
      <c r="R76" s="106"/>
      <c r="S76" s="106"/>
      <c r="T76" s="106"/>
      <c r="U76" s="106"/>
      <c r="V76" s="106"/>
      <c r="W76" s="106"/>
      <c r="X76" s="106"/>
      <c r="Y76" s="106"/>
      <c r="Z76" s="106"/>
      <c r="AA76" s="106"/>
    </row>
    <row r="77" spans="1:27" x14ac:dyDescent="0.25">
      <c r="D77" s="47" t="s">
        <v>648</v>
      </c>
      <c r="G77" s="106"/>
      <c r="H77" s="106"/>
      <c r="I77" s="106"/>
      <c r="J77" s="106"/>
      <c r="K77" s="106"/>
      <c r="L77" s="106"/>
      <c r="M77" s="106"/>
      <c r="N77" s="106"/>
      <c r="O77" s="106"/>
      <c r="P77" s="106"/>
      <c r="Q77" s="106"/>
    </row>
    <row r="78" spans="1:27" x14ac:dyDescent="0.25">
      <c r="E78" s="106" t="str">
        <f>E71</f>
        <v>Pipes / Storage</v>
      </c>
      <c r="F78" s="47" t="s">
        <v>639</v>
      </c>
      <c r="G78" s="106">
        <f t="shared" ref="G78:AA80" si="14">G71/$G7+IF((G$2-$G7+1)&gt;0,-INDEX($G71:$AP71,1,(G$2-$G7+1))/$G7,0)</f>
        <v>0</v>
      </c>
      <c r="H78" s="106">
        <f t="shared" si="14"/>
        <v>0</v>
      </c>
      <c r="I78" s="106">
        <f t="shared" si="14"/>
        <v>0</v>
      </c>
      <c r="J78" s="106">
        <f t="shared" si="14"/>
        <v>0</v>
      </c>
      <c r="K78" s="106">
        <f t="shared" si="14"/>
        <v>0</v>
      </c>
      <c r="L78" s="106">
        <f t="shared" si="14"/>
        <v>0</v>
      </c>
      <c r="M78" s="106">
        <f t="shared" si="14"/>
        <v>0</v>
      </c>
      <c r="N78" s="106">
        <f t="shared" si="14"/>
        <v>0</v>
      </c>
      <c r="O78" s="106">
        <f t="shared" si="14"/>
        <v>0</v>
      </c>
      <c r="P78" s="106">
        <f t="shared" si="14"/>
        <v>0</v>
      </c>
      <c r="Q78" s="106">
        <f t="shared" si="14"/>
        <v>0</v>
      </c>
      <c r="R78" s="106">
        <f t="shared" si="14"/>
        <v>0</v>
      </c>
      <c r="S78" s="106">
        <f t="shared" si="14"/>
        <v>0</v>
      </c>
      <c r="T78" s="106">
        <f t="shared" si="14"/>
        <v>0</v>
      </c>
      <c r="U78" s="106">
        <f t="shared" si="14"/>
        <v>0</v>
      </c>
      <c r="V78" s="106">
        <f t="shared" si="14"/>
        <v>0</v>
      </c>
      <c r="W78" s="106">
        <f t="shared" si="14"/>
        <v>0</v>
      </c>
      <c r="X78" s="106">
        <f t="shared" si="14"/>
        <v>0</v>
      </c>
      <c r="Y78" s="106">
        <f t="shared" si="14"/>
        <v>0</v>
      </c>
      <c r="Z78" s="106">
        <f t="shared" si="14"/>
        <v>0</v>
      </c>
      <c r="AA78" s="106">
        <f t="shared" si="14"/>
        <v>0</v>
      </c>
    </row>
    <row r="79" spans="1:27" x14ac:dyDescent="0.25">
      <c r="E79" s="106" t="str">
        <f t="shared" ref="E79:E80" si="15">E72</f>
        <v>Pumps / Valves</v>
      </c>
      <c r="F79" s="47" t="s">
        <v>639</v>
      </c>
      <c r="G79" s="106">
        <f t="shared" si="14"/>
        <v>0</v>
      </c>
      <c r="H79" s="106">
        <f t="shared" si="14"/>
        <v>0</v>
      </c>
      <c r="I79" s="106">
        <f t="shared" si="14"/>
        <v>0</v>
      </c>
      <c r="J79" s="106">
        <f t="shared" si="14"/>
        <v>0</v>
      </c>
      <c r="K79" s="106">
        <f t="shared" si="14"/>
        <v>0</v>
      </c>
      <c r="L79" s="106">
        <f t="shared" si="14"/>
        <v>0</v>
      </c>
      <c r="M79" s="106">
        <f t="shared" si="14"/>
        <v>0</v>
      </c>
      <c r="N79" s="106">
        <f t="shared" si="14"/>
        <v>0</v>
      </c>
      <c r="O79" s="106">
        <f t="shared" si="14"/>
        <v>0</v>
      </c>
      <c r="P79" s="106">
        <f t="shared" si="14"/>
        <v>0</v>
      </c>
      <c r="Q79" s="106">
        <f t="shared" si="14"/>
        <v>0</v>
      </c>
      <c r="R79" s="106">
        <f t="shared" si="14"/>
        <v>0</v>
      </c>
      <c r="S79" s="106">
        <f t="shared" si="14"/>
        <v>0</v>
      </c>
      <c r="T79" s="106">
        <f t="shared" si="14"/>
        <v>0</v>
      </c>
      <c r="U79" s="106">
        <f t="shared" si="14"/>
        <v>0</v>
      </c>
      <c r="V79" s="106">
        <f t="shared" si="14"/>
        <v>0</v>
      </c>
      <c r="W79" s="106">
        <f t="shared" si="14"/>
        <v>0</v>
      </c>
      <c r="X79" s="106">
        <f t="shared" si="14"/>
        <v>0</v>
      </c>
      <c r="Y79" s="106">
        <f t="shared" si="14"/>
        <v>0</v>
      </c>
      <c r="Z79" s="106">
        <f t="shared" si="14"/>
        <v>0</v>
      </c>
      <c r="AA79" s="106">
        <f t="shared" si="14"/>
        <v>0</v>
      </c>
    </row>
    <row r="80" spans="1:27" x14ac:dyDescent="0.25">
      <c r="E80" s="106" t="str">
        <f t="shared" si="15"/>
        <v>Treatment</v>
      </c>
      <c r="F80" s="47" t="s">
        <v>639</v>
      </c>
      <c r="G80" s="106">
        <f t="shared" si="14"/>
        <v>0</v>
      </c>
      <c r="H80" s="106">
        <f t="shared" si="14"/>
        <v>0</v>
      </c>
      <c r="I80" s="106">
        <f t="shared" si="14"/>
        <v>0</v>
      </c>
      <c r="J80" s="106">
        <f t="shared" si="14"/>
        <v>0</v>
      </c>
      <c r="K80" s="106">
        <f t="shared" si="14"/>
        <v>0</v>
      </c>
      <c r="L80" s="106">
        <f t="shared" si="14"/>
        <v>0</v>
      </c>
      <c r="M80" s="106">
        <f t="shared" si="14"/>
        <v>0</v>
      </c>
      <c r="N80" s="106">
        <f t="shared" si="14"/>
        <v>0</v>
      </c>
      <c r="O80" s="106">
        <f t="shared" si="14"/>
        <v>0</v>
      </c>
      <c r="P80" s="106">
        <f t="shared" si="14"/>
        <v>0</v>
      </c>
      <c r="Q80" s="106">
        <f t="shared" si="14"/>
        <v>0</v>
      </c>
      <c r="R80" s="106">
        <f t="shared" si="14"/>
        <v>0</v>
      </c>
      <c r="S80" s="106">
        <f t="shared" si="14"/>
        <v>0</v>
      </c>
      <c r="T80" s="106">
        <f t="shared" si="14"/>
        <v>0</v>
      </c>
      <c r="U80" s="106">
        <f t="shared" si="14"/>
        <v>0</v>
      </c>
      <c r="V80" s="106">
        <f t="shared" si="14"/>
        <v>0</v>
      </c>
      <c r="W80" s="106">
        <f t="shared" si="14"/>
        <v>0</v>
      </c>
      <c r="X80" s="106">
        <f t="shared" si="14"/>
        <v>0</v>
      </c>
      <c r="Y80" s="106">
        <f t="shared" si="14"/>
        <v>0</v>
      </c>
      <c r="Z80" s="106">
        <f t="shared" si="14"/>
        <v>0</v>
      </c>
      <c r="AA80" s="106">
        <f t="shared" si="14"/>
        <v>0</v>
      </c>
    </row>
    <row r="82" spans="1:27" x14ac:dyDescent="0.25">
      <c r="D82" s="47" t="s">
        <v>649</v>
      </c>
      <c r="F82" s="47" t="s">
        <v>639</v>
      </c>
      <c r="G82" s="106">
        <f>SUM($G$77:G80)</f>
        <v>0</v>
      </c>
      <c r="H82" s="106">
        <f>SUM($G$77:H80)</f>
        <v>0</v>
      </c>
      <c r="I82" s="106">
        <f>SUM($G$77:I80)</f>
        <v>0</v>
      </c>
      <c r="J82" s="106">
        <f>SUM($G$77:J80)</f>
        <v>0</v>
      </c>
      <c r="K82" s="106">
        <f>SUM($G$77:K80)</f>
        <v>0</v>
      </c>
      <c r="L82" s="106">
        <f>SUM($G$77:L80)</f>
        <v>0</v>
      </c>
      <c r="M82" s="106">
        <f>SUM($G$77:M80)</f>
        <v>0</v>
      </c>
      <c r="N82" s="106">
        <f>SUM($G$77:N80)</f>
        <v>0</v>
      </c>
      <c r="O82" s="106">
        <f>SUM($G$77:O80)</f>
        <v>0</v>
      </c>
      <c r="P82" s="106">
        <f>SUM($G$77:P80)</f>
        <v>0</v>
      </c>
      <c r="Q82" s="106">
        <f>SUM($G$77:Q80)</f>
        <v>0</v>
      </c>
      <c r="R82" s="106">
        <f>SUM($G$77:R80)</f>
        <v>0</v>
      </c>
      <c r="S82" s="106">
        <f>SUM($G$77:S80)</f>
        <v>0</v>
      </c>
      <c r="T82" s="106">
        <f>SUM($G$77:T80)</f>
        <v>0</v>
      </c>
      <c r="U82" s="106">
        <f>SUM($G$77:U80)</f>
        <v>0</v>
      </c>
      <c r="V82" s="106">
        <f>SUM($G$77:V80)</f>
        <v>0</v>
      </c>
      <c r="W82" s="106">
        <f>SUM($G$77:W80)</f>
        <v>0</v>
      </c>
      <c r="X82" s="106">
        <f>SUM($G$77:X80)</f>
        <v>0</v>
      </c>
      <c r="Y82" s="106">
        <f>SUM($G$77:Y80)</f>
        <v>0</v>
      </c>
      <c r="Z82" s="106">
        <f>SUM($G$77:Z80)</f>
        <v>0</v>
      </c>
      <c r="AA82" s="106">
        <f>SUM($G$77:AA80)</f>
        <v>0</v>
      </c>
    </row>
    <row r="83" spans="1:27" x14ac:dyDescent="0.25">
      <c r="G83" s="106"/>
      <c r="H83" s="106"/>
      <c r="I83" s="106"/>
      <c r="J83" s="106"/>
      <c r="K83" s="106"/>
      <c r="L83" s="106"/>
      <c r="M83" s="106"/>
      <c r="N83" s="106"/>
      <c r="O83" s="106"/>
      <c r="P83" s="106"/>
      <c r="Q83" s="106"/>
      <c r="R83" s="106"/>
      <c r="S83" s="106"/>
      <c r="T83" s="106"/>
      <c r="U83" s="106"/>
      <c r="V83" s="106"/>
      <c r="W83" s="106"/>
      <c r="X83" s="106"/>
      <c r="Y83" s="106"/>
      <c r="Z83" s="106"/>
      <c r="AA83" s="106"/>
    </row>
    <row r="84" spans="1:27" x14ac:dyDescent="0.25">
      <c r="D84" s="47" t="s">
        <v>651</v>
      </c>
      <c r="F84" s="47" t="s">
        <v>639</v>
      </c>
      <c r="G84" s="106">
        <f t="shared" ref="G84:AA84" si="16">G61-G75</f>
        <v>0</v>
      </c>
      <c r="H84" s="106">
        <f t="shared" si="16"/>
        <v>0</v>
      </c>
      <c r="I84" s="106">
        <f t="shared" si="16"/>
        <v>0</v>
      </c>
      <c r="J84" s="106">
        <f t="shared" si="16"/>
        <v>0</v>
      </c>
      <c r="K84" s="106">
        <f t="shared" si="16"/>
        <v>0</v>
      </c>
      <c r="L84" s="106">
        <f t="shared" si="16"/>
        <v>0</v>
      </c>
      <c r="M84" s="106">
        <f t="shared" si="16"/>
        <v>0</v>
      </c>
      <c r="N84" s="106">
        <f t="shared" si="16"/>
        <v>0</v>
      </c>
      <c r="O84" s="106">
        <f t="shared" si="16"/>
        <v>0</v>
      </c>
      <c r="P84" s="106">
        <f t="shared" si="16"/>
        <v>0</v>
      </c>
      <c r="Q84" s="106">
        <f t="shared" si="16"/>
        <v>0</v>
      </c>
      <c r="R84" s="106">
        <f t="shared" si="16"/>
        <v>0</v>
      </c>
      <c r="S84" s="106">
        <f t="shared" si="16"/>
        <v>0</v>
      </c>
      <c r="T84" s="106">
        <f t="shared" si="16"/>
        <v>0</v>
      </c>
      <c r="U84" s="106">
        <f t="shared" si="16"/>
        <v>0</v>
      </c>
      <c r="V84" s="106">
        <f t="shared" si="16"/>
        <v>0</v>
      </c>
      <c r="W84" s="106">
        <f t="shared" si="16"/>
        <v>0</v>
      </c>
      <c r="X84" s="106">
        <f t="shared" si="16"/>
        <v>0</v>
      </c>
      <c r="Y84" s="106">
        <f t="shared" si="16"/>
        <v>0</v>
      </c>
      <c r="Z84" s="106">
        <f t="shared" si="16"/>
        <v>0</v>
      </c>
      <c r="AA84" s="106">
        <f t="shared" si="16"/>
        <v>0</v>
      </c>
    </row>
    <row r="85" spans="1:27" x14ac:dyDescent="0.25">
      <c r="D85" s="47" t="s">
        <v>652</v>
      </c>
      <c r="F85" s="47" t="s">
        <v>639</v>
      </c>
      <c r="G85" s="106">
        <f t="shared" ref="G85:AA85" si="17">-G68+G82</f>
        <v>0</v>
      </c>
      <c r="H85" s="106">
        <f t="shared" si="17"/>
        <v>0</v>
      </c>
      <c r="I85" s="106">
        <f t="shared" si="17"/>
        <v>0</v>
      </c>
      <c r="J85" s="106">
        <f t="shared" si="17"/>
        <v>0</v>
      </c>
      <c r="K85" s="106">
        <f t="shared" si="17"/>
        <v>0</v>
      </c>
      <c r="L85" s="106">
        <f t="shared" si="17"/>
        <v>0</v>
      </c>
      <c r="M85" s="106">
        <f t="shared" si="17"/>
        <v>0</v>
      </c>
      <c r="N85" s="106">
        <f t="shared" si="17"/>
        <v>0</v>
      </c>
      <c r="O85" s="106">
        <f t="shared" si="17"/>
        <v>0</v>
      </c>
      <c r="P85" s="106">
        <f t="shared" si="17"/>
        <v>0</v>
      </c>
      <c r="Q85" s="106">
        <f t="shared" si="17"/>
        <v>0</v>
      </c>
      <c r="R85" s="106">
        <f t="shared" si="17"/>
        <v>0</v>
      </c>
      <c r="S85" s="106">
        <f t="shared" si="17"/>
        <v>0</v>
      </c>
      <c r="T85" s="106">
        <f t="shared" si="17"/>
        <v>0</v>
      </c>
      <c r="U85" s="106">
        <f t="shared" si="17"/>
        <v>0</v>
      </c>
      <c r="V85" s="106">
        <f t="shared" si="17"/>
        <v>0</v>
      </c>
      <c r="W85" s="106">
        <f t="shared" si="17"/>
        <v>0</v>
      </c>
      <c r="X85" s="106">
        <f t="shared" si="17"/>
        <v>0</v>
      </c>
      <c r="Y85" s="106">
        <f t="shared" si="17"/>
        <v>0</v>
      </c>
      <c r="Z85" s="106">
        <f t="shared" si="17"/>
        <v>0</v>
      </c>
      <c r="AA85" s="106">
        <f t="shared" si="17"/>
        <v>0</v>
      </c>
    </row>
    <row r="87" spans="1:27" x14ac:dyDescent="0.25">
      <c r="C87" s="100" t="str">
        <f>"Incremental "&amp;G4&amp;" Service Revenue"</f>
        <v>Incremental Water and Sewer Service Revenue</v>
      </c>
      <c r="D87" s="100"/>
    </row>
    <row r="88" spans="1:27" x14ac:dyDescent="0.25">
      <c r="C88" s="100"/>
      <c r="D88" s="100"/>
    </row>
    <row r="89" spans="1:27" x14ac:dyDescent="0.25">
      <c r="C89" s="100"/>
      <c r="D89" s="47" t="s">
        <v>653</v>
      </c>
    </row>
    <row r="90" spans="1:27" x14ac:dyDescent="0.25">
      <c r="A90" s="101">
        <v>15</v>
      </c>
      <c r="B90" s="107" t="s">
        <v>262</v>
      </c>
      <c r="C90" s="47" t="s">
        <v>405</v>
      </c>
      <c r="D90" s="100" t="str">
        <f>$G$4</f>
        <v>Water and Sewer</v>
      </c>
      <c r="E90" s="47" t="s">
        <v>654</v>
      </c>
      <c r="F90" s="47" t="s">
        <v>655</v>
      </c>
      <c r="H90" s="102">
        <f>IF($G$4="Water and sewer",SUMIFS('INPUT Growth'!AD$64:AD$115,'INPUT Growth'!$B$64:$B$115,$A$1,'INPUT Growth'!$F$64:$F$115,$B90,'INPUT Growth'!$E$64:$E$115,$C90),SUMIFS('INPUT Growth'!AD$64:AD$115,'INPUT Growth'!$A$64:$A$115,$A$1,'INPUT Growth'!$F$64:$F$115,$B90,'INPUT Growth'!$E$64:$E$115,$C90))</f>
        <v>12831.413056321864</v>
      </c>
      <c r="I90" s="102">
        <f>IF($G$4="Water and sewer",SUMIFS('INPUT Growth'!AE$64:AE$115,'INPUT Growth'!$B$64:$B$115,$A$1,'INPUT Growth'!$F$64:$F$115,$B90,'INPUT Growth'!$E$64:$E$115,$C90),SUMIFS('INPUT Growth'!AE$64:AE$115,'INPUT Growth'!$A$64:$A$115,$A$1,'INPUT Growth'!$F$64:$F$115,$B90,'INPUT Growth'!$E$64:$E$115,$C90))</f>
        <v>13393.730870201682</v>
      </c>
      <c r="J90" s="102">
        <f>IF($G$4="Water and sewer",SUMIFS('INPUT Growth'!AF$64:AF$115,'INPUT Growth'!$B$64:$B$115,$A$1,'INPUT Growth'!$F$64:$F$115,$B90,'INPUT Growth'!$E$64:$E$115,$C90),SUMIFS('INPUT Growth'!AF$64:AF$115,'INPUT Growth'!$A$64:$A$115,$A$1,'INPUT Growth'!$F$64:$F$115,$B90,'INPUT Growth'!$E$64:$E$115,$C90))</f>
        <v>11418.121883796382</v>
      </c>
      <c r="K90" s="102">
        <f>IF($G$4="Water and sewer",SUMIFS('INPUT Growth'!AG$64:AG$115,'INPUT Growth'!$B$64:$B$115,$A$1,'INPUT Growth'!$F$64:$F$115,$B90,'INPUT Growth'!$E$64:$E$115,$C90),SUMIFS('INPUT Growth'!AG$64:AG$115,'INPUT Growth'!$A$64:$A$115,$A$1,'INPUT Growth'!$F$64:$F$115,$B90,'INPUT Growth'!$E$64:$E$115,$C90))</f>
        <v>11435.052488475943</v>
      </c>
      <c r="L90" s="102">
        <f>IF($G$4="Water and sewer",SUMIFS('INPUT Growth'!AH$64:AH$115,'INPUT Growth'!$B$64:$B$115,$A$1,'INPUT Growth'!$F$64:$F$115,$B90,'INPUT Growth'!$E$64:$E$115,$C90),SUMIFS('INPUT Growth'!AH$64:AH$115,'INPUT Growth'!$A$64:$A$115,$A$1,'INPUT Growth'!$F$64:$F$115,$B90,'INPUT Growth'!$E$64:$E$115,$C90))</f>
        <v>11192.10780680574</v>
      </c>
      <c r="M90" s="102">
        <f>IF($G$4="Water and sewer",SUMIFS('INPUT Growth'!AI$64:AI$115,'INPUT Growth'!$B$64:$B$115,$A$1,'INPUT Growth'!$F$64:$F$115,$B90,'INPUT Growth'!$E$64:$E$115,$C90),SUMIFS('INPUT Growth'!AI$64:AI$115,'INPUT Growth'!$A$64:$A$115,$A$1,'INPUT Growth'!$F$64:$F$115,$B90,'INPUT Growth'!$E$64:$E$115,$C90))</f>
        <v>10943.219234170574</v>
      </c>
      <c r="N90" s="102">
        <f>IF($G$4="Water and sewer",SUMIFS('INPUT Growth'!AJ$64:AJ$115,'INPUT Growth'!$B$64:$B$115,$A$1,'INPUT Growth'!$F$64:$F$115,$B90,'INPUT Growth'!$E$64:$E$115,$C90),SUMIFS('INPUT Growth'!AJ$64:AJ$115,'INPUT Growth'!$A$64:$A$115,$A$1,'INPUT Growth'!$F$64:$F$115,$B90,'INPUT Growth'!$E$64:$E$115,$C90))</f>
        <v>10928.714494089014</v>
      </c>
      <c r="O90" s="102">
        <f>IF($G$4="Water and sewer",SUMIFS('INPUT Growth'!AK$64:AK$115,'INPUT Growth'!$B$64:$B$115,$A$1,'INPUT Growth'!$F$64:$F$115,$B90,'INPUT Growth'!$E$64:$E$115,$C90),SUMIFS('INPUT Growth'!AK$64:AK$115,'INPUT Growth'!$A$64:$A$115,$A$1,'INPUT Growth'!$F$64:$F$115,$B90,'INPUT Growth'!$E$64:$E$115,$C90))</f>
        <v>11286.972735453368</v>
      </c>
      <c r="P90" s="102">
        <f>IF($G$4="Water and sewer",SUMIFS('INPUT Growth'!AL$64:AL$115,'INPUT Growth'!$B$64:$B$115,$A$1,'INPUT Growth'!$F$64:$F$115,$B90,'INPUT Growth'!$E$64:$E$115,$C90),SUMIFS('INPUT Growth'!AL$64:AL$115,'INPUT Growth'!$A$64:$A$115,$A$1,'INPUT Growth'!$F$64:$F$115,$B90,'INPUT Growth'!$E$64:$E$115,$C90))</f>
        <v>11560.452580544908</v>
      </c>
      <c r="Q90" s="102">
        <f>IF($G$4="Water and sewer",SUMIFS('INPUT Growth'!AM$64:AM$115,'INPUT Growth'!$B$64:$B$115,$A$1,'INPUT Growth'!$F$64:$F$115,$B90,'INPUT Growth'!$E$64:$E$115,$C90),SUMIFS('INPUT Growth'!AM$64:AM$115,'INPUT Growth'!$A$64:$A$115,$A$1,'INPUT Growth'!$F$64:$F$115,$B90,'INPUT Growth'!$E$64:$E$115,$C90))</f>
        <v>11873.170677270638</v>
      </c>
      <c r="R90" s="102">
        <f>IF($G$4="Water and sewer",SUMIFS('INPUT Growth'!AN$64:AN$115,'INPUT Growth'!$B$64:$B$115,$A$1,'INPUT Growth'!$F$64:$F$115,$B90,'INPUT Growth'!$E$64:$E$115,$C90),SUMIFS('INPUT Growth'!AN$64:AN$115,'INPUT Growth'!$A$64:$A$115,$A$1,'INPUT Growth'!$F$64:$F$115,$B90,'INPUT Growth'!$E$64:$E$115,$C90))</f>
        <v>12124.444533356407</v>
      </c>
      <c r="S90" s="102">
        <f>IF($G$4="Water and sewer",SUMIFS('INPUT Growth'!AO$64:AO$115,'INPUT Growth'!$B$64:$B$115,$A$1,'INPUT Growth'!$F$64:$F$115,$B90,'INPUT Growth'!$E$64:$E$115,$C90),SUMIFS('INPUT Growth'!AO$64:AO$115,'INPUT Growth'!$A$64:$A$115,$A$1,'INPUT Growth'!$F$64:$F$115,$B90,'INPUT Growth'!$E$64:$E$115,$C90))</f>
        <v>12335.195491874503</v>
      </c>
      <c r="T90" s="102">
        <f>IF($G$4="Water and sewer",SUMIFS('INPUT Growth'!AP$64:AP$115,'INPUT Growth'!$B$64:$B$115,$A$1,'INPUT Growth'!$F$64:$F$115,$B90,'INPUT Growth'!$E$64:$E$115,$C90),SUMIFS('INPUT Growth'!AP$64:AP$115,'INPUT Growth'!$A$64:$A$115,$A$1,'INPUT Growth'!$F$64:$F$115,$B90,'INPUT Growth'!$E$64:$E$115,$C90))</f>
        <v>12524.896378125501</v>
      </c>
      <c r="U90" s="102">
        <f>IF($G$4="Water and sewer",SUMIFS('INPUT Growth'!AQ$64:AQ$115,'INPUT Growth'!$B$64:$B$115,$A$1,'INPUT Growth'!$F$64:$F$115,$B90,'INPUT Growth'!$E$64:$E$115,$C90),SUMIFS('INPUT Growth'!AQ$64:AQ$115,'INPUT Growth'!$A$64:$A$115,$A$1,'INPUT Growth'!$F$64:$F$115,$B90,'INPUT Growth'!$E$64:$E$115,$C90))</f>
        <v>12600.082215049479</v>
      </c>
      <c r="V90" s="102">
        <f>IF($G$4="Water and sewer",SUMIFS('INPUT Growth'!AR$64:AR$115,'INPUT Growth'!$B$64:$B$115,$A$1,'INPUT Growth'!$F$64:$F$115,$B90,'INPUT Growth'!$E$64:$E$115,$C90),SUMIFS('INPUT Growth'!AR$64:AR$115,'INPUT Growth'!$A$64:$A$115,$A$1,'INPUT Growth'!$F$64:$F$115,$B90,'INPUT Growth'!$E$64:$E$115,$C90))</f>
        <v>12676.839343894913</v>
      </c>
      <c r="W90" s="102">
        <f>IF($G$4="Water and sewer",SUMIFS('INPUT Growth'!AS$64:AS$115,'INPUT Growth'!$B$64:$B$115,$A$1,'INPUT Growth'!$F$64:$F$115,$B90,'INPUT Growth'!$E$64:$E$115,$C90),SUMIFS('INPUT Growth'!AS$64:AS$115,'INPUT Growth'!$A$64:$A$115,$A$1,'INPUT Growth'!$F$64:$F$115,$B90,'INPUT Growth'!$E$64:$E$115,$C90))</f>
        <v>12707.895768667353</v>
      </c>
      <c r="X90" s="102">
        <f>IF($G$4="Water and sewer",SUMIFS('INPUT Growth'!AT$64:AT$115,'INPUT Growth'!$B$64:$B$115,$A$1,'INPUT Growth'!$F$64:$F$115,$B90,'INPUT Growth'!$E$64:$E$115,$C90),SUMIFS('INPUT Growth'!AT$64:AT$115,'INPUT Growth'!$A$64:$A$115,$A$1,'INPUT Growth'!$F$64:$F$115,$B90,'INPUT Growth'!$E$64:$E$115,$C90))</f>
        <v>12707.106168853323</v>
      </c>
      <c r="Y90" s="102">
        <f>IF($G$4="Water and sewer",SUMIFS('INPUT Growth'!AU$64:AU$115,'INPUT Growth'!$B$64:$B$115,$A$1,'INPUT Growth'!$F$64:$F$115,$B90,'INPUT Growth'!$E$64:$E$115,$C90),SUMIFS('INPUT Growth'!AU$64:AU$115,'INPUT Growth'!$A$64:$A$115,$A$1,'INPUT Growth'!$F$64:$F$115,$B90,'INPUT Growth'!$E$64:$E$115,$C90))</f>
        <v>12574.469226112327</v>
      </c>
      <c r="Z90" s="102">
        <f>IF($G$4="Water and sewer",SUMIFS('INPUT Growth'!AV$64:AV$115,'INPUT Growth'!$B$64:$B$115,$A$1,'INPUT Growth'!$F$64:$F$115,$B90,'INPUT Growth'!$E$64:$E$115,$C90),SUMIFS('INPUT Growth'!AV$64:AV$115,'INPUT Growth'!$A$64:$A$115,$A$1,'INPUT Growth'!$F$64:$F$115,$B90,'INPUT Growth'!$E$64:$E$115,$C90))</f>
        <v>12503.813243388126</v>
      </c>
      <c r="AA90" s="102">
        <f>IF($G$4="Water and sewer",SUMIFS('INPUT Growth'!AW$64:AW$115,'INPUT Growth'!$B$64:$B$115,$A$1,'INPUT Growth'!$F$64:$F$115,$B90,'INPUT Growth'!$E$64:$E$115,$C90),SUMIFS('INPUT Growth'!AW$64:AW$115,'INPUT Growth'!$A$64:$A$115,$A$1,'INPUT Growth'!$F$64:$F$115,$B90,'INPUT Growth'!$E$64:$E$115,$C90))</f>
        <v>12467.159200358423</v>
      </c>
    </row>
    <row r="91" spans="1:27" x14ac:dyDescent="0.25">
      <c r="C91" s="100"/>
      <c r="D91" s="100"/>
      <c r="E91" s="47" t="s">
        <v>656</v>
      </c>
      <c r="F91" s="47" t="s">
        <v>655</v>
      </c>
      <c r="H91" s="106">
        <f>G91+H90</f>
        <v>12831.413056321864</v>
      </c>
      <c r="I91" s="106">
        <f t="shared" ref="I91:AA91" si="18">H91+I90</f>
        <v>26225.143926523546</v>
      </c>
      <c r="J91" s="106">
        <f t="shared" si="18"/>
        <v>37643.265810319928</v>
      </c>
      <c r="K91" s="106">
        <f t="shared" si="18"/>
        <v>49078.318298795872</v>
      </c>
      <c r="L91" s="106">
        <f t="shared" si="18"/>
        <v>60270.426105601611</v>
      </c>
      <c r="M91" s="106">
        <f t="shared" si="18"/>
        <v>71213.645339772193</v>
      </c>
      <c r="N91" s="106">
        <f t="shared" si="18"/>
        <v>82142.359833861206</v>
      </c>
      <c r="O91" s="106">
        <f t="shared" si="18"/>
        <v>93429.332569314574</v>
      </c>
      <c r="P91" s="106">
        <f t="shared" si="18"/>
        <v>104989.78514985948</v>
      </c>
      <c r="Q91" s="106">
        <f t="shared" si="18"/>
        <v>116862.95582713012</v>
      </c>
      <c r="R91" s="106">
        <f t="shared" si="18"/>
        <v>128987.40036048653</v>
      </c>
      <c r="S91" s="106">
        <f t="shared" si="18"/>
        <v>141322.59585236103</v>
      </c>
      <c r="T91" s="106">
        <f t="shared" si="18"/>
        <v>153847.49223048653</v>
      </c>
      <c r="U91" s="106">
        <f t="shared" si="18"/>
        <v>166447.57444553601</v>
      </c>
      <c r="V91" s="106">
        <f t="shared" si="18"/>
        <v>179124.41378943092</v>
      </c>
      <c r="W91" s="106">
        <f t="shared" si="18"/>
        <v>191832.30955809826</v>
      </c>
      <c r="X91" s="106">
        <f t="shared" si="18"/>
        <v>204539.41572695159</v>
      </c>
      <c r="Y91" s="106">
        <f t="shared" si="18"/>
        <v>217113.88495306391</v>
      </c>
      <c r="Z91" s="106">
        <f t="shared" si="18"/>
        <v>229617.69819645205</v>
      </c>
      <c r="AA91" s="106">
        <f t="shared" si="18"/>
        <v>242084.85739681049</v>
      </c>
    </row>
    <row r="92" spans="1:27" x14ac:dyDescent="0.25">
      <c r="A92" s="101">
        <v>16</v>
      </c>
      <c r="C92" s="100"/>
      <c r="D92" s="100"/>
      <c r="E92" s="47" t="s">
        <v>657</v>
      </c>
      <c r="F92" s="47" t="s">
        <v>655</v>
      </c>
      <c r="G92" s="102">
        <v>1</v>
      </c>
    </row>
    <row r="93" spans="1:27" x14ac:dyDescent="0.25">
      <c r="C93" s="100"/>
      <c r="D93" s="100"/>
      <c r="E93" s="47" t="s">
        <v>658</v>
      </c>
      <c r="F93" s="47" t="s">
        <v>655</v>
      </c>
      <c r="H93" s="47">
        <f>H90*$G92</f>
        <v>12831.413056321864</v>
      </c>
      <c r="I93" s="47">
        <f t="shared" ref="I93:AA93" si="19">I90*$G92</f>
        <v>13393.730870201682</v>
      </c>
      <c r="J93" s="47">
        <f t="shared" si="19"/>
        <v>11418.121883796382</v>
      </c>
      <c r="K93" s="47">
        <f t="shared" si="19"/>
        <v>11435.052488475943</v>
      </c>
      <c r="L93" s="47">
        <f t="shared" si="19"/>
        <v>11192.10780680574</v>
      </c>
      <c r="M93" s="47">
        <f t="shared" si="19"/>
        <v>10943.219234170574</v>
      </c>
      <c r="N93" s="47">
        <f t="shared" si="19"/>
        <v>10928.714494089014</v>
      </c>
      <c r="O93" s="47">
        <f t="shared" si="19"/>
        <v>11286.972735453368</v>
      </c>
      <c r="P93" s="47">
        <f t="shared" si="19"/>
        <v>11560.452580544908</v>
      </c>
      <c r="Q93" s="47">
        <f t="shared" si="19"/>
        <v>11873.170677270638</v>
      </c>
      <c r="R93" s="47">
        <f t="shared" si="19"/>
        <v>12124.444533356407</v>
      </c>
      <c r="S93" s="47">
        <f t="shared" si="19"/>
        <v>12335.195491874503</v>
      </c>
      <c r="T93" s="47">
        <f t="shared" si="19"/>
        <v>12524.896378125501</v>
      </c>
      <c r="U93" s="47">
        <f t="shared" si="19"/>
        <v>12600.082215049479</v>
      </c>
      <c r="V93" s="47">
        <f t="shared" si="19"/>
        <v>12676.839343894913</v>
      </c>
      <c r="W93" s="47">
        <f t="shared" si="19"/>
        <v>12707.895768667353</v>
      </c>
      <c r="X93" s="47">
        <f t="shared" si="19"/>
        <v>12707.106168853323</v>
      </c>
      <c r="Y93" s="47">
        <f t="shared" si="19"/>
        <v>12574.469226112327</v>
      </c>
      <c r="Z93" s="47">
        <f t="shared" si="19"/>
        <v>12503.813243388126</v>
      </c>
      <c r="AA93" s="47">
        <f t="shared" si="19"/>
        <v>12467.159200358423</v>
      </c>
    </row>
    <row r="94" spans="1:27" x14ac:dyDescent="0.25">
      <c r="C94" s="100"/>
      <c r="D94" s="100"/>
      <c r="E94" s="47" t="s">
        <v>659</v>
      </c>
      <c r="F94" s="47" t="s">
        <v>655</v>
      </c>
      <c r="H94" s="47">
        <f>H91*$G92</f>
        <v>12831.413056321864</v>
      </c>
      <c r="I94" s="47">
        <f t="shared" ref="I94:AA94" si="20">I91*$G92</f>
        <v>26225.143926523546</v>
      </c>
      <c r="J94" s="47">
        <f t="shared" si="20"/>
        <v>37643.265810319928</v>
      </c>
      <c r="K94" s="47">
        <f t="shared" si="20"/>
        <v>49078.318298795872</v>
      </c>
      <c r="L94" s="47">
        <f t="shared" si="20"/>
        <v>60270.426105601611</v>
      </c>
      <c r="M94" s="47">
        <f t="shared" si="20"/>
        <v>71213.645339772193</v>
      </c>
      <c r="N94" s="47">
        <f t="shared" si="20"/>
        <v>82142.359833861206</v>
      </c>
      <c r="O94" s="47">
        <f t="shared" si="20"/>
        <v>93429.332569314574</v>
      </c>
      <c r="P94" s="47">
        <f t="shared" si="20"/>
        <v>104989.78514985948</v>
      </c>
      <c r="Q94" s="47">
        <f t="shared" si="20"/>
        <v>116862.95582713012</v>
      </c>
      <c r="R94" s="47">
        <f t="shared" si="20"/>
        <v>128987.40036048653</v>
      </c>
      <c r="S94" s="47">
        <f t="shared" si="20"/>
        <v>141322.59585236103</v>
      </c>
      <c r="T94" s="47">
        <f t="shared" si="20"/>
        <v>153847.49223048653</v>
      </c>
      <c r="U94" s="47">
        <f t="shared" si="20"/>
        <v>166447.57444553601</v>
      </c>
      <c r="V94" s="47">
        <f t="shared" si="20"/>
        <v>179124.41378943092</v>
      </c>
      <c r="W94" s="47">
        <f t="shared" si="20"/>
        <v>191832.30955809826</v>
      </c>
      <c r="X94" s="47">
        <f t="shared" si="20"/>
        <v>204539.41572695159</v>
      </c>
      <c r="Y94" s="47">
        <f t="shared" si="20"/>
        <v>217113.88495306391</v>
      </c>
      <c r="Z94" s="47">
        <f t="shared" si="20"/>
        <v>229617.69819645205</v>
      </c>
      <c r="AA94" s="47">
        <f t="shared" si="20"/>
        <v>242084.85739681049</v>
      </c>
    </row>
    <row r="95" spans="1:27" x14ac:dyDescent="0.25">
      <c r="A95" s="101">
        <v>17</v>
      </c>
      <c r="B95" s="47" t="str">
        <f>B90</f>
        <v>Central</v>
      </c>
      <c r="C95" s="47" t="str">
        <f>C90</f>
        <v>R</v>
      </c>
      <c r="D95" s="47" t="str">
        <f>D90</f>
        <v>Water and Sewer</v>
      </c>
      <c r="E95" s="47" t="s">
        <v>660</v>
      </c>
      <c r="F95" s="47" t="s">
        <v>661</v>
      </c>
      <c r="H95" s="102">
        <f>IF(OR($D95=W,$D95=WS),'INPUT Reg'!AD113,IF($D95=RW,'INPUT Reg'!AD117,0))</f>
        <v>130.87254215836683</v>
      </c>
      <c r="I95" s="102">
        <f>IF(OR($D95=W,$D95=WS),'INPUT Reg'!AE113,IF($D95=RW,'INPUT Reg'!AE117,0))</f>
        <v>130.9304572418996</v>
      </c>
      <c r="J95" s="102">
        <f>IF(OR($D95=W,$D95=WS),'INPUT Reg'!AF113,IF($D95=RW,'INPUT Reg'!AF117,0))</f>
        <v>128.32012463785938</v>
      </c>
      <c r="K95" s="102">
        <f>IF(OR($D95=W,$D95=WS),'INPUT Reg'!AG113,IF($D95=RW,'INPUT Reg'!AG117,0))</f>
        <v>127.36557580042182</v>
      </c>
      <c r="L95" s="102">
        <f>IF(OR($D95=W,$D95=WS),'INPUT Reg'!AH113,IF($D95=RW,'INPUT Reg'!AH117,0))</f>
        <v>126.44551181569685</v>
      </c>
      <c r="M95" s="102">
        <f>IF(OR($D95=W,$D95=WS),'INPUT Reg'!AI113,IF($D95=RW,'INPUT Reg'!AI117,0))</f>
        <v>124.14959329831383</v>
      </c>
      <c r="N95" s="102">
        <f>IF(OR($D95=W,$D95=WS),'INPUT Reg'!AJ113,IF($D95=RW,'INPUT Reg'!AJ117,0))</f>
        <v>124.68106583406338</v>
      </c>
      <c r="O95" s="102">
        <f>IF(OR($D95=W,$D95=WS),'INPUT Reg'!AK113,IF($D95=RW,'INPUT Reg'!AK117,0))</f>
        <v>123.80768278743128</v>
      </c>
      <c r="P95" s="102">
        <f>IF(OR($D95=W,$D95=WS),'INPUT Reg'!AL113,IF($D95=RW,'INPUT Reg'!AL117,0))</f>
        <v>122.95675931515683</v>
      </c>
      <c r="Q95" s="102">
        <f>IF(OR($D95=W,$D95=WS),'INPUT Reg'!AM113,IF($D95=RW,'INPUT Reg'!AM117,0))</f>
        <v>120.62498921677354</v>
      </c>
      <c r="R95" s="102">
        <f>IF(OR($D95=W,$D95=WS),'INPUT Reg'!AN113,IF($D95=RW,'INPUT Reg'!AN117,0))</f>
        <v>119.79286586906213</v>
      </c>
      <c r="S95" s="102">
        <f>IF(OR($D95=W,$D95=WS),'INPUT Reg'!AO113,IF($D95=RW,'INPUT Reg'!AO117,0))</f>
        <v>118.98813463210472</v>
      </c>
      <c r="T95" s="102">
        <f>IF(OR($D95=W,$D95=WS),'INPUT Reg'!AP113,IF($D95=RW,'INPUT Reg'!AP117,0))</f>
        <v>118.20476724223678</v>
      </c>
      <c r="U95" s="102">
        <f>IF(OR($D95=W,$D95=WS),'INPUT Reg'!AQ113,IF($D95=RW,'INPUT Reg'!AQ117,0))</f>
        <v>117.44370468514018</v>
      </c>
      <c r="V95" s="102">
        <f>IF(OR($D95=W,$D95=WS),'INPUT Reg'!AR113,IF($D95=RW,'INPUT Reg'!AR117,0))</f>
        <v>116.69996220664642</v>
      </c>
      <c r="W95" s="102">
        <f>IF(OR($D95=W,$D95=WS),'INPUT Reg'!AS113,IF($D95=RW,'INPUT Reg'!AS117,0))</f>
        <v>115.96840868261178</v>
      </c>
      <c r="X95" s="102">
        <f>IF(OR($D95=W,$D95=WS),'INPUT Reg'!AT113,IF($D95=RW,'INPUT Reg'!AT117,0))</f>
        <v>114.69237365956346</v>
      </c>
      <c r="Y95" s="102">
        <f>IF(OR($D95=W,$D95=WS),'INPUT Reg'!AU113,IF($D95=RW,'INPUT Reg'!AU117,0))</f>
        <v>114.04823695325099</v>
      </c>
      <c r="Z95" s="102">
        <f>IF(OR($D95=W,$D95=WS),'INPUT Reg'!AV113,IF($D95=RW,'INPUT Reg'!AV117,0))</f>
        <v>113.43247552103075</v>
      </c>
      <c r="AA95" s="102">
        <f>IF(OR($D95=W,$D95=WS),'INPUT Reg'!AW113,IF($D95=RW,'INPUT Reg'!AW117,0))</f>
        <v>113.43247552103075</v>
      </c>
    </row>
    <row r="96" spans="1:27" x14ac:dyDescent="0.25">
      <c r="B96" s="47" t="str">
        <f>B90</f>
        <v>Central</v>
      </c>
      <c r="C96" s="47" t="str">
        <f t="shared" ref="C96:D96" si="21">C90</f>
        <v>R</v>
      </c>
      <c r="D96" s="47" t="str">
        <f t="shared" si="21"/>
        <v>Water and Sewer</v>
      </c>
      <c r="E96" s="47" t="s">
        <v>662</v>
      </c>
      <c r="F96" s="47" t="s">
        <v>661</v>
      </c>
      <c r="H96" s="102">
        <f>IF(OR($D96=W,$D96=WS),'INPUT Reg'!AD114,0)</f>
        <v>0</v>
      </c>
      <c r="I96" s="102">
        <f>IF(OR($D96=W,$D96=WS),'INPUT Reg'!AE114,0)</f>
        <v>0</v>
      </c>
      <c r="J96" s="102">
        <f>IF(OR($D96=W,$D96=WS),'INPUT Reg'!AF114,0)</f>
        <v>0</v>
      </c>
      <c r="K96" s="102">
        <f>IF(OR($D96=W,$D96=WS),'INPUT Reg'!AG114,0)</f>
        <v>0</v>
      </c>
      <c r="L96" s="102">
        <f>IF(OR($D96=W,$D96=WS),'INPUT Reg'!AH114,0)</f>
        <v>0</v>
      </c>
      <c r="M96" s="102">
        <f>IF(OR($D96=W,$D96=WS),'INPUT Reg'!AI114,0)</f>
        <v>0</v>
      </c>
      <c r="N96" s="102">
        <f>IF(OR($D96=W,$D96=WS),'INPUT Reg'!AJ114,0)</f>
        <v>0</v>
      </c>
      <c r="O96" s="102">
        <f>IF(OR($D96=W,$D96=WS),'INPUT Reg'!AK114,0)</f>
        <v>0</v>
      </c>
      <c r="P96" s="102">
        <f>IF(OR($D96=W,$D96=WS),'INPUT Reg'!AL114,0)</f>
        <v>0</v>
      </c>
      <c r="Q96" s="102">
        <f>IF(OR($D96=W,$D96=WS),'INPUT Reg'!AM114,0)</f>
        <v>0</v>
      </c>
      <c r="R96" s="102">
        <f>IF(OR($D96=W,$D96=WS),'INPUT Reg'!AN114,0)</f>
        <v>0</v>
      </c>
      <c r="S96" s="102">
        <f>IF(OR($D96=W,$D96=WS),'INPUT Reg'!AO114,0)</f>
        <v>0</v>
      </c>
      <c r="T96" s="102">
        <f>IF(OR($D96=W,$D96=WS),'INPUT Reg'!AP114,0)</f>
        <v>0</v>
      </c>
      <c r="U96" s="102">
        <f>IF(OR($D96=W,$D96=WS),'INPUT Reg'!AQ114,0)</f>
        <v>0</v>
      </c>
      <c r="V96" s="102">
        <f>IF(OR($D96=W,$D96=WS),'INPUT Reg'!AR114,0)</f>
        <v>0</v>
      </c>
      <c r="W96" s="102">
        <f>IF(OR($D96=W,$D96=WS),'INPUT Reg'!AS114,0)</f>
        <v>0</v>
      </c>
      <c r="X96" s="102">
        <f>IF(OR($D96=W,$D96=WS),'INPUT Reg'!AT114,0)</f>
        <v>0</v>
      </c>
      <c r="Y96" s="102">
        <f>IF(OR($D96=W,$D96=WS),'INPUT Reg'!AU114,0)</f>
        <v>0</v>
      </c>
      <c r="Z96" s="102">
        <f>IF(OR($D96=W,$D96=WS),'INPUT Reg'!AV114,0)</f>
        <v>0</v>
      </c>
      <c r="AA96" s="102">
        <f>IF(OR($D96=W,$D96=WS),'INPUT Reg'!AW114,0)</f>
        <v>0</v>
      </c>
    </row>
    <row r="97" spans="1:27" x14ac:dyDescent="0.25">
      <c r="B97" s="47" t="str">
        <f>B90</f>
        <v>Central</v>
      </c>
      <c r="C97" s="47" t="str">
        <f t="shared" ref="C97:D97" si="22">C90</f>
        <v>R</v>
      </c>
      <c r="D97" s="47" t="str">
        <f t="shared" si="22"/>
        <v>Water and Sewer</v>
      </c>
      <c r="E97" s="47" t="s">
        <v>663</v>
      </c>
      <c r="F97" s="47" t="s">
        <v>661</v>
      </c>
      <c r="H97" s="102">
        <f>IF(OR($D97=S,$D97=WS),'INPUT Reg'!AD116,0)</f>
        <v>96.209345157445028</v>
      </c>
      <c r="I97" s="102">
        <f>IF(OR($D97=S,$D97=WS),'INPUT Reg'!AE116,0)</f>
        <v>96.251920721192263</v>
      </c>
      <c r="J97" s="102">
        <f>IF(OR($D97=S,$D97=WS),'INPUT Reg'!AF116,0)</f>
        <v>94.332966704283663</v>
      </c>
      <c r="K97" s="102">
        <f>IF(OR($D97=S,$D97=WS),'INPUT Reg'!AG116,0)</f>
        <v>93.631241827116241</v>
      </c>
      <c r="L97" s="102">
        <f>IF(OR($D97=S,$D97=WS),'INPUT Reg'!AH116,0)</f>
        <v>92.954868066711825</v>
      </c>
      <c r="M97" s="102">
        <f>IF(OR($D97=S,$D97=WS),'INPUT Reg'!AI116,0)</f>
        <v>91.267051711582297</v>
      </c>
      <c r="N97" s="102">
        <f>IF(OR($D97=S,$D97=WS),'INPUT Reg'!AJ116,0)</f>
        <v>91.65775723155113</v>
      </c>
      <c r="O97" s="102">
        <f>IF(OR($D97=S,$D97=WS),'INPUT Reg'!AK116,0)</f>
        <v>91.015700390579795</v>
      </c>
      <c r="P97" s="102">
        <f>IF(OR($D97=S,$D97=WS),'INPUT Reg'!AL116,0)</f>
        <v>90.3901544303924</v>
      </c>
      <c r="Q97" s="102">
        <f>IF(OR($D97=S,$D97=WS),'INPUT Reg'!AM116,0)</f>
        <v>88.675982224952236</v>
      </c>
      <c r="R97" s="102">
        <f>IF(OR($D97=S,$D97=WS),'INPUT Reg'!AN116,0)</f>
        <v>88.064256945889042</v>
      </c>
      <c r="S97" s="102">
        <f>IF(OR($D97=S,$D97=WS),'INPUT Reg'!AO116,0)</f>
        <v>87.472668641279483</v>
      </c>
      <c r="T97" s="102">
        <f>IF(OR($D97=S,$D97=WS),'INPUT Reg'!AP116,0)</f>
        <v>86.896785706983835</v>
      </c>
      <c r="U97" s="102">
        <f>IF(OR($D97=S,$D97=WS),'INPUT Reg'!AQ116,0)</f>
        <v>86.337299897091711</v>
      </c>
      <c r="V97" s="102">
        <f>IF(OR($D97=S,$D97=WS),'INPUT Reg'!AR116,0)</f>
        <v>85.790546730678273</v>
      </c>
      <c r="W97" s="102">
        <f>IF(OR($D97=S,$D97=WS),'INPUT Reg'!AS116,0)</f>
        <v>85.252754124725669</v>
      </c>
      <c r="X97" s="102">
        <f>IF(OR($D97=S,$D97=WS),'INPUT Reg'!AT116,0)</f>
        <v>84.314692618921896</v>
      </c>
      <c r="Y97" s="102">
        <f>IF(OR($D97=S,$D97=WS),'INPUT Reg'!AU116,0)</f>
        <v>83.841163414979292</v>
      </c>
      <c r="Z97" s="102">
        <f>IF(OR($D97=S,$D97=WS),'INPUT Reg'!AV116,0)</f>
        <v>83.388493945966971</v>
      </c>
      <c r="AA97" s="102">
        <f>IF(OR($D97=S,$D97=WS),'INPUT Reg'!AW116,0)</f>
        <v>83.388493945966971</v>
      </c>
    </row>
    <row r="98" spans="1:27" x14ac:dyDescent="0.25">
      <c r="C98" s="100"/>
      <c r="D98" s="100"/>
      <c r="E98" s="47" t="s">
        <v>664</v>
      </c>
      <c r="F98" s="47" t="s">
        <v>665</v>
      </c>
      <c r="H98" s="106">
        <f>H91*H95</f>
        <v>1679279.6461649018</v>
      </c>
      <c r="I98" s="106">
        <f t="shared" ref="I98:AA98" si="23">I91*I95</f>
        <v>3433670.0855343542</v>
      </c>
      <c r="J98" s="106">
        <f t="shared" si="23"/>
        <v>4830388.5605563242</v>
      </c>
      <c r="K98" s="106">
        <f t="shared" si="23"/>
        <v>6250888.2694425154</v>
      </c>
      <c r="L98" s="106">
        <f t="shared" si="23"/>
        <v>7620924.8762729326</v>
      </c>
      <c r="M98" s="106">
        <f t="shared" si="23"/>
        <v>8841145.1062230803</v>
      </c>
      <c r="N98" s="106">
        <f t="shared" si="23"/>
        <v>10241596.974210972</v>
      </c>
      <c r="O98" s="106">
        <f t="shared" si="23"/>
        <v>11567269.169783121</v>
      </c>
      <c r="P98" s="106">
        <f t="shared" si="23"/>
        <v>12909203.7432213</v>
      </c>
      <c r="Q98" s="106">
        <f t="shared" si="23"/>
        <v>14096592.786487853</v>
      </c>
      <c r="R98" s="106">
        <f t="shared" si="23"/>
        <v>15451770.350182779</v>
      </c>
      <c r="S98" s="106">
        <f t="shared" si="23"/>
        <v>16815712.061839256</v>
      </c>
      <c r="T98" s="106">
        <f t="shared" si="23"/>
        <v>18185507.009906493</v>
      </c>
      <c r="U98" s="106">
        <f t="shared" si="23"/>
        <v>19548219.778739415</v>
      </c>
      <c r="V98" s="106">
        <f t="shared" si="23"/>
        <v>20903812.319514282</v>
      </c>
      <c r="W98" s="106">
        <f t="shared" si="23"/>
        <v>22246487.673362833</v>
      </c>
      <c r="X98" s="106">
        <f t="shared" si="23"/>
        <v>23459111.096664321</v>
      </c>
      <c r="Y98" s="106">
        <f t="shared" si="23"/>
        <v>24761455.796967909</v>
      </c>
      <c r="Z98" s="106">
        <f t="shared" si="23"/>
        <v>26046103.929864474</v>
      </c>
      <c r="AA98" s="106">
        <f t="shared" si="23"/>
        <v>27460284.660675928</v>
      </c>
    </row>
    <row r="99" spans="1:27" x14ac:dyDescent="0.25">
      <c r="C99" s="100"/>
      <c r="D99" s="100"/>
      <c r="E99" s="47" t="s">
        <v>666</v>
      </c>
      <c r="F99" s="47" t="s">
        <v>665</v>
      </c>
      <c r="H99" s="106">
        <f>H91*H96</f>
        <v>0</v>
      </c>
      <c r="I99" s="106">
        <f t="shared" ref="I99:AA99" si="24">I91*I96</f>
        <v>0</v>
      </c>
      <c r="J99" s="106">
        <f t="shared" si="24"/>
        <v>0</v>
      </c>
      <c r="K99" s="106">
        <f t="shared" si="24"/>
        <v>0</v>
      </c>
      <c r="L99" s="106">
        <f t="shared" si="24"/>
        <v>0</v>
      </c>
      <c r="M99" s="106">
        <f t="shared" si="24"/>
        <v>0</v>
      </c>
      <c r="N99" s="106">
        <f t="shared" si="24"/>
        <v>0</v>
      </c>
      <c r="O99" s="106">
        <f t="shared" si="24"/>
        <v>0</v>
      </c>
      <c r="P99" s="106">
        <f t="shared" si="24"/>
        <v>0</v>
      </c>
      <c r="Q99" s="106">
        <f t="shared" si="24"/>
        <v>0</v>
      </c>
      <c r="R99" s="106">
        <f t="shared" si="24"/>
        <v>0</v>
      </c>
      <c r="S99" s="106">
        <f t="shared" si="24"/>
        <v>0</v>
      </c>
      <c r="T99" s="106">
        <f t="shared" si="24"/>
        <v>0</v>
      </c>
      <c r="U99" s="106">
        <f t="shared" si="24"/>
        <v>0</v>
      </c>
      <c r="V99" s="106">
        <f t="shared" si="24"/>
        <v>0</v>
      </c>
      <c r="W99" s="106">
        <f t="shared" si="24"/>
        <v>0</v>
      </c>
      <c r="X99" s="106">
        <f t="shared" si="24"/>
        <v>0</v>
      </c>
      <c r="Y99" s="106">
        <f t="shared" si="24"/>
        <v>0</v>
      </c>
      <c r="Z99" s="106">
        <f t="shared" si="24"/>
        <v>0</v>
      </c>
      <c r="AA99" s="106">
        <f t="shared" si="24"/>
        <v>0</v>
      </c>
    </row>
    <row r="100" spans="1:27" x14ac:dyDescent="0.25">
      <c r="C100" s="100"/>
      <c r="D100" s="100"/>
      <c r="E100" s="47" t="s">
        <v>667</v>
      </c>
      <c r="F100" s="47" t="s">
        <v>665</v>
      </c>
      <c r="H100" s="106">
        <f>H91*H97</f>
        <v>1234501.8475934169</v>
      </c>
      <c r="I100" s="106">
        <f t="shared" ref="I100:AA100" si="25">I91*I97</f>
        <v>2524220.4741176013</v>
      </c>
      <c r="J100" s="106">
        <f t="shared" si="25"/>
        <v>3551000.9403254092</v>
      </c>
      <c r="K100" s="106">
        <f t="shared" si="25"/>
        <v>4595263.8891027402</v>
      </c>
      <c r="L100" s="106">
        <f t="shared" si="25"/>
        <v>5602429.5069707017</v>
      </c>
      <c r="M100" s="106">
        <f t="shared" si="25"/>
        <v>6499459.4517952707</v>
      </c>
      <c r="N100" s="106">
        <f t="shared" si="25"/>
        <v>7528984.4760787673</v>
      </c>
      <c r="O100" s="106">
        <f t="shared" si="25"/>
        <v>8503536.140820574</v>
      </c>
      <c r="P100" s="106">
        <f t="shared" si="25"/>
        <v>9490042.8933095168</v>
      </c>
      <c r="Q100" s="106">
        <f t="shared" si="25"/>
        <v>10362937.393681969</v>
      </c>
      <c r="R100" s="106">
        <f t="shared" si="25"/>
        <v>11359179.568128146</v>
      </c>
      <c r="S100" s="106">
        <f t="shared" si="25"/>
        <v>12361864.598519035</v>
      </c>
      <c r="T100" s="106">
        <f t="shared" si="25"/>
        <v>13368852.563909449</v>
      </c>
      <c r="U100" s="106">
        <f t="shared" si="25"/>
        <v>14370634.15204774</v>
      </c>
      <c r="V100" s="106">
        <f t="shared" si="25"/>
        <v>15367181.391807524</v>
      </c>
      <c r="W100" s="106">
        <f t="shared" si="25"/>
        <v>16354232.719934814</v>
      </c>
      <c r="X100" s="106">
        <f t="shared" si="25"/>
        <v>17245677.9654718</v>
      </c>
      <c r="Y100" s="106">
        <f t="shared" si="25"/>
        <v>18203080.708010845</v>
      </c>
      <c r="Z100" s="106">
        <f t="shared" si="25"/>
        <v>19147474.035941713</v>
      </c>
      <c r="AA100" s="106">
        <f t="shared" si="25"/>
        <v>20187091.66544421</v>
      </c>
    </row>
    <row r="101" spans="1:27" x14ac:dyDescent="0.25">
      <c r="A101" s="101">
        <v>18</v>
      </c>
      <c r="B101" s="47" t="str">
        <f>B95</f>
        <v>Central</v>
      </c>
      <c r="C101" s="47" t="str">
        <f t="shared" ref="C101:D101" si="26">C95</f>
        <v>R</v>
      </c>
      <c r="D101" s="47" t="str">
        <f t="shared" si="26"/>
        <v>Water and Sewer</v>
      </c>
      <c r="E101" s="47" t="s">
        <v>668</v>
      </c>
      <c r="F101" s="47" t="s">
        <v>633</v>
      </c>
      <c r="H101" s="105">
        <f>SUMIFS('INPUT Reg'!AD$94:AD$109,'INPUT Reg'!$D$94:$D$109,$D101,'INPUT Reg'!$C$94:$C$109,$C101,'INPUT Reg'!$B$94:$B$109,$B101)</f>
        <v>7.878083921920731E-2</v>
      </c>
      <c r="I101" s="105">
        <f>SUMIFS('INPUT Reg'!AE$94:AE$109,'INPUT Reg'!$D$94:$D$109,$D101,'INPUT Reg'!$C$94:$C$109,$C101,'INPUT Reg'!$B$94:$B$109,$B101)</f>
        <v>3.2370359307165586E-3</v>
      </c>
      <c r="J101" s="105">
        <f>SUMIFS('INPUT Reg'!AF$94:AF$109,'INPUT Reg'!$D$94:$D$109,$D101,'INPUT Reg'!$C$94:$C$109,$C101,'INPUT Reg'!$B$94:$B$109,$B101)</f>
        <v>3.2265913386197997E-3</v>
      </c>
      <c r="K101" s="105">
        <f>SUMIFS('INPUT Reg'!AG$94:AG$109,'INPUT Reg'!$D$94:$D$109,$D101,'INPUT Reg'!$C$94:$C$109,$C101,'INPUT Reg'!$B$94:$B$109,$B101)</f>
        <v>3.2162139306082249E-3</v>
      </c>
      <c r="L101" s="105">
        <f>SUMIFS('INPUT Reg'!AH$94:AH$109,'INPUT Reg'!$D$94:$D$109,$D101,'INPUT Reg'!$C$94:$C$109,$C101,'INPUT Reg'!$B$94:$B$109,$B101)</f>
        <v>-6.2610842849308845E-3</v>
      </c>
      <c r="M101" s="105">
        <f>SUMIFS('INPUT Reg'!AI$94:AI$109,'INPUT Reg'!$D$94:$D$109,$D101,'INPUT Reg'!$C$94:$C$109,$C101,'INPUT Reg'!$B$94:$B$109,$B101)</f>
        <v>3.4731277681165906E-3</v>
      </c>
      <c r="N101" s="105">
        <f>SUMIFS('INPUT Reg'!AJ$94:AJ$109,'INPUT Reg'!$D$94:$D$109,$D101,'INPUT Reg'!$C$94:$C$109,$C101,'INPUT Reg'!$B$94:$B$109,$B101)</f>
        <v>3.4611069016283746E-3</v>
      </c>
      <c r="O101" s="105">
        <f>SUMIFS('INPUT Reg'!AK$94:AK$109,'INPUT Reg'!$D$94:$D$109,$D101,'INPUT Reg'!$C$94:$C$109,$C101,'INPUT Reg'!$B$94:$B$109,$B101)</f>
        <v>3.4491689591387154E-3</v>
      </c>
      <c r="P101" s="105">
        <f>SUMIFS('INPUT Reg'!AL$94:AL$109,'INPUT Reg'!$D$94:$D$109,$D101,'INPUT Reg'!$C$94:$C$109,$C101,'INPUT Reg'!$B$94:$B$109,$B101)</f>
        <v>3.4373130855416267E-3</v>
      </c>
      <c r="Q101" s="105">
        <f>SUMIFS('INPUT Reg'!AM$94:AM$109,'INPUT Reg'!$D$94:$D$109,$D101,'INPUT Reg'!$C$94:$C$109,$C101,'INPUT Reg'!$B$94:$B$109,$B101)</f>
        <v>-7.3391653995346862E-2</v>
      </c>
      <c r="R101" s="105">
        <f>SUMIFS('INPUT Reg'!AN$94:AN$109,'INPUT Reg'!$D$94:$D$109,$D101,'INPUT Reg'!$C$94:$C$109,$C101,'INPUT Reg'!$B$94:$B$109,$B101)</f>
        <v>0</v>
      </c>
      <c r="S101" s="105">
        <f>SUMIFS('INPUT Reg'!AO$94:AO$109,'INPUT Reg'!$D$94:$D$109,$D101,'INPUT Reg'!$C$94:$C$109,$C101,'INPUT Reg'!$B$94:$B$109,$B101)</f>
        <v>0</v>
      </c>
      <c r="T101" s="105">
        <f>SUMIFS('INPUT Reg'!AP$94:AP$109,'INPUT Reg'!$D$94:$D$109,$D101,'INPUT Reg'!$C$94:$C$109,$C101,'INPUT Reg'!$B$94:$B$109,$B101)</f>
        <v>0</v>
      </c>
      <c r="U101" s="105">
        <f>SUMIFS('INPUT Reg'!AQ$94:AQ$109,'INPUT Reg'!$D$94:$D$109,$D101,'INPUT Reg'!$C$94:$C$109,$C101,'INPUT Reg'!$B$94:$B$109,$B101)</f>
        <v>0</v>
      </c>
      <c r="V101" s="105">
        <f>SUMIFS('INPUT Reg'!AR$94:AR$109,'INPUT Reg'!$D$94:$D$109,$D101,'INPUT Reg'!$C$94:$C$109,$C101,'INPUT Reg'!$B$94:$B$109,$B101)</f>
        <v>-8.5938187083795525E-2</v>
      </c>
      <c r="W101" s="105">
        <f>SUMIFS('INPUT Reg'!AS$94:AS$109,'INPUT Reg'!$D$94:$D$109,$D101,'INPUT Reg'!$C$94:$C$109,$C101,'INPUT Reg'!$B$94:$B$109,$B101)</f>
        <v>0</v>
      </c>
      <c r="X101" s="105">
        <f>SUMIFS('INPUT Reg'!AT$94:AT$109,'INPUT Reg'!$D$94:$D$109,$D101,'INPUT Reg'!$C$94:$C$109,$C101,'INPUT Reg'!$B$94:$B$109,$B101)</f>
        <v>0</v>
      </c>
      <c r="Y101" s="105">
        <f>SUMIFS('INPUT Reg'!AU$94:AU$109,'INPUT Reg'!$D$94:$D$109,$D101,'INPUT Reg'!$C$94:$C$109,$C101,'INPUT Reg'!$B$94:$B$109,$B101)</f>
        <v>0</v>
      </c>
      <c r="Z101" s="105">
        <f>SUMIFS('INPUT Reg'!AV$94:AV$109,'INPUT Reg'!$D$94:$D$109,$D101,'INPUT Reg'!$C$94:$C$109,$C101,'INPUT Reg'!$B$94:$B$109,$B101)</f>
        <v>0</v>
      </c>
      <c r="AA101" s="105">
        <f>SUMIFS('INPUT Reg'!AW$94:AW$109,'INPUT Reg'!$D$94:$D$109,$D101,'INPUT Reg'!$C$94:$C$109,$C101,'INPUT Reg'!$B$94:$B$109,$B101)</f>
        <v>0</v>
      </c>
    </row>
    <row r="102" spans="1:27" x14ac:dyDescent="0.25">
      <c r="A102" s="101">
        <v>19</v>
      </c>
      <c r="B102" s="47" t="str">
        <f>B90</f>
        <v>Central</v>
      </c>
      <c r="C102" s="47" t="str">
        <f t="shared" ref="C102:D102" si="27">C90</f>
        <v>R</v>
      </c>
      <c r="D102" s="47" t="str">
        <f t="shared" si="27"/>
        <v>Water and Sewer</v>
      </c>
      <c r="E102" s="47" t="s">
        <v>669</v>
      </c>
      <c r="F102" s="47" t="s">
        <v>670</v>
      </c>
      <c r="G102" s="108">
        <f>IF(D102=W,CWW_R_W_N,IF(D102=S,CWW_R_S_N,IF(D102=WS,CWW_R_W_N+CWW_R_S_N,CWW_R_R_N)))</f>
        <v>475.96000000000004</v>
      </c>
      <c r="H102" s="106">
        <f>G102*(1+$G$14)*(1+H101)</f>
        <v>513.45652823477394</v>
      </c>
      <c r="I102" s="106">
        <f t="shared" ref="I102:AA102" si="28">H102*(1+$G$14)*(1+I101)</f>
        <v>515.11860546553089</v>
      </c>
      <c r="J102" s="106">
        <f t="shared" si="28"/>
        <v>516.78068269628784</v>
      </c>
      <c r="K102" s="106">
        <f t="shared" si="28"/>
        <v>518.4427599270449</v>
      </c>
      <c r="L102" s="106">
        <f t="shared" si="28"/>
        <v>515.19674611022947</v>
      </c>
      <c r="M102" s="106">
        <f t="shared" si="28"/>
        <v>516.98609023518827</v>
      </c>
      <c r="N102" s="106">
        <f t="shared" si="28"/>
        <v>518.77543436014719</v>
      </c>
      <c r="O102" s="106">
        <f t="shared" si="28"/>
        <v>520.56477848510588</v>
      </c>
      <c r="P102" s="106">
        <f t="shared" si="28"/>
        <v>522.35412261006479</v>
      </c>
      <c r="Q102" s="106">
        <f t="shared" si="28"/>
        <v>484.01768958042391</v>
      </c>
      <c r="R102" s="106">
        <f t="shared" si="28"/>
        <v>484.01768958042391</v>
      </c>
      <c r="S102" s="106">
        <f t="shared" si="28"/>
        <v>484.01768958042391</v>
      </c>
      <c r="T102" s="106">
        <f t="shared" si="28"/>
        <v>484.01768958042391</v>
      </c>
      <c r="U102" s="106">
        <f t="shared" si="28"/>
        <v>484.01768958042391</v>
      </c>
      <c r="V102" s="106">
        <f t="shared" si="28"/>
        <v>442.42208682139494</v>
      </c>
      <c r="W102" s="106">
        <f t="shared" si="28"/>
        <v>442.42208682139494</v>
      </c>
      <c r="X102" s="106">
        <f t="shared" si="28"/>
        <v>442.42208682139494</v>
      </c>
      <c r="Y102" s="106">
        <f t="shared" si="28"/>
        <v>442.42208682139494</v>
      </c>
      <c r="Z102" s="106">
        <f t="shared" si="28"/>
        <v>442.42208682139494</v>
      </c>
      <c r="AA102" s="106">
        <f t="shared" si="28"/>
        <v>442.42208682139494</v>
      </c>
    </row>
    <row r="103" spans="1:27" x14ac:dyDescent="0.25">
      <c r="B103" s="47" t="str">
        <f>B90</f>
        <v>Central</v>
      </c>
      <c r="C103" s="47" t="str">
        <f t="shared" ref="C103:D103" si="29">C90</f>
        <v>R</v>
      </c>
      <c r="D103" s="47" t="str">
        <f t="shared" si="29"/>
        <v>Water and Sewer</v>
      </c>
      <c r="E103" s="47" t="s">
        <v>671</v>
      </c>
      <c r="F103" s="47" t="s">
        <v>672</v>
      </c>
      <c r="G103" s="109">
        <f>IF(OR(D103=W,D103=WS),CWW_T1,IF(D103=RW,CWW_R_R_V,0))</f>
        <v>2.9499</v>
      </c>
      <c r="H103" s="110">
        <f>G103*(1+$G$14)*(1+H101)</f>
        <v>3.1822955976127396</v>
      </c>
      <c r="I103" s="110">
        <f t="shared" ref="I103:AA103" si="30">H103*(1+$G$14)*(1+I101)</f>
        <v>3.1925968028043732</v>
      </c>
      <c r="J103" s="110">
        <f t="shared" si="30"/>
        <v>3.2028980079960072</v>
      </c>
      <c r="K103" s="110">
        <f t="shared" si="30"/>
        <v>3.2131992131876412</v>
      </c>
      <c r="L103" s="110">
        <f t="shared" si="30"/>
        <v>3.1930811020895997</v>
      </c>
      <c r="M103" s="110">
        <f t="shared" si="30"/>
        <v>3.2041710807311152</v>
      </c>
      <c r="N103" s="110">
        <f t="shared" si="30"/>
        <v>3.2152610593726316</v>
      </c>
      <c r="O103" s="110">
        <f t="shared" si="30"/>
        <v>3.2263510380141471</v>
      </c>
      <c r="P103" s="110">
        <f t="shared" si="30"/>
        <v>3.237441016655664</v>
      </c>
      <c r="Q103" s="110">
        <f t="shared" si="30"/>
        <v>2.9998398657309275</v>
      </c>
      <c r="R103" s="110">
        <f t="shared" si="30"/>
        <v>2.9998398657309275</v>
      </c>
      <c r="S103" s="110">
        <f t="shared" si="30"/>
        <v>2.9998398657309275</v>
      </c>
      <c r="T103" s="110">
        <f t="shared" si="30"/>
        <v>2.9998398657309275</v>
      </c>
      <c r="U103" s="110">
        <f t="shared" si="30"/>
        <v>2.9998398657309275</v>
      </c>
      <c r="V103" s="110">
        <f t="shared" si="30"/>
        <v>2.7420390661283149</v>
      </c>
      <c r="W103" s="110">
        <f t="shared" si="30"/>
        <v>2.7420390661283149</v>
      </c>
      <c r="X103" s="110">
        <f t="shared" si="30"/>
        <v>2.7420390661283149</v>
      </c>
      <c r="Y103" s="110">
        <f t="shared" si="30"/>
        <v>2.7420390661283149</v>
      </c>
      <c r="Z103" s="110">
        <f t="shared" si="30"/>
        <v>2.7420390661283149</v>
      </c>
      <c r="AA103" s="110">
        <f t="shared" si="30"/>
        <v>2.7420390661283149</v>
      </c>
    </row>
    <row r="104" spans="1:27" x14ac:dyDescent="0.25">
      <c r="B104" s="47" t="str">
        <f>B90</f>
        <v>Central</v>
      </c>
      <c r="C104" s="47" t="str">
        <f t="shared" ref="C104:D104" si="31">C90</f>
        <v>R</v>
      </c>
      <c r="D104" s="47" t="str">
        <f t="shared" si="31"/>
        <v>Water and Sewer</v>
      </c>
      <c r="E104" s="47" t="s">
        <v>673</v>
      </c>
      <c r="F104" s="47" t="s">
        <v>672</v>
      </c>
      <c r="G104" s="109">
        <f>IF(OR(D104=W,D104=WS),CWW_T2,0)</f>
        <v>3.4722</v>
      </c>
      <c r="H104" s="110">
        <f>G104*(1+$G$14)*(1+H101)</f>
        <v>3.7457428299369315</v>
      </c>
      <c r="I104" s="110">
        <f t="shared" ref="I104:AA104" si="32">H104*(1+$G$14)*(1+I101)</f>
        <v>3.7578679340646612</v>
      </c>
      <c r="J104" s="110">
        <f t="shared" si="32"/>
        <v>3.7699930381923914</v>
      </c>
      <c r="K104" s="110">
        <f t="shared" si="32"/>
        <v>3.782118142320122</v>
      </c>
      <c r="L104" s="110">
        <f t="shared" si="32"/>
        <v>3.7584379818554896</v>
      </c>
      <c r="M104" s="110">
        <f t="shared" si="32"/>
        <v>3.7714915171750159</v>
      </c>
      <c r="N104" s="110">
        <f t="shared" si="32"/>
        <v>3.784545052494543</v>
      </c>
      <c r="O104" s="110">
        <f t="shared" si="32"/>
        <v>3.7975985878140692</v>
      </c>
      <c r="P104" s="110">
        <f t="shared" si="32"/>
        <v>3.8106521231335968</v>
      </c>
      <c r="Q104" s="110">
        <f t="shared" si="32"/>
        <v>3.5309820610159419</v>
      </c>
      <c r="R104" s="110">
        <f t="shared" si="32"/>
        <v>3.5309820610159419</v>
      </c>
      <c r="S104" s="110">
        <f t="shared" si="32"/>
        <v>3.5309820610159419</v>
      </c>
      <c r="T104" s="110">
        <f t="shared" si="32"/>
        <v>3.5309820610159419</v>
      </c>
      <c r="U104" s="110">
        <f t="shared" si="32"/>
        <v>3.5309820610159419</v>
      </c>
      <c r="V104" s="110">
        <f t="shared" si="32"/>
        <v>3.2275358640668279</v>
      </c>
      <c r="W104" s="110">
        <f t="shared" si="32"/>
        <v>3.2275358640668279</v>
      </c>
      <c r="X104" s="110">
        <f t="shared" si="32"/>
        <v>3.2275358640668279</v>
      </c>
      <c r="Y104" s="110">
        <f t="shared" si="32"/>
        <v>3.2275358640668279</v>
      </c>
      <c r="Z104" s="110">
        <f t="shared" si="32"/>
        <v>3.2275358640668279</v>
      </c>
      <c r="AA104" s="110">
        <f t="shared" si="32"/>
        <v>3.2275358640668279</v>
      </c>
    </row>
    <row r="105" spans="1:27" x14ac:dyDescent="0.25">
      <c r="B105" s="47" t="str">
        <f>B90</f>
        <v>Central</v>
      </c>
      <c r="C105" s="47" t="str">
        <f t="shared" ref="C105:D105" si="33">C90</f>
        <v>R</v>
      </c>
      <c r="D105" s="47" t="str">
        <f t="shared" si="33"/>
        <v>Water and Sewer</v>
      </c>
      <c r="E105" s="47" t="s">
        <v>674</v>
      </c>
      <c r="F105" s="47" t="s">
        <v>672</v>
      </c>
      <c r="G105" s="109">
        <f>IF(OR(D105=S,D105=WS),CWW_R_SDC,0)</f>
        <v>0.78979999999999995</v>
      </c>
      <c r="H105" s="110">
        <f>G105*(1+$G$14)*(1+H101)</f>
        <v>0.85202110681532983</v>
      </c>
      <c r="I105" s="110">
        <f t="shared" ref="I105:AA105" si="34">H105*(1+$G$14)*(1+I101)</f>
        <v>0.85477912975181991</v>
      </c>
      <c r="J105" s="110">
        <f t="shared" si="34"/>
        <v>0.8575371526883101</v>
      </c>
      <c r="K105" s="110">
        <f t="shared" si="34"/>
        <v>0.8602951756248004</v>
      </c>
      <c r="L105" s="110">
        <f t="shared" si="34"/>
        <v>0.85490879502029415</v>
      </c>
      <c r="M105" s="110">
        <f t="shared" si="34"/>
        <v>0.85787800249548618</v>
      </c>
      <c r="N105" s="110">
        <f t="shared" si="34"/>
        <v>0.86084720997067843</v>
      </c>
      <c r="O105" s="110">
        <f t="shared" si="34"/>
        <v>0.86381641744587045</v>
      </c>
      <c r="P105" s="110">
        <f t="shared" si="34"/>
        <v>0.86678562492106281</v>
      </c>
      <c r="Q105" s="110">
        <f t="shared" si="34"/>
        <v>0.80317079424871562</v>
      </c>
      <c r="R105" s="110">
        <f t="shared" si="34"/>
        <v>0.80317079424871562</v>
      </c>
      <c r="S105" s="110">
        <f t="shared" si="34"/>
        <v>0.80317079424871562</v>
      </c>
      <c r="T105" s="110">
        <f t="shared" si="34"/>
        <v>0.80317079424871562</v>
      </c>
      <c r="U105" s="110">
        <f t="shared" si="34"/>
        <v>0.80317079424871562</v>
      </c>
      <c r="V105" s="110">
        <f t="shared" si="34"/>
        <v>0.73414775227232887</v>
      </c>
      <c r="W105" s="110">
        <f t="shared" si="34"/>
        <v>0.73414775227232887</v>
      </c>
      <c r="X105" s="110">
        <f t="shared" si="34"/>
        <v>0.73414775227232887</v>
      </c>
      <c r="Y105" s="110">
        <f t="shared" si="34"/>
        <v>0.73414775227232887</v>
      </c>
      <c r="Z105" s="110">
        <f t="shared" si="34"/>
        <v>0.73414775227232887</v>
      </c>
      <c r="AA105" s="110">
        <f t="shared" si="34"/>
        <v>0.73414775227232887</v>
      </c>
    </row>
    <row r="106" spans="1:27" x14ac:dyDescent="0.25">
      <c r="C106" s="100"/>
      <c r="D106" s="100"/>
    </row>
    <row r="107" spans="1:27" x14ac:dyDescent="0.25">
      <c r="C107" s="100"/>
      <c r="D107" s="100"/>
      <c r="E107" s="47" t="s">
        <v>675</v>
      </c>
      <c r="F107" s="47" t="s">
        <v>676</v>
      </c>
      <c r="H107" s="106">
        <f>SUM(H98:H100)/1000</f>
        <v>2913.7814937583189</v>
      </c>
      <c r="I107" s="106">
        <f t="shared" ref="I107:AA107" si="35">SUM(I98:I100)/1000</f>
        <v>5957.8905596519562</v>
      </c>
      <c r="J107" s="106">
        <f t="shared" si="35"/>
        <v>8381.3895008817326</v>
      </c>
      <c r="K107" s="106">
        <f t="shared" si="35"/>
        <v>10846.152158545256</v>
      </c>
      <c r="L107" s="106">
        <f t="shared" si="35"/>
        <v>13223.354383243635</v>
      </c>
      <c r="M107" s="106">
        <f t="shared" si="35"/>
        <v>15340.604558018351</v>
      </c>
      <c r="N107" s="106">
        <f t="shared" si="35"/>
        <v>17770.581450289741</v>
      </c>
      <c r="O107" s="106">
        <f t="shared" si="35"/>
        <v>20070.805310603693</v>
      </c>
      <c r="P107" s="106">
        <f t="shared" si="35"/>
        <v>22399.246636530817</v>
      </c>
      <c r="Q107" s="106">
        <f t="shared" si="35"/>
        <v>24459.530180169822</v>
      </c>
      <c r="R107" s="106">
        <f t="shared" si="35"/>
        <v>26810.949918310926</v>
      </c>
      <c r="S107" s="106">
        <f t="shared" si="35"/>
        <v>29177.576660358292</v>
      </c>
      <c r="T107" s="106">
        <f t="shared" si="35"/>
        <v>31554.359573815942</v>
      </c>
      <c r="U107" s="106">
        <f t="shared" si="35"/>
        <v>33918.853930787154</v>
      </c>
      <c r="V107" s="106">
        <f t="shared" si="35"/>
        <v>36270.993711321811</v>
      </c>
      <c r="W107" s="106">
        <f t="shared" si="35"/>
        <v>38600.720393297641</v>
      </c>
      <c r="X107" s="106">
        <f t="shared" si="35"/>
        <v>40704.789062136122</v>
      </c>
      <c r="Y107" s="106">
        <f t="shared" si="35"/>
        <v>42964.536504978751</v>
      </c>
      <c r="Z107" s="106">
        <f t="shared" si="35"/>
        <v>45193.577965806187</v>
      </c>
      <c r="AA107" s="106">
        <f t="shared" si="35"/>
        <v>47647.376326120138</v>
      </c>
    </row>
    <row r="108" spans="1:27" x14ac:dyDescent="0.25">
      <c r="C108" s="100"/>
      <c r="D108" s="100"/>
      <c r="E108" s="47" t="s">
        <v>677</v>
      </c>
      <c r="F108" s="47" t="s">
        <v>639</v>
      </c>
      <c r="H108" s="106">
        <f>H91*H102+H98*H103+H99*H104+H100*H105</f>
        <v>12984158.655948734</v>
      </c>
      <c r="I108" s="106">
        <f t="shared" ref="I108:AA108" si="36">I91*I102+I98*I103+I99*I104+I100*I105</f>
        <v>26629034.684693612</v>
      </c>
      <c r="J108" s="106">
        <f t="shared" si="36"/>
        <v>37969669.738387682</v>
      </c>
      <c r="K108" s="106">
        <f t="shared" si="36"/>
        <v>49482931.415020213</v>
      </c>
      <c r="L108" s="106">
        <f t="shared" si="36"/>
        <v>60174924.878145069</v>
      </c>
      <c r="M108" s="106">
        <f t="shared" si="36"/>
        <v>70720748.837318122</v>
      </c>
      <c r="N108" s="106">
        <f t="shared" si="36"/>
        <v>82024151.619292915</v>
      </c>
      <c r="O108" s="106">
        <f t="shared" si="36"/>
        <v>93301584.830660447</v>
      </c>
      <c r="P108" s="106">
        <f t="shared" si="36"/>
        <v>104860465.55544852</v>
      </c>
      <c r="Q108" s="106">
        <f t="shared" si="36"/>
        <v>107174467.54610121</v>
      </c>
      <c r="R108" s="106">
        <f t="shared" si="36"/>
        <v>117908381.47581252</v>
      </c>
      <c r="S108" s="106">
        <f t="shared" si="36"/>
        <v>128775768.35171321</v>
      </c>
      <c r="T108" s="106">
        <f t="shared" si="36"/>
        <v>139755988.57593819</v>
      </c>
      <c r="U108" s="106">
        <f t="shared" si="36"/>
        <v>150747173.06148416</v>
      </c>
      <c r="V108" s="106">
        <f t="shared" si="36"/>
        <v>147849448.63805827</v>
      </c>
      <c r="W108" s="106">
        <f t="shared" si="36"/>
        <v>157878012.19044328</v>
      </c>
      <c r="X108" s="106">
        <f t="shared" si="36"/>
        <v>167479429.94160816</v>
      </c>
      <c r="Y108" s="106">
        <f t="shared" si="36"/>
        <v>177316607.97454819</v>
      </c>
      <c r="Z108" s="106">
        <f t="shared" si="36"/>
        <v>187064450.72850558</v>
      </c>
      <c r="AA108" s="106">
        <f t="shared" si="36"/>
        <v>197221169.07503557</v>
      </c>
    </row>
    <row r="109" spans="1:27" x14ac:dyDescent="0.25">
      <c r="C109" s="100"/>
      <c r="D109" s="100"/>
    </row>
    <row r="110" spans="1:27" x14ac:dyDescent="0.25">
      <c r="C110" s="100"/>
      <c r="D110" s="47" t="s">
        <v>678</v>
      </c>
    </row>
    <row r="111" spans="1:27" x14ac:dyDescent="0.25">
      <c r="A111" s="101">
        <v>20</v>
      </c>
      <c r="B111" s="107" t="s">
        <v>262</v>
      </c>
      <c r="C111" s="47" t="s">
        <v>407</v>
      </c>
      <c r="D111" s="100" t="str">
        <f>$G$4</f>
        <v>Water and Sewer</v>
      </c>
      <c r="E111" s="47" t="s">
        <v>654</v>
      </c>
      <c r="F111" s="47" t="s">
        <v>655</v>
      </c>
      <c r="H111" s="102">
        <f>IF($G$4="Water and sewer",SUMIFS('INPUT Growth'!AD$64:AD$115,'INPUT Growth'!$B$64:$B$115,$A$1,'INPUT Growth'!$F$64:$F$115,$B111,'INPUT Growth'!$E$64:$E$115,$C111),SUMIFS('INPUT Growth'!AD$64:AD$115,'INPUT Growth'!$A$64:$A$115,$A$1,'INPUT Growth'!$F$64:$F$115,$B111,'INPUT Growth'!$E$64:$E$115,$C111))</f>
        <v>977.5123923556921</v>
      </c>
      <c r="I111" s="102">
        <f>IF($G$4="Water and sewer",SUMIFS('INPUT Growth'!AE$64:AE$115,'INPUT Growth'!$B$64:$B$115,$A$1,'INPUT Growth'!$F$64:$F$115,$B111,'INPUT Growth'!$E$64:$E$115,$C111),SUMIFS('INPUT Growth'!AE$64:AE$115,'INPUT Growth'!$A$64:$A$115,$A$1,'INPUT Growth'!$F$64:$F$115,$B111,'INPUT Growth'!$E$64:$E$115,$C111))</f>
        <v>1019.1965097238076</v>
      </c>
      <c r="J111" s="102">
        <f>IF($G$4="Water and sewer",SUMIFS('INPUT Growth'!AF$64:AF$115,'INPUT Growth'!$B$64:$B$115,$A$1,'INPUT Growth'!$F$64:$F$115,$B111,'INPUT Growth'!$E$64:$E$115,$C111),SUMIFS('INPUT Growth'!AF$64:AF$115,'INPUT Growth'!$A$64:$A$115,$A$1,'INPUT Growth'!$F$64:$F$115,$B111,'INPUT Growth'!$E$64:$E$115,$C111))</f>
        <v>855.2193106803702</v>
      </c>
      <c r="K111" s="102">
        <f>IF($G$4="Water and sewer",SUMIFS('INPUT Growth'!AG$64:AG$115,'INPUT Growth'!$B$64:$B$115,$A$1,'INPUT Growth'!$F$64:$F$115,$B111,'INPUT Growth'!$E$64:$E$115,$C111),SUMIFS('INPUT Growth'!AG$64:AG$115,'INPUT Growth'!$A$64:$A$115,$A$1,'INPUT Growth'!$F$64:$F$115,$B111,'INPUT Growth'!$E$64:$E$115,$C111))</f>
        <v>852.08499198321124</v>
      </c>
      <c r="L111" s="102">
        <f>IF($G$4="Water and sewer",SUMIFS('INPUT Growth'!AH$64:AH$115,'INPUT Growth'!$B$64:$B$115,$A$1,'INPUT Growth'!$F$64:$F$115,$B111,'INPUT Growth'!$E$64:$E$115,$C111),SUMIFS('INPUT Growth'!AH$64:AH$115,'INPUT Growth'!$A$64:$A$115,$A$1,'INPUT Growth'!$F$64:$F$115,$B111,'INPUT Growth'!$E$64:$E$115,$C111))</f>
        <v>839.02522668192751</v>
      </c>
      <c r="M111" s="102">
        <f>IF($G$4="Water and sewer",SUMIFS('INPUT Growth'!AI$64:AI$115,'INPUT Growth'!$B$64:$B$115,$A$1,'INPUT Growth'!$F$64:$F$115,$B111,'INPUT Growth'!$E$64:$E$115,$C111),SUMIFS('INPUT Growth'!AI$64:AI$115,'INPUT Growth'!$A$64:$A$115,$A$1,'INPUT Growth'!$F$64:$F$115,$B111,'INPUT Growth'!$E$64:$E$115,$C111))</f>
        <v>821.71562457331311</v>
      </c>
      <c r="N111" s="102">
        <f>IF($G$4="Water and sewer",SUMIFS('INPUT Growth'!AJ$64:AJ$115,'INPUT Growth'!$B$64:$B$115,$A$1,'INPUT Growth'!$F$64:$F$115,$B111,'INPUT Growth'!$E$64:$E$115,$C111),SUMIFS('INPUT Growth'!AJ$64:AJ$115,'INPUT Growth'!$A$64:$A$115,$A$1,'INPUT Growth'!$F$64:$F$115,$B111,'INPUT Growth'!$E$64:$E$115,$C111))</f>
        <v>827.87877966655878</v>
      </c>
      <c r="O111" s="102">
        <f>IF($G$4="Water and sewer",SUMIFS('INPUT Growth'!AK$64:AK$115,'INPUT Growth'!$B$64:$B$115,$A$1,'INPUT Growth'!$F$64:$F$115,$B111,'INPUT Growth'!$E$64:$E$115,$C111),SUMIFS('INPUT Growth'!AK$64:AK$115,'INPUT Growth'!$A$64:$A$115,$A$1,'INPUT Growth'!$F$64:$F$115,$B111,'INPUT Growth'!$E$64:$E$115,$C111))</f>
        <v>850.79730689092275</v>
      </c>
      <c r="P111" s="102">
        <f>IF($G$4="Water and sewer",SUMIFS('INPUT Growth'!AL$64:AL$115,'INPUT Growth'!$B$64:$B$115,$A$1,'INPUT Growth'!$F$64:$F$115,$B111,'INPUT Growth'!$E$64:$E$115,$C111),SUMIFS('INPUT Growth'!AL$64:AL$115,'INPUT Growth'!$A$64:$A$115,$A$1,'INPUT Growth'!$F$64:$F$115,$B111,'INPUT Growth'!$E$64:$E$115,$C111))</f>
        <v>866.69430354299675</v>
      </c>
      <c r="Q111" s="102">
        <f>IF($G$4="Water and sewer",SUMIFS('INPUT Growth'!AM$64:AM$115,'INPUT Growth'!$B$64:$B$115,$A$1,'INPUT Growth'!$F$64:$F$115,$B111,'INPUT Growth'!$E$64:$E$115,$C111),SUMIFS('INPUT Growth'!AM$64:AM$115,'INPUT Growth'!$A$64:$A$115,$A$1,'INPUT Growth'!$F$64:$F$115,$B111,'INPUT Growth'!$E$64:$E$115,$C111))</f>
        <v>891.42915587317657</v>
      </c>
      <c r="R111" s="102">
        <f>IF($G$4="Water and sewer",SUMIFS('INPUT Growth'!AN$64:AN$115,'INPUT Growth'!$B$64:$B$115,$A$1,'INPUT Growth'!$F$64:$F$115,$B111,'INPUT Growth'!$E$64:$E$115,$C111),SUMIFS('INPUT Growth'!AN$64:AN$115,'INPUT Growth'!$A$64:$A$115,$A$1,'INPUT Growth'!$F$64:$F$115,$B111,'INPUT Growth'!$E$64:$E$115,$C111))</f>
        <v>914.96508955648642</v>
      </c>
      <c r="S111" s="102">
        <f>IF($G$4="Water and sewer",SUMIFS('INPUT Growth'!AO$64:AO$115,'INPUT Growth'!$B$64:$B$115,$A$1,'INPUT Growth'!$F$64:$F$115,$B111,'INPUT Growth'!$E$64:$E$115,$C111),SUMIFS('INPUT Growth'!AO$64:AO$115,'INPUT Growth'!$A$64:$A$115,$A$1,'INPUT Growth'!$F$64:$F$115,$B111,'INPUT Growth'!$E$64:$E$115,$C111))</f>
        <v>941.31635655509672</v>
      </c>
      <c r="T111" s="102">
        <f>IF($G$4="Water and sewer",SUMIFS('INPUT Growth'!AP$64:AP$115,'INPUT Growth'!$B$64:$B$115,$A$1,'INPUT Growth'!$F$64:$F$115,$B111,'INPUT Growth'!$E$64:$E$115,$C111),SUMIFS('INPUT Growth'!AP$64:AP$115,'INPUT Growth'!$A$64:$A$115,$A$1,'INPUT Growth'!$F$64:$F$115,$B111,'INPUT Growth'!$E$64:$E$115,$C111))</f>
        <v>970.24199280405082</v>
      </c>
      <c r="U111" s="102">
        <f>IF($G$4="Water and sewer",SUMIFS('INPUT Growth'!AQ$64:AQ$115,'INPUT Growth'!$B$64:$B$115,$A$1,'INPUT Growth'!$F$64:$F$115,$B111,'INPUT Growth'!$E$64:$E$115,$C111),SUMIFS('INPUT Growth'!AQ$64:AQ$115,'INPUT Growth'!$A$64:$A$115,$A$1,'INPUT Growth'!$F$64:$F$115,$B111,'INPUT Growth'!$E$64:$E$115,$C111))</f>
        <v>988.77398405737404</v>
      </c>
      <c r="V111" s="102">
        <f>IF($G$4="Water and sewer",SUMIFS('INPUT Growth'!AR$64:AR$115,'INPUT Growth'!$B$64:$B$115,$A$1,'INPUT Growth'!$F$64:$F$115,$B111,'INPUT Growth'!$E$64:$E$115,$C111),SUMIFS('INPUT Growth'!AR$64:AR$115,'INPUT Growth'!$A$64:$A$115,$A$1,'INPUT Growth'!$F$64:$F$115,$B111,'INPUT Growth'!$E$64:$E$115,$C111))</f>
        <v>1004.1442936284484</v>
      </c>
      <c r="W111" s="102">
        <f>IF($G$4="Water and sewer",SUMIFS('INPUT Growth'!AS$64:AS$115,'INPUT Growth'!$B$64:$B$115,$A$1,'INPUT Growth'!$F$64:$F$115,$B111,'INPUT Growth'!$E$64:$E$115,$C111),SUMIFS('INPUT Growth'!AS$64:AS$115,'INPUT Growth'!$A$64:$A$115,$A$1,'INPUT Growth'!$F$64:$F$115,$B111,'INPUT Growth'!$E$64:$E$115,$C111))</f>
        <v>1007.5881732922608</v>
      </c>
      <c r="X111" s="102">
        <f>IF($G$4="Water and sewer",SUMIFS('INPUT Growth'!AT$64:AT$115,'INPUT Growth'!$B$64:$B$115,$A$1,'INPUT Growth'!$F$64:$F$115,$B111,'INPUT Growth'!$E$64:$E$115,$C111),SUMIFS('INPUT Growth'!AT$64:AT$115,'INPUT Growth'!$A$64:$A$115,$A$1,'INPUT Growth'!$F$64:$F$115,$B111,'INPUT Growth'!$E$64:$E$115,$C111))</f>
        <v>1021.1542582505936</v>
      </c>
      <c r="Y111" s="102">
        <f>IF($G$4="Water and sewer",SUMIFS('INPUT Growth'!AU$64:AU$115,'INPUT Growth'!$B$64:$B$115,$A$1,'INPUT Growth'!$F$64:$F$115,$B111,'INPUT Growth'!$E$64:$E$115,$C111),SUMIFS('INPUT Growth'!AU$64:AU$115,'INPUT Growth'!$A$64:$A$115,$A$1,'INPUT Growth'!$F$64:$F$115,$B111,'INPUT Growth'!$E$64:$E$115,$C111))</f>
        <v>1029.747473770165</v>
      </c>
      <c r="Z111" s="102">
        <f>IF($G$4="Water and sewer",SUMIFS('INPUT Growth'!AV$64:AV$115,'INPUT Growth'!$B$64:$B$115,$A$1,'INPUT Growth'!$F$64:$F$115,$B111,'INPUT Growth'!$E$64:$E$115,$C111),SUMIFS('INPUT Growth'!AV$64:AV$115,'INPUT Growth'!$A$64:$A$115,$A$1,'INPUT Growth'!$F$64:$F$115,$B111,'INPUT Growth'!$E$64:$E$115,$C111))</f>
        <v>1040.916129844989</v>
      </c>
      <c r="AA111" s="102">
        <f>IF($G$4="Water and sewer",SUMIFS('INPUT Growth'!AW$64:AW$115,'INPUT Growth'!$B$64:$B$115,$A$1,'INPUT Growth'!$F$64:$F$115,$B111,'INPUT Growth'!$E$64:$E$115,$C111),SUMIFS('INPUT Growth'!AW$64:AW$115,'INPUT Growth'!$A$64:$A$115,$A$1,'INPUT Growth'!$F$64:$F$115,$B111,'INPUT Growth'!$E$64:$E$115,$C111))</f>
        <v>1051.7787671592541</v>
      </c>
    </row>
    <row r="112" spans="1:27" x14ac:dyDescent="0.25">
      <c r="C112" s="100"/>
      <c r="D112" s="100"/>
      <c r="E112" s="47" t="s">
        <v>656</v>
      </c>
      <c r="F112" s="47" t="s">
        <v>655</v>
      </c>
      <c r="H112" s="106">
        <f>G112+H111</f>
        <v>977.5123923556921</v>
      </c>
      <c r="I112" s="106">
        <f t="shared" ref="I112:AA112" si="37">H112+I111</f>
        <v>1996.7089020794997</v>
      </c>
      <c r="J112" s="106">
        <f t="shared" si="37"/>
        <v>2851.9282127598699</v>
      </c>
      <c r="K112" s="106">
        <f t="shared" si="37"/>
        <v>3704.0132047430811</v>
      </c>
      <c r="L112" s="106">
        <f t="shared" si="37"/>
        <v>4543.0384314250086</v>
      </c>
      <c r="M112" s="106">
        <f t="shared" si="37"/>
        <v>5364.7540559983217</v>
      </c>
      <c r="N112" s="106">
        <f t="shared" si="37"/>
        <v>6192.632835664881</v>
      </c>
      <c r="O112" s="106">
        <f t="shared" si="37"/>
        <v>7043.4301425558042</v>
      </c>
      <c r="P112" s="106">
        <f t="shared" si="37"/>
        <v>7910.1244460988009</v>
      </c>
      <c r="Q112" s="106">
        <f t="shared" si="37"/>
        <v>8801.5536019719766</v>
      </c>
      <c r="R112" s="106">
        <f t="shared" si="37"/>
        <v>9716.518691528463</v>
      </c>
      <c r="S112" s="106">
        <f t="shared" si="37"/>
        <v>10657.83504808356</v>
      </c>
      <c r="T112" s="106">
        <f t="shared" si="37"/>
        <v>11628.077040887611</v>
      </c>
      <c r="U112" s="106">
        <f t="shared" si="37"/>
        <v>12616.851024944985</v>
      </c>
      <c r="V112" s="106">
        <f t="shared" si="37"/>
        <v>13620.995318573434</v>
      </c>
      <c r="W112" s="106">
        <f t="shared" si="37"/>
        <v>14628.583491865695</v>
      </c>
      <c r="X112" s="106">
        <f t="shared" si="37"/>
        <v>15649.737750116288</v>
      </c>
      <c r="Y112" s="106">
        <f t="shared" si="37"/>
        <v>16679.485223886455</v>
      </c>
      <c r="Z112" s="106">
        <f t="shared" si="37"/>
        <v>17720.401353731446</v>
      </c>
      <c r="AA112" s="106">
        <f t="shared" si="37"/>
        <v>18772.180120890698</v>
      </c>
    </row>
    <row r="113" spans="1:27" x14ac:dyDescent="0.25">
      <c r="A113" s="101">
        <v>21</v>
      </c>
      <c r="C113" s="100"/>
      <c r="D113" s="100"/>
      <c r="E113" s="47" t="s">
        <v>657</v>
      </c>
      <c r="F113" s="47" t="s">
        <v>655</v>
      </c>
      <c r="G113" s="102">
        <v>2</v>
      </c>
    </row>
    <row r="114" spans="1:27" x14ac:dyDescent="0.25">
      <c r="C114" s="100"/>
      <c r="D114" s="100"/>
      <c r="E114" s="47" t="s">
        <v>658</v>
      </c>
      <c r="F114" s="47" t="s">
        <v>655</v>
      </c>
      <c r="H114" s="47">
        <f>H111*$G113</f>
        <v>1955.0247847113842</v>
      </c>
      <c r="I114" s="47">
        <f t="shared" ref="I114:AA114" si="38">I111*$G113</f>
        <v>2038.3930194476152</v>
      </c>
      <c r="J114" s="47">
        <f t="shared" si="38"/>
        <v>1710.4386213607404</v>
      </c>
      <c r="K114" s="47">
        <f t="shared" si="38"/>
        <v>1704.1699839664225</v>
      </c>
      <c r="L114" s="47">
        <f t="shared" si="38"/>
        <v>1678.050453363855</v>
      </c>
      <c r="M114" s="47">
        <f t="shared" si="38"/>
        <v>1643.4312491466262</v>
      </c>
      <c r="N114" s="47">
        <f t="shared" si="38"/>
        <v>1655.7575593331176</v>
      </c>
      <c r="O114" s="47">
        <f t="shared" si="38"/>
        <v>1701.5946137818455</v>
      </c>
      <c r="P114" s="47">
        <f t="shared" si="38"/>
        <v>1733.3886070859935</v>
      </c>
      <c r="Q114" s="47">
        <f t="shared" si="38"/>
        <v>1782.8583117463531</v>
      </c>
      <c r="R114" s="47">
        <f t="shared" si="38"/>
        <v>1829.9301791129728</v>
      </c>
      <c r="S114" s="47">
        <f t="shared" si="38"/>
        <v>1882.6327131101934</v>
      </c>
      <c r="T114" s="47">
        <f t="shared" si="38"/>
        <v>1940.4839856081016</v>
      </c>
      <c r="U114" s="47">
        <f t="shared" si="38"/>
        <v>1977.5479681147481</v>
      </c>
      <c r="V114" s="47">
        <f t="shared" si="38"/>
        <v>2008.2885872568968</v>
      </c>
      <c r="W114" s="47">
        <f t="shared" si="38"/>
        <v>2015.1763465845215</v>
      </c>
      <c r="X114" s="47">
        <f t="shared" si="38"/>
        <v>2042.3085165011871</v>
      </c>
      <c r="Y114" s="47">
        <f t="shared" si="38"/>
        <v>2059.49494754033</v>
      </c>
      <c r="Z114" s="47">
        <f t="shared" si="38"/>
        <v>2081.8322596899779</v>
      </c>
      <c r="AA114" s="47">
        <f t="shared" si="38"/>
        <v>2103.5575343185083</v>
      </c>
    </row>
    <row r="115" spans="1:27" x14ac:dyDescent="0.25">
      <c r="C115" s="100"/>
      <c r="D115" s="100"/>
      <c r="E115" s="47" t="s">
        <v>659</v>
      </c>
      <c r="F115" s="47" t="s">
        <v>655</v>
      </c>
      <c r="H115" s="47">
        <f>H112*$G113</f>
        <v>1955.0247847113842</v>
      </c>
      <c r="I115" s="47">
        <f t="shared" ref="I115:AA115" si="39">I112*$G113</f>
        <v>3993.4178041589994</v>
      </c>
      <c r="J115" s="47">
        <f t="shared" si="39"/>
        <v>5703.8564255197398</v>
      </c>
      <c r="K115" s="47">
        <f t="shared" si="39"/>
        <v>7408.0264094861623</v>
      </c>
      <c r="L115" s="47">
        <f t="shared" si="39"/>
        <v>9086.0768628500173</v>
      </c>
      <c r="M115" s="47">
        <f t="shared" si="39"/>
        <v>10729.508111996643</v>
      </c>
      <c r="N115" s="47">
        <f t="shared" si="39"/>
        <v>12385.265671329762</v>
      </c>
      <c r="O115" s="47">
        <f t="shared" si="39"/>
        <v>14086.860285111608</v>
      </c>
      <c r="P115" s="47">
        <f t="shared" si="39"/>
        <v>15820.248892197602</v>
      </c>
      <c r="Q115" s="47">
        <f t="shared" si="39"/>
        <v>17603.107203943953</v>
      </c>
      <c r="R115" s="47">
        <f t="shared" si="39"/>
        <v>19433.037383056926</v>
      </c>
      <c r="S115" s="47">
        <f t="shared" si="39"/>
        <v>21315.670096167119</v>
      </c>
      <c r="T115" s="47">
        <f t="shared" si="39"/>
        <v>23256.154081775221</v>
      </c>
      <c r="U115" s="47">
        <f t="shared" si="39"/>
        <v>25233.702049889969</v>
      </c>
      <c r="V115" s="47">
        <f t="shared" si="39"/>
        <v>27241.990637146868</v>
      </c>
      <c r="W115" s="47">
        <f t="shared" si="39"/>
        <v>29257.166983731389</v>
      </c>
      <c r="X115" s="47">
        <f t="shared" si="39"/>
        <v>31299.475500232576</v>
      </c>
      <c r="Y115" s="47">
        <f t="shared" si="39"/>
        <v>33358.97044777291</v>
      </c>
      <c r="Z115" s="47">
        <f t="shared" si="39"/>
        <v>35440.802707462892</v>
      </c>
      <c r="AA115" s="47">
        <f t="shared" si="39"/>
        <v>37544.360241781396</v>
      </c>
    </row>
    <row r="116" spans="1:27" x14ac:dyDescent="0.25">
      <c r="A116" s="101">
        <v>22</v>
      </c>
      <c r="B116" s="47" t="str">
        <f>B111</f>
        <v>Central</v>
      </c>
      <c r="C116" s="47" t="str">
        <f>C111</f>
        <v>N</v>
      </c>
      <c r="D116" s="47" t="str">
        <f>D111</f>
        <v>Water and Sewer</v>
      </c>
      <c r="E116" s="47" t="s">
        <v>660</v>
      </c>
      <c r="F116" s="47" t="s">
        <v>661</v>
      </c>
      <c r="H116" s="102">
        <f>IF(OR($D116=W,$D116=WS),'INPUT Reg'!AD$118,IF($D116=RW,'INPUT Reg'!AD$120,0))</f>
        <v>944.75608962439071</v>
      </c>
      <c r="I116" s="102">
        <f>IF(OR($D116=W,$D116=WS),'INPUT Reg'!AE$118,IF($D116=RW,'INPUT Reg'!AE$120,0))</f>
        <v>948.76571570384965</v>
      </c>
      <c r="J116" s="102">
        <f>IF(OR($D116=W,$D116=WS),'INPUT Reg'!AF$118,IF($D116=RW,'INPUT Reg'!AF$120,0))</f>
        <v>936.54922401113686</v>
      </c>
      <c r="K116" s="102">
        <f>IF(OR($D116=W,$D116=WS),'INPUT Reg'!AG$118,IF($D116=RW,'INPUT Reg'!AG$120,0))</f>
        <v>923.17479464394307</v>
      </c>
      <c r="L116" s="102">
        <f>IF(OR($D116=W,$D116=WS),'INPUT Reg'!AH$118,IF($D116=RW,'INPUT Reg'!AH$120,0))</f>
        <v>910.50362986974699</v>
      </c>
      <c r="M116" s="102">
        <f>IF(OR($D116=W,$D116=WS),'INPUT Reg'!AI$118,IF($D116=RW,'INPUT Reg'!AI$120,0))</f>
        <v>898.52528910626188</v>
      </c>
      <c r="N116" s="102">
        <f>IF(OR($D116=W,$D116=WS),'INPUT Reg'!AJ$118,IF($D116=RW,'INPUT Reg'!AJ$120,0))</f>
        <v>886.96688129728079</v>
      </c>
      <c r="O116" s="102">
        <f>IF(OR($D116=W,$D116=WS),'INPUT Reg'!AK$118,IF($D116=RW,'INPUT Reg'!AK$120,0))</f>
        <v>875.6605181395189</v>
      </c>
      <c r="P116" s="102">
        <f>IF(OR($D116=W,$D116=WS),'INPUT Reg'!AL$118,IF($D116=RW,'INPUT Reg'!AL$120,0))</f>
        <v>864.67108778784313</v>
      </c>
      <c r="Q116" s="102">
        <f>IF(OR($D116=W,$D116=WS),'INPUT Reg'!AM$118,IF($D116=RW,'INPUT Reg'!AM$120,0))</f>
        <v>853.91863681816892</v>
      </c>
      <c r="R116" s="102">
        <f>IF(OR($D116=W,$D116=WS),'INPUT Reg'!AN$118,IF($D116=RW,'INPUT Reg'!AN$120,0))</f>
        <v>843.41395758521662</v>
      </c>
      <c r="S116" s="102">
        <f>IF(OR($D116=W,$D116=WS),'INPUT Reg'!AO$118,IF($D116=RW,'INPUT Reg'!AO$120,0))</f>
        <v>833.13687474852838</v>
      </c>
      <c r="T116" s="102">
        <f>IF(OR($D116=W,$D116=WS),'INPUT Reg'!AP$118,IF($D116=RW,'INPUT Reg'!AP$120,0))</f>
        <v>823.07248431484913</v>
      </c>
      <c r="U116" s="102">
        <f>IF(OR($D116=W,$D116=WS),'INPUT Reg'!AQ$118,IF($D116=RW,'INPUT Reg'!AQ$120,0))</f>
        <v>813.29575898270082</v>
      </c>
      <c r="V116" s="102">
        <f>IF(OR($D116=W,$D116=WS),'INPUT Reg'!AR$118,IF($D116=RW,'INPUT Reg'!AR$120,0))</f>
        <v>803.82041674399068</v>
      </c>
      <c r="W116" s="102">
        <f>IF(OR($D116=W,$D116=WS),'INPUT Reg'!AS$118,IF($D116=RW,'INPUT Reg'!AS$120,0))</f>
        <v>794.7099536102487</v>
      </c>
      <c r="X116" s="102">
        <f>IF(OR($D116=W,$D116=WS),'INPUT Reg'!AT$118,IF($D116=RW,'INPUT Reg'!AT$120,0))</f>
        <v>785.88605886926632</v>
      </c>
      <c r="Y116" s="102">
        <f>IF(OR($D116=W,$D116=WS),'INPUT Reg'!AU$118,IF($D116=RW,'INPUT Reg'!AU$120,0))</f>
        <v>777.36656882932596</v>
      </c>
      <c r="Z116" s="102">
        <f>IF(OR($D116=W,$D116=WS),'INPUT Reg'!AV$118,IF($D116=RW,'INPUT Reg'!AV$120,0))</f>
        <v>769.12435845205675</v>
      </c>
      <c r="AA116" s="102">
        <f>IF(OR($D116=W,$D116=WS),'INPUT Reg'!AW$118,IF($D116=RW,'INPUT Reg'!AW$120,0))</f>
        <v>769.12435845205675</v>
      </c>
    </row>
    <row r="117" spans="1:27" x14ac:dyDescent="0.25">
      <c r="B117" s="47" t="str">
        <f>B111</f>
        <v>Central</v>
      </c>
      <c r="C117" s="47" t="str">
        <f t="shared" ref="C117:D117" si="40">C111</f>
        <v>N</v>
      </c>
      <c r="D117" s="47" t="str">
        <f t="shared" si="40"/>
        <v>Water and Sewer</v>
      </c>
      <c r="E117" s="47" t="s">
        <v>662</v>
      </c>
      <c r="F117" s="47" t="s">
        <v>661</v>
      </c>
      <c r="H117" s="102"/>
      <c r="I117" s="102"/>
      <c r="J117" s="102"/>
      <c r="K117" s="102"/>
      <c r="L117" s="102"/>
      <c r="M117" s="102"/>
      <c r="N117" s="102"/>
      <c r="O117" s="102"/>
      <c r="P117" s="102"/>
      <c r="Q117" s="102"/>
      <c r="R117" s="102"/>
      <c r="S117" s="102"/>
      <c r="T117" s="102"/>
      <c r="U117" s="102"/>
      <c r="V117" s="102"/>
      <c r="W117" s="102"/>
      <c r="X117" s="102"/>
      <c r="Y117" s="102"/>
      <c r="Z117" s="102"/>
      <c r="AA117" s="102"/>
    </row>
    <row r="118" spans="1:27" x14ac:dyDescent="0.25">
      <c r="B118" s="47" t="str">
        <f>B111</f>
        <v>Central</v>
      </c>
      <c r="C118" s="47" t="str">
        <f t="shared" ref="C118:D118" si="41">C111</f>
        <v>N</v>
      </c>
      <c r="D118" s="47" t="str">
        <f t="shared" si="41"/>
        <v>Water and Sewer</v>
      </c>
      <c r="E118" s="47" t="s">
        <v>663</v>
      </c>
      <c r="F118" s="47" t="s">
        <v>661</v>
      </c>
      <c r="H118" s="102">
        <f>IF(OR($D118=S,$D118=WS),'INPUT Reg'!AD$119,0)</f>
        <v>453.21677844234227</v>
      </c>
      <c r="I118" s="102">
        <f>IF(OR($D118=S,$D118=WS),'INPUT Reg'!AE$119,0)</f>
        <v>455.11451168584722</v>
      </c>
      <c r="J118" s="102">
        <f>IF(OR($D118=S,$D118=WS),'INPUT Reg'!AF$119,0)</f>
        <v>449.37848386637825</v>
      </c>
      <c r="K118" s="102">
        <f>IF(OR($D118=S,$D118=WS),'INPUT Reg'!AG$119,0)</f>
        <v>443.10067438820857</v>
      </c>
      <c r="L118" s="102">
        <f>IF(OR($D118=S,$D118=WS),'INPUT Reg'!AH$119,0)</f>
        <v>437.15390464500325</v>
      </c>
      <c r="M118" s="102">
        <f>IF(OR($D118=S,$D118=WS),'INPUT Reg'!AI$119,0)</f>
        <v>431.5083207193203</v>
      </c>
      <c r="N118" s="102">
        <f>IF(OR($D118=S,$D118=WS),'INPUT Reg'!AJ$119,0)</f>
        <v>426.05494055589423</v>
      </c>
      <c r="O118" s="102">
        <f>IF(OR($D118=S,$D118=WS),'INPUT Reg'!AK$119,0)</f>
        <v>420.70084900226067</v>
      </c>
      <c r="P118" s="102">
        <f>IF(OR($D118=S,$D118=WS),'INPUT Reg'!AL$119,0)</f>
        <v>415.48722468059901</v>
      </c>
      <c r="Q118" s="102">
        <f>IF(OR($D118=S,$D118=WS),'INPUT Reg'!AM$119,0)</f>
        <v>410.36820163245039</v>
      </c>
      <c r="R118" s="102">
        <f>IF(OR($D118=S,$D118=WS),'INPUT Reg'!AN$119,0)</f>
        <v>405.37463854857305</v>
      </c>
      <c r="S118" s="102">
        <f>IF(OR($D118=S,$D118=WS),'INPUT Reg'!AO$119,0)</f>
        <v>400.47529410509895</v>
      </c>
      <c r="T118" s="102">
        <f>IF(OR($D118=S,$D118=WS),'INPUT Reg'!AP$119,0)</f>
        <v>395.63776974092383</v>
      </c>
      <c r="U118" s="102">
        <f>IF(OR($D118=S,$D118=WS),'INPUT Reg'!AQ$119,0)</f>
        <v>390.91011777175237</v>
      </c>
      <c r="V118" s="102">
        <f>IF(OR($D118=S,$D118=WS),'INPUT Reg'!AR$119,0)</f>
        <v>386.30913078953427</v>
      </c>
      <c r="W118" s="102">
        <f>IF(OR($D118=S,$D118=WS),'INPUT Reg'!AS$119,0)</f>
        <v>381.8918651148926</v>
      </c>
      <c r="X118" s="102">
        <f>IF(OR($D118=S,$D118=WS),'INPUT Reg'!AT$119,0)</f>
        <v>377.63261844346306</v>
      </c>
      <c r="Y118" s="102">
        <f>IF(OR($D118=S,$D118=WS),'INPUT Reg'!AU$119,0)</f>
        <v>373.47129339851563</v>
      </c>
      <c r="Z118" s="102">
        <f>IF(OR($D118=S,$D118=WS),'INPUT Reg'!AV$119,0)</f>
        <v>369.44283842192328</v>
      </c>
      <c r="AA118" s="102">
        <f>IF(OR($D118=S,$D118=WS),'INPUT Reg'!AW$119,0)</f>
        <v>369.44283842192328</v>
      </c>
    </row>
    <row r="119" spans="1:27" x14ac:dyDescent="0.25">
      <c r="C119" s="100"/>
      <c r="D119" s="100"/>
      <c r="E119" s="47" t="s">
        <v>664</v>
      </c>
      <c r="F119" s="47" t="s">
        <v>665</v>
      </c>
      <c r="H119" s="106">
        <f>H112*H116</f>
        <v>923510.78536134679</v>
      </c>
      <c r="I119" s="106">
        <f t="shared" ref="I119:AA119" si="42">I112*I116</f>
        <v>1894408.9505337044</v>
      </c>
      <c r="J119" s="106">
        <f t="shared" si="42"/>
        <v>2670971.1545957248</v>
      </c>
      <c r="K119" s="106">
        <f t="shared" si="42"/>
        <v>3419451.6296471474</v>
      </c>
      <c r="L119" s="106">
        <f t="shared" si="42"/>
        <v>4136452.9824502319</v>
      </c>
      <c r="M119" s="106">
        <f t="shared" si="42"/>
        <v>4820367.1891498826</v>
      </c>
      <c r="N119" s="106">
        <f t="shared" si="42"/>
        <v>5492660.233268816</v>
      </c>
      <c r="O119" s="106">
        <f t="shared" si="42"/>
        <v>6167653.6881099213</v>
      </c>
      <c r="P119" s="106">
        <f t="shared" si="42"/>
        <v>6839655.9093454601</v>
      </c>
      <c r="Q119" s="106">
        <f t="shared" si="42"/>
        <v>7515810.6536779543</v>
      </c>
      <c r="R119" s="106">
        <f t="shared" si="42"/>
        <v>8195047.4835727513</v>
      </c>
      <c r="S119" s="106">
        <f t="shared" si="42"/>
        <v>8879435.3835456688</v>
      </c>
      <c r="T119" s="106">
        <f t="shared" si="42"/>
        <v>9570750.2578478251</v>
      </c>
      <c r="U119" s="106">
        <f t="shared" si="42"/>
        <v>10261231.430304298</v>
      </c>
      <c r="V119" s="106">
        <f t="shared" si="42"/>
        <v>10948834.133443644</v>
      </c>
      <c r="W119" s="106">
        <f t="shared" si="42"/>
        <v>11625480.908204237</v>
      </c>
      <c r="X119" s="106">
        <f t="shared" si="42"/>
        <v>12298910.722776469</v>
      </c>
      <c r="Y119" s="106">
        <f t="shared" si="42"/>
        <v>12966074.198332055</v>
      </c>
      <c r="Z119" s="106">
        <f t="shared" si="42"/>
        <v>13629192.322701657</v>
      </c>
      <c r="AA119" s="106">
        <f t="shared" si="42"/>
        <v>14438140.992226511</v>
      </c>
    </row>
    <row r="120" spans="1:27" x14ac:dyDescent="0.25">
      <c r="C120" s="100"/>
      <c r="D120" s="100"/>
      <c r="E120" s="47" t="s">
        <v>666</v>
      </c>
      <c r="F120" s="47" t="s">
        <v>665</v>
      </c>
      <c r="H120" s="106">
        <f>H112*H117</f>
        <v>0</v>
      </c>
      <c r="I120" s="106">
        <f t="shared" ref="I120:AA120" si="43">I112*I117</f>
        <v>0</v>
      </c>
      <c r="J120" s="106">
        <f t="shared" si="43"/>
        <v>0</v>
      </c>
      <c r="K120" s="106">
        <f t="shared" si="43"/>
        <v>0</v>
      </c>
      <c r="L120" s="106">
        <f t="shared" si="43"/>
        <v>0</v>
      </c>
      <c r="M120" s="106">
        <f t="shared" si="43"/>
        <v>0</v>
      </c>
      <c r="N120" s="106">
        <f t="shared" si="43"/>
        <v>0</v>
      </c>
      <c r="O120" s="106">
        <f t="shared" si="43"/>
        <v>0</v>
      </c>
      <c r="P120" s="106">
        <f t="shared" si="43"/>
        <v>0</v>
      </c>
      <c r="Q120" s="106">
        <f t="shared" si="43"/>
        <v>0</v>
      </c>
      <c r="R120" s="106">
        <f t="shared" si="43"/>
        <v>0</v>
      </c>
      <c r="S120" s="106">
        <f t="shared" si="43"/>
        <v>0</v>
      </c>
      <c r="T120" s="106">
        <f t="shared" si="43"/>
        <v>0</v>
      </c>
      <c r="U120" s="106">
        <f t="shared" si="43"/>
        <v>0</v>
      </c>
      <c r="V120" s="106">
        <f t="shared" si="43"/>
        <v>0</v>
      </c>
      <c r="W120" s="106">
        <f t="shared" si="43"/>
        <v>0</v>
      </c>
      <c r="X120" s="106">
        <f t="shared" si="43"/>
        <v>0</v>
      </c>
      <c r="Y120" s="106">
        <f t="shared" si="43"/>
        <v>0</v>
      </c>
      <c r="Z120" s="106">
        <f t="shared" si="43"/>
        <v>0</v>
      </c>
      <c r="AA120" s="106">
        <f t="shared" si="43"/>
        <v>0</v>
      </c>
    </row>
    <row r="121" spans="1:27" x14ac:dyDescent="0.25">
      <c r="C121" s="100"/>
      <c r="D121" s="100"/>
      <c r="E121" s="47" t="s">
        <v>667</v>
      </c>
      <c r="F121" s="47" t="s">
        <v>665</v>
      </c>
      <c r="H121" s="106">
        <f>H112*H118</f>
        <v>443025.01735091367</v>
      </c>
      <c r="I121" s="106">
        <f t="shared" ref="I121:AA121" si="44">I112*I118</f>
        <v>908731.19694869558</v>
      </c>
      <c r="J121" s="106">
        <f t="shared" si="44"/>
        <v>1281595.17634578</v>
      </c>
      <c r="K121" s="106">
        <f t="shared" si="44"/>
        <v>1641250.748964489</v>
      </c>
      <c r="L121" s="106">
        <f t="shared" si="44"/>
        <v>1986006.9892497533</v>
      </c>
      <c r="M121" s="106">
        <f t="shared" si="44"/>
        <v>2314936.0137759983</v>
      </c>
      <c r="N121" s="106">
        <f t="shared" si="44"/>
        <v>2638401.8146836795</v>
      </c>
      <c r="O121" s="106">
        <f t="shared" si="44"/>
        <v>2963177.0408613407</v>
      </c>
      <c r="P121" s="106">
        <f t="shared" si="44"/>
        <v>3286555.6529877512</v>
      </c>
      <c r="Q121" s="106">
        <f t="shared" si="44"/>
        <v>3611877.7232128563</v>
      </c>
      <c r="R121" s="106">
        <f t="shared" si="44"/>
        <v>3938830.2525288048</v>
      </c>
      <c r="S121" s="106">
        <f t="shared" si="44"/>
        <v>4268199.6254048953</v>
      </c>
      <c r="T121" s="106">
        <f t="shared" si="44"/>
        <v>4600506.4668324152</v>
      </c>
      <c r="U121" s="106">
        <f t="shared" si="44"/>
        <v>4932054.7200698983</v>
      </c>
      <c r="V121" s="106">
        <f t="shared" si="44"/>
        <v>5261914.8620064184</v>
      </c>
      <c r="W121" s="106">
        <f t="shared" si="44"/>
        <v>5586537.0336975185</v>
      </c>
      <c r="X121" s="106">
        <f t="shared" si="44"/>
        <v>5909851.4445299245</v>
      </c>
      <c r="Y121" s="106">
        <f t="shared" si="44"/>
        <v>6229308.9197863042</v>
      </c>
      <c r="Z121" s="106">
        <f t="shared" si="44"/>
        <v>6546675.3740982376</v>
      </c>
      <c r="AA121" s="106">
        <f t="shared" si="44"/>
        <v>6935247.5072294623</v>
      </c>
    </row>
    <row r="122" spans="1:27" x14ac:dyDescent="0.25">
      <c r="A122" s="101">
        <v>23</v>
      </c>
      <c r="B122" s="47" t="str">
        <f>B116</f>
        <v>Central</v>
      </c>
      <c r="C122" s="47" t="str">
        <f t="shared" ref="C122:D122" si="45">C116</f>
        <v>N</v>
      </c>
      <c r="D122" s="47" t="str">
        <f t="shared" si="45"/>
        <v>Water and Sewer</v>
      </c>
      <c r="E122" s="47" t="s">
        <v>668</v>
      </c>
      <c r="F122" s="47" t="s">
        <v>633</v>
      </c>
      <c r="H122" s="105">
        <f>SUMIFS('INPUT Reg'!AD$94:AD$109,'INPUT Reg'!$D$94:$D$109,$D122,'INPUT Reg'!$C$94:$C$109,$C122,'INPUT Reg'!$B$94:$B$109,$B122)</f>
        <v>4.3198750112460882E-3</v>
      </c>
      <c r="I122" s="105">
        <f>SUMIFS('INPUT Reg'!AE$94:AE$109,'INPUT Reg'!$D$94:$D$109,$D122,'INPUT Reg'!$C$94:$C$109,$C122,'INPUT Reg'!$B$94:$B$109,$B122)</f>
        <v>-6.1022489121942414E-4</v>
      </c>
      <c r="J122" s="105">
        <f>SUMIFS('INPUT Reg'!AF$94:AF$109,'INPUT Reg'!$D$94:$D$109,$D122,'INPUT Reg'!$C$94:$C$109,$C122,'INPUT Reg'!$B$94:$B$109,$B122)</f>
        <v>-6.0589406341293728E-4</v>
      </c>
      <c r="K122" s="105">
        <f>SUMIFS('INPUT Reg'!AG$94:AG$109,'INPUT Reg'!$D$94:$D$109,$D122,'INPUT Reg'!$C$94:$C$109,$C122,'INPUT Reg'!$B$94:$B$109,$B122)</f>
        <v>-6.0806142792857454E-4</v>
      </c>
      <c r="L122" s="105">
        <f>SUMIFS('INPUT Reg'!AH$94:AH$109,'INPUT Reg'!$D$94:$D$109,$D122,'INPUT Reg'!$C$94:$C$109,$C122,'INPUT Reg'!$B$94:$B$109,$B122)</f>
        <v>-1.0383018642902697E-2</v>
      </c>
      <c r="M122" s="105">
        <f>SUMIFS('INPUT Reg'!AI$94:AI$109,'INPUT Reg'!$D$94:$D$109,$D122,'INPUT Reg'!$C$94:$C$109,$C122,'INPUT Reg'!$B$94:$B$109,$B122)</f>
        <v>5.2805770720532053E-6</v>
      </c>
      <c r="N122" s="105">
        <f>SUMIFS('INPUT Reg'!AJ$94:AJ$109,'INPUT Reg'!$D$94:$D$109,$D122,'INPUT Reg'!$C$94:$C$109,$C122,'INPUT Reg'!$B$94:$B$109,$B122)</f>
        <v>1.7091108277522693E-6</v>
      </c>
      <c r="O122" s="105">
        <f>SUMIFS('INPUT Reg'!AK$94:AK$109,'INPUT Reg'!$D$94:$D$109,$D122,'INPUT Reg'!$C$94:$C$109,$C122,'INPUT Reg'!$B$94:$B$109,$B122)</f>
        <v>3.4342356205474545E-6</v>
      </c>
      <c r="P122" s="105">
        <f>SUMIFS('INPUT Reg'!AL$94:AL$109,'INPUT Reg'!$D$94:$D$109,$D122,'INPUT Reg'!$C$94:$C$109,$C122,'INPUT Reg'!$B$94:$B$109,$B122)</f>
        <v>2.2932617762538854E-6</v>
      </c>
      <c r="Q122" s="105">
        <f>SUMIFS('INPUT Reg'!AM$94:AM$109,'INPUT Reg'!$D$94:$D$109,$D122,'INPUT Reg'!$C$94:$C$109,$C122,'INPUT Reg'!$B$94:$B$109,$B122)</f>
        <v>-0.16092014513572139</v>
      </c>
      <c r="R122" s="105">
        <f>SUMIFS('INPUT Reg'!AN$94:AN$109,'INPUT Reg'!$D$94:$D$109,$D122,'INPUT Reg'!$C$94:$C$109,$C122,'INPUT Reg'!$B$94:$B$109,$B122)</f>
        <v>2.1378973014130054E-6</v>
      </c>
      <c r="S122" s="105">
        <f>SUMIFS('INPUT Reg'!AO$94:AO$109,'INPUT Reg'!$D$94:$D$109,$D122,'INPUT Reg'!$C$94:$C$109,$C122,'INPUT Reg'!$B$94:$B$109,$B122)</f>
        <v>2.2541508519768882E-6</v>
      </c>
      <c r="T122" s="105">
        <f>SUMIFS('INPUT Reg'!AP$94:AP$109,'INPUT Reg'!$D$94:$D$109,$D122,'INPUT Reg'!$C$94:$C$109,$C122,'INPUT Reg'!$B$94:$B$109,$B122)</f>
        <v>1.3010036248317647E-6</v>
      </c>
      <c r="U122" s="105">
        <f>SUMIFS('INPUT Reg'!AQ$94:AQ$109,'INPUT Reg'!$D$94:$D$109,$D122,'INPUT Reg'!$C$94:$C$109,$C122,'INPUT Reg'!$B$94:$B$109,$B122)</f>
        <v>1.5516789177993928E-6</v>
      </c>
      <c r="V122" s="105">
        <f>SUMIFS('INPUT Reg'!AR$94:AR$109,'INPUT Reg'!$D$94:$D$109,$D122,'INPUT Reg'!$C$94:$C$109,$C122,'INPUT Reg'!$B$94:$B$109,$B122)</f>
        <v>-9.958727854732996E-2</v>
      </c>
      <c r="W122" s="105">
        <f>SUMIFS('INPUT Reg'!AS$94:AS$109,'INPUT Reg'!$D$94:$D$109,$D122,'INPUT Reg'!$C$94:$C$109,$C122,'INPUT Reg'!$B$94:$B$109,$B122)</f>
        <v>1.773683489858513E-6</v>
      </c>
      <c r="X122" s="105">
        <f>SUMIFS('INPUT Reg'!AT$94:AT$109,'INPUT Reg'!$D$94:$D$109,$D122,'INPUT Reg'!$C$94:$C$109,$C122,'INPUT Reg'!$B$94:$B$109,$B122)</f>
        <v>1.3355805807968579E-6</v>
      </c>
      <c r="Y122" s="105">
        <f>SUMIFS('INPUT Reg'!AU$94:AU$109,'INPUT Reg'!$D$94:$D$109,$D122,'INPUT Reg'!$C$94:$C$109,$C122,'INPUT Reg'!$B$94:$B$109,$B122)</f>
        <v>1.3881712208618779E-6</v>
      </c>
      <c r="Z122" s="105">
        <f>SUMIFS('INPUT Reg'!AV$94:AV$109,'INPUT Reg'!$D$94:$D$109,$D122,'INPUT Reg'!$C$94:$C$109,$C122,'INPUT Reg'!$B$94:$B$109,$B122)</f>
        <v>1.2558585797961541E-6</v>
      </c>
      <c r="AA122" s="105">
        <f>SUMIFS('INPUT Reg'!AW$94:AW$109,'INPUT Reg'!$D$94:$D$109,$D122,'INPUT Reg'!$C$94:$C$109,$C122,'INPUT Reg'!$B$94:$B$109,$B122)</f>
        <v>0</v>
      </c>
    </row>
    <row r="123" spans="1:27" x14ac:dyDescent="0.25">
      <c r="A123" s="101">
        <v>24</v>
      </c>
      <c r="B123" s="47" t="str">
        <f>B111</f>
        <v>Central</v>
      </c>
      <c r="C123" s="47" t="str">
        <f t="shared" ref="C123:D123" si="46">C111</f>
        <v>N</v>
      </c>
      <c r="D123" s="47" t="str">
        <f t="shared" si="46"/>
        <v>Water and Sewer</v>
      </c>
      <c r="E123" s="47" t="s">
        <v>669</v>
      </c>
      <c r="F123" s="47" t="s">
        <v>670</v>
      </c>
      <c r="G123" s="108">
        <f>IF(D123=W,CWW_N_W_N,IF(D123=S,CWW_N_S_N,IF(D123=WS, CWW_N_W_N+CWW_N_S_N,CWW_N_R_F)))</f>
        <v>808.59999999999991</v>
      </c>
      <c r="H123" s="106">
        <f>G123*(1+$G$14)*(1+H122)</f>
        <v>812.09305093409353</v>
      </c>
      <c r="I123" s="106">
        <f t="shared" ref="I123:AA123" si="47">H123*(1+$G$14)*(1+I122)</f>
        <v>811.5974915404272</v>
      </c>
      <c r="J123" s="106">
        <f t="shared" si="47"/>
        <v>811.10574943842198</v>
      </c>
      <c r="K123" s="106">
        <f t="shared" si="47"/>
        <v>810.61254731821737</v>
      </c>
      <c r="L123" s="106">
        <f t="shared" si="47"/>
        <v>802.19594212724144</v>
      </c>
      <c r="M123" s="106">
        <f t="shared" si="47"/>
        <v>802.20017818474071</v>
      </c>
      <c r="N123" s="106">
        <f t="shared" si="47"/>
        <v>802.20154923375128</v>
      </c>
      <c r="O123" s="106">
        <f t="shared" si="47"/>
        <v>802.20430418288652</v>
      </c>
      <c r="P123" s="106">
        <f t="shared" si="47"/>
        <v>802.20614384735404</v>
      </c>
      <c r="Q123" s="106">
        <f t="shared" si="47"/>
        <v>673.11501475067041</v>
      </c>
      <c r="R123" s="106">
        <f t="shared" si="47"/>
        <v>673.11645380144398</v>
      </c>
      <c r="S123" s="106">
        <f t="shared" si="47"/>
        <v>673.11797110747182</v>
      </c>
      <c r="T123" s="106">
        <f t="shared" si="47"/>
        <v>673.11884683639221</v>
      </c>
      <c r="U123" s="106">
        <f t="shared" si="47"/>
        <v>673.11989130071606</v>
      </c>
      <c r="V123" s="106">
        <f t="shared" si="47"/>
        <v>606.08571319000316</v>
      </c>
      <c r="W123" s="106">
        <f t="shared" si="47"/>
        <v>606.08678819422607</v>
      </c>
      <c r="X123" s="106">
        <f t="shared" si="47"/>
        <v>606.08759767197068</v>
      </c>
      <c r="Y123" s="106">
        <f t="shared" si="47"/>
        <v>606.08843902533113</v>
      </c>
      <c r="Z123" s="106">
        <f t="shared" si="47"/>
        <v>606.08920018669744</v>
      </c>
      <c r="AA123" s="106">
        <f t="shared" si="47"/>
        <v>606.08920018669744</v>
      </c>
    </row>
    <row r="124" spans="1:27" x14ac:dyDescent="0.25">
      <c r="B124" s="47" t="str">
        <f>B111</f>
        <v>Central</v>
      </c>
      <c r="C124" s="47" t="str">
        <f t="shared" ref="C124:D124" si="48">C111</f>
        <v>N</v>
      </c>
      <c r="D124" s="47" t="str">
        <f t="shared" si="48"/>
        <v>Water and Sewer</v>
      </c>
      <c r="E124" s="47" t="s">
        <v>671</v>
      </c>
      <c r="F124" s="47" t="s">
        <v>672</v>
      </c>
      <c r="G124" s="109">
        <f>IF(OR(D124=W,D124=WS),CWW_N_W_V,IF(D124=RW,CWW_N_R_V,0))</f>
        <v>3.0762</v>
      </c>
      <c r="H124" s="110">
        <f>G124*(1+$G$14)*(1+H122)</f>
        <v>3.0894887995095952</v>
      </c>
      <c r="I124" s="110">
        <f t="shared" ref="I124:AA124" si="49">H124*(1+$G$14)*(1+I122)</f>
        <v>3.0876035165429907</v>
      </c>
      <c r="J124" s="110">
        <f t="shared" si="49"/>
        <v>3.0857327559021446</v>
      </c>
      <c r="K124" s="110">
        <f t="shared" si="49"/>
        <v>3.0838564408363847</v>
      </c>
      <c r="L124" s="110">
        <f t="shared" si="49"/>
        <v>3.0518367019191448</v>
      </c>
      <c r="M124" s="110">
        <f t="shared" si="49"/>
        <v>3.0518528173780606</v>
      </c>
      <c r="N124" s="110">
        <f t="shared" si="49"/>
        <v>3.0518580333327554</v>
      </c>
      <c r="O124" s="110">
        <f t="shared" si="49"/>
        <v>3.0518685141323223</v>
      </c>
      <c r="P124" s="110">
        <f t="shared" si="49"/>
        <v>3.051875512865732</v>
      </c>
      <c r="Q124" s="110">
        <f t="shared" si="49"/>
        <v>2.5607672623992244</v>
      </c>
      <c r="R124" s="110">
        <f t="shared" si="49"/>
        <v>2.5607727370566442</v>
      </c>
      <c r="S124" s="110">
        <f t="shared" si="49"/>
        <v>2.5607785094246913</v>
      </c>
      <c r="T124" s="110">
        <f t="shared" si="49"/>
        <v>2.5607818410068144</v>
      </c>
      <c r="U124" s="110">
        <f t="shared" si="49"/>
        <v>2.56078581451801</v>
      </c>
      <c r="V124" s="110">
        <f t="shared" si="49"/>
        <v>2.3057641243075535</v>
      </c>
      <c r="W124" s="110">
        <f t="shared" si="49"/>
        <v>2.3057682140033124</v>
      </c>
      <c r="X124" s="110">
        <f t="shared" si="49"/>
        <v>2.3057712935425627</v>
      </c>
      <c r="Y124" s="110">
        <f t="shared" si="49"/>
        <v>2.3057744943479141</v>
      </c>
      <c r="Z124" s="110">
        <f t="shared" si="49"/>
        <v>2.3057773900745961</v>
      </c>
      <c r="AA124" s="110">
        <f t="shared" si="49"/>
        <v>2.3057773900745961</v>
      </c>
    </row>
    <row r="125" spans="1:27" x14ac:dyDescent="0.25">
      <c r="B125" s="47" t="str">
        <f>B111</f>
        <v>Central</v>
      </c>
      <c r="C125" s="47" t="str">
        <f t="shared" ref="C125:D125" si="50">C111</f>
        <v>N</v>
      </c>
      <c r="D125" s="47" t="str">
        <f t="shared" si="50"/>
        <v>Water and Sewer</v>
      </c>
      <c r="E125" s="47" t="s">
        <v>673</v>
      </c>
      <c r="F125" s="47" t="s">
        <v>672</v>
      </c>
      <c r="G125" s="109"/>
      <c r="H125" s="110">
        <f>G125*(1+$G$14)*(1+H122)</f>
        <v>0</v>
      </c>
      <c r="I125" s="110">
        <f t="shared" ref="I125:AA125" si="51">H125*(1+$G$14)*(1+I122)</f>
        <v>0</v>
      </c>
      <c r="J125" s="110">
        <f t="shared" si="51"/>
        <v>0</v>
      </c>
      <c r="K125" s="110">
        <f t="shared" si="51"/>
        <v>0</v>
      </c>
      <c r="L125" s="110">
        <f t="shared" si="51"/>
        <v>0</v>
      </c>
      <c r="M125" s="110">
        <f t="shared" si="51"/>
        <v>0</v>
      </c>
      <c r="N125" s="110">
        <f t="shared" si="51"/>
        <v>0</v>
      </c>
      <c r="O125" s="110">
        <f t="shared" si="51"/>
        <v>0</v>
      </c>
      <c r="P125" s="110">
        <f t="shared" si="51"/>
        <v>0</v>
      </c>
      <c r="Q125" s="110">
        <f t="shared" si="51"/>
        <v>0</v>
      </c>
      <c r="R125" s="110">
        <f t="shared" si="51"/>
        <v>0</v>
      </c>
      <c r="S125" s="110">
        <f t="shared" si="51"/>
        <v>0</v>
      </c>
      <c r="T125" s="110">
        <f t="shared" si="51"/>
        <v>0</v>
      </c>
      <c r="U125" s="110">
        <f t="shared" si="51"/>
        <v>0</v>
      </c>
      <c r="V125" s="110">
        <f t="shared" si="51"/>
        <v>0</v>
      </c>
      <c r="W125" s="110">
        <f t="shared" si="51"/>
        <v>0</v>
      </c>
      <c r="X125" s="110">
        <f t="shared" si="51"/>
        <v>0</v>
      </c>
      <c r="Y125" s="110">
        <f t="shared" si="51"/>
        <v>0</v>
      </c>
      <c r="Z125" s="110">
        <f t="shared" si="51"/>
        <v>0</v>
      </c>
      <c r="AA125" s="110">
        <f t="shared" si="51"/>
        <v>0</v>
      </c>
    </row>
    <row r="126" spans="1:27" x14ac:dyDescent="0.25">
      <c r="B126" s="47" t="str">
        <f>B111</f>
        <v>Central</v>
      </c>
      <c r="C126" s="47" t="str">
        <f t="shared" ref="C126:D126" si="52">C111</f>
        <v>N</v>
      </c>
      <c r="D126" s="47" t="str">
        <f t="shared" si="52"/>
        <v>Water and Sewer</v>
      </c>
      <c r="E126" s="47" t="s">
        <v>674</v>
      </c>
      <c r="F126" s="47" t="s">
        <v>672</v>
      </c>
      <c r="G126" s="109">
        <f>IF(OR(D126=S,D126=WS),CWW_N_SDC,0)</f>
        <v>2.0097</v>
      </c>
      <c r="H126" s="110">
        <f>G126*(1+$G$14)*(1+H122)</f>
        <v>2.0183816528101013</v>
      </c>
      <c r="I126" s="110">
        <f t="shared" ref="I126:AA126" si="53">H126*(1+$G$14)*(1+I122)</f>
        <v>2.0171499860855762</v>
      </c>
      <c r="J126" s="110">
        <f t="shared" si="53"/>
        <v>2.0159278068839934</v>
      </c>
      <c r="K126" s="110">
        <f t="shared" si="53"/>
        <v>2.0147019989431385</v>
      </c>
      <c r="L126" s="110">
        <f t="shared" si="53"/>
        <v>1.9937833105282186</v>
      </c>
      <c r="M126" s="110">
        <f t="shared" si="53"/>
        <v>1.9937938388546548</v>
      </c>
      <c r="N126" s="110">
        <f t="shared" si="53"/>
        <v>1.993797246469293</v>
      </c>
      <c r="O126" s="110">
        <f t="shared" si="53"/>
        <v>1.9938040936388171</v>
      </c>
      <c r="P126" s="110">
        <f t="shared" si="53"/>
        <v>1.9938086659535343</v>
      </c>
      <c r="Q126" s="110">
        <f t="shared" si="53"/>
        <v>1.6729646860554326</v>
      </c>
      <c r="R126" s="110">
        <f t="shared" si="53"/>
        <v>1.6729682626821203</v>
      </c>
      <c r="S126" s="110">
        <f t="shared" si="53"/>
        <v>1.672972033804955</v>
      </c>
      <c r="T126" s="110">
        <f t="shared" si="53"/>
        <v>1.6729742103476353</v>
      </c>
      <c r="U126" s="110">
        <f t="shared" si="53"/>
        <v>1.6729768062664474</v>
      </c>
      <c r="V126" s="110">
        <f t="shared" si="53"/>
        <v>1.5063695990575683</v>
      </c>
      <c r="W126" s="110">
        <f t="shared" si="53"/>
        <v>1.5063722708804557</v>
      </c>
      <c r="X126" s="110">
        <f t="shared" si="53"/>
        <v>1.5063742827620081</v>
      </c>
      <c r="Y126" s="110">
        <f t="shared" si="53"/>
        <v>1.5063763738674354</v>
      </c>
      <c r="Z126" s="110">
        <f t="shared" si="53"/>
        <v>1.5063782656631288</v>
      </c>
      <c r="AA126" s="110">
        <f t="shared" si="53"/>
        <v>1.5063782656631288</v>
      </c>
    </row>
    <row r="127" spans="1:27" x14ac:dyDescent="0.25">
      <c r="C127" s="100"/>
      <c r="D127" s="100"/>
    </row>
    <row r="128" spans="1:27" x14ac:dyDescent="0.25">
      <c r="C128" s="100"/>
      <c r="D128" s="100"/>
      <c r="E128" s="47" t="s">
        <v>679</v>
      </c>
      <c r="F128" s="47" t="s">
        <v>676</v>
      </c>
      <c r="H128" s="106">
        <f>SUM(H119:H121)/1000</f>
        <v>1366.5358027122604</v>
      </c>
      <c r="I128" s="106">
        <f t="shared" ref="I128:AA128" si="54">SUM(I119:I121)/1000</f>
        <v>2803.1401474823997</v>
      </c>
      <c r="J128" s="106">
        <f t="shared" si="54"/>
        <v>3952.5663309415049</v>
      </c>
      <c r="K128" s="106">
        <f t="shared" si="54"/>
        <v>5060.702378611636</v>
      </c>
      <c r="L128" s="106">
        <f t="shared" si="54"/>
        <v>6122.4599716999846</v>
      </c>
      <c r="M128" s="106">
        <f t="shared" si="54"/>
        <v>7135.3032029258811</v>
      </c>
      <c r="N128" s="106">
        <f t="shared" si="54"/>
        <v>8131.062047952496</v>
      </c>
      <c r="O128" s="106">
        <f t="shared" si="54"/>
        <v>9130.8307289712611</v>
      </c>
      <c r="P128" s="106">
        <f t="shared" si="54"/>
        <v>10126.211562333212</v>
      </c>
      <c r="Q128" s="106">
        <f t="shared" si="54"/>
        <v>11127.68837689081</v>
      </c>
      <c r="R128" s="106">
        <f t="shared" si="54"/>
        <v>12133.877736101556</v>
      </c>
      <c r="S128" s="106">
        <f t="shared" si="54"/>
        <v>13147.635008950565</v>
      </c>
      <c r="T128" s="106">
        <f t="shared" si="54"/>
        <v>14171.256724680241</v>
      </c>
      <c r="U128" s="106">
        <f t="shared" si="54"/>
        <v>15193.286150374197</v>
      </c>
      <c r="V128" s="106">
        <f t="shared" si="54"/>
        <v>16210.748995450063</v>
      </c>
      <c r="W128" s="106">
        <f t="shared" si="54"/>
        <v>17212.017941901755</v>
      </c>
      <c r="X128" s="106">
        <f t="shared" si="54"/>
        <v>18208.762167306395</v>
      </c>
      <c r="Y128" s="106">
        <f t="shared" si="54"/>
        <v>19195.38311811836</v>
      </c>
      <c r="Z128" s="106">
        <f t="shared" si="54"/>
        <v>20175.867696799898</v>
      </c>
      <c r="AA128" s="106">
        <f t="shared" si="54"/>
        <v>21373.388499455974</v>
      </c>
    </row>
    <row r="129" spans="1:27" x14ac:dyDescent="0.25">
      <c r="C129" s="100"/>
      <c r="D129" s="100"/>
      <c r="E129" s="47" t="s">
        <v>680</v>
      </c>
      <c r="F129" s="47" t="s">
        <v>639</v>
      </c>
      <c r="H129" s="106">
        <f>H112*H123+H119*H124+H120*H125+H121*H126</f>
        <v>4541200.8153911699</v>
      </c>
      <c r="I129" s="106">
        <f t="shared" ref="I129:AA129" si="55">I112*I123+I119*I124+I120*I125+I121*I126</f>
        <v>9302754.7949831355</v>
      </c>
      <c r="J129" s="106">
        <f t="shared" si="55"/>
        <v>13138721.905324826</v>
      </c>
      <c r="K129" s="106">
        <f t="shared" si="55"/>
        <v>16854248.676118609</v>
      </c>
      <c r="L129" s="106">
        <f t="shared" si="55"/>
        <v>20227853.61198033</v>
      </c>
      <c r="M129" s="106">
        <f t="shared" si="55"/>
        <v>23630163.008252338</v>
      </c>
      <c r="N129" s="106">
        <f t="shared" si="55"/>
        <v>26990997.185070876</v>
      </c>
      <c r="O129" s="106">
        <f t="shared" si="55"/>
        <v>30381132.58763041</v>
      </c>
      <c r="P129" s="106">
        <f t="shared" si="55"/>
        <v>33772091.957481965</v>
      </c>
      <c r="Q129" s="106">
        <f t="shared" si="55"/>
        <v>31213243.636235408</v>
      </c>
      <c r="R129" s="106">
        <f t="shared" si="55"/>
        <v>34115540.784327738</v>
      </c>
      <c r="S129" s="106">
        <f t="shared" si="55"/>
        <v>37052826.217972226</v>
      </c>
      <c r="T129" s="106">
        <f t="shared" si="55"/>
        <v>40032209.947343141</v>
      </c>
      <c r="U129" s="106">
        <f t="shared" si="55"/>
        <v>43020682.430591784</v>
      </c>
      <c r="V129" s="106">
        <f t="shared" si="55"/>
        <v>41427308.190859281</v>
      </c>
      <c r="W129" s="106">
        <f t="shared" si="55"/>
        <v>44087260.012864336</v>
      </c>
      <c r="X129" s="106">
        <f t="shared" si="55"/>
        <v>46746035.474568903</v>
      </c>
      <c r="Y129" s="106">
        <f t="shared" si="55"/>
        <v>49389770.123715803</v>
      </c>
      <c r="Z129" s="106">
        <f t="shared" si="55"/>
        <v>52027796.88202773</v>
      </c>
      <c r="AA129" s="106">
        <f t="shared" si="55"/>
        <v>55115860.801701203</v>
      </c>
    </row>
    <row r="130" spans="1:27" x14ac:dyDescent="0.25">
      <c r="C130" s="100"/>
      <c r="D130" s="100"/>
    </row>
    <row r="131" spans="1:27" x14ac:dyDescent="0.25">
      <c r="C131" s="100"/>
      <c r="D131" s="47" t="s">
        <v>681</v>
      </c>
    </row>
    <row r="132" spans="1:27" x14ac:dyDescent="0.25">
      <c r="A132" s="101">
        <v>25</v>
      </c>
      <c r="B132" s="47" t="s">
        <v>265</v>
      </c>
      <c r="C132" s="100" t="s">
        <v>405</v>
      </c>
      <c r="D132" s="100" t="str">
        <f>$G$4</f>
        <v>Water and Sewer</v>
      </c>
      <c r="E132" s="47" t="s">
        <v>654</v>
      </c>
      <c r="F132" s="47" t="s">
        <v>655</v>
      </c>
      <c r="H132" s="102">
        <f>IF($G$4="Water and sewer",SUMIFS('INPUT Growth'!AD$64:AD$115,'INPUT Growth'!$B$64:$B$115,$A$1,'INPUT Growth'!$F$64:$F$115,$B132,'INPUT Growth'!$E$64:$E$115,$C132),SUMIFS('INPUT Growth'!AD$64:AD$115,'INPUT Growth'!$A$64:$A$115,$A$1,'INPUT Growth'!$F$64:$F$115,$B132,'INPUT Growth'!$E$64:$E$115,$C132))</f>
        <v>641.33743430731556</v>
      </c>
      <c r="I132" s="102">
        <f>IF($G$4="Water and sewer",SUMIFS('INPUT Growth'!AE$64:AE$115,'INPUT Growth'!$B$64:$B$115,$A$1,'INPUT Growth'!$F$64:$F$115,$B132,'INPUT Growth'!$E$64:$E$115,$C132),SUMIFS('INPUT Growth'!AE$64:AE$115,'INPUT Growth'!$A$64:$A$115,$A$1,'INPUT Growth'!$F$64:$F$115,$B132,'INPUT Growth'!$E$64:$E$115,$C132))</f>
        <v>768.82932971043192</v>
      </c>
      <c r="J132" s="102">
        <f>IF($G$4="Water and sewer",SUMIFS('INPUT Growth'!AF$64:AF$115,'INPUT Growth'!$B$64:$B$115,$A$1,'INPUT Growth'!$F$64:$F$115,$B132,'INPUT Growth'!$E$64:$E$115,$C132),SUMIFS('INPUT Growth'!AF$64:AF$115,'INPUT Growth'!$A$64:$A$115,$A$1,'INPUT Growth'!$F$64:$F$115,$B132,'INPUT Growth'!$E$64:$E$115,$C132))</f>
        <v>691.17207673125085</v>
      </c>
      <c r="K132" s="102">
        <f>IF($G$4="Water and sewer",SUMIFS('INPUT Growth'!AG$64:AG$115,'INPUT Growth'!$B$64:$B$115,$A$1,'INPUT Growth'!$F$64:$F$115,$B132,'INPUT Growth'!$E$64:$E$115,$C132),SUMIFS('INPUT Growth'!AG$64:AG$115,'INPUT Growth'!$A$64:$A$115,$A$1,'INPUT Growth'!$F$64:$F$115,$B132,'INPUT Growth'!$E$64:$E$115,$C132))</f>
        <v>756.94161678494129</v>
      </c>
      <c r="L132" s="102">
        <f>IF($G$4="Water and sewer",SUMIFS('INPUT Growth'!AH$64:AH$115,'INPUT Growth'!$B$64:$B$115,$A$1,'INPUT Growth'!$F$64:$F$115,$B132,'INPUT Growth'!$E$64:$E$115,$C132),SUMIFS('INPUT Growth'!AH$64:AH$115,'INPUT Growth'!$A$64:$A$115,$A$1,'INPUT Growth'!$F$64:$F$115,$B132,'INPUT Growth'!$E$64:$E$115,$C132))</f>
        <v>883.71641645321506</v>
      </c>
      <c r="M132" s="102">
        <f>IF($G$4="Water and sewer",SUMIFS('INPUT Growth'!AI$64:AI$115,'INPUT Growth'!$B$64:$B$115,$A$1,'INPUT Growth'!$F$64:$F$115,$B132,'INPUT Growth'!$E$64:$E$115,$C132),SUMIFS('INPUT Growth'!AI$64:AI$115,'INPUT Growth'!$A$64:$A$115,$A$1,'INPUT Growth'!$F$64:$F$115,$B132,'INPUT Growth'!$E$64:$E$115,$C132))</f>
        <v>893.13094966088829</v>
      </c>
      <c r="N132" s="102">
        <f>IF($G$4="Water and sewer",SUMIFS('INPUT Growth'!AJ$64:AJ$115,'INPUT Growth'!$B$64:$B$115,$A$1,'INPUT Growth'!$F$64:$F$115,$B132,'INPUT Growth'!$E$64:$E$115,$C132),SUMIFS('INPUT Growth'!AJ$64:AJ$115,'INPUT Growth'!$A$64:$A$115,$A$1,'INPUT Growth'!$F$64:$F$115,$B132,'INPUT Growth'!$E$64:$E$115,$C132))</f>
        <v>845.92926274734782</v>
      </c>
      <c r="O132" s="102">
        <f>IF($G$4="Water and sewer",SUMIFS('INPUT Growth'!AK$64:AK$115,'INPUT Growth'!$B$64:$B$115,$A$1,'INPUT Growth'!$F$64:$F$115,$B132,'INPUT Growth'!$E$64:$E$115,$C132),SUMIFS('INPUT Growth'!AK$64:AK$115,'INPUT Growth'!$A$64:$A$115,$A$1,'INPUT Growth'!$F$64:$F$115,$B132,'INPUT Growth'!$E$64:$E$115,$C132))</f>
        <v>731.45123569898715</v>
      </c>
      <c r="P132" s="102">
        <f>IF($G$4="Water and sewer",SUMIFS('INPUT Growth'!AL$64:AL$115,'INPUT Growth'!$B$64:$B$115,$A$1,'INPUT Growth'!$F$64:$F$115,$B132,'INPUT Growth'!$E$64:$E$115,$C132),SUMIFS('INPUT Growth'!AL$64:AL$115,'INPUT Growth'!$A$64:$A$115,$A$1,'INPUT Growth'!$F$64:$F$115,$B132,'INPUT Growth'!$E$64:$E$115,$C132))</f>
        <v>649.35518409479118</v>
      </c>
      <c r="Q132" s="102">
        <f>IF($G$4="Water and sewer",SUMIFS('INPUT Growth'!AM$64:AM$115,'INPUT Growth'!$B$64:$B$115,$A$1,'INPUT Growth'!$F$64:$F$115,$B132,'INPUT Growth'!$E$64:$E$115,$C132),SUMIFS('INPUT Growth'!AM$64:AM$115,'INPUT Growth'!$A$64:$A$115,$A$1,'INPUT Growth'!$F$64:$F$115,$B132,'INPUT Growth'!$E$64:$E$115,$C132))</f>
        <v>602.63854126013757</v>
      </c>
      <c r="R132" s="102">
        <f>IF($G$4="Water and sewer",SUMIFS('INPUT Growth'!AN$64:AN$115,'INPUT Growth'!$B$64:$B$115,$A$1,'INPUT Growth'!$F$64:$F$115,$B132,'INPUT Growth'!$E$64:$E$115,$C132),SUMIFS('INPUT Growth'!AN$64:AN$115,'INPUT Growth'!$A$64:$A$115,$A$1,'INPUT Growth'!$F$64:$F$115,$B132,'INPUT Growth'!$E$64:$E$115,$C132))</f>
        <v>623.50893499855738</v>
      </c>
      <c r="S132" s="102">
        <f>IF($G$4="Water and sewer",SUMIFS('INPUT Growth'!AO$64:AO$115,'INPUT Growth'!$B$64:$B$115,$A$1,'INPUT Growth'!$F$64:$F$115,$B132,'INPUT Growth'!$E$64:$E$115,$C132),SUMIFS('INPUT Growth'!AO$64:AO$115,'INPUT Growth'!$A$64:$A$115,$A$1,'INPUT Growth'!$F$64:$F$115,$B132,'INPUT Growth'!$E$64:$E$115,$C132))</f>
        <v>601.77966659538652</v>
      </c>
      <c r="T132" s="102">
        <f>IF($G$4="Water and sewer",SUMIFS('INPUT Growth'!AP$64:AP$115,'INPUT Growth'!$B$64:$B$115,$A$1,'INPUT Growth'!$F$64:$F$115,$B132,'INPUT Growth'!$E$64:$E$115,$C132),SUMIFS('INPUT Growth'!AP$64:AP$115,'INPUT Growth'!$A$64:$A$115,$A$1,'INPUT Growth'!$F$64:$F$115,$B132,'INPUT Growth'!$E$64:$E$115,$C132))</f>
        <v>567.96801216393942</v>
      </c>
      <c r="U132" s="102">
        <f>IF($G$4="Water and sewer",SUMIFS('INPUT Growth'!AQ$64:AQ$115,'INPUT Growth'!$B$64:$B$115,$A$1,'INPUT Growth'!$F$64:$F$115,$B132,'INPUT Growth'!$E$64:$E$115,$C132),SUMIFS('INPUT Growth'!AQ$64:AQ$115,'INPUT Growth'!$A$64:$A$115,$A$1,'INPUT Growth'!$F$64:$F$115,$B132,'INPUT Growth'!$E$64:$E$115,$C132))</f>
        <v>574.35191014196607</v>
      </c>
      <c r="V132" s="102">
        <f>IF($G$4="Water and sewer",SUMIFS('INPUT Growth'!AR$64:AR$115,'INPUT Growth'!$B$64:$B$115,$A$1,'INPUT Growth'!$F$64:$F$115,$B132,'INPUT Growth'!$E$64:$E$115,$C132),SUMIFS('INPUT Growth'!AR$64:AR$115,'INPUT Growth'!$A$64:$A$115,$A$1,'INPUT Growth'!$F$64:$F$115,$B132,'INPUT Growth'!$E$64:$E$115,$C132))</f>
        <v>579.9306364832737</v>
      </c>
      <c r="W132" s="102">
        <f>IF($G$4="Water and sewer",SUMIFS('INPUT Growth'!AS$64:AS$115,'INPUT Growth'!$B$64:$B$115,$A$1,'INPUT Growth'!$F$64:$F$115,$B132,'INPUT Growth'!$E$64:$E$115,$C132),SUMIFS('INPUT Growth'!AS$64:AS$115,'INPUT Growth'!$A$64:$A$115,$A$1,'INPUT Growth'!$F$64:$F$115,$B132,'INPUT Growth'!$E$64:$E$115,$C132))</f>
        <v>564.49229769782687</v>
      </c>
      <c r="X132" s="102">
        <f>IF($G$4="Water and sewer",SUMIFS('INPUT Growth'!AT$64:AT$115,'INPUT Growth'!$B$64:$B$115,$A$1,'INPUT Growth'!$F$64:$F$115,$B132,'INPUT Growth'!$E$64:$E$115,$C132),SUMIFS('INPUT Growth'!AT$64:AT$115,'INPUT Growth'!$A$64:$A$115,$A$1,'INPUT Growth'!$F$64:$F$115,$B132,'INPUT Growth'!$E$64:$E$115,$C132))</f>
        <v>611.78898107289569</v>
      </c>
      <c r="Y132" s="102">
        <f>IF($G$4="Water and sewer",SUMIFS('INPUT Growth'!AU$64:AU$115,'INPUT Growth'!$B$64:$B$115,$A$1,'INPUT Growth'!$F$64:$F$115,$B132,'INPUT Growth'!$E$64:$E$115,$C132),SUMIFS('INPUT Growth'!AU$64:AU$115,'INPUT Growth'!$A$64:$A$115,$A$1,'INPUT Growth'!$F$64:$F$115,$B132,'INPUT Growth'!$E$64:$E$115,$C132))</f>
        <v>647.44148078805301</v>
      </c>
      <c r="Z132" s="102">
        <f>IF($G$4="Water and sewer",SUMIFS('INPUT Growth'!AV$64:AV$115,'INPUT Growth'!$B$64:$B$115,$A$1,'INPUT Growth'!$F$64:$F$115,$B132,'INPUT Growth'!$E$64:$E$115,$C132),SUMIFS('INPUT Growth'!AV$64:AV$115,'INPUT Growth'!$A$64:$A$115,$A$1,'INPUT Growth'!$F$64:$F$115,$B132,'INPUT Growth'!$E$64:$E$115,$C132))</f>
        <v>721.61844094030675</v>
      </c>
      <c r="AA132" s="102">
        <f>IF($G$4="Water and sewer",SUMIFS('INPUT Growth'!AW$64:AW$115,'INPUT Growth'!$B$64:$B$115,$A$1,'INPUT Growth'!$F$64:$F$115,$B132,'INPUT Growth'!$E$64:$E$115,$C132),SUMIFS('INPUT Growth'!AW$64:AW$115,'INPUT Growth'!$A$64:$A$115,$A$1,'INPUT Growth'!$F$64:$F$115,$B132,'INPUT Growth'!$E$64:$E$115,$C132))</f>
        <v>863.87338186166744</v>
      </c>
    </row>
    <row r="133" spans="1:27" x14ac:dyDescent="0.25">
      <c r="C133" s="100"/>
      <c r="D133" s="100"/>
      <c r="E133" s="47" t="s">
        <v>656</v>
      </c>
      <c r="F133" s="47" t="s">
        <v>655</v>
      </c>
      <c r="H133" s="106">
        <f>G133+H132</f>
        <v>641.33743430731556</v>
      </c>
      <c r="I133" s="106">
        <f t="shared" ref="I133:AA133" si="56">H133+I132</f>
        <v>1410.1667640177475</v>
      </c>
      <c r="J133" s="106">
        <f t="shared" si="56"/>
        <v>2101.3388407489983</v>
      </c>
      <c r="K133" s="106">
        <f t="shared" si="56"/>
        <v>2858.2804575339396</v>
      </c>
      <c r="L133" s="106">
        <f t="shared" si="56"/>
        <v>3741.9968739871547</v>
      </c>
      <c r="M133" s="106">
        <f t="shared" si="56"/>
        <v>4635.127823648043</v>
      </c>
      <c r="N133" s="106">
        <f t="shared" si="56"/>
        <v>5481.0570863953908</v>
      </c>
      <c r="O133" s="106">
        <f t="shared" si="56"/>
        <v>6212.5083220943779</v>
      </c>
      <c r="P133" s="106">
        <f t="shared" si="56"/>
        <v>6861.8635061891691</v>
      </c>
      <c r="Q133" s="106">
        <f t="shared" si="56"/>
        <v>7464.5020474493067</v>
      </c>
      <c r="R133" s="106">
        <f t="shared" si="56"/>
        <v>8088.0109824478641</v>
      </c>
      <c r="S133" s="106">
        <f t="shared" si="56"/>
        <v>8689.7906490432506</v>
      </c>
      <c r="T133" s="106">
        <f t="shared" si="56"/>
        <v>9257.75866120719</v>
      </c>
      <c r="U133" s="106">
        <f t="shared" si="56"/>
        <v>9832.1105713491561</v>
      </c>
      <c r="V133" s="106">
        <f t="shared" si="56"/>
        <v>10412.04120783243</v>
      </c>
      <c r="W133" s="106">
        <f t="shared" si="56"/>
        <v>10976.533505530257</v>
      </c>
      <c r="X133" s="106">
        <f t="shared" si="56"/>
        <v>11588.322486603152</v>
      </c>
      <c r="Y133" s="106">
        <f t="shared" si="56"/>
        <v>12235.763967391205</v>
      </c>
      <c r="Z133" s="106">
        <f t="shared" si="56"/>
        <v>12957.382408331512</v>
      </c>
      <c r="AA133" s="106">
        <f t="shared" si="56"/>
        <v>13821.25579019318</v>
      </c>
    </row>
    <row r="134" spans="1:27" x14ac:dyDescent="0.25">
      <c r="A134" s="101">
        <v>26</v>
      </c>
      <c r="C134" s="100"/>
      <c r="D134" s="100"/>
      <c r="E134" s="47" t="s">
        <v>657</v>
      </c>
      <c r="F134" s="47" t="s">
        <v>655</v>
      </c>
      <c r="G134" s="102">
        <v>1</v>
      </c>
    </row>
    <row r="135" spans="1:27" x14ac:dyDescent="0.25">
      <c r="C135" s="100"/>
      <c r="D135" s="100"/>
      <c r="E135" s="47" t="s">
        <v>658</v>
      </c>
      <c r="F135" s="47" t="s">
        <v>655</v>
      </c>
      <c r="H135" s="47">
        <f>H132*$G134</f>
        <v>641.33743430731556</v>
      </c>
      <c r="I135" s="47">
        <f t="shared" ref="I135:AA135" si="57">I132*$G134</f>
        <v>768.82932971043192</v>
      </c>
      <c r="J135" s="47">
        <f t="shared" si="57"/>
        <v>691.17207673125085</v>
      </c>
      <c r="K135" s="47">
        <f t="shared" si="57"/>
        <v>756.94161678494129</v>
      </c>
      <c r="L135" s="47">
        <f t="shared" si="57"/>
        <v>883.71641645321506</v>
      </c>
      <c r="M135" s="47">
        <f t="shared" si="57"/>
        <v>893.13094966088829</v>
      </c>
      <c r="N135" s="47">
        <f t="shared" si="57"/>
        <v>845.92926274734782</v>
      </c>
      <c r="O135" s="47">
        <f t="shared" si="57"/>
        <v>731.45123569898715</v>
      </c>
      <c r="P135" s="47">
        <f t="shared" si="57"/>
        <v>649.35518409479118</v>
      </c>
      <c r="Q135" s="47">
        <f t="shared" si="57"/>
        <v>602.63854126013757</v>
      </c>
      <c r="R135" s="47">
        <f t="shared" si="57"/>
        <v>623.50893499855738</v>
      </c>
      <c r="S135" s="47">
        <f t="shared" si="57"/>
        <v>601.77966659538652</v>
      </c>
      <c r="T135" s="47">
        <f t="shared" si="57"/>
        <v>567.96801216393942</v>
      </c>
      <c r="U135" s="47">
        <f t="shared" si="57"/>
        <v>574.35191014196607</v>
      </c>
      <c r="V135" s="47">
        <f t="shared" si="57"/>
        <v>579.9306364832737</v>
      </c>
      <c r="W135" s="47">
        <f t="shared" si="57"/>
        <v>564.49229769782687</v>
      </c>
      <c r="X135" s="47">
        <f t="shared" si="57"/>
        <v>611.78898107289569</v>
      </c>
      <c r="Y135" s="47">
        <f t="shared" si="57"/>
        <v>647.44148078805301</v>
      </c>
      <c r="Z135" s="47">
        <f t="shared" si="57"/>
        <v>721.61844094030675</v>
      </c>
      <c r="AA135" s="47">
        <f t="shared" si="57"/>
        <v>863.87338186166744</v>
      </c>
    </row>
    <row r="136" spans="1:27" x14ac:dyDescent="0.25">
      <c r="C136" s="100"/>
      <c r="D136" s="100"/>
      <c r="E136" s="47" t="s">
        <v>659</v>
      </c>
      <c r="F136" s="47" t="s">
        <v>655</v>
      </c>
      <c r="H136" s="47">
        <f>H133*$G134</f>
        <v>641.33743430731556</v>
      </c>
      <c r="I136" s="47">
        <f t="shared" ref="I136:AA136" si="58">I133*$G134</f>
        <v>1410.1667640177475</v>
      </c>
      <c r="J136" s="47">
        <f t="shared" si="58"/>
        <v>2101.3388407489983</v>
      </c>
      <c r="K136" s="47">
        <f t="shared" si="58"/>
        <v>2858.2804575339396</v>
      </c>
      <c r="L136" s="47">
        <f t="shared" si="58"/>
        <v>3741.9968739871547</v>
      </c>
      <c r="M136" s="47">
        <f t="shared" si="58"/>
        <v>4635.127823648043</v>
      </c>
      <c r="N136" s="47">
        <f t="shared" si="58"/>
        <v>5481.0570863953908</v>
      </c>
      <c r="O136" s="47">
        <f t="shared" si="58"/>
        <v>6212.5083220943779</v>
      </c>
      <c r="P136" s="47">
        <f t="shared" si="58"/>
        <v>6861.8635061891691</v>
      </c>
      <c r="Q136" s="47">
        <f t="shared" si="58"/>
        <v>7464.5020474493067</v>
      </c>
      <c r="R136" s="47">
        <f t="shared" si="58"/>
        <v>8088.0109824478641</v>
      </c>
      <c r="S136" s="47">
        <f t="shared" si="58"/>
        <v>8689.7906490432506</v>
      </c>
      <c r="T136" s="47">
        <f t="shared" si="58"/>
        <v>9257.75866120719</v>
      </c>
      <c r="U136" s="47">
        <f t="shared" si="58"/>
        <v>9832.1105713491561</v>
      </c>
      <c r="V136" s="47">
        <f t="shared" si="58"/>
        <v>10412.04120783243</v>
      </c>
      <c r="W136" s="47">
        <f t="shared" si="58"/>
        <v>10976.533505530257</v>
      </c>
      <c r="X136" s="47">
        <f t="shared" si="58"/>
        <v>11588.322486603152</v>
      </c>
      <c r="Y136" s="47">
        <f t="shared" si="58"/>
        <v>12235.763967391205</v>
      </c>
      <c r="Z136" s="47">
        <f t="shared" si="58"/>
        <v>12957.382408331512</v>
      </c>
      <c r="AA136" s="47">
        <f t="shared" si="58"/>
        <v>13821.25579019318</v>
      </c>
    </row>
    <row r="137" spans="1:27" x14ac:dyDescent="0.25">
      <c r="A137" s="101">
        <v>27</v>
      </c>
      <c r="B137" s="47" t="str">
        <f>B132</f>
        <v>Western</v>
      </c>
      <c r="C137" s="47" t="str">
        <f>C132</f>
        <v>R</v>
      </c>
      <c r="D137" s="47" t="str">
        <f>D132</f>
        <v>Water and Sewer</v>
      </c>
      <c r="E137" s="47" t="s">
        <v>660</v>
      </c>
      <c r="F137" s="47" t="s">
        <v>661</v>
      </c>
      <c r="H137" s="102">
        <f>IF(OR($D137=W,$D137=WS),'INPUT Reg'!AD121,IF($D137=RW,'INPUT Reg'!AD125,0))</f>
        <v>150.8131004246452</v>
      </c>
      <c r="I137" s="102">
        <f>IF(OR($D137=W,$D137=WS),'INPUT Reg'!AE121,IF($D137=RW,'INPUT Reg'!AE125,0))</f>
        <v>149.27265598558674</v>
      </c>
      <c r="J137" s="102">
        <f>IF(OR($D137=W,$D137=WS),'INPUT Reg'!AF121,IF($D137=RW,'INPUT Reg'!AF125,0))</f>
        <v>148.88853768937167</v>
      </c>
      <c r="K137" s="102">
        <f>IF(OR($D137=W,$D137=WS),'INPUT Reg'!AG121,IF($D137=RW,'INPUT Reg'!AG125,0))</f>
        <v>148.68546175229565</v>
      </c>
      <c r="L137" s="102">
        <f>IF(OR($D137=W,$D137=WS),'INPUT Reg'!AH121,IF($D137=RW,'INPUT Reg'!AH125,0))</f>
        <v>148.00299604443001</v>
      </c>
      <c r="M137" s="102">
        <f>IF(OR($D137=W,$D137=WS),'INPUT Reg'!AI121,IF($D137=RW,'INPUT Reg'!AI125,0))</f>
        <v>147.39044968338055</v>
      </c>
      <c r="N137" s="102">
        <f>IF(OR($D137=W,$D137=WS),'INPUT Reg'!AJ121,IF($D137=RW,'INPUT Reg'!AJ125,0))</f>
        <v>146.65887160420652</v>
      </c>
      <c r="O137" s="102">
        <f>IF(OR($D137=W,$D137=WS),'INPUT Reg'!AK121,IF($D137=RW,'INPUT Reg'!AK125,0))</f>
        <v>146.20875280609891</v>
      </c>
      <c r="P137" s="102">
        <f>IF(OR($D137=W,$D137=WS),'INPUT Reg'!AL121,IF($D137=RW,'INPUT Reg'!AL125,0))</f>
        <v>145.13685322790656</v>
      </c>
      <c r="Q137" s="102">
        <f>IF(OR($D137=W,$D137=WS),'INPUT Reg'!AM121,IF($D137=RW,'INPUT Reg'!AM125,0))</f>
        <v>144.37596094683801</v>
      </c>
      <c r="R137" s="102">
        <f>IF(OR($D137=W,$D137=WS),'INPUT Reg'!AN121,IF($D137=RW,'INPUT Reg'!AN125,0))</f>
        <v>143.63593283603137</v>
      </c>
      <c r="S137" s="102">
        <f>IF(OR($D137=W,$D137=WS),'INPUT Reg'!AO121,IF($D137=RW,'INPUT Reg'!AO125,0))</f>
        <v>143.20256386257466</v>
      </c>
      <c r="T137" s="102">
        <f>IF(OR($D137=W,$D137=WS),'INPUT Reg'!AP121,IF($D137=RW,'INPUT Reg'!AP125,0))</f>
        <v>142.20398195315397</v>
      </c>
      <c r="U137" s="102">
        <f>IF(OR($D137=W,$D137=WS),'INPUT Reg'!AQ121,IF($D137=RW,'INPUT Reg'!AQ125,0))</f>
        <v>141.53353009691222</v>
      </c>
      <c r="V137" s="102">
        <f>IF(OR($D137=W,$D137=WS),'INPUT Reg'!AR121,IF($D137=RW,'INPUT Reg'!AR125,0))</f>
        <v>140.92450771160904</v>
      </c>
      <c r="W137" s="102">
        <f>IF(OR($D137=W,$D137=WS),'INPUT Reg'!AS121,IF($D137=RW,'INPUT Reg'!AS125,0))</f>
        <v>140.65986022385155</v>
      </c>
      <c r="X137" s="102">
        <f>IF(OR($D137=W,$D137=WS),'INPUT Reg'!AT121,IF($D137=RW,'INPUT Reg'!AT125,0))</f>
        <v>139.4281786131647</v>
      </c>
      <c r="Y137" s="102">
        <f>IF(OR($D137=W,$D137=WS),'INPUT Reg'!AU121,IF($D137=RW,'INPUT Reg'!AU125,0))</f>
        <v>138.89159006550341</v>
      </c>
      <c r="Z137" s="102">
        <f>IF(OR($D137=W,$D137=WS),'INPUT Reg'!AV121,IF($D137=RW,'INPUT Reg'!AV125,0))</f>
        <v>138.38242984277764</v>
      </c>
      <c r="AA137" s="102">
        <f>IF(OR($D137=W,$D137=WS),'INPUT Reg'!AW121,IF($D137=RW,'INPUT Reg'!AW125,0))</f>
        <v>138.38242984277764</v>
      </c>
    </row>
    <row r="138" spans="1:27" x14ac:dyDescent="0.25">
      <c r="B138" s="47" t="str">
        <f>B132</f>
        <v>Western</v>
      </c>
      <c r="C138" s="47" t="str">
        <f t="shared" ref="C138:D138" si="59">C132</f>
        <v>R</v>
      </c>
      <c r="D138" s="47" t="str">
        <f t="shared" si="59"/>
        <v>Water and Sewer</v>
      </c>
      <c r="E138" s="47" t="s">
        <v>662</v>
      </c>
      <c r="F138" s="47" t="s">
        <v>661</v>
      </c>
      <c r="H138" s="102">
        <f>IF(OR($D138=W,$D138=WS),'INPUT Reg'!AD122,0)</f>
        <v>6.9069868847918272</v>
      </c>
      <c r="I138" s="102">
        <f>IF(OR($D138=W,$D138=WS),'INPUT Reg'!AE122,0)</f>
        <v>5.0164414368564536</v>
      </c>
      <c r="J138" s="102">
        <f>IF(OR($D138=W,$D138=WS),'INPUT Reg'!AF122,0)</f>
        <v>4.5450235278652187</v>
      </c>
      <c r="K138" s="102">
        <f>IF(OR($D138=W,$D138=WS),'INPUT Reg'!AG122,0)</f>
        <v>4.2957939687264712</v>
      </c>
      <c r="L138" s="102">
        <f>IF(OR($D138=W,$D138=WS),'INPUT Reg'!AH122,0)</f>
        <v>3.4582224181640981</v>
      </c>
      <c r="M138" s="102">
        <f>IF(OR($D138=W,$D138=WS),'INPUT Reg'!AI122,0)</f>
        <v>2.9561798733522124</v>
      </c>
      <c r="N138" s="102">
        <f>IF(OR($D138=W,$D138=WS),'INPUT Reg'!AJ122,0)</f>
        <v>2.6635486416826026</v>
      </c>
      <c r="O138" s="102">
        <f>IF(OR($D138=W,$D138=WS),'INPUT Reg'!AK122,0)</f>
        <v>2.48350112243957</v>
      </c>
      <c r="P138" s="102">
        <f>IF(OR($D138=W,$D138=WS),'INPUT Reg'!AL122,0)</f>
        <v>2.0547412911626211</v>
      </c>
      <c r="Q138" s="102">
        <f>IF(OR($D138=W,$D138=WS),'INPUT Reg'!AM122,0)</f>
        <v>1.7503843787351911</v>
      </c>
      <c r="R138" s="102">
        <f>IF(OR($D138=W,$D138=WS),'INPUT Reg'!AN122,0)</f>
        <v>1.4543731344125419</v>
      </c>
      <c r="S138" s="102">
        <f>IF(OR($D138=W,$D138=WS),'INPUT Reg'!AO122,0)</f>
        <v>1.2810255450298698</v>
      </c>
      <c r="T138" s="102">
        <f>IF(OR($D138=W,$D138=WS),'INPUT Reg'!AP122,0)</f>
        <v>0.88159278126158824</v>
      </c>
      <c r="U138" s="102">
        <f>IF(OR($D138=W,$D138=WS),'INPUT Reg'!AQ122,0)</f>
        <v>0.61341203876487782</v>
      </c>
      <c r="V138" s="102">
        <f>IF(OR($D138=W,$D138=WS),'INPUT Reg'!AR122,0)</f>
        <v>0.369803084643614</v>
      </c>
      <c r="W138" s="102">
        <f>IF(OR($D138=W,$D138=WS),'INPUT Reg'!AS122,0)</f>
        <v>0.26394408954062243</v>
      </c>
      <c r="X138" s="102">
        <f>IF(OR($D138=W,$D138=WS),'INPUT Reg'!AT122,0)</f>
        <v>0</v>
      </c>
      <c r="Y138" s="102">
        <f>IF(OR($D138=W,$D138=WS),'INPUT Reg'!AU122,0)</f>
        <v>0</v>
      </c>
      <c r="Z138" s="102">
        <f>IF(OR($D138=W,$D138=WS),'INPUT Reg'!AV122,0)</f>
        <v>0</v>
      </c>
      <c r="AA138" s="102">
        <f>IF(OR($D138=W,$D138=WS),'INPUT Reg'!AW122,0)</f>
        <v>0</v>
      </c>
    </row>
    <row r="139" spans="1:27" x14ac:dyDescent="0.25">
      <c r="A139" s="101">
        <v>28</v>
      </c>
      <c r="B139" s="47" t="str">
        <f>B132</f>
        <v>Western</v>
      </c>
      <c r="C139" s="47" t="str">
        <f t="shared" ref="C139:D139" si="60">C132</f>
        <v>R</v>
      </c>
      <c r="D139" s="47" t="str">
        <f t="shared" si="60"/>
        <v>Water and Sewer</v>
      </c>
      <c r="E139" s="47" t="s">
        <v>663</v>
      </c>
      <c r="F139" s="47" t="s">
        <v>661</v>
      </c>
      <c r="H139" s="102">
        <f>IF(OR($D139=S,$D139=WS),'INPUT Reg'!AD124,0)</f>
        <v>115.94598888324484</v>
      </c>
      <c r="I139" s="102">
        <f>IF(OR($D139=S,$D139=WS),'INPUT Reg'!AE124,0)</f>
        <v>113.42373872423093</v>
      </c>
      <c r="J139" s="102">
        <f>IF(OR($D139=S,$D139=WS),'INPUT Reg'!AF124,0)</f>
        <v>112.79480176997063</v>
      </c>
      <c r="K139" s="102">
        <f>IF(OR($D139=S,$D139=WS),'INPUT Reg'!AG124,0)</f>
        <v>112.46229492870154</v>
      </c>
      <c r="L139" s="102">
        <f>IF(OR($D139=S,$D139=WS),'INPUT Reg'!AH124,0)</f>
        <v>111.34485817049055</v>
      </c>
      <c r="M139" s="102">
        <f>IF(OR($D139=S,$D139=WS),'INPUT Reg'!AI124,0)</f>
        <v>110.52548179876155</v>
      </c>
      <c r="N139" s="102">
        <f>IF(OR($D139=S,$D139=WS),'INPUT Reg'!AJ124,0)</f>
        <v>109.77254687845424</v>
      </c>
      <c r="O139" s="102">
        <f>IF(OR($D139=S,$D139=WS),'INPUT Reg'!AK124,0)</f>
        <v>109.30928783471062</v>
      </c>
      <c r="P139" s="102">
        <f>IF(OR($D139=S,$D139=WS),'INPUT Reg'!AL124,0)</f>
        <v>108.2060964646317</v>
      </c>
      <c r="Q139" s="102">
        <f>IF(OR($D139=S,$D139=WS),'INPUT Reg'!AM124,0)</f>
        <v>107.42299157765144</v>
      </c>
      <c r="R139" s="102">
        <f>IF(OR($D139=S,$D139=WS),'INPUT Reg'!AN124,0)</f>
        <v>106.66135994529793</v>
      </c>
      <c r="S139" s="102">
        <f>IF(OR($D139=S,$D139=WS),'INPUT Reg'!AO124,0)</f>
        <v>106.21533970114072</v>
      </c>
      <c r="T139" s="102">
        <f>IF(OR($D139=S,$D139=WS),'INPUT Reg'!AP124,0)</f>
        <v>105.18760635073897</v>
      </c>
      <c r="U139" s="102">
        <f>IF(OR($D139=S,$D139=WS),'INPUT Reg'!AQ124,0)</f>
        <v>104.497582101353</v>
      </c>
      <c r="V139" s="102">
        <f>IF(OR($D139=S,$D139=WS),'INPUT Reg'!AR124,0)</f>
        <v>103.87078062356498</v>
      </c>
      <c r="W139" s="102">
        <f>IF(OR($D139=S,$D139=WS),'INPUT Reg'!AS124,0)</f>
        <v>103.59840732428682</v>
      </c>
      <c r="X139" s="102">
        <f>IF(OR($D139=S,$D139=WS),'INPUT Reg'!AT124,0)</f>
        <v>102.49891642385481</v>
      </c>
      <c r="Y139" s="102">
        <f>IF(OR($D139=S,$D139=WS),'INPUT Reg'!AU124,0)</f>
        <v>102.10444993044013</v>
      </c>
      <c r="Z139" s="102">
        <f>IF(OR($D139=S,$D139=WS),'INPUT Reg'!AV124,0)</f>
        <v>101.7301470338907</v>
      </c>
      <c r="AA139" s="102">
        <f>IF(OR($D139=S,$D139=WS),'INPUT Reg'!AW124,0)</f>
        <v>101.7301470338907</v>
      </c>
    </row>
    <row r="140" spans="1:27" x14ac:dyDescent="0.25">
      <c r="C140" s="100"/>
      <c r="D140" s="100"/>
      <c r="E140" s="47" t="s">
        <v>664</v>
      </c>
      <c r="F140" s="47" t="s">
        <v>665</v>
      </c>
      <c r="H140" s="106">
        <f>H133*H137</f>
        <v>96722.086886273479</v>
      </c>
      <c r="I140" s="106">
        <f t="shared" ref="I140:AA140" si="61">I133*I137</f>
        <v>210499.33824752929</v>
      </c>
      <c r="J140" s="106">
        <f t="shared" si="61"/>
        <v>312865.26718899782</v>
      </c>
      <c r="K140" s="106">
        <f t="shared" si="61"/>
        <v>424984.74964599672</v>
      </c>
      <c r="L140" s="106">
        <f t="shared" si="61"/>
        <v>553826.74853899027</v>
      </c>
      <c r="M140" s="106">
        <f t="shared" si="61"/>
        <v>683173.57426743407</v>
      </c>
      <c r="N140" s="106">
        <f t="shared" si="61"/>
        <v>803845.64748898789</v>
      </c>
      <c r="O140" s="106">
        <f t="shared" si="61"/>
        <v>908323.09357092925</v>
      </c>
      <c r="P140" s="106">
        <f t="shared" si="61"/>
        <v>995909.27656770567</v>
      </c>
      <c r="Q140" s="106">
        <f t="shared" si="61"/>
        <v>1077694.6560901334</v>
      </c>
      <c r="R140" s="106">
        <f t="shared" si="61"/>
        <v>1161729.0022519655</v>
      </c>
      <c r="S140" s="106">
        <f t="shared" si="61"/>
        <v>1244400.3003720203</v>
      </c>
      <c r="T140" s="106">
        <f t="shared" si="61"/>
        <v>1316490.1455849621</v>
      </c>
      <c r="U140" s="106">
        <f t="shared" si="61"/>
        <v>1391573.3174662145</v>
      </c>
      <c r="V140" s="106">
        <f t="shared" si="61"/>
        <v>1467311.7814867722</v>
      </c>
      <c r="W140" s="106">
        <f t="shared" si="61"/>
        <v>1543957.6686303092</v>
      </c>
      <c r="X140" s="106">
        <f t="shared" si="61"/>
        <v>1615738.6974890572</v>
      </c>
      <c r="Y140" s="106">
        <f t="shared" si="61"/>
        <v>1699444.713097157</v>
      </c>
      <c r="Z140" s="106">
        <f t="shared" si="61"/>
        <v>1793074.0620669767</v>
      </c>
      <c r="AA140" s="106">
        <f t="shared" si="61"/>
        <v>1912618.9597254919</v>
      </c>
    </row>
    <row r="141" spans="1:27" x14ac:dyDescent="0.25">
      <c r="C141" s="100"/>
      <c r="D141" s="100"/>
      <c r="E141" s="47" t="s">
        <v>666</v>
      </c>
      <c r="F141" s="47" t="s">
        <v>665</v>
      </c>
      <c r="H141" s="106">
        <f>H133*H138</f>
        <v>4429.7092474866686</v>
      </c>
      <c r="I141" s="106">
        <f t="shared" ref="I141:AA141" si="62">I133*I138</f>
        <v>7074.0189878964047</v>
      </c>
      <c r="J141" s="106">
        <f t="shared" si="62"/>
        <v>9550.6344712212212</v>
      </c>
      <c r="K141" s="106">
        <f t="shared" si="62"/>
        <v>12278.583950403037</v>
      </c>
      <c r="L141" s="106">
        <f t="shared" si="62"/>
        <v>12940.657478322355</v>
      </c>
      <c r="M141" s="106">
        <f t="shared" si="62"/>
        <v>13702.271582683188</v>
      </c>
      <c r="N141" s="106">
        <f t="shared" si="62"/>
        <v>14599.062157453247</v>
      </c>
      <c r="O141" s="106">
        <f t="shared" si="62"/>
        <v>15428.771391086557</v>
      </c>
      <c r="P141" s="106">
        <f t="shared" si="62"/>
        <v>14099.354280488804</v>
      </c>
      <c r="Q141" s="106">
        <f t="shared" si="62"/>
        <v>13065.747778892117</v>
      </c>
      <c r="R141" s="106">
        <f t="shared" si="62"/>
        <v>11762.985883705762</v>
      </c>
      <c r="S141" s="106">
        <f t="shared" si="62"/>
        <v>11131.843802386096</v>
      </c>
      <c r="T141" s="106">
        <f t="shared" si="62"/>
        <v>8161.5732063822043</v>
      </c>
      <c r="U141" s="106">
        <f t="shared" si="62"/>
        <v>6031.1349909329938</v>
      </c>
      <c r="V141" s="106">
        <f t="shared" si="62"/>
        <v>3850.4049560928529</v>
      </c>
      <c r="W141" s="106">
        <f t="shared" si="62"/>
        <v>2897.1911424293203</v>
      </c>
      <c r="X141" s="106">
        <f t="shared" si="62"/>
        <v>0</v>
      </c>
      <c r="Y141" s="106">
        <f t="shared" si="62"/>
        <v>0</v>
      </c>
      <c r="Z141" s="106">
        <f t="shared" si="62"/>
        <v>0</v>
      </c>
      <c r="AA141" s="106">
        <f t="shared" si="62"/>
        <v>0</v>
      </c>
    </row>
    <row r="142" spans="1:27" x14ac:dyDescent="0.25">
      <c r="C142" s="100"/>
      <c r="D142" s="100"/>
      <c r="E142" s="47" t="s">
        <v>667</v>
      </c>
      <c r="F142" s="47" t="s">
        <v>665</v>
      </c>
      <c r="H142" s="106">
        <f>H133*H139</f>
        <v>74360.503028604769</v>
      </c>
      <c r="I142" s="106">
        <f t="shared" ref="I142:AA142" si="63">I133*I139</f>
        <v>159946.38659954321</v>
      </c>
      <c r="J142" s="106">
        <f t="shared" si="63"/>
        <v>237020.09799382315</v>
      </c>
      <c r="K142" s="106">
        <f t="shared" si="63"/>
        <v>321448.77980412589</v>
      </c>
      <c r="L142" s="106">
        <f t="shared" si="63"/>
        <v>416652.11120851873</v>
      </c>
      <c r="M142" s="106">
        <f t="shared" si="63"/>
        <v>512299.73590754502</v>
      </c>
      <c r="N142" s="106">
        <f t="shared" si="63"/>
        <v>601669.59595982183</v>
      </c>
      <c r="O142" s="106">
        <f t="shared" si="63"/>
        <v>679084.86035534949</v>
      </c>
      <c r="P142" s="106">
        <f t="shared" si="63"/>
        <v>742495.46447784116</v>
      </c>
      <c r="Q142" s="106">
        <f t="shared" si="63"/>
        <v>801859.14057450881</v>
      </c>
      <c r="R142" s="106">
        <f t="shared" si="63"/>
        <v>862678.2506403944</v>
      </c>
      <c r="S142" s="106">
        <f t="shared" si="63"/>
        <v>922989.06571992498</v>
      </c>
      <c r="T142" s="106">
        <f t="shared" si="63"/>
        <v>973801.47374520614</v>
      </c>
      <c r="U142" s="106">
        <f t="shared" si="63"/>
        <v>1027431.7816591392</v>
      </c>
      <c r="V142" s="106">
        <f t="shared" si="63"/>
        <v>1081506.8481422809</v>
      </c>
      <c r="W142" s="106">
        <f t="shared" si="63"/>
        <v>1137151.3891146055</v>
      </c>
      <c r="X142" s="106">
        <f t="shared" si="63"/>
        <v>1187790.4980470138</v>
      </c>
      <c r="Y142" s="106">
        <f t="shared" si="63"/>
        <v>1249325.9493691789</v>
      </c>
      <c r="Z142" s="106">
        <f t="shared" si="63"/>
        <v>1318156.4175739135</v>
      </c>
      <c r="AA142" s="106">
        <f t="shared" si="63"/>
        <v>1406038.3837293654</v>
      </c>
    </row>
    <row r="143" spans="1:27" x14ac:dyDescent="0.25">
      <c r="A143" s="101">
        <v>29</v>
      </c>
      <c r="B143" s="47" t="str">
        <f>B137</f>
        <v>Western</v>
      </c>
      <c r="C143" s="47" t="str">
        <f t="shared" ref="C143:D143" si="64">C137</f>
        <v>R</v>
      </c>
      <c r="D143" s="47" t="str">
        <f t="shared" si="64"/>
        <v>Water and Sewer</v>
      </c>
      <c r="E143" s="47" t="s">
        <v>668</v>
      </c>
      <c r="F143" s="47" t="s">
        <v>633</v>
      </c>
      <c r="H143" s="105">
        <f>SUMIFS('INPUT Reg'!AD$94:AD$109,'INPUT Reg'!$D$94:$D$109,$D143,'INPUT Reg'!$C$94:$C$109,$C143,'INPUT Reg'!$B$94:$B$109,$B143)</f>
        <v>-6.1572236579658934E-3</v>
      </c>
      <c r="I143" s="105">
        <f>SUMIFS('INPUT Reg'!AE$94:AE$109,'INPUT Reg'!$D$94:$D$109,$D143,'INPUT Reg'!$C$94:$C$109,$C143,'INPUT Reg'!$B$94:$B$109,$B143)</f>
        <v>-1.1730970702711452E-2</v>
      </c>
      <c r="J143" s="105">
        <f>SUMIFS('INPUT Reg'!AF$94:AF$109,'INPUT Reg'!$D$94:$D$109,$D143,'INPUT Reg'!$C$94:$C$109,$C143,'INPUT Reg'!$B$94:$B$109,$B143)</f>
        <v>-1.1870219904647539E-2</v>
      </c>
      <c r="K143" s="105">
        <f>SUMIFS('INPUT Reg'!AG$94:AG$109,'INPUT Reg'!$D$94:$D$109,$D143,'INPUT Reg'!$C$94:$C$109,$C143,'INPUT Reg'!$B$94:$B$109,$B143)</f>
        <v>-1.201281465629167E-2</v>
      </c>
      <c r="L143" s="105">
        <f>SUMIFS('INPUT Reg'!AH$94:AH$109,'INPUT Reg'!$D$94:$D$109,$D143,'INPUT Reg'!$C$94:$C$109,$C143,'INPUT Reg'!$B$94:$B$109,$B143)</f>
        <v>-1.1453695181381396E-2</v>
      </c>
      <c r="M143" s="105">
        <f>SUMIFS('INPUT Reg'!AI$94:AI$109,'INPUT Reg'!$D$94:$D$109,$D143,'INPUT Reg'!$C$94:$C$109,$C143,'INPUT Reg'!$B$94:$B$109,$B143)</f>
        <v>-1.1586402301592691E-2</v>
      </c>
      <c r="N143" s="105">
        <f>SUMIFS('INPUT Reg'!AJ$94:AJ$109,'INPUT Reg'!$D$94:$D$109,$D143,'INPUT Reg'!$C$94:$C$109,$C143,'INPUT Reg'!$B$94:$B$109,$B143)</f>
        <v>-1.1722220666098182E-2</v>
      </c>
      <c r="O143" s="105">
        <f>SUMIFS('INPUT Reg'!AK$94:AK$109,'INPUT Reg'!$D$94:$D$109,$D143,'INPUT Reg'!$C$94:$C$109,$C143,'INPUT Reg'!$B$94:$B$109,$B143)</f>
        <v>-1.1861260984739497E-2</v>
      </c>
      <c r="P143" s="105">
        <f>SUMIFS('INPUT Reg'!AL$94:AL$109,'INPUT Reg'!$D$94:$D$109,$D143,'INPUT Reg'!$C$94:$C$109,$C143,'INPUT Reg'!$B$94:$B$109,$B143)</f>
        <v>-1.0378723836744985E-2</v>
      </c>
      <c r="Q143" s="105">
        <f>SUMIFS('INPUT Reg'!AM$94:AM$109,'INPUT Reg'!$D$94:$D$109,$D143,'INPUT Reg'!$C$94:$C$109,$C143,'INPUT Reg'!$B$94:$B$109,$B143)</f>
        <v>-5.7079302064332205E-2</v>
      </c>
      <c r="R143" s="105">
        <f>SUMIFS('INPUT Reg'!AN$94:AN$109,'INPUT Reg'!$D$94:$D$109,$D143,'INPUT Reg'!$C$94:$C$109,$C143,'INPUT Reg'!$B$94:$B$109,$B143)</f>
        <v>0</v>
      </c>
      <c r="S143" s="105">
        <f>SUMIFS('INPUT Reg'!AO$94:AO$109,'INPUT Reg'!$D$94:$D$109,$D143,'INPUT Reg'!$C$94:$C$109,$C143,'INPUT Reg'!$B$94:$B$109,$B143)</f>
        <v>0</v>
      </c>
      <c r="T143" s="105">
        <f>SUMIFS('INPUT Reg'!AP$94:AP$109,'INPUT Reg'!$D$94:$D$109,$D143,'INPUT Reg'!$C$94:$C$109,$C143,'INPUT Reg'!$B$94:$B$109,$B143)</f>
        <v>0</v>
      </c>
      <c r="U143" s="105">
        <f>SUMIFS('INPUT Reg'!AQ$94:AQ$109,'INPUT Reg'!$D$94:$D$109,$D143,'INPUT Reg'!$C$94:$C$109,$C143,'INPUT Reg'!$B$94:$B$109,$B143)</f>
        <v>0</v>
      </c>
      <c r="V143" s="105">
        <f>SUMIFS('INPUT Reg'!AR$94:AR$109,'INPUT Reg'!$D$94:$D$109,$D143,'INPUT Reg'!$C$94:$C$109,$C143,'INPUT Reg'!$B$94:$B$109,$B143)</f>
        <v>-8.7932090338180724E-2</v>
      </c>
      <c r="W143" s="105">
        <f>SUMIFS('INPUT Reg'!AS$94:AS$109,'INPUT Reg'!$D$94:$D$109,$D143,'INPUT Reg'!$C$94:$C$109,$C143,'INPUT Reg'!$B$94:$B$109,$B143)</f>
        <v>0</v>
      </c>
      <c r="X143" s="105">
        <f>SUMIFS('INPUT Reg'!AT$94:AT$109,'INPUT Reg'!$D$94:$D$109,$D143,'INPUT Reg'!$C$94:$C$109,$C143,'INPUT Reg'!$B$94:$B$109,$B143)</f>
        <v>0</v>
      </c>
      <c r="Y143" s="105">
        <f>SUMIFS('INPUT Reg'!AU$94:AU$109,'INPUT Reg'!$D$94:$D$109,$D143,'INPUT Reg'!$C$94:$C$109,$C143,'INPUT Reg'!$B$94:$B$109,$B143)</f>
        <v>0</v>
      </c>
      <c r="Z143" s="105">
        <f>SUMIFS('INPUT Reg'!AV$94:AV$109,'INPUT Reg'!$D$94:$D$109,$D143,'INPUT Reg'!$C$94:$C$109,$C143,'INPUT Reg'!$B$94:$B$109,$B143)</f>
        <v>0</v>
      </c>
      <c r="AA143" s="105">
        <f>SUMIFS('INPUT Reg'!AW$94:AW$109,'INPUT Reg'!$D$94:$D$109,$D143,'INPUT Reg'!$C$94:$C$109,$C143,'INPUT Reg'!$B$94:$B$109,$B143)</f>
        <v>0</v>
      </c>
    </row>
    <row r="144" spans="1:27" x14ac:dyDescent="0.25">
      <c r="A144" s="101">
        <v>30</v>
      </c>
      <c r="B144" s="47" t="str">
        <f>B132</f>
        <v>Western</v>
      </c>
      <c r="C144" s="47" t="str">
        <f t="shared" ref="C144:D144" si="65">C132</f>
        <v>R</v>
      </c>
      <c r="D144" s="47" t="str">
        <f t="shared" si="65"/>
        <v>Water and Sewer</v>
      </c>
      <c r="E144" s="47" t="s">
        <v>669</v>
      </c>
      <c r="F144" s="47" t="s">
        <v>670</v>
      </c>
      <c r="G144" s="108">
        <f>IF(D144=W,WW_R_W_N,IF(D144=S,WW_R_S_N,IF(D144=WS,WW_R_W_N+WW_R_S_N,WW_R_R_N)))</f>
        <v>750.91449999999998</v>
      </c>
      <c r="H144" s="106">
        <f>G144*(1+$G$14)*(1+H143)</f>
        <v>746.29095147549037</v>
      </c>
      <c r="I144" s="106">
        <f t="shared" ref="I144:AA144" si="66">H144*(1+$G$14)*(1+I143)</f>
        <v>737.53623418803272</v>
      </c>
      <c r="J144" s="106">
        <f t="shared" si="66"/>
        <v>728.78151690057518</v>
      </c>
      <c r="K144" s="106">
        <f t="shared" si="66"/>
        <v>720.02679961311753</v>
      </c>
      <c r="L144" s="106">
        <f t="shared" si="66"/>
        <v>711.77983212792333</v>
      </c>
      <c r="M144" s="106">
        <f t="shared" si="66"/>
        <v>703.53286464272912</v>
      </c>
      <c r="N144" s="106">
        <f t="shared" si="66"/>
        <v>695.28589715753492</v>
      </c>
      <c r="O144" s="106">
        <f t="shared" si="66"/>
        <v>687.0389296723406</v>
      </c>
      <c r="P144" s="106">
        <f t="shared" si="66"/>
        <v>679.90834235617854</v>
      </c>
      <c r="Q144" s="106">
        <f t="shared" si="66"/>
        <v>641.09964870677084</v>
      </c>
      <c r="R144" s="106">
        <f t="shared" si="66"/>
        <v>641.09964870677084</v>
      </c>
      <c r="S144" s="106">
        <f t="shared" si="66"/>
        <v>641.09964870677084</v>
      </c>
      <c r="T144" s="106">
        <f t="shared" si="66"/>
        <v>641.09964870677084</v>
      </c>
      <c r="U144" s="106">
        <f t="shared" si="66"/>
        <v>641.09964870677084</v>
      </c>
      <c r="V144" s="106">
        <f t="shared" si="66"/>
        <v>584.7264164809111</v>
      </c>
      <c r="W144" s="106">
        <f t="shared" si="66"/>
        <v>584.7264164809111</v>
      </c>
      <c r="X144" s="106">
        <f t="shared" si="66"/>
        <v>584.7264164809111</v>
      </c>
      <c r="Y144" s="106">
        <f t="shared" si="66"/>
        <v>584.7264164809111</v>
      </c>
      <c r="Z144" s="106">
        <f t="shared" si="66"/>
        <v>584.7264164809111</v>
      </c>
      <c r="AA144" s="106">
        <f t="shared" si="66"/>
        <v>584.7264164809111</v>
      </c>
    </row>
    <row r="145" spans="1:27" x14ac:dyDescent="0.25">
      <c r="B145" s="47" t="str">
        <f>B132</f>
        <v>Western</v>
      </c>
      <c r="C145" s="47" t="str">
        <f t="shared" ref="C145:D145" si="67">C132</f>
        <v>R</v>
      </c>
      <c r="D145" s="47" t="str">
        <f t="shared" si="67"/>
        <v>Water and Sewer</v>
      </c>
      <c r="E145" s="47" t="s">
        <v>671</v>
      </c>
      <c r="F145" s="47" t="s">
        <v>672</v>
      </c>
      <c r="G145" s="109">
        <f>IF(OR(D145=W,D145=WS),WW_T1,IF(D145=RW,WW_R_R_V,0))</f>
        <v>2.3071000000000002</v>
      </c>
      <c r="H145" s="110">
        <f>G145*(1+$G$14)*(1+H143)</f>
        <v>2.2928946692987071</v>
      </c>
      <c r="I145" s="110">
        <f t="shared" ref="I145:AA145" si="68">H145*(1+$G$14)*(1+I143)</f>
        <v>2.2659967891087609</v>
      </c>
      <c r="J145" s="110">
        <f t="shared" si="68"/>
        <v>2.2390989089188147</v>
      </c>
      <c r="K145" s="110">
        <f t="shared" si="68"/>
        <v>2.212201028728868</v>
      </c>
      <c r="L145" s="110">
        <f t="shared" si="68"/>
        <v>2.186863152465869</v>
      </c>
      <c r="M145" s="110">
        <f t="shared" si="68"/>
        <v>2.16152527620287</v>
      </c>
      <c r="N145" s="110">
        <f t="shared" si="68"/>
        <v>2.1361873999398711</v>
      </c>
      <c r="O145" s="110">
        <f t="shared" si="68"/>
        <v>2.1108495236768721</v>
      </c>
      <c r="P145" s="110">
        <f t="shared" si="68"/>
        <v>2.0889415994097051</v>
      </c>
      <c r="Q145" s="110">
        <f t="shared" si="68"/>
        <v>1.9697062708622493</v>
      </c>
      <c r="R145" s="110">
        <f t="shared" si="68"/>
        <v>1.9697062708622493</v>
      </c>
      <c r="S145" s="110">
        <f t="shared" si="68"/>
        <v>1.9697062708622493</v>
      </c>
      <c r="T145" s="110">
        <f t="shared" si="68"/>
        <v>1.9697062708622493</v>
      </c>
      <c r="U145" s="110">
        <f t="shared" si="68"/>
        <v>1.9697062708622493</v>
      </c>
      <c r="V145" s="110">
        <f t="shared" si="68"/>
        <v>1.7965058811131089</v>
      </c>
      <c r="W145" s="110">
        <f t="shared" si="68"/>
        <v>1.7965058811131089</v>
      </c>
      <c r="X145" s="110">
        <f t="shared" si="68"/>
        <v>1.7965058811131089</v>
      </c>
      <c r="Y145" s="110">
        <f t="shared" si="68"/>
        <v>1.7965058811131089</v>
      </c>
      <c r="Z145" s="110">
        <f t="shared" si="68"/>
        <v>1.7965058811131089</v>
      </c>
      <c r="AA145" s="110">
        <f t="shared" si="68"/>
        <v>1.7965058811131089</v>
      </c>
    </row>
    <row r="146" spans="1:27" x14ac:dyDescent="0.25">
      <c r="B146" s="47" t="str">
        <f>B132</f>
        <v>Western</v>
      </c>
      <c r="C146" s="47" t="str">
        <f t="shared" ref="C146:D146" si="69">C132</f>
        <v>R</v>
      </c>
      <c r="D146" s="47" t="str">
        <f t="shared" si="69"/>
        <v>Water and Sewer</v>
      </c>
      <c r="E146" s="47" t="s">
        <v>673</v>
      </c>
      <c r="F146" s="47" t="s">
        <v>672</v>
      </c>
      <c r="G146" s="109">
        <f>IF(OR(D146=W,D146=WS),WW_T2,0)</f>
        <v>3.0611000000000002</v>
      </c>
      <c r="H146" s="110">
        <f>G146*(1+$G$14)*(1+H143)</f>
        <v>3.0422521226606007</v>
      </c>
      <c r="I146" s="110">
        <f t="shared" ref="I146:AA146" si="70">H146*(1+$G$14)*(1+I143)</f>
        <v>3.0065635521394074</v>
      </c>
      <c r="J146" s="110">
        <f t="shared" si="70"/>
        <v>2.9708749816182145</v>
      </c>
      <c r="K146" s="110">
        <f t="shared" si="70"/>
        <v>2.9351864110970212</v>
      </c>
      <c r="L146" s="110">
        <f t="shared" si="70"/>
        <v>2.9015676806437831</v>
      </c>
      <c r="M146" s="110">
        <f t="shared" si="70"/>
        <v>2.8679489501905451</v>
      </c>
      <c r="N146" s="110">
        <f t="shared" si="70"/>
        <v>2.834330219737307</v>
      </c>
      <c r="O146" s="110">
        <f t="shared" si="70"/>
        <v>2.800711489284069</v>
      </c>
      <c r="P146" s="110">
        <f t="shared" si="70"/>
        <v>2.771643678190391</v>
      </c>
      <c r="Q146" s="110">
        <f t="shared" si="70"/>
        <v>2.613440191468265</v>
      </c>
      <c r="R146" s="110">
        <f t="shared" si="70"/>
        <v>2.613440191468265</v>
      </c>
      <c r="S146" s="110">
        <f t="shared" si="70"/>
        <v>2.613440191468265</v>
      </c>
      <c r="T146" s="110">
        <f t="shared" si="70"/>
        <v>2.613440191468265</v>
      </c>
      <c r="U146" s="110">
        <f t="shared" si="70"/>
        <v>2.613440191468265</v>
      </c>
      <c r="V146" s="110">
        <f t="shared" si="70"/>
        <v>2.3836349324586452</v>
      </c>
      <c r="W146" s="110">
        <f t="shared" si="70"/>
        <v>2.3836349324586452</v>
      </c>
      <c r="X146" s="110">
        <f t="shared" si="70"/>
        <v>2.3836349324586452</v>
      </c>
      <c r="Y146" s="110">
        <f t="shared" si="70"/>
        <v>2.3836349324586452</v>
      </c>
      <c r="Z146" s="110">
        <f t="shared" si="70"/>
        <v>2.3836349324586452</v>
      </c>
      <c r="AA146" s="110">
        <f t="shared" si="70"/>
        <v>2.3836349324586452</v>
      </c>
    </row>
    <row r="147" spans="1:27" x14ac:dyDescent="0.25">
      <c r="B147" s="47" t="str">
        <f>B132</f>
        <v>Western</v>
      </c>
      <c r="C147" s="47" t="str">
        <f t="shared" ref="C147:D147" si="71">C132</f>
        <v>R</v>
      </c>
      <c r="D147" s="47" t="str">
        <f t="shared" si="71"/>
        <v>Water and Sewer</v>
      </c>
      <c r="E147" s="47" t="s">
        <v>674</v>
      </c>
      <c r="F147" s="47" t="s">
        <v>672</v>
      </c>
      <c r="G147" s="109">
        <f>IF(OR(D147=S,D147=WS), WW_R_SDC,0)</f>
        <v>0</v>
      </c>
      <c r="H147" s="110">
        <f>G147*(1+$G$14)*(1+H143)</f>
        <v>0</v>
      </c>
      <c r="I147" s="110">
        <f t="shared" ref="I147:AA147" si="72">H147*(1+$G$14)*(1+I143)</f>
        <v>0</v>
      </c>
      <c r="J147" s="110">
        <f t="shared" si="72"/>
        <v>0</v>
      </c>
      <c r="K147" s="110">
        <f t="shared" si="72"/>
        <v>0</v>
      </c>
      <c r="L147" s="110">
        <f t="shared" si="72"/>
        <v>0</v>
      </c>
      <c r="M147" s="110">
        <f t="shared" si="72"/>
        <v>0</v>
      </c>
      <c r="N147" s="110">
        <f t="shared" si="72"/>
        <v>0</v>
      </c>
      <c r="O147" s="110">
        <f t="shared" si="72"/>
        <v>0</v>
      </c>
      <c r="P147" s="110">
        <f t="shared" si="72"/>
        <v>0</v>
      </c>
      <c r="Q147" s="110">
        <f t="shared" si="72"/>
        <v>0</v>
      </c>
      <c r="R147" s="110">
        <f t="shared" si="72"/>
        <v>0</v>
      </c>
      <c r="S147" s="110">
        <f t="shared" si="72"/>
        <v>0</v>
      </c>
      <c r="T147" s="110">
        <f t="shared" si="72"/>
        <v>0</v>
      </c>
      <c r="U147" s="110">
        <f t="shared" si="72"/>
        <v>0</v>
      </c>
      <c r="V147" s="110">
        <f t="shared" si="72"/>
        <v>0</v>
      </c>
      <c r="W147" s="110">
        <f t="shared" si="72"/>
        <v>0</v>
      </c>
      <c r="X147" s="110">
        <f t="shared" si="72"/>
        <v>0</v>
      </c>
      <c r="Y147" s="110">
        <f t="shared" si="72"/>
        <v>0</v>
      </c>
      <c r="Z147" s="110">
        <f t="shared" si="72"/>
        <v>0</v>
      </c>
      <c r="AA147" s="110">
        <f t="shared" si="72"/>
        <v>0</v>
      </c>
    </row>
    <row r="148" spans="1:27" x14ac:dyDescent="0.25">
      <c r="C148" s="100"/>
      <c r="D148" s="100"/>
    </row>
    <row r="149" spans="1:27" x14ac:dyDescent="0.25">
      <c r="C149" s="100"/>
      <c r="D149" s="100"/>
      <c r="E149" s="47" t="s">
        <v>682</v>
      </c>
      <c r="F149" s="47" t="s">
        <v>676</v>
      </c>
      <c r="H149" s="106">
        <f>SUM(H140:H142)/1000</f>
        <v>175.51229916236491</v>
      </c>
      <c r="I149" s="106">
        <f t="shared" ref="I149:AA149" si="73">SUM(I140:I142)/1000</f>
        <v>377.51974383496889</v>
      </c>
      <c r="J149" s="106">
        <f t="shared" si="73"/>
        <v>559.43599965404223</v>
      </c>
      <c r="K149" s="106">
        <f t="shared" si="73"/>
        <v>758.7121134005256</v>
      </c>
      <c r="L149" s="106">
        <f t="shared" si="73"/>
        <v>983.41951722583144</v>
      </c>
      <c r="M149" s="106">
        <f t="shared" si="73"/>
        <v>1209.1755817576623</v>
      </c>
      <c r="N149" s="106">
        <f t="shared" si="73"/>
        <v>1420.1143056062631</v>
      </c>
      <c r="O149" s="106">
        <f t="shared" si="73"/>
        <v>1602.8367253173653</v>
      </c>
      <c r="P149" s="106">
        <f t="shared" si="73"/>
        <v>1752.5040953260357</v>
      </c>
      <c r="Q149" s="106">
        <f t="shared" si="73"/>
        <v>1892.6195444435343</v>
      </c>
      <c r="R149" s="106">
        <f t="shared" si="73"/>
        <v>2036.1702387760656</v>
      </c>
      <c r="S149" s="106">
        <f t="shared" si="73"/>
        <v>2178.5212098943316</v>
      </c>
      <c r="T149" s="106">
        <f t="shared" si="73"/>
        <v>2298.4531925365504</v>
      </c>
      <c r="U149" s="106">
        <f t="shared" si="73"/>
        <v>2425.0362341162863</v>
      </c>
      <c r="V149" s="106">
        <f t="shared" si="73"/>
        <v>2552.6690345851462</v>
      </c>
      <c r="W149" s="106">
        <f t="shared" si="73"/>
        <v>2684.0062488873441</v>
      </c>
      <c r="X149" s="106">
        <f t="shared" si="73"/>
        <v>2803.5291955360708</v>
      </c>
      <c r="Y149" s="106">
        <f t="shared" si="73"/>
        <v>2948.770662466336</v>
      </c>
      <c r="Z149" s="106">
        <f t="shared" si="73"/>
        <v>3111.2304796408898</v>
      </c>
      <c r="AA149" s="106">
        <f t="shared" si="73"/>
        <v>3318.6573434548573</v>
      </c>
    </row>
    <row r="150" spans="1:27" x14ac:dyDescent="0.25">
      <c r="C150" s="100"/>
      <c r="D150" s="100"/>
      <c r="E150" s="47" t="s">
        <v>683</v>
      </c>
      <c r="F150" s="47" t="s">
        <v>639</v>
      </c>
      <c r="H150" s="106">
        <f>H133*H144+H140*H145+H141*H146+H142*H147</f>
        <v>713874.17385197477</v>
      </c>
      <c r="I150" s="106">
        <f t="shared" ref="I150:AA150" si="74">I133*I144+I140*I145+I141*I146+I142*I147</f>
        <v>1538308.3969453454</v>
      </c>
      <c r="J150" s="106">
        <f t="shared" si="74"/>
        <v>2260326.9272937612</v>
      </c>
      <c r="K150" s="106">
        <f t="shared" si="74"/>
        <v>3034230.163354571</v>
      </c>
      <c r="L150" s="106">
        <f t="shared" si="74"/>
        <v>3912169.4095250703</v>
      </c>
      <c r="M150" s="106">
        <f t="shared" si="74"/>
        <v>4776959.1199700246</v>
      </c>
      <c r="N150" s="106">
        <f t="shared" si="74"/>
        <v>5569445.2004012605</v>
      </c>
      <c r="O150" s="106">
        <f t="shared" si="74"/>
        <v>6228779.9749016818</v>
      </c>
      <c r="P150" s="106">
        <f t="shared" si="74"/>
        <v>6784912.9451858224</v>
      </c>
      <c r="Q150" s="106">
        <f t="shared" si="74"/>
        <v>6942378.1129431371</v>
      </c>
      <c r="R150" s="106">
        <f t="shared" si="74"/>
        <v>7504227.7604422215</v>
      </c>
      <c r="S150" s="106">
        <f t="shared" si="74"/>
        <v>8051217.2155409474</v>
      </c>
      <c r="T150" s="106">
        <f t="shared" si="74"/>
        <v>8549574.5042422209</v>
      </c>
      <c r="U150" s="106">
        <f t="shared" si="74"/>
        <v>9060115.333701333</v>
      </c>
      <c r="V150" s="106">
        <f t="shared" si="74"/>
        <v>8733407.7483324278</v>
      </c>
      <c r="W150" s="106">
        <f t="shared" si="74"/>
        <v>9198903.9799684994</v>
      </c>
      <c r="X150" s="106">
        <f t="shared" si="74"/>
        <v>9678682.3529977482</v>
      </c>
      <c r="Y150" s="106">
        <f t="shared" si="74"/>
        <v>10207636.839264538</v>
      </c>
      <c r="Z150" s="106">
        <f t="shared" si="74"/>
        <v>10797791.880371178</v>
      </c>
      <c r="AA150" s="106">
        <f t="shared" si="74"/>
        <v>11517684.578940984</v>
      </c>
    </row>
    <row r="151" spans="1:27" x14ac:dyDescent="0.25">
      <c r="C151" s="100"/>
      <c r="D151" s="100"/>
    </row>
    <row r="152" spans="1:27" x14ac:dyDescent="0.25">
      <c r="C152" s="100"/>
      <c r="D152" s="47" t="s">
        <v>684</v>
      </c>
    </row>
    <row r="153" spans="1:27" x14ac:dyDescent="0.25">
      <c r="A153" s="101">
        <v>31</v>
      </c>
      <c r="B153" s="47" t="s">
        <v>265</v>
      </c>
      <c r="C153" s="100" t="s">
        <v>407</v>
      </c>
      <c r="D153" s="100" t="str">
        <f>$G$4</f>
        <v>Water and Sewer</v>
      </c>
      <c r="E153" s="47" t="s">
        <v>654</v>
      </c>
      <c r="F153" s="47" t="s">
        <v>655</v>
      </c>
      <c r="H153" s="102">
        <f>IF($G$4="Water and sewer",SUMIFS('INPUT Growth'!AD$64:AD$115,'INPUT Growth'!$B$64:$B$115,$A$1,'INPUT Growth'!$F$64:$F$115,$B153,'INPUT Growth'!$E$64:$E$115,$C153),SUMIFS('INPUT Growth'!AD$64:AD$115,'INPUT Growth'!$A$64:$A$115,$A$1,'INPUT Growth'!$F$64:$F$115,$B153,'INPUT Growth'!$E$64:$E$115,$C153))</f>
        <v>58.597907536807725</v>
      </c>
      <c r="I153" s="102">
        <f>IF($G$4="Water and sewer",SUMIFS('INPUT Growth'!AE$64:AE$115,'INPUT Growth'!$B$64:$B$115,$A$1,'INPUT Growth'!$F$64:$F$115,$B153,'INPUT Growth'!$E$64:$E$115,$C153),SUMIFS('INPUT Growth'!AE$64:AE$115,'INPUT Growth'!$A$64:$A$115,$A$1,'INPUT Growth'!$F$64:$F$115,$B153,'INPUT Growth'!$E$64:$E$115,$C153))</f>
        <v>67.999407373427175</v>
      </c>
      <c r="J153" s="102">
        <f>IF($G$4="Water and sewer",SUMIFS('INPUT Growth'!AF$64:AF$115,'INPUT Growth'!$B$64:$B$115,$A$1,'INPUT Growth'!$F$64:$F$115,$B153,'INPUT Growth'!$E$64:$E$115,$C153),SUMIFS('INPUT Growth'!AF$64:AF$115,'INPUT Growth'!$A$64:$A$115,$A$1,'INPUT Growth'!$F$64:$F$115,$B153,'INPUT Growth'!$E$64:$E$115,$C153))</f>
        <v>59.15605798544243</v>
      </c>
      <c r="K153" s="102">
        <f>IF($G$4="Water and sewer",SUMIFS('INPUT Growth'!AG$64:AG$115,'INPUT Growth'!$B$64:$B$115,$A$1,'INPUT Growth'!$F$64:$F$115,$B153,'INPUT Growth'!$E$64:$E$115,$C153),SUMIFS('INPUT Growth'!AG$64:AG$115,'INPUT Growth'!$A$64:$A$115,$A$1,'INPUT Growth'!$F$64:$F$115,$B153,'INPUT Growth'!$E$64:$E$115,$C153))</f>
        <v>67.815253233698286</v>
      </c>
      <c r="L153" s="102">
        <f>IF($G$4="Water and sewer",SUMIFS('INPUT Growth'!AH$64:AH$115,'INPUT Growth'!$B$64:$B$115,$A$1,'INPUT Growth'!$F$64:$F$115,$B153,'INPUT Growth'!$E$64:$E$115,$C153),SUMIFS('INPUT Growth'!AH$64:AH$115,'INPUT Growth'!$A$64:$A$115,$A$1,'INPUT Growth'!$F$64:$F$115,$B153,'INPUT Growth'!$E$64:$E$115,$C153))</f>
        <v>91.78828534648278</v>
      </c>
      <c r="M153" s="102">
        <f>IF($G$4="Water and sewer",SUMIFS('INPUT Growth'!AI$64:AI$115,'INPUT Growth'!$B$64:$B$115,$A$1,'INPUT Growth'!$F$64:$F$115,$B153,'INPUT Growth'!$E$64:$E$115,$C153),SUMIFS('INPUT Growth'!AI$64:AI$115,'INPUT Growth'!$A$64:$A$115,$A$1,'INPUT Growth'!$F$64:$F$115,$B153,'INPUT Growth'!$E$64:$E$115,$C153))</f>
        <v>102.81773396705876</v>
      </c>
      <c r="N153" s="102">
        <f>IF($G$4="Water and sewer",SUMIFS('INPUT Growth'!AJ$64:AJ$115,'INPUT Growth'!$B$64:$B$115,$A$1,'INPUT Growth'!$F$64:$F$115,$B153,'INPUT Growth'!$E$64:$E$115,$C153),SUMIFS('INPUT Growth'!AJ$64:AJ$115,'INPUT Growth'!$A$64:$A$115,$A$1,'INPUT Growth'!$F$64:$F$115,$B153,'INPUT Growth'!$E$64:$E$115,$C153))</f>
        <v>92.294860787927519</v>
      </c>
      <c r="O153" s="102">
        <f>IF($G$4="Water and sewer",SUMIFS('INPUT Growth'!AK$64:AK$115,'INPUT Growth'!$B$64:$B$115,$A$1,'INPUT Growth'!$F$64:$F$115,$B153,'INPUT Growth'!$E$64:$E$115,$C153),SUMIFS('INPUT Growth'!AK$64:AK$115,'INPUT Growth'!$A$64:$A$115,$A$1,'INPUT Growth'!$F$64:$F$115,$B153,'INPUT Growth'!$E$64:$E$115,$C153))</f>
        <v>84.113893170428128</v>
      </c>
      <c r="P153" s="102">
        <f>IF($G$4="Water and sewer",SUMIFS('INPUT Growth'!AL$64:AL$115,'INPUT Growth'!$B$64:$B$115,$A$1,'INPUT Growth'!$F$64:$F$115,$B153,'INPUT Growth'!$E$64:$E$115,$C153),SUMIFS('INPUT Growth'!AL$64:AL$115,'INPUT Growth'!$A$64:$A$115,$A$1,'INPUT Growth'!$F$64:$F$115,$B153,'INPUT Growth'!$E$64:$E$115,$C153))</f>
        <v>83.533620369101754</v>
      </c>
      <c r="Q153" s="102">
        <f>IF($G$4="Water and sewer",SUMIFS('INPUT Growth'!AM$64:AM$115,'INPUT Growth'!$B$64:$B$115,$A$1,'INPUT Growth'!$F$64:$F$115,$B153,'INPUT Growth'!$E$64:$E$115,$C153),SUMIFS('INPUT Growth'!AM$64:AM$115,'INPUT Growth'!$A$64:$A$115,$A$1,'INPUT Growth'!$F$64:$F$115,$B153,'INPUT Growth'!$E$64:$E$115,$C153))</f>
        <v>83.700040142852686</v>
      </c>
      <c r="R153" s="102">
        <f>IF($G$4="Water and sewer",SUMIFS('INPUT Growth'!AN$64:AN$115,'INPUT Growth'!$B$64:$B$115,$A$1,'INPUT Growth'!$F$64:$F$115,$B153,'INPUT Growth'!$E$64:$E$115,$C153),SUMIFS('INPUT Growth'!AN$64:AN$115,'INPUT Growth'!$A$64:$A$115,$A$1,'INPUT Growth'!$F$64:$F$115,$B153,'INPUT Growth'!$E$64:$E$115,$C153))</f>
        <v>84.614394544883453</v>
      </c>
      <c r="S153" s="102">
        <f>IF($G$4="Water and sewer",SUMIFS('INPUT Growth'!AO$64:AO$115,'INPUT Growth'!$B$64:$B$115,$A$1,'INPUT Growth'!$F$64:$F$115,$B153,'INPUT Growth'!$E$64:$E$115,$C153),SUMIFS('INPUT Growth'!AO$64:AO$115,'INPUT Growth'!$A$64:$A$115,$A$1,'INPUT Growth'!$F$64:$F$115,$B153,'INPUT Growth'!$E$64:$E$115,$C153))</f>
        <v>85.40195214630694</v>
      </c>
      <c r="T153" s="102">
        <f>IF($G$4="Water and sewer",SUMIFS('INPUT Growth'!AP$64:AP$115,'INPUT Growth'!$B$64:$B$115,$A$1,'INPUT Growth'!$F$64:$F$115,$B153,'INPUT Growth'!$E$64:$E$115,$C153),SUMIFS('INPUT Growth'!AP$64:AP$115,'INPUT Growth'!$A$64:$A$115,$A$1,'INPUT Growth'!$F$64:$F$115,$B153,'INPUT Growth'!$E$64:$E$115,$C153))</f>
        <v>88.495473492543624</v>
      </c>
      <c r="U153" s="102">
        <f>IF($G$4="Water and sewer",SUMIFS('INPUT Growth'!AQ$64:AQ$115,'INPUT Growth'!$B$64:$B$115,$A$1,'INPUT Growth'!$F$64:$F$115,$B153,'INPUT Growth'!$E$64:$E$115,$C153),SUMIFS('INPUT Growth'!AQ$64:AQ$115,'INPUT Growth'!$A$64:$A$115,$A$1,'INPUT Growth'!$F$64:$F$115,$B153,'INPUT Growth'!$E$64:$E$115,$C153))</f>
        <v>96.814526258227488</v>
      </c>
      <c r="V153" s="102">
        <f>IF($G$4="Water and sewer",SUMIFS('INPUT Growth'!AR$64:AR$115,'INPUT Growth'!$B$64:$B$115,$A$1,'INPUT Growth'!$F$64:$F$115,$B153,'INPUT Growth'!$E$64:$E$115,$C153),SUMIFS('INPUT Growth'!AR$64:AR$115,'INPUT Growth'!$A$64:$A$115,$A$1,'INPUT Growth'!$F$64:$F$115,$B153,'INPUT Growth'!$E$64:$E$115,$C153))</f>
        <v>100.72971692195006</v>
      </c>
      <c r="W153" s="102">
        <f>IF($G$4="Water and sewer",SUMIFS('INPUT Growth'!AS$64:AS$115,'INPUT Growth'!$B$64:$B$115,$A$1,'INPUT Growth'!$F$64:$F$115,$B153,'INPUT Growth'!$E$64:$E$115,$C153),SUMIFS('INPUT Growth'!AS$64:AS$115,'INPUT Growth'!$A$64:$A$115,$A$1,'INPUT Growth'!$F$64:$F$115,$B153,'INPUT Growth'!$E$64:$E$115,$C153))</f>
        <v>109.59661314604455</v>
      </c>
      <c r="X153" s="102">
        <f>IF($G$4="Water and sewer",SUMIFS('INPUT Growth'!AT$64:AT$115,'INPUT Growth'!$B$64:$B$115,$A$1,'INPUT Growth'!$F$64:$F$115,$B153,'INPUT Growth'!$E$64:$E$115,$C153),SUMIFS('INPUT Growth'!AT$64:AT$115,'INPUT Growth'!$A$64:$A$115,$A$1,'INPUT Growth'!$F$64:$F$115,$B153,'INPUT Growth'!$E$64:$E$115,$C153))</f>
        <v>120.19647465952994</v>
      </c>
      <c r="Y153" s="102">
        <f>IF($G$4="Water and sewer",SUMIFS('INPUT Growth'!AU$64:AU$115,'INPUT Growth'!$B$64:$B$115,$A$1,'INPUT Growth'!$F$64:$F$115,$B153,'INPUT Growth'!$E$64:$E$115,$C153),SUMIFS('INPUT Growth'!AU$64:AU$115,'INPUT Growth'!$A$64:$A$115,$A$1,'INPUT Growth'!$F$64:$F$115,$B153,'INPUT Growth'!$E$64:$E$115,$C153))</f>
        <v>117.74644212976318</v>
      </c>
      <c r="Z153" s="102">
        <f>IF($G$4="Water and sewer",SUMIFS('INPUT Growth'!AV$64:AV$115,'INPUT Growth'!$B$64:$B$115,$A$1,'INPUT Growth'!$F$64:$F$115,$B153,'INPUT Growth'!$E$64:$E$115,$C153),SUMIFS('INPUT Growth'!AV$64:AV$115,'INPUT Growth'!$A$64:$A$115,$A$1,'INPUT Growth'!$F$64:$F$115,$B153,'INPUT Growth'!$E$64:$E$115,$C153))</f>
        <v>114.30954973144435</v>
      </c>
      <c r="AA153" s="102">
        <f>IF($G$4="Water and sewer",SUMIFS('INPUT Growth'!AW$64:AW$115,'INPUT Growth'!$B$64:$B$115,$A$1,'INPUT Growth'!$F$64:$F$115,$B153,'INPUT Growth'!$E$64:$E$115,$C153),SUMIFS('INPUT Growth'!AW$64:AW$115,'INPUT Growth'!$A$64:$A$115,$A$1,'INPUT Growth'!$F$64:$F$115,$B153,'INPUT Growth'!$E$64:$E$115,$C153))</f>
        <v>110.11029069180313</v>
      </c>
    </row>
    <row r="154" spans="1:27" x14ac:dyDescent="0.25">
      <c r="C154" s="100"/>
      <c r="D154" s="100"/>
      <c r="E154" s="47" t="s">
        <v>656</v>
      </c>
      <c r="F154" s="47" t="s">
        <v>655</v>
      </c>
      <c r="H154" s="106">
        <f>G154+H153</f>
        <v>58.597907536807725</v>
      </c>
      <c r="I154" s="106">
        <f t="shared" ref="I154:AA154" si="75">H154+I153</f>
        <v>126.5973149102349</v>
      </c>
      <c r="J154" s="106">
        <f t="shared" si="75"/>
        <v>185.75337289567733</v>
      </c>
      <c r="K154" s="106">
        <f t="shared" si="75"/>
        <v>253.56862612937562</v>
      </c>
      <c r="L154" s="106">
        <f t="shared" si="75"/>
        <v>345.3569114758584</v>
      </c>
      <c r="M154" s="106">
        <f t="shared" si="75"/>
        <v>448.17464544291715</v>
      </c>
      <c r="N154" s="106">
        <f t="shared" si="75"/>
        <v>540.46950623084467</v>
      </c>
      <c r="O154" s="106">
        <f t="shared" si="75"/>
        <v>624.5833994012728</v>
      </c>
      <c r="P154" s="106">
        <f t="shared" si="75"/>
        <v>708.11701977037455</v>
      </c>
      <c r="Q154" s="106">
        <f t="shared" si="75"/>
        <v>791.81705991322724</v>
      </c>
      <c r="R154" s="106">
        <f t="shared" si="75"/>
        <v>876.43145445811069</v>
      </c>
      <c r="S154" s="106">
        <f t="shared" si="75"/>
        <v>961.83340660441763</v>
      </c>
      <c r="T154" s="106">
        <f t="shared" si="75"/>
        <v>1050.3288800969613</v>
      </c>
      <c r="U154" s="106">
        <f t="shared" si="75"/>
        <v>1147.1434063551887</v>
      </c>
      <c r="V154" s="106">
        <f t="shared" si="75"/>
        <v>1247.8731232771388</v>
      </c>
      <c r="W154" s="106">
        <f t="shared" si="75"/>
        <v>1357.4697364231833</v>
      </c>
      <c r="X154" s="106">
        <f t="shared" si="75"/>
        <v>1477.6662110827133</v>
      </c>
      <c r="Y154" s="106">
        <f t="shared" si="75"/>
        <v>1595.4126532124765</v>
      </c>
      <c r="Z154" s="106">
        <f t="shared" si="75"/>
        <v>1709.7222029439208</v>
      </c>
      <c r="AA154" s="106">
        <f t="shared" si="75"/>
        <v>1819.8324936357239</v>
      </c>
    </row>
    <row r="155" spans="1:27" x14ac:dyDescent="0.25">
      <c r="A155" s="101">
        <v>32</v>
      </c>
      <c r="C155" s="100"/>
      <c r="D155" s="100"/>
      <c r="E155" s="47" t="s">
        <v>657</v>
      </c>
      <c r="F155" s="47" t="s">
        <v>655</v>
      </c>
      <c r="G155" s="102">
        <v>2</v>
      </c>
    </row>
    <row r="156" spans="1:27" x14ac:dyDescent="0.25">
      <c r="C156" s="100"/>
      <c r="D156" s="100"/>
      <c r="E156" s="47" t="s">
        <v>658</v>
      </c>
      <c r="F156" s="47" t="s">
        <v>655</v>
      </c>
      <c r="H156" s="47">
        <f>H153*$G155</f>
        <v>117.19581507361545</v>
      </c>
      <c r="I156" s="47">
        <f t="shared" ref="I156:AA156" si="76">I153*$G155</f>
        <v>135.99881474685435</v>
      </c>
      <c r="J156" s="47">
        <f t="shared" si="76"/>
        <v>118.31211597088486</v>
      </c>
      <c r="K156" s="47">
        <f t="shared" si="76"/>
        <v>135.63050646739657</v>
      </c>
      <c r="L156" s="47">
        <f t="shared" si="76"/>
        <v>183.57657069296556</v>
      </c>
      <c r="M156" s="47">
        <f t="shared" si="76"/>
        <v>205.63546793411751</v>
      </c>
      <c r="N156" s="47">
        <f t="shared" si="76"/>
        <v>184.58972157585504</v>
      </c>
      <c r="O156" s="47">
        <f t="shared" si="76"/>
        <v>168.22778634085626</v>
      </c>
      <c r="P156" s="47">
        <f t="shared" si="76"/>
        <v>167.06724073820351</v>
      </c>
      <c r="Q156" s="47">
        <f t="shared" si="76"/>
        <v>167.40008028570537</v>
      </c>
      <c r="R156" s="47">
        <f t="shared" si="76"/>
        <v>169.22878908976691</v>
      </c>
      <c r="S156" s="47">
        <f t="shared" si="76"/>
        <v>170.80390429261388</v>
      </c>
      <c r="T156" s="47">
        <f t="shared" si="76"/>
        <v>176.99094698508725</v>
      </c>
      <c r="U156" s="47">
        <f t="shared" si="76"/>
        <v>193.62905251645498</v>
      </c>
      <c r="V156" s="47">
        <f t="shared" si="76"/>
        <v>201.45943384390011</v>
      </c>
      <c r="W156" s="47">
        <f t="shared" si="76"/>
        <v>219.19322629208909</v>
      </c>
      <c r="X156" s="47">
        <f t="shared" si="76"/>
        <v>240.39294931905988</v>
      </c>
      <c r="Y156" s="47">
        <f t="shared" si="76"/>
        <v>235.49288425952636</v>
      </c>
      <c r="Z156" s="47">
        <f t="shared" si="76"/>
        <v>228.6190994628887</v>
      </c>
      <c r="AA156" s="47">
        <f t="shared" si="76"/>
        <v>220.22058138360626</v>
      </c>
    </row>
    <row r="157" spans="1:27" x14ac:dyDescent="0.25">
      <c r="C157" s="100"/>
      <c r="D157" s="100"/>
      <c r="E157" s="47" t="s">
        <v>659</v>
      </c>
      <c r="F157" s="47" t="s">
        <v>655</v>
      </c>
      <c r="H157" s="47">
        <f>H154*$G155</f>
        <v>117.19581507361545</v>
      </c>
      <c r="I157" s="47">
        <f t="shared" ref="I157:AA157" si="77">I154*$G155</f>
        <v>253.1946298204698</v>
      </c>
      <c r="J157" s="47">
        <f t="shared" si="77"/>
        <v>371.50674579135466</v>
      </c>
      <c r="K157" s="47">
        <f t="shared" si="77"/>
        <v>507.13725225875123</v>
      </c>
      <c r="L157" s="47">
        <f t="shared" si="77"/>
        <v>690.71382295171679</v>
      </c>
      <c r="M157" s="47">
        <f t="shared" si="77"/>
        <v>896.34929088583431</v>
      </c>
      <c r="N157" s="47">
        <f t="shared" si="77"/>
        <v>1080.9390124616893</v>
      </c>
      <c r="O157" s="47">
        <f t="shared" si="77"/>
        <v>1249.1667988025456</v>
      </c>
      <c r="P157" s="47">
        <f t="shared" si="77"/>
        <v>1416.2340395407491</v>
      </c>
      <c r="Q157" s="47">
        <f t="shared" si="77"/>
        <v>1583.6341198264545</v>
      </c>
      <c r="R157" s="47">
        <f t="shared" si="77"/>
        <v>1752.8629089162214</v>
      </c>
      <c r="S157" s="47">
        <f t="shared" si="77"/>
        <v>1923.6668132088353</v>
      </c>
      <c r="T157" s="47">
        <f t="shared" si="77"/>
        <v>2100.6577601939225</v>
      </c>
      <c r="U157" s="47">
        <f t="shared" si="77"/>
        <v>2294.2868127103775</v>
      </c>
      <c r="V157" s="47">
        <f t="shared" si="77"/>
        <v>2495.7462465542776</v>
      </c>
      <c r="W157" s="47">
        <f t="shared" si="77"/>
        <v>2714.9394728463667</v>
      </c>
      <c r="X157" s="47">
        <f t="shared" si="77"/>
        <v>2955.3324221654266</v>
      </c>
      <c r="Y157" s="47">
        <f t="shared" si="77"/>
        <v>3190.8253064249529</v>
      </c>
      <c r="Z157" s="47">
        <f t="shared" si="77"/>
        <v>3419.4444058878416</v>
      </c>
      <c r="AA157" s="47">
        <f t="shared" si="77"/>
        <v>3639.6649872714479</v>
      </c>
    </row>
    <row r="158" spans="1:27" x14ac:dyDescent="0.25">
      <c r="A158" s="101">
        <v>33</v>
      </c>
      <c r="B158" s="47" t="str">
        <f>B153</f>
        <v>Western</v>
      </c>
      <c r="C158" s="47" t="str">
        <f>C153</f>
        <v>N</v>
      </c>
      <c r="D158" s="47" t="str">
        <f>D153</f>
        <v>Water and Sewer</v>
      </c>
      <c r="E158" s="47" t="s">
        <v>660</v>
      </c>
      <c r="F158" s="47" t="s">
        <v>661</v>
      </c>
      <c r="H158" s="102">
        <f>IF(OR($D158=W,$D158=WS),'INPUT Reg'!AD126,IF($D158=RW,'INPUT Reg'!AD128,0))</f>
        <v>725.26314061491541</v>
      </c>
      <c r="I158" s="102">
        <f>IF(OR($D158=W,$D158=WS),'INPUT Reg'!AE126,IF($D158=RW,'INPUT Reg'!AE128,0))</f>
        <v>720.38675976632203</v>
      </c>
      <c r="J158" s="102">
        <f>IF(OR($D158=W,$D158=WS),'INPUT Reg'!AF126,IF($D158=RW,'INPUT Reg'!AF128,0))</f>
        <v>722.38717380811977</v>
      </c>
      <c r="K158" s="102">
        <f>IF(OR($D158=W,$D158=WS),'INPUT Reg'!AG126,IF($D158=RW,'INPUT Reg'!AG128,0))</f>
        <v>722.97270777527478</v>
      </c>
      <c r="L158" s="102">
        <f>IF(OR($D158=W,$D158=WS),'INPUT Reg'!AH126,IF($D158=RW,'INPUT Reg'!AH128,0))</f>
        <v>715.12355392202323</v>
      </c>
      <c r="M158" s="102">
        <f>IF(OR($D158=W,$D158=WS),'INPUT Reg'!AI126,IF($D158=RW,'INPUT Reg'!AI128,0))</f>
        <v>707.10324870306999</v>
      </c>
      <c r="N158" s="102">
        <f>IF(OR($D158=W,$D158=WS),'INPUT Reg'!AJ126,IF($D158=RW,'INPUT Reg'!AJ128,0))</f>
        <v>700.62391442557316</v>
      </c>
      <c r="O158" s="102">
        <f>IF(OR($D158=W,$D158=WS),'INPUT Reg'!AK126,IF($D158=RW,'INPUT Reg'!AK128,0))</f>
        <v>696.12019036745801</v>
      </c>
      <c r="P158" s="102">
        <f>IF(OR($D158=W,$D158=WS),'INPUT Reg'!AL126,IF($D158=RW,'INPUT Reg'!AL128,0))</f>
        <v>687.87815145965703</v>
      </c>
      <c r="Q158" s="102">
        <f>IF(OR($D158=W,$D158=WS),'INPUT Reg'!AM126,IF($D158=RW,'INPUT Reg'!AM128,0))</f>
        <v>681.73049016159177</v>
      </c>
      <c r="R158" s="102">
        <f>IF(OR($D158=W,$D158=WS),'INPUT Reg'!AN126,IF($D158=RW,'INPUT Reg'!AN128,0))</f>
        <v>676.6414581467385</v>
      </c>
      <c r="S158" s="102">
        <f>IF(OR($D158=W,$D158=WS),'INPUT Reg'!AO126,IF($D158=RW,'INPUT Reg'!AO128,0))</f>
        <v>674.73844482879599</v>
      </c>
      <c r="T158" s="102">
        <f>IF(OR($D158=W,$D158=WS),'INPUT Reg'!AP126,IF($D158=RW,'INPUT Reg'!AP128,0))</f>
        <v>669.50819507426456</v>
      </c>
      <c r="U158" s="102">
        <f>IF(OR($D158=W,$D158=WS),'INPUT Reg'!AQ126,IF($D158=RW,'INPUT Reg'!AQ128,0))</f>
        <v>666.40240091028261</v>
      </c>
      <c r="V158" s="102">
        <f>IF(OR($D158=W,$D158=WS),'INPUT Reg'!AR126,IF($D158=RW,'INPUT Reg'!AR128,0))</f>
        <v>663.10981119008693</v>
      </c>
      <c r="W158" s="102">
        <f>IF(OR($D158=W,$D158=WS),'INPUT Reg'!AS126,IF($D158=RW,'INPUT Reg'!AS128,0))</f>
        <v>662.73126309413988</v>
      </c>
      <c r="X158" s="102">
        <f>IF(OR($D158=W,$D158=WS),'INPUT Reg'!AT126,IF($D158=RW,'INPUT Reg'!AT128,0))</f>
        <v>659.53219841068676</v>
      </c>
      <c r="Y158" s="102">
        <f>IF(OR($D158=W,$D158=WS),'INPUT Reg'!AU126,IF($D158=RW,'INPUT Reg'!AU128,0))</f>
        <v>658.85039903993788</v>
      </c>
      <c r="Z158" s="102">
        <f>IF(OR($D158=W,$D158=WS),'INPUT Reg'!AV126,IF($D158=RW,'INPUT Reg'!AV128,0))</f>
        <v>659.25179707460791</v>
      </c>
      <c r="AA158" s="102">
        <f>IF(OR($D158=W,$D158=WS),'INPUT Reg'!AW126,IF($D158=RW,'INPUT Reg'!AW128,0))</f>
        <v>659.25179707460791</v>
      </c>
    </row>
    <row r="159" spans="1:27" x14ac:dyDescent="0.25">
      <c r="B159" s="47" t="str">
        <f>B153</f>
        <v>Western</v>
      </c>
      <c r="C159" s="47" t="str">
        <f t="shared" ref="C159:D159" si="78">C153</f>
        <v>N</v>
      </c>
      <c r="D159" s="47" t="str">
        <f t="shared" si="78"/>
        <v>Water and Sewer</v>
      </c>
      <c r="E159" s="47" t="s">
        <v>662</v>
      </c>
      <c r="F159" s="47" t="s">
        <v>661</v>
      </c>
      <c r="H159" s="102"/>
      <c r="I159" s="102"/>
      <c r="J159" s="102"/>
      <c r="K159" s="102"/>
      <c r="L159" s="102"/>
      <c r="M159" s="102"/>
      <c r="N159" s="102"/>
      <c r="O159" s="102"/>
      <c r="P159" s="102"/>
      <c r="Q159" s="102"/>
      <c r="R159" s="102"/>
      <c r="S159" s="102"/>
      <c r="T159" s="102"/>
      <c r="U159" s="102"/>
      <c r="V159" s="102"/>
      <c r="W159" s="102"/>
      <c r="X159" s="102"/>
      <c r="Y159" s="102"/>
      <c r="Z159" s="102"/>
      <c r="AA159" s="102"/>
    </row>
    <row r="160" spans="1:27" x14ac:dyDescent="0.25">
      <c r="A160" s="101">
        <v>34</v>
      </c>
      <c r="B160" s="47" t="str">
        <f>B153</f>
        <v>Western</v>
      </c>
      <c r="C160" s="47" t="str">
        <f t="shared" ref="C160:D160" si="79">C153</f>
        <v>N</v>
      </c>
      <c r="D160" s="47" t="str">
        <f t="shared" si="79"/>
        <v>Water and Sewer</v>
      </c>
      <c r="E160" s="47" t="s">
        <v>663</v>
      </c>
      <c r="F160" s="47" t="s">
        <v>661</v>
      </c>
      <c r="H160" s="102">
        <f>IF(OR($D160=S,$D160=WS),'INPUT Reg'!AD127,0)</f>
        <v>347.92199565831874</v>
      </c>
      <c r="I160" s="102">
        <f>IF(OR($D160=S,$D160=WS),'INPUT Reg'!AE127,0)</f>
        <v>345.5631490149018</v>
      </c>
      <c r="J160" s="102">
        <f>IF(OR($D160=S,$D160=WS),'INPUT Reg'!AF127,0)</f>
        <v>346.61846340556093</v>
      </c>
      <c r="K160" s="102">
        <f>IF(OR($D160=S,$D160=WS),'INPUT Reg'!AG127,0)</f>
        <v>347.00870976774053</v>
      </c>
      <c r="L160" s="102">
        <f>IF(OR($D160=S,$D160=WS),'INPUT Reg'!AH127,0)</f>
        <v>343.34739988389288</v>
      </c>
      <c r="M160" s="102">
        <f>IF(OR($D160=S,$D160=WS),'INPUT Reg'!AI127,0)</f>
        <v>339.57968587231744</v>
      </c>
      <c r="N160" s="102">
        <f>IF(OR($D160=S,$D160=WS),'INPUT Reg'!AJ127,0)</f>
        <v>336.54501256690907</v>
      </c>
      <c r="O160" s="102">
        <f>IF(OR($D160=S,$D160=WS),'INPUT Reg'!AK127,0)</f>
        <v>334.44279949657823</v>
      </c>
      <c r="P160" s="102">
        <f>IF(OR($D160=S,$D160=WS),'INPUT Reg'!AL127,0)</f>
        <v>330.53560840063506</v>
      </c>
      <c r="Q160" s="102">
        <f>IF(OR($D160=S,$D160=WS),'INPUT Reg'!AM127,0)</f>
        <v>327.61963866727592</v>
      </c>
      <c r="R160" s="102">
        <f>IF(OR($D160=S,$D160=WS),'INPUT Reg'!AN127,0)</f>
        <v>325.21786491243779</v>
      </c>
      <c r="S160" s="102">
        <f>IF(OR($D160=S,$D160=WS),'INPUT Reg'!AO127,0)</f>
        <v>324.33575481626639</v>
      </c>
      <c r="T160" s="102">
        <f>IF(OR($D160=S,$D160=WS),'INPUT Reg'!AP127,0)</f>
        <v>321.82187373564062</v>
      </c>
      <c r="U160" s="102">
        <f>IF(OR($D160=S,$D160=WS),'INPUT Reg'!AQ127,0)</f>
        <v>320.30591349580385</v>
      </c>
      <c r="V160" s="102">
        <f>IF(OR($D160=S,$D160=WS),'INPUT Reg'!AR127,0)</f>
        <v>318.68483238643705</v>
      </c>
      <c r="W160" s="102">
        <f>IF(OR($D160=S,$D160=WS),'INPUT Reg'!AS127,0)</f>
        <v>318.470502330079</v>
      </c>
      <c r="X160" s="102">
        <f>IF(OR($D160=S,$D160=WS),'INPUT Reg'!AT127,0)</f>
        <v>316.91727855810331</v>
      </c>
      <c r="Y160" s="102">
        <f>IF(OR($D160=S,$D160=WS),'INPUT Reg'!AU127,0)</f>
        <v>316.53240639886275</v>
      </c>
      <c r="Z160" s="102">
        <f>IF(OR($D160=S,$D160=WS),'INPUT Reg'!AV127,0)</f>
        <v>316.66641742588752</v>
      </c>
      <c r="AA160" s="102">
        <f>IF(OR($D160=S,$D160=WS),'INPUT Reg'!AW127,0)</f>
        <v>316.66641742588752</v>
      </c>
    </row>
    <row r="161" spans="1:27" x14ac:dyDescent="0.25">
      <c r="C161" s="100"/>
      <c r="D161" s="100"/>
      <c r="E161" s="47" t="s">
        <v>664</v>
      </c>
      <c r="F161" s="47" t="s">
        <v>665</v>
      </c>
      <c r="H161" s="106">
        <f>H154*H158</f>
        <v>42498.902453607596</v>
      </c>
      <c r="I161" s="106">
        <f t="shared" ref="I161:AA161" si="80">I154*I158</f>
        <v>91199.029483300808</v>
      </c>
      <c r="J161" s="106">
        <f t="shared" si="80"/>
        <v>134185.85407143415</v>
      </c>
      <c r="K161" s="106">
        <f t="shared" si="80"/>
        <v>183323.19623961099</v>
      </c>
      <c r="L161" s="106">
        <f t="shared" si="80"/>
        <v>246972.86190614942</v>
      </c>
      <c r="M161" s="106">
        <f t="shared" si="80"/>
        <v>316905.74777903326</v>
      </c>
      <c r="N161" s="106">
        <f t="shared" si="80"/>
        <v>378665.86108311109</v>
      </c>
      <c r="O161" s="106">
        <f t="shared" si="80"/>
        <v>434785.11489156808</v>
      </c>
      <c r="P161" s="106">
        <f t="shared" si="80"/>
        <v>487098.22657676664</v>
      </c>
      <c r="Q161" s="106">
        <f t="shared" si="80"/>
        <v>539805.83237295493</v>
      </c>
      <c r="R161" s="106">
        <f t="shared" si="80"/>
        <v>593029.8573102029</v>
      </c>
      <c r="S161" s="106">
        <f t="shared" si="80"/>
        <v>648985.9769566477</v>
      </c>
      <c r="T161" s="106">
        <f t="shared" si="80"/>
        <v>703203.79274809023</v>
      </c>
      <c r="U161" s="106">
        <f t="shared" si="80"/>
        <v>764459.12018349767</v>
      </c>
      <c r="V161" s="106">
        <f t="shared" si="80"/>
        <v>827476.9111654876</v>
      </c>
      <c r="W161" s="106">
        <f t="shared" si="80"/>
        <v>899637.6330318054</v>
      </c>
      <c r="X161" s="106">
        <f t="shared" si="80"/>
        <v>974568.4447125718</v>
      </c>
      <c r="Y161" s="106">
        <f t="shared" si="80"/>
        <v>1051138.2632024062</v>
      </c>
      <c r="Z161" s="106">
        <f t="shared" si="80"/>
        <v>1127137.4347891372</v>
      </c>
      <c r="AA161" s="106">
        <f t="shared" si="80"/>
        <v>1199727.841804116</v>
      </c>
    </row>
    <row r="162" spans="1:27" x14ac:dyDescent="0.25">
      <c r="C162" s="100"/>
      <c r="D162" s="100"/>
      <c r="E162" s="47" t="s">
        <v>666</v>
      </c>
      <c r="F162" s="47" t="s">
        <v>665</v>
      </c>
      <c r="H162" s="106">
        <f>H154*H159</f>
        <v>0</v>
      </c>
      <c r="I162" s="106">
        <f t="shared" ref="I162:AA162" si="81">I154*I159</f>
        <v>0</v>
      </c>
      <c r="J162" s="106">
        <f t="shared" si="81"/>
        <v>0</v>
      </c>
      <c r="K162" s="106">
        <f t="shared" si="81"/>
        <v>0</v>
      </c>
      <c r="L162" s="106">
        <f t="shared" si="81"/>
        <v>0</v>
      </c>
      <c r="M162" s="106">
        <f t="shared" si="81"/>
        <v>0</v>
      </c>
      <c r="N162" s="106">
        <f t="shared" si="81"/>
        <v>0</v>
      </c>
      <c r="O162" s="106">
        <f t="shared" si="81"/>
        <v>0</v>
      </c>
      <c r="P162" s="106">
        <f t="shared" si="81"/>
        <v>0</v>
      </c>
      <c r="Q162" s="106">
        <f t="shared" si="81"/>
        <v>0</v>
      </c>
      <c r="R162" s="106">
        <f t="shared" si="81"/>
        <v>0</v>
      </c>
      <c r="S162" s="106">
        <f t="shared" si="81"/>
        <v>0</v>
      </c>
      <c r="T162" s="106">
        <f t="shared" si="81"/>
        <v>0</v>
      </c>
      <c r="U162" s="106">
        <f t="shared" si="81"/>
        <v>0</v>
      </c>
      <c r="V162" s="106">
        <f t="shared" si="81"/>
        <v>0</v>
      </c>
      <c r="W162" s="106">
        <f t="shared" si="81"/>
        <v>0</v>
      </c>
      <c r="X162" s="106">
        <f t="shared" si="81"/>
        <v>0</v>
      </c>
      <c r="Y162" s="106">
        <f t="shared" si="81"/>
        <v>0</v>
      </c>
      <c r="Z162" s="106">
        <f t="shared" si="81"/>
        <v>0</v>
      </c>
      <c r="AA162" s="106">
        <f t="shared" si="81"/>
        <v>0</v>
      </c>
    </row>
    <row r="163" spans="1:27" x14ac:dyDescent="0.25">
      <c r="C163" s="100"/>
      <c r="D163" s="100"/>
      <c r="E163" s="47" t="s">
        <v>667</v>
      </c>
      <c r="F163" s="47" t="s">
        <v>665</v>
      </c>
      <c r="H163" s="106">
        <f>H154*H160</f>
        <v>20387.500931607781</v>
      </c>
      <c r="I163" s="106">
        <f t="shared" ref="I163:AA163" si="82">I154*I160</f>
        <v>43747.366797211951</v>
      </c>
      <c r="J163" s="106">
        <f t="shared" si="82"/>
        <v>64385.548685499845</v>
      </c>
      <c r="K163" s="106">
        <f t="shared" si="82"/>
        <v>87990.521790733212</v>
      </c>
      <c r="L163" s="106">
        <f t="shared" si="82"/>
        <v>118577.39758716774</v>
      </c>
      <c r="M163" s="106">
        <f t="shared" si="82"/>
        <v>152191.00531544306</v>
      </c>
      <c r="N163" s="106">
        <f t="shared" si="82"/>
        <v>181892.31676649075</v>
      </c>
      <c r="O163" s="106">
        <f t="shared" si="82"/>
        <v>208887.42061485111</v>
      </c>
      <c r="P163" s="106">
        <f t="shared" si="82"/>
        <v>234057.88994864529</v>
      </c>
      <c r="Q163" s="106">
        <f t="shared" si="82"/>
        <v>259414.81905935629</v>
      </c>
      <c r="R163" s="106">
        <f t="shared" si="82"/>
        <v>285031.16636096919</v>
      </c>
      <c r="S163" s="106">
        <f t="shared" si="82"/>
        <v>311956.96393854468</v>
      </c>
      <c r="T163" s="106">
        <f t="shared" si="82"/>
        <v>338018.80823146109</v>
      </c>
      <c r="U163" s="106">
        <f t="shared" si="82"/>
        <v>367436.81668328686</v>
      </c>
      <c r="V163" s="106">
        <f t="shared" si="82"/>
        <v>397678.2371311147</v>
      </c>
      <c r="W163" s="106">
        <f t="shared" si="82"/>
        <v>432314.06885657116</v>
      </c>
      <c r="X163" s="106">
        <f t="shared" si="82"/>
        <v>468297.95423359732</v>
      </c>
      <c r="Y163" s="106">
        <f t="shared" si="82"/>
        <v>504999.8063205395</v>
      </c>
      <c r="Z163" s="106">
        <f t="shared" si="82"/>
        <v>541411.60479974758</v>
      </c>
      <c r="AA163" s="106">
        <f t="shared" si="82"/>
        <v>576279.836074844</v>
      </c>
    </row>
    <row r="164" spans="1:27" x14ac:dyDescent="0.25">
      <c r="A164" s="101">
        <v>35</v>
      </c>
      <c r="B164" s="47" t="str">
        <f>B158</f>
        <v>Western</v>
      </c>
      <c r="C164" s="47" t="str">
        <f t="shared" ref="C164:D164" si="83">C158</f>
        <v>N</v>
      </c>
      <c r="D164" s="47" t="str">
        <f t="shared" si="83"/>
        <v>Water and Sewer</v>
      </c>
      <c r="E164" s="47" t="s">
        <v>668</v>
      </c>
      <c r="F164" s="47" t="s">
        <v>633</v>
      </c>
      <c r="H164" s="105">
        <f>SUMIFS('INPUT Reg'!AD$94:AD$109,'INPUT Reg'!$D$94:$D$109,$D164,'INPUT Reg'!$C$94:$C$109,$C164,'INPUT Reg'!$B$94:$B$109,$B164)</f>
        <v>-6.8218212968429448E-4</v>
      </c>
      <c r="I164" s="105">
        <f>SUMIFS('INPUT Reg'!AE$94:AE$109,'INPUT Reg'!$D$94:$D$109,$D164,'INPUT Reg'!$C$94:$C$109,$C164,'INPUT Reg'!$B$94:$B$109,$B164)</f>
        <v>-3.1915910857102103E-3</v>
      </c>
      <c r="J164" s="105">
        <f>SUMIFS('INPUT Reg'!AF$94:AF$109,'INPUT Reg'!$D$94:$D$109,$D164,'INPUT Reg'!$C$94:$C$109,$C164,'INPUT Reg'!$B$94:$B$109,$B164)</f>
        <v>-3.1963987080985135E-3</v>
      </c>
      <c r="K164" s="105">
        <f>SUMIFS('INPUT Reg'!AG$94:AG$109,'INPUT Reg'!$D$94:$D$109,$D164,'INPUT Reg'!$C$94:$C$109,$C164,'INPUT Reg'!$B$94:$B$109,$B164)</f>
        <v>-3.2087247373020489E-3</v>
      </c>
      <c r="L164" s="105">
        <f>SUMIFS('INPUT Reg'!AH$94:AH$109,'INPUT Reg'!$D$94:$D$109,$D164,'INPUT Reg'!$C$94:$C$109,$C164,'INPUT Reg'!$B$94:$B$109,$B164)</f>
        <v>-1.2040821155763326E-2</v>
      </c>
      <c r="M164" s="105">
        <f>SUMIFS('INPUT Reg'!AI$94:AI$109,'INPUT Reg'!$D$94:$D$109,$D164,'INPUT Reg'!$C$94:$C$109,$C164,'INPUT Reg'!$B$94:$B$109,$B164)</f>
        <v>6.1171753698019415E-6</v>
      </c>
      <c r="N164" s="105">
        <f>SUMIFS('INPUT Reg'!AJ$94:AJ$109,'INPUT Reg'!$D$94:$D$109,$D164,'INPUT Reg'!$C$94:$C$109,$C164,'INPUT Reg'!$B$94:$B$109,$B164)</f>
        <v>1.9798824579808638E-6</v>
      </c>
      <c r="O164" s="105">
        <f>SUMIFS('INPUT Reg'!AK$94:AK$109,'INPUT Reg'!$D$94:$D$109,$D164,'INPUT Reg'!$C$94:$C$109,$C164,'INPUT Reg'!$B$94:$B$109,$B164)</f>
        <v>3.9783148704231053E-6</v>
      </c>
      <c r="P164" s="105">
        <f>SUMIFS('INPUT Reg'!AL$94:AL$109,'INPUT Reg'!$D$94:$D$109,$D164,'INPUT Reg'!$C$94:$C$109,$C164,'INPUT Reg'!$B$94:$B$109,$B164)</f>
        <v>2.6565773201259191E-6</v>
      </c>
      <c r="Q164" s="105">
        <f>SUMIFS('INPUT Reg'!AM$94:AM$109,'INPUT Reg'!$D$94:$D$109,$D164,'INPUT Reg'!$C$94:$C$109,$C164,'INPUT Reg'!$B$94:$B$109,$B164)</f>
        <v>-0.15517039132793542</v>
      </c>
      <c r="R164" s="105">
        <f>SUMIFS('INPUT Reg'!AN$94:AN$109,'INPUT Reg'!$D$94:$D$109,$D164,'INPUT Reg'!$C$94:$C$109,$C164,'INPUT Reg'!$B$94:$B$109,$B164)</f>
        <v>2.4597426857564386E-6</v>
      </c>
      <c r="S164" s="105">
        <f>SUMIFS('INPUT Reg'!AO$94:AO$109,'INPUT Reg'!$D$94:$D$109,$D164,'INPUT Reg'!$C$94:$C$109,$C164,'INPUT Reg'!$B$94:$B$109,$B164)</f>
        <v>2.5934965555141076E-6</v>
      </c>
      <c r="T164" s="105">
        <f>SUMIFS('INPUT Reg'!AP$94:AP$109,'INPUT Reg'!$D$94:$D$109,$D164,'INPUT Reg'!$C$94:$C$109,$C164,'INPUT Reg'!$B$94:$B$109,$B164)</f>
        <v>1.4968595698494624E-6</v>
      </c>
      <c r="U164" s="105">
        <f>SUMIFS('INPUT Reg'!AQ$94:AQ$109,'INPUT Reg'!$D$94:$D$109,$D164,'INPUT Reg'!$C$94:$C$109,$C164,'INPUT Reg'!$B$94:$B$109,$B164)</f>
        <v>1.7852717226762849E-6</v>
      </c>
      <c r="V164" s="105">
        <f>SUMIFS('INPUT Reg'!AR$94:AR$109,'INPUT Reg'!$D$94:$D$109,$D164,'INPUT Reg'!$C$94:$C$109,$C164,'INPUT Reg'!$B$94:$B$109,$B164)</f>
        <v>-9.5544244331209227E-2</v>
      </c>
      <c r="W164" s="105">
        <f>SUMIFS('INPUT Reg'!AS$94:AS$109,'INPUT Reg'!$D$94:$D$109,$D164,'INPUT Reg'!$C$94:$C$109,$C164,'INPUT Reg'!$B$94:$B$109,$B164)</f>
        <v>2.0315746454002692E-6</v>
      </c>
      <c r="X164" s="105">
        <f>SUMIFS('INPUT Reg'!AT$94:AT$109,'INPUT Reg'!$D$94:$D$109,$D164,'INPUT Reg'!$C$94:$C$109,$C164,'INPUT Reg'!$B$94:$B$109,$B164)</f>
        <v>1.5297717772533304E-6</v>
      </c>
      <c r="Y164" s="105">
        <f>SUMIFS('INPUT Reg'!AU$94:AU$109,'INPUT Reg'!$D$94:$D$109,$D164,'INPUT Reg'!$C$94:$C$109,$C164,'INPUT Reg'!$B$94:$B$109,$B164)</f>
        <v>1.5900087007025832E-6</v>
      </c>
      <c r="Z164" s="105">
        <f>SUMIFS('INPUT Reg'!AV$94:AV$109,'INPUT Reg'!$D$94:$D$109,$D164,'INPUT Reg'!$C$94:$C$109,$C164,'INPUT Reg'!$B$94:$B$109,$B164)</f>
        <v>1.4384577600168313E-6</v>
      </c>
      <c r="AA164" s="105">
        <f>SUMIFS('INPUT Reg'!AW$94:AW$109,'INPUT Reg'!$D$94:$D$109,$D164,'INPUT Reg'!$C$94:$C$109,$C164,'INPUT Reg'!$B$94:$B$109,$B164)</f>
        <v>0</v>
      </c>
    </row>
    <row r="165" spans="1:27" x14ac:dyDescent="0.25">
      <c r="A165" s="101">
        <v>36</v>
      </c>
      <c r="B165" s="47" t="str">
        <f>B153</f>
        <v>Western</v>
      </c>
      <c r="C165" s="47" t="str">
        <f t="shared" ref="C165:D165" si="84">C153</f>
        <v>N</v>
      </c>
      <c r="D165" s="47" t="str">
        <f t="shared" si="84"/>
        <v>Water and Sewer</v>
      </c>
      <c r="E165" s="47" t="s">
        <v>669</v>
      </c>
      <c r="F165" s="47" t="s">
        <v>670</v>
      </c>
      <c r="G165" s="108">
        <f>IF(D165="Water",WW_N_W_N,IF(D165=S,WW_N_S_N,IF(D165=WS,WW_N_W_N+WW_N_S_N,WW_N_R_N)))</f>
        <v>884.72350000000006</v>
      </c>
      <c r="H165" s="106">
        <f>G165*(1+$G$14)*(1+H164)</f>
        <v>884.11995743858836</v>
      </c>
      <c r="I165" s="106">
        <f t="shared" ref="I165:AA165" si="85">H165*(1+$G$14)*(1+I164)</f>
        <v>881.29820806372891</v>
      </c>
      <c r="J165" s="106">
        <f t="shared" si="85"/>
        <v>878.48122761002446</v>
      </c>
      <c r="K165" s="106">
        <f t="shared" si="85"/>
        <v>875.66242316373666</v>
      </c>
      <c r="L165" s="106">
        <f t="shared" si="85"/>
        <v>865.11872853359978</v>
      </c>
      <c r="M165" s="106">
        <f t="shared" si="85"/>
        <v>865.12402061657792</v>
      </c>
      <c r="N165" s="106">
        <f t="shared" si="85"/>
        <v>865.12573346045031</v>
      </c>
      <c r="O165" s="106">
        <f t="shared" si="85"/>
        <v>865.12917520302051</v>
      </c>
      <c r="P165" s="106">
        <f t="shared" si="85"/>
        <v>865.13147348556629</v>
      </c>
      <c r="Q165" s="106">
        <f t="shared" si="85"/>
        <v>730.88868419469759</v>
      </c>
      <c r="R165" s="106">
        <f t="shared" si="85"/>
        <v>730.89048199279262</v>
      </c>
      <c r="S165" s="106">
        <f t="shared" si="85"/>
        <v>730.89237755474016</v>
      </c>
      <c r="T165" s="106">
        <f t="shared" si="85"/>
        <v>730.89347159799001</v>
      </c>
      <c r="U165" s="106">
        <f t="shared" si="85"/>
        <v>730.8947764414371</v>
      </c>
      <c r="V165" s="106">
        <f t="shared" si="85"/>
        <v>661.06198734071188</v>
      </c>
      <c r="W165" s="106">
        <f t="shared" si="85"/>
        <v>661.06333033748444</v>
      </c>
      <c r="X165" s="106">
        <f t="shared" si="85"/>
        <v>661.06434161351012</v>
      </c>
      <c r="Y165" s="106">
        <f t="shared" si="85"/>
        <v>661.06539271156498</v>
      </c>
      <c r="Z165" s="106">
        <f t="shared" si="85"/>
        <v>661.066343626209</v>
      </c>
      <c r="AA165" s="106">
        <f t="shared" si="85"/>
        <v>661.066343626209</v>
      </c>
    </row>
    <row r="166" spans="1:27" x14ac:dyDescent="0.25">
      <c r="B166" s="47" t="str">
        <f>B153</f>
        <v>Western</v>
      </c>
      <c r="C166" s="47" t="str">
        <f t="shared" ref="C166:D166" si="86">C153</f>
        <v>N</v>
      </c>
      <c r="D166" s="47" t="str">
        <f t="shared" si="86"/>
        <v>Water and Sewer</v>
      </c>
      <c r="E166" s="47" t="s">
        <v>671</v>
      </c>
      <c r="F166" s="47" t="s">
        <v>672</v>
      </c>
      <c r="G166" s="109">
        <f>IF(OR(D166=W,D166=WS),WW_N_W_V,IF(D166=RW,WW_N_R_V,0))</f>
        <v>3.0611000000000002</v>
      </c>
      <c r="H166" s="110">
        <f>G166*(1+$G$14)*(1+H164)</f>
        <v>3.0590117722828234</v>
      </c>
      <c r="I166" s="110">
        <f t="shared" ref="I166:AA166" si="87">H166*(1+$G$14)*(1+I164)</f>
        <v>3.049248657579323</v>
      </c>
      <c r="J166" s="110">
        <f t="shared" si="87"/>
        <v>3.0395020431095654</v>
      </c>
      <c r="K166" s="110">
        <f t="shared" si="87"/>
        <v>3.0297491177147595</v>
      </c>
      <c r="L166" s="110">
        <f t="shared" si="87"/>
        <v>2.9932684504415246</v>
      </c>
      <c r="M166" s="110">
        <f t="shared" si="87"/>
        <v>2.993286760789565</v>
      </c>
      <c r="N166" s="110">
        <f t="shared" si="87"/>
        <v>2.9932926871455146</v>
      </c>
      <c r="O166" s="110">
        <f t="shared" si="87"/>
        <v>2.9933045954063235</v>
      </c>
      <c r="P166" s="110">
        <f t="shared" si="87"/>
        <v>2.9933125473514237</v>
      </c>
      <c r="Q166" s="110">
        <f t="shared" si="87"/>
        <v>2.528839068012084</v>
      </c>
      <c r="R166" s="110">
        <f t="shared" si="87"/>
        <v>2.5288452883054848</v>
      </c>
      <c r="S166" s="110">
        <f t="shared" si="87"/>
        <v>2.5288518468570294</v>
      </c>
      <c r="T166" s="110">
        <f t="shared" si="87"/>
        <v>2.528855632193117</v>
      </c>
      <c r="U166" s="110">
        <f t="shared" si="87"/>
        <v>2.5288601468875678</v>
      </c>
      <c r="V166" s="110">
        <f t="shared" si="87"/>
        <v>2.2872421151338842</v>
      </c>
      <c r="W166" s="110">
        <f t="shared" si="87"/>
        <v>2.2872467618369732</v>
      </c>
      <c r="X166" s="110">
        <f t="shared" si="87"/>
        <v>2.2872502608025171</v>
      </c>
      <c r="Y166" s="110">
        <f t="shared" si="87"/>
        <v>2.2872538975503325</v>
      </c>
      <c r="Z166" s="110">
        <f t="shared" si="87"/>
        <v>2.2872571876684504</v>
      </c>
      <c r="AA166" s="110">
        <f t="shared" si="87"/>
        <v>2.2872571876684504</v>
      </c>
    </row>
    <row r="167" spans="1:27" x14ac:dyDescent="0.25">
      <c r="B167" s="47" t="str">
        <f>B153</f>
        <v>Western</v>
      </c>
      <c r="C167" s="47" t="str">
        <f t="shared" ref="C167:D167" si="88">C153</f>
        <v>N</v>
      </c>
      <c r="D167" s="47" t="str">
        <f t="shared" si="88"/>
        <v>Water and Sewer</v>
      </c>
      <c r="E167" s="47" t="s">
        <v>673</v>
      </c>
      <c r="F167" s="47" t="s">
        <v>672</v>
      </c>
      <c r="G167" s="109"/>
      <c r="H167" s="110">
        <f>G167*(1+$G$14)*(1+H164)</f>
        <v>0</v>
      </c>
      <c r="I167" s="110">
        <f t="shared" ref="I167:AA167" si="89">H167*(1+$G$14)*(1+I164)</f>
        <v>0</v>
      </c>
      <c r="J167" s="110">
        <f t="shared" si="89"/>
        <v>0</v>
      </c>
      <c r="K167" s="110">
        <f t="shared" si="89"/>
        <v>0</v>
      </c>
      <c r="L167" s="110">
        <f t="shared" si="89"/>
        <v>0</v>
      </c>
      <c r="M167" s="110">
        <f t="shared" si="89"/>
        <v>0</v>
      </c>
      <c r="N167" s="110">
        <f t="shared" si="89"/>
        <v>0</v>
      </c>
      <c r="O167" s="110">
        <f t="shared" si="89"/>
        <v>0</v>
      </c>
      <c r="P167" s="110">
        <f t="shared" si="89"/>
        <v>0</v>
      </c>
      <c r="Q167" s="110">
        <f t="shared" si="89"/>
        <v>0</v>
      </c>
      <c r="R167" s="110">
        <f t="shared" si="89"/>
        <v>0</v>
      </c>
      <c r="S167" s="110">
        <f t="shared" si="89"/>
        <v>0</v>
      </c>
      <c r="T167" s="110">
        <f t="shared" si="89"/>
        <v>0</v>
      </c>
      <c r="U167" s="110">
        <f t="shared" si="89"/>
        <v>0</v>
      </c>
      <c r="V167" s="110">
        <f t="shared" si="89"/>
        <v>0</v>
      </c>
      <c r="W167" s="110">
        <f t="shared" si="89"/>
        <v>0</v>
      </c>
      <c r="X167" s="110">
        <f t="shared" si="89"/>
        <v>0</v>
      </c>
      <c r="Y167" s="110">
        <f t="shared" si="89"/>
        <v>0</v>
      </c>
      <c r="Z167" s="110">
        <f t="shared" si="89"/>
        <v>0</v>
      </c>
      <c r="AA167" s="110">
        <f t="shared" si="89"/>
        <v>0</v>
      </c>
    </row>
    <row r="168" spans="1:27" x14ac:dyDescent="0.25">
      <c r="B168" s="47" t="str">
        <f>B153</f>
        <v>Western</v>
      </c>
      <c r="C168" s="47" t="str">
        <f t="shared" ref="C168:D168" si="90">C153</f>
        <v>N</v>
      </c>
      <c r="D168" s="47" t="str">
        <f t="shared" si="90"/>
        <v>Water and Sewer</v>
      </c>
      <c r="E168" s="47" t="s">
        <v>674</v>
      </c>
      <c r="F168" s="47" t="s">
        <v>672</v>
      </c>
      <c r="G168" s="109">
        <f>IF(OR(D168=S,D168=WS),WW_N_SDC,0)</f>
        <v>0</v>
      </c>
      <c r="H168" s="110">
        <f>G168*(1+$G$14)*(1+H164)</f>
        <v>0</v>
      </c>
      <c r="I168" s="110">
        <f t="shared" ref="I168:AA168" si="91">H168*(1+$G$14)*(1+I164)</f>
        <v>0</v>
      </c>
      <c r="J168" s="110">
        <f t="shared" si="91"/>
        <v>0</v>
      </c>
      <c r="K168" s="110">
        <f t="shared" si="91"/>
        <v>0</v>
      </c>
      <c r="L168" s="110">
        <f t="shared" si="91"/>
        <v>0</v>
      </c>
      <c r="M168" s="110">
        <f t="shared" si="91"/>
        <v>0</v>
      </c>
      <c r="N168" s="110">
        <f t="shared" si="91"/>
        <v>0</v>
      </c>
      <c r="O168" s="110">
        <f t="shared" si="91"/>
        <v>0</v>
      </c>
      <c r="P168" s="110">
        <f t="shared" si="91"/>
        <v>0</v>
      </c>
      <c r="Q168" s="110">
        <f t="shared" si="91"/>
        <v>0</v>
      </c>
      <c r="R168" s="110">
        <f t="shared" si="91"/>
        <v>0</v>
      </c>
      <c r="S168" s="110">
        <f t="shared" si="91"/>
        <v>0</v>
      </c>
      <c r="T168" s="110">
        <f t="shared" si="91"/>
        <v>0</v>
      </c>
      <c r="U168" s="110">
        <f t="shared" si="91"/>
        <v>0</v>
      </c>
      <c r="V168" s="110">
        <f t="shared" si="91"/>
        <v>0</v>
      </c>
      <c r="W168" s="110">
        <f t="shared" si="91"/>
        <v>0</v>
      </c>
      <c r="X168" s="110">
        <f t="shared" si="91"/>
        <v>0</v>
      </c>
      <c r="Y168" s="110">
        <f t="shared" si="91"/>
        <v>0</v>
      </c>
      <c r="Z168" s="110">
        <f t="shared" si="91"/>
        <v>0</v>
      </c>
      <c r="AA168" s="110">
        <f t="shared" si="91"/>
        <v>0</v>
      </c>
    </row>
    <row r="169" spans="1:27" x14ac:dyDescent="0.25">
      <c r="C169" s="100"/>
      <c r="D169" s="100"/>
    </row>
    <row r="170" spans="1:27" x14ac:dyDescent="0.25">
      <c r="C170" s="100"/>
      <c r="D170" s="100"/>
      <c r="E170" s="47" t="s">
        <v>685</v>
      </c>
      <c r="F170" s="47" t="s">
        <v>676</v>
      </c>
      <c r="H170" s="106">
        <f>SUM(H161:H163)/1000</f>
        <v>62.886403385215381</v>
      </c>
      <c r="I170" s="106">
        <f t="shared" ref="I170:AA170" si="92">SUM(I161:I163)/1000</f>
        <v>134.94639628051277</v>
      </c>
      <c r="J170" s="106">
        <f t="shared" si="92"/>
        <v>198.57140275693399</v>
      </c>
      <c r="K170" s="106">
        <f t="shared" si="92"/>
        <v>271.31371803034421</v>
      </c>
      <c r="L170" s="106">
        <f t="shared" si="92"/>
        <v>365.55025949331718</v>
      </c>
      <c r="M170" s="106">
        <f t="shared" si="92"/>
        <v>469.0967530944763</v>
      </c>
      <c r="N170" s="106">
        <f t="shared" si="92"/>
        <v>560.55817784960186</v>
      </c>
      <c r="O170" s="106">
        <f t="shared" si="92"/>
        <v>643.67253550641919</v>
      </c>
      <c r="P170" s="106">
        <f t="shared" si="92"/>
        <v>721.1561165254119</v>
      </c>
      <c r="Q170" s="106">
        <f t="shared" si="92"/>
        <v>799.22065143231112</v>
      </c>
      <c r="R170" s="106">
        <f t="shared" si="92"/>
        <v>878.06102367117205</v>
      </c>
      <c r="S170" s="106">
        <f t="shared" si="92"/>
        <v>960.94294089519235</v>
      </c>
      <c r="T170" s="106">
        <f t="shared" si="92"/>
        <v>1041.2226009795513</v>
      </c>
      <c r="U170" s="106">
        <f t="shared" si="92"/>
        <v>1131.8959368667845</v>
      </c>
      <c r="V170" s="106">
        <f t="shared" si="92"/>
        <v>1225.1551482966022</v>
      </c>
      <c r="W170" s="106">
        <f t="shared" si="92"/>
        <v>1331.9517018883766</v>
      </c>
      <c r="X170" s="106">
        <f t="shared" si="92"/>
        <v>1442.8663989461691</v>
      </c>
      <c r="Y170" s="106">
        <f t="shared" si="92"/>
        <v>1556.1380695229457</v>
      </c>
      <c r="Z170" s="106">
        <f t="shared" si="92"/>
        <v>1668.5490395888849</v>
      </c>
      <c r="AA170" s="106">
        <f t="shared" si="92"/>
        <v>1776.0076778789601</v>
      </c>
    </row>
    <row r="171" spans="1:27" x14ac:dyDescent="0.25">
      <c r="C171" s="100"/>
      <c r="D171" s="100"/>
      <c r="E171" s="47" t="s">
        <v>686</v>
      </c>
      <c r="F171" s="47" t="s">
        <v>639</v>
      </c>
      <c r="H171" s="106">
        <f>H154*H165+H161*H166+H162*H167+H163*H168</f>
        <v>181812.22243211779</v>
      </c>
      <c r="I171" s="106">
        <f t="shared" ref="I171:AA171" si="93">I154*I165+I161*I166+I162*I167+I163*I168</f>
        <v>389658.50500056171</v>
      </c>
      <c r="J171" s="106">
        <f t="shared" si="93"/>
        <v>571039.02866062336</v>
      </c>
      <c r="K171" s="106">
        <f t="shared" si="93"/>
        <v>777463.80965835974</v>
      </c>
      <c r="L171" s="106">
        <f t="shared" si="93"/>
        <v>1038030.8078052141</v>
      </c>
      <c r="M171" s="106">
        <f t="shared" si="93"/>
        <v>1336316.430449083</v>
      </c>
      <c r="N171" s="106">
        <f t="shared" si="93"/>
        <v>1601031.8308427026</v>
      </c>
      <c r="O171" s="106">
        <f t="shared" si="93"/>
        <v>1841789.6035887189</v>
      </c>
      <c r="P171" s="106">
        <f t="shared" si="93"/>
        <v>2070651.5541190142</v>
      </c>
      <c r="Q171" s="106">
        <f t="shared" si="93"/>
        <v>1943812.2070884034</v>
      </c>
      <c r="R171" s="106">
        <f t="shared" si="93"/>
        <v>2140256.1686659134</v>
      </c>
      <c r="S171" s="106">
        <f t="shared" si="93"/>
        <v>2344186.0917758099</v>
      </c>
      <c r="T171" s="106">
        <f t="shared" si="93"/>
        <v>2545979.3933642665</v>
      </c>
      <c r="U171" s="106">
        <f t="shared" si="93"/>
        <v>2771651.3264910253</v>
      </c>
      <c r="V171" s="106">
        <f t="shared" si="93"/>
        <v>2717561.5273412494</v>
      </c>
      <c r="W171" s="106">
        <f t="shared" si="93"/>
        <v>2955066.727770933</v>
      </c>
      <c r="X171" s="106">
        <f t="shared" si="93"/>
        <v>3205914.3702926571</v>
      </c>
      <c r="Y171" s="106">
        <f t="shared" si="93"/>
        <v>3458892.1815068964</v>
      </c>
      <c r="Z171" s="106">
        <f t="shared" si="93"/>
        <v>3708293.0045283185</v>
      </c>
      <c r="AA171" s="106">
        <f t="shared" si="93"/>
        <v>3947116.1419923562</v>
      </c>
    </row>
    <row r="172" spans="1:27" x14ac:dyDescent="0.25">
      <c r="C172" s="100"/>
      <c r="D172" s="100"/>
    </row>
    <row r="173" spans="1:27" x14ac:dyDescent="0.25">
      <c r="C173" s="100"/>
      <c r="D173" s="47" t="s">
        <v>687</v>
      </c>
    </row>
    <row r="174" spans="1:27" x14ac:dyDescent="0.25">
      <c r="C174" s="100"/>
      <c r="E174" s="47" t="s">
        <v>688</v>
      </c>
      <c r="F174" s="47" t="s">
        <v>655</v>
      </c>
      <c r="H174" s="47">
        <f t="shared" ref="H174:AA175" si="94">SUM(H93,H114,H135,H156)</f>
        <v>15544.971090414179</v>
      </c>
      <c r="I174" s="47">
        <f t="shared" si="94"/>
        <v>16336.952034106584</v>
      </c>
      <c r="J174" s="47">
        <f t="shared" si="94"/>
        <v>13938.044697859257</v>
      </c>
      <c r="K174" s="47">
        <f t="shared" si="94"/>
        <v>14031.794595694702</v>
      </c>
      <c r="L174" s="47">
        <f t="shared" si="94"/>
        <v>13937.451247315776</v>
      </c>
      <c r="M174" s="47">
        <f t="shared" si="94"/>
        <v>13685.416900912205</v>
      </c>
      <c r="N174" s="47">
        <f t="shared" si="94"/>
        <v>13614.991037745334</v>
      </c>
      <c r="O174" s="47">
        <f t="shared" si="94"/>
        <v>13888.246371275058</v>
      </c>
      <c r="P174" s="47">
        <f t="shared" si="94"/>
        <v>14110.263612463896</v>
      </c>
      <c r="Q174" s="47">
        <f t="shared" si="94"/>
        <v>14426.067610562834</v>
      </c>
      <c r="R174" s="47">
        <f t="shared" si="94"/>
        <v>14747.112436557705</v>
      </c>
      <c r="S174" s="47">
        <f t="shared" si="94"/>
        <v>14990.411775872697</v>
      </c>
      <c r="T174" s="47">
        <f t="shared" si="94"/>
        <v>15210.339322882628</v>
      </c>
      <c r="U174" s="47">
        <f t="shared" si="94"/>
        <v>15345.611145822648</v>
      </c>
      <c r="V174" s="47">
        <f t="shared" si="94"/>
        <v>15466.518001478984</v>
      </c>
      <c r="W174" s="47">
        <f t="shared" si="94"/>
        <v>15506.75763924179</v>
      </c>
      <c r="X174" s="47">
        <f t="shared" si="94"/>
        <v>15601.596615746465</v>
      </c>
      <c r="Y174" s="47">
        <f t="shared" si="94"/>
        <v>15516.898538700236</v>
      </c>
      <c r="Z174" s="47">
        <f t="shared" si="94"/>
        <v>15535.883043481299</v>
      </c>
      <c r="AA174" s="47">
        <f t="shared" si="94"/>
        <v>15654.810697922205</v>
      </c>
    </row>
    <row r="175" spans="1:27" x14ac:dyDescent="0.25">
      <c r="C175" s="100"/>
      <c r="D175" s="100"/>
      <c r="E175" s="47" t="s">
        <v>689</v>
      </c>
      <c r="F175" s="47" t="s">
        <v>655</v>
      </c>
      <c r="H175" s="47">
        <f t="shared" si="94"/>
        <v>15544.971090414179</v>
      </c>
      <c r="I175" s="47">
        <f t="shared" si="94"/>
        <v>31881.923124520763</v>
      </c>
      <c r="J175" s="47">
        <f t="shared" si="94"/>
        <v>45819.967822380022</v>
      </c>
      <c r="K175" s="47">
        <f t="shared" si="94"/>
        <v>59851.762418074723</v>
      </c>
      <c r="L175" s="47">
        <f t="shared" si="94"/>
        <v>73789.213665390504</v>
      </c>
      <c r="M175" s="47">
        <f t="shared" si="94"/>
        <v>87474.630566302716</v>
      </c>
      <c r="N175" s="47">
        <f t="shared" si="94"/>
        <v>101089.62160404805</v>
      </c>
      <c r="O175" s="47">
        <f t="shared" si="94"/>
        <v>114977.86797532311</v>
      </c>
      <c r="P175" s="47">
        <f t="shared" si="94"/>
        <v>129088.13158778701</v>
      </c>
      <c r="Q175" s="47">
        <f t="shared" si="94"/>
        <v>143514.19919834982</v>
      </c>
      <c r="R175" s="47">
        <f t="shared" si="94"/>
        <v>158261.31163490753</v>
      </c>
      <c r="S175" s="47">
        <f t="shared" si="94"/>
        <v>173251.72341078025</v>
      </c>
      <c r="T175" s="47">
        <f t="shared" si="94"/>
        <v>188462.06273366287</v>
      </c>
      <c r="U175" s="47">
        <f t="shared" si="94"/>
        <v>203807.67387948552</v>
      </c>
      <c r="V175" s="47">
        <f t="shared" si="94"/>
        <v>219274.1918809645</v>
      </c>
      <c r="W175" s="47">
        <f t="shared" si="94"/>
        <v>234780.94952020628</v>
      </c>
      <c r="X175" s="47">
        <f t="shared" si="94"/>
        <v>250382.54613595275</v>
      </c>
      <c r="Y175" s="47">
        <f t="shared" si="94"/>
        <v>265899.44467465294</v>
      </c>
      <c r="Z175" s="47">
        <f t="shared" si="94"/>
        <v>281435.32771813427</v>
      </c>
      <c r="AA175" s="47">
        <f t="shared" si="94"/>
        <v>297090.13841605652</v>
      </c>
    </row>
    <row r="176" spans="1:27" x14ac:dyDescent="0.25">
      <c r="C176" s="100"/>
      <c r="D176" s="100"/>
      <c r="E176" s="47" t="s">
        <v>690</v>
      </c>
      <c r="F176" s="47" t="s">
        <v>676</v>
      </c>
      <c r="H176" s="106">
        <f t="shared" ref="H176:AA177" si="95">SUM(H107,H128,H149,H170)</f>
        <v>4518.715999018159</v>
      </c>
      <c r="I176" s="106">
        <f t="shared" si="95"/>
        <v>9273.4968472498385</v>
      </c>
      <c r="J176" s="106">
        <f t="shared" si="95"/>
        <v>13091.963234234214</v>
      </c>
      <c r="K176" s="106">
        <f t="shared" si="95"/>
        <v>16936.880368587761</v>
      </c>
      <c r="L176" s="106">
        <f t="shared" si="95"/>
        <v>20694.784131662771</v>
      </c>
      <c r="M176" s="106">
        <f t="shared" si="95"/>
        <v>24154.180095796371</v>
      </c>
      <c r="N176" s="106">
        <f t="shared" si="95"/>
        <v>27882.315981698102</v>
      </c>
      <c r="O176" s="106">
        <f t="shared" si="95"/>
        <v>31448.145300398737</v>
      </c>
      <c r="P176" s="106">
        <f t="shared" si="95"/>
        <v>34999.11841071547</v>
      </c>
      <c r="Q176" s="106">
        <f t="shared" si="95"/>
        <v>38279.058752936478</v>
      </c>
      <c r="R176" s="106">
        <f t="shared" si="95"/>
        <v>41859.058916859722</v>
      </c>
      <c r="S176" s="106">
        <f t="shared" si="95"/>
        <v>45464.675820098382</v>
      </c>
      <c r="T176" s="106">
        <f t="shared" si="95"/>
        <v>49065.292092012285</v>
      </c>
      <c r="U176" s="106">
        <f t="shared" si="95"/>
        <v>52669.072252144419</v>
      </c>
      <c r="V176" s="106">
        <f t="shared" si="95"/>
        <v>56259.566889653623</v>
      </c>
      <c r="W176" s="106">
        <f t="shared" si="95"/>
        <v>59828.696285975115</v>
      </c>
      <c r="X176" s="106">
        <f t="shared" si="95"/>
        <v>63159.946823924758</v>
      </c>
      <c r="Y176" s="106">
        <f t="shared" si="95"/>
        <v>66664.8283550864</v>
      </c>
      <c r="Z176" s="106">
        <f t="shared" si="95"/>
        <v>70149.225181835864</v>
      </c>
      <c r="AA176" s="106">
        <f t="shared" si="95"/>
        <v>74115.429846909945</v>
      </c>
    </row>
    <row r="177" spans="1:27" x14ac:dyDescent="0.25">
      <c r="C177" s="100"/>
      <c r="D177" s="100"/>
      <c r="E177" s="47" t="s">
        <v>691</v>
      </c>
      <c r="F177" s="47" t="s">
        <v>639</v>
      </c>
      <c r="H177" s="106">
        <f t="shared" si="95"/>
        <v>18421045.867623996</v>
      </c>
      <c r="I177" s="106">
        <f t="shared" si="95"/>
        <v>37859756.38162265</v>
      </c>
      <c r="J177" s="106">
        <f t="shared" si="95"/>
        <v>53939757.599666893</v>
      </c>
      <c r="K177" s="106">
        <f t="shared" si="95"/>
        <v>70148874.064151764</v>
      </c>
      <c r="L177" s="106">
        <f t="shared" si="95"/>
        <v>85352978.70745568</v>
      </c>
      <c r="M177" s="106">
        <f t="shared" si="95"/>
        <v>100464187.39598957</v>
      </c>
      <c r="N177" s="106">
        <f t="shared" si="95"/>
        <v>116185625.83560775</v>
      </c>
      <c r="O177" s="106">
        <f t="shared" si="95"/>
        <v>131753286.99678124</v>
      </c>
      <c r="P177" s="106">
        <f t="shared" si="95"/>
        <v>147488122.01223531</v>
      </c>
      <c r="Q177" s="106">
        <f t="shared" si="95"/>
        <v>147273901.50236818</v>
      </c>
      <c r="R177" s="106">
        <f t="shared" si="95"/>
        <v>161668406.18924841</v>
      </c>
      <c r="S177" s="106">
        <f t="shared" si="95"/>
        <v>176223997.87700218</v>
      </c>
      <c r="T177" s="106">
        <f t="shared" si="95"/>
        <v>190883752.42088783</v>
      </c>
      <c r="U177" s="106">
        <f t="shared" si="95"/>
        <v>205599622.15226832</v>
      </c>
      <c r="V177" s="106">
        <f t="shared" si="95"/>
        <v>200727726.10459125</v>
      </c>
      <c r="W177" s="106">
        <f t="shared" si="95"/>
        <v>214119242.91104704</v>
      </c>
      <c r="X177" s="106">
        <f t="shared" si="95"/>
        <v>227110062.13946748</v>
      </c>
      <c r="Y177" s="106">
        <f t="shared" si="95"/>
        <v>240372907.11903542</v>
      </c>
      <c r="Z177" s="106">
        <f t="shared" si="95"/>
        <v>253598332.49543279</v>
      </c>
      <c r="AA177" s="106">
        <f t="shared" si="95"/>
        <v>267801830.59767011</v>
      </c>
    </row>
    <row r="178" spans="1:27" x14ac:dyDescent="0.25">
      <c r="C178" s="100"/>
      <c r="D178" s="100"/>
      <c r="H178" s="106"/>
    </row>
    <row r="179" spans="1:27" x14ac:dyDescent="0.25">
      <c r="C179" s="100"/>
      <c r="D179" s="100"/>
      <c r="E179" s="111" t="s">
        <v>692</v>
      </c>
      <c r="F179" s="111" t="s">
        <v>693</v>
      </c>
      <c r="G179" s="111"/>
      <c r="H179" s="112">
        <f>H176*1000/H175</f>
        <v>290.68667755867551</v>
      </c>
      <c r="I179" s="112">
        <f t="shared" ref="I179:AA179" si="96">I176*1000/I175</f>
        <v>290.8700585918383</v>
      </c>
      <c r="J179" s="112">
        <f t="shared" si="96"/>
        <v>285.72615513360654</v>
      </c>
      <c r="K179" s="112">
        <f t="shared" si="96"/>
        <v>282.98047850756302</v>
      </c>
      <c r="L179" s="112">
        <f t="shared" si="96"/>
        <v>280.45811987517203</v>
      </c>
      <c r="M179" s="112">
        <f t="shared" si="96"/>
        <v>276.12783202883435</v>
      </c>
      <c r="N179" s="112">
        <f t="shared" si="96"/>
        <v>275.81778959375964</v>
      </c>
      <c r="O179" s="112">
        <f t="shared" si="96"/>
        <v>273.514771618032</v>
      </c>
      <c r="P179" s="112">
        <f t="shared" si="96"/>
        <v>271.12576485712128</v>
      </c>
      <c r="Q179" s="112">
        <f t="shared" si="96"/>
        <v>266.72663030388583</v>
      </c>
      <c r="R179" s="112">
        <f t="shared" si="96"/>
        <v>264.49331478702919</v>
      </c>
      <c r="S179" s="112">
        <f t="shared" si="96"/>
        <v>262.41976082570636</v>
      </c>
      <c r="T179" s="112">
        <f t="shared" si="96"/>
        <v>260.34572359187229</v>
      </c>
      <c r="U179" s="112">
        <f t="shared" si="96"/>
        <v>258.42536372447103</v>
      </c>
      <c r="V179" s="112">
        <f t="shared" si="96"/>
        <v>256.57176709694488</v>
      </c>
      <c r="W179" s="112">
        <f t="shared" si="96"/>
        <v>254.82772945692508</v>
      </c>
      <c r="X179" s="112">
        <f t="shared" si="96"/>
        <v>252.2537924413875</v>
      </c>
      <c r="Y179" s="112">
        <f t="shared" si="96"/>
        <v>250.71443243010756</v>
      </c>
      <c r="Z179" s="112">
        <f t="shared" si="96"/>
        <v>249.25522232977221</v>
      </c>
      <c r="AA179" s="112">
        <f t="shared" si="96"/>
        <v>249.47118824629521</v>
      </c>
    </row>
    <row r="180" spans="1:27" x14ac:dyDescent="0.25">
      <c r="C180" s="100"/>
      <c r="D180" s="100"/>
      <c r="E180" s="111" t="s">
        <v>694</v>
      </c>
      <c r="F180" s="111" t="s">
        <v>695</v>
      </c>
      <c r="G180" s="111"/>
      <c r="H180" s="112">
        <f>H177/H175</f>
        <v>1185.0164120911973</v>
      </c>
      <c r="I180" s="112">
        <f t="shared" ref="I180:AA180" si="97">I177/I175</f>
        <v>1187.4991428137616</v>
      </c>
      <c r="J180" s="112">
        <f t="shared" si="97"/>
        <v>1177.2107263096088</v>
      </c>
      <c r="K180" s="112">
        <f t="shared" si="97"/>
        <v>1172.0435828463992</v>
      </c>
      <c r="L180" s="112">
        <f t="shared" si="97"/>
        <v>1156.7134878886634</v>
      </c>
      <c r="M180" s="112">
        <f t="shared" si="97"/>
        <v>1148.4951321953995</v>
      </c>
      <c r="N180" s="112">
        <f t="shared" si="97"/>
        <v>1149.3328790040223</v>
      </c>
      <c r="O180" s="112">
        <f t="shared" si="97"/>
        <v>1145.9012879335919</v>
      </c>
      <c r="P180" s="112">
        <f t="shared" si="97"/>
        <v>1142.5382039241563</v>
      </c>
      <c r="Q180" s="112">
        <f t="shared" si="97"/>
        <v>1026.1974238439091</v>
      </c>
      <c r="R180" s="112">
        <f t="shared" si="97"/>
        <v>1021.5282845765913</v>
      </c>
      <c r="S180" s="112">
        <f t="shared" si="97"/>
        <v>1017.1558147169172</v>
      </c>
      <c r="T180" s="112">
        <f t="shared" si="97"/>
        <v>1012.8497462677533</v>
      </c>
      <c r="U180" s="112">
        <f t="shared" si="97"/>
        <v>1008.7923493687603</v>
      </c>
      <c r="V180" s="112">
        <f t="shared" si="97"/>
        <v>915.41883877314024</v>
      </c>
      <c r="W180" s="112">
        <f t="shared" si="97"/>
        <v>911.99581289971309</v>
      </c>
      <c r="X180" s="112">
        <f t="shared" si="97"/>
        <v>907.05229116150622</v>
      </c>
      <c r="Y180" s="112">
        <f t="shared" si="97"/>
        <v>903.99928218409377</v>
      </c>
      <c r="Z180" s="112">
        <f t="shared" si="97"/>
        <v>901.08919356925571</v>
      </c>
      <c r="AA180" s="112">
        <f t="shared" si="97"/>
        <v>901.41608881890943</v>
      </c>
    </row>
    <row r="181" spans="1:27" x14ac:dyDescent="0.25">
      <c r="C181" s="100"/>
      <c r="D181" s="100"/>
      <c r="E181" s="111" t="s">
        <v>696</v>
      </c>
      <c r="F181" s="111" t="s">
        <v>697</v>
      </c>
      <c r="G181" s="111"/>
      <c r="H181" s="112">
        <f>H177/H176</f>
        <v>4076.6106725066543</v>
      </c>
      <c r="I181" s="112">
        <f t="shared" ref="I181:AA181" si="98">I177/I176</f>
        <v>4082.5760773133161</v>
      </c>
      <c r="J181" s="112">
        <f t="shared" si="98"/>
        <v>4120.0663822993074</v>
      </c>
      <c r="K181" s="112">
        <f t="shared" si="98"/>
        <v>4141.782461559711</v>
      </c>
      <c r="L181" s="112">
        <f t="shared" si="98"/>
        <v>4124.3715404050363</v>
      </c>
      <c r="M181" s="112">
        <f t="shared" si="98"/>
        <v>4159.2878333085573</v>
      </c>
      <c r="N181" s="112">
        <f t="shared" si="98"/>
        <v>4167.0005429919011</v>
      </c>
      <c r="O181" s="112">
        <f t="shared" si="98"/>
        <v>4189.5407738118893</v>
      </c>
      <c r="P181" s="112">
        <f t="shared" si="98"/>
        <v>4214.0524878786591</v>
      </c>
      <c r="Q181" s="112">
        <f t="shared" si="98"/>
        <v>3847.375204623349</v>
      </c>
      <c r="R181" s="112">
        <f t="shared" si="98"/>
        <v>3862.2083336931555</v>
      </c>
      <c r="S181" s="112">
        <f t="shared" si="98"/>
        <v>3876.0641024762253</v>
      </c>
      <c r="T181" s="112">
        <f t="shared" si="98"/>
        <v>3890.4028546884624</v>
      </c>
      <c r="U181" s="112">
        <f t="shared" si="98"/>
        <v>3903.6119939230057</v>
      </c>
      <c r="V181" s="112">
        <f t="shared" si="98"/>
        <v>3567.8860894591412</v>
      </c>
      <c r="W181" s="112">
        <f t="shared" si="98"/>
        <v>3578.8719494668367</v>
      </c>
      <c r="X181" s="112">
        <f t="shared" si="98"/>
        <v>3595.7924849524893</v>
      </c>
      <c r="Y181" s="112">
        <f t="shared" si="98"/>
        <v>3605.6930325943817</v>
      </c>
      <c r="Z181" s="112">
        <f t="shared" si="98"/>
        <v>3615.1266366531222</v>
      </c>
      <c r="AA181" s="112">
        <f t="shared" si="98"/>
        <v>3613.3073929522034</v>
      </c>
    </row>
    <row r="182" spans="1:27" x14ac:dyDescent="0.25">
      <c r="C182" s="100"/>
      <c r="D182" s="100"/>
    </row>
    <row r="183" spans="1:27" x14ac:dyDescent="0.25">
      <c r="C183" s="100" t="str">
        <f>"Incremental "&amp;VLOOKUP(G4,E320:F323,2,FALSE)&amp;" Charges"</f>
        <v>Incremental Bulk Water and Sewer Charges</v>
      </c>
      <c r="H183" s="106"/>
      <c r="I183" s="106"/>
      <c r="J183" s="106"/>
      <c r="K183" s="106"/>
      <c r="L183" s="106"/>
      <c r="M183" s="106"/>
      <c r="N183" s="106"/>
      <c r="O183" s="106"/>
      <c r="P183" s="106"/>
      <c r="Q183" s="106"/>
      <c r="R183" s="106"/>
      <c r="S183" s="106"/>
      <c r="T183" s="106"/>
      <c r="U183" s="106"/>
      <c r="V183" s="106"/>
      <c r="W183" s="106"/>
      <c r="X183" s="106"/>
      <c r="Y183" s="106"/>
      <c r="Z183" s="106"/>
      <c r="AA183" s="106"/>
    </row>
    <row r="184" spans="1:27" x14ac:dyDescent="0.25">
      <c r="A184" s="101">
        <v>37</v>
      </c>
      <c r="E184" s="47" t="s">
        <v>698</v>
      </c>
      <c r="F184" s="47" t="s">
        <v>633</v>
      </c>
      <c r="H184" s="113">
        <f>IFERROR(SUMIFS('INPUT Opex'!AD$63:AD$72,'INPUT Opex'!$A$63:$A$72,$A$1)/SUMIFS('INPUT Opex'!AC$63:AC$72,'INPUT Opex'!$A$63:$A$72,$A$1)-1,0)</f>
        <v>0</v>
      </c>
      <c r="I184" s="113">
        <f>IFERROR(SUMIFS('INPUT Opex'!AE$63:AE$72,'INPUT Opex'!$A$63:$A$72,$A$1)/SUMIFS('INPUT Opex'!AD$63:AD$72,'INPUT Opex'!$A$63:$A$72,$A$1)-1,0)</f>
        <v>0</v>
      </c>
      <c r="J184" s="113">
        <f>IFERROR(SUMIFS('INPUT Opex'!AF$63:AF$72,'INPUT Opex'!$A$63:$A$72,$A$1)/SUMIFS('INPUT Opex'!AE$63:AE$72,'INPUT Opex'!$A$63:$A$72,$A$1)-1,0)</f>
        <v>0</v>
      </c>
      <c r="K184" s="113">
        <f>IFERROR(SUMIFS('INPUT Opex'!AG$63:AG$72,'INPUT Opex'!$A$63:$A$72,$A$1)/SUMIFS('INPUT Opex'!AF$63:AF$72,'INPUT Opex'!$A$63:$A$72,$A$1)-1,0)</f>
        <v>0</v>
      </c>
      <c r="L184" s="113">
        <f>IFERROR(SUMIFS('INPUT Opex'!AH$63:AH$72,'INPUT Opex'!$A$63:$A$72,$A$1)/SUMIFS('INPUT Opex'!AG$63:AG$72,'INPUT Opex'!$A$63:$A$72,$A$1)-1,0)</f>
        <v>0</v>
      </c>
      <c r="M184" s="113">
        <f>IFERROR(SUMIFS('INPUT Opex'!AI$63:AI$72,'INPUT Opex'!$A$63:$A$72,$A$1)/SUMIFS('INPUT Opex'!AH$63:AH$72,'INPUT Opex'!$A$63:$A$72,$A$1)-1,0)</f>
        <v>0</v>
      </c>
      <c r="N184" s="113">
        <f>IFERROR(SUMIFS('INPUT Opex'!AJ$63:AJ$72,'INPUT Opex'!$A$63:$A$72,$A$1)/SUMIFS('INPUT Opex'!AI$63:AI$72,'INPUT Opex'!$A$63:$A$72,$A$1)-1,0)</f>
        <v>0</v>
      </c>
      <c r="O184" s="113">
        <f>IFERROR(SUMIFS('INPUT Opex'!AK$63:AK$72,'INPUT Opex'!$A$63:$A$72,$A$1)/SUMIFS('INPUT Opex'!AJ$63:AJ$72,'INPUT Opex'!$A$63:$A$72,$A$1)-1,0)</f>
        <v>0</v>
      </c>
      <c r="P184" s="113">
        <f>IFERROR(SUMIFS('INPUT Opex'!AL$63:AL$72,'INPUT Opex'!$A$63:$A$72,$A$1)/SUMIFS('INPUT Opex'!AK$63:AK$72,'INPUT Opex'!$A$63:$A$72,$A$1)-1,0)</f>
        <v>0</v>
      </c>
      <c r="Q184" s="113">
        <f>IFERROR(SUMIFS('INPUT Opex'!AM$63:AM$72,'INPUT Opex'!$A$63:$A$72,$A$1)/SUMIFS('INPUT Opex'!AL$63:AL$72,'INPUT Opex'!$A$63:$A$72,$A$1)-1,0)</f>
        <v>0</v>
      </c>
      <c r="R184" s="113">
        <f>IFERROR(SUMIFS('INPUT Opex'!AN$63:AN$72,'INPUT Opex'!$A$63:$A$72,$A$1)/SUMIFS('INPUT Opex'!AM$63:AM$72,'INPUT Opex'!$A$63:$A$72,$A$1)-1,0)</f>
        <v>0</v>
      </c>
      <c r="S184" s="113">
        <f>IFERROR(SUMIFS('INPUT Opex'!AO$63:AO$72,'INPUT Opex'!$A$63:$A$72,$A$1)/SUMIFS('INPUT Opex'!AN$63:AN$72,'INPUT Opex'!$A$63:$A$72,$A$1)-1,0)</f>
        <v>0</v>
      </c>
      <c r="T184" s="113">
        <f>IFERROR(SUMIFS('INPUT Opex'!AP$63:AP$72,'INPUT Opex'!$A$63:$A$72,$A$1)/SUMIFS('INPUT Opex'!AO$63:AO$72,'INPUT Opex'!$A$63:$A$72,$A$1)-1,0)</f>
        <v>0</v>
      </c>
      <c r="U184" s="113">
        <f>IFERROR(SUMIFS('INPUT Opex'!AQ$63:AQ$72,'INPUT Opex'!$A$63:$A$72,$A$1)/SUMIFS('INPUT Opex'!AP$63:AP$72,'INPUT Opex'!$A$63:$A$72,$A$1)-1,0)</f>
        <v>0</v>
      </c>
      <c r="V184" s="113">
        <f>IFERROR(SUMIFS('INPUT Opex'!AR$63:AR$72,'INPUT Opex'!$A$63:$A$72,$A$1)/SUMIFS('INPUT Opex'!AQ$63:AQ$72,'INPUT Opex'!$A$63:$A$72,$A$1)-1,0)</f>
        <v>0</v>
      </c>
      <c r="W184" s="113">
        <f>IFERROR(SUMIFS('INPUT Opex'!AS$63:AS$72,'INPUT Opex'!$A$63:$A$72,$A$1)/SUMIFS('INPUT Opex'!AR$63:AR$72,'INPUT Opex'!$A$63:$A$72,$A$1)-1,0)</f>
        <v>0</v>
      </c>
      <c r="X184" s="113">
        <f>IFERROR(SUMIFS('INPUT Opex'!AT$63:AT$72,'INPUT Opex'!$A$63:$A$72,$A$1)/SUMIFS('INPUT Opex'!AS$63:AS$72,'INPUT Opex'!$A$63:$A$72,$A$1)-1,0)</f>
        <v>0</v>
      </c>
      <c r="Y184" s="113">
        <f>IFERROR(SUMIFS('INPUT Opex'!AU$63:AU$72,'INPUT Opex'!$A$63:$A$72,$A$1)/SUMIFS('INPUT Opex'!AT$63:AT$72,'INPUT Opex'!$A$63:$A$72,$A$1)-1,0)</f>
        <v>0</v>
      </c>
      <c r="Z184" s="113">
        <f>IFERROR(SUMIFS('INPUT Opex'!AV$63:AV$72,'INPUT Opex'!$A$63:$A$72,$A$1)/SUMIFS('INPUT Opex'!AU$63:AU$72,'INPUT Opex'!$A$63:$A$72,$A$1)-1,0)</f>
        <v>0</v>
      </c>
      <c r="AA184" s="113">
        <f>IFERROR(SUMIFS('INPUT Opex'!AW$63:AW$72,'INPUT Opex'!$A$63:$A$72,$A$1)/SUMIFS('INPUT Opex'!AV$63:AV$72,'INPUT Opex'!$A$63:$A$72,$A$1)-1,0)</f>
        <v>0</v>
      </c>
    </row>
    <row r="185" spans="1:27" x14ac:dyDescent="0.25">
      <c r="A185" s="101">
        <v>38</v>
      </c>
      <c r="E185" s="47" t="s">
        <v>699</v>
      </c>
      <c r="F185" s="47" t="s">
        <v>697</v>
      </c>
      <c r="G185" s="102">
        <f>SUMIFS('INPUT Opex'!AC$63:AC$72,'INPUT Opex'!$A$63:$A$72,$A$1)</f>
        <v>0</v>
      </c>
      <c r="H185" s="106">
        <f t="shared" ref="H185:AA185" si="99">G185*(1+$G$14)*(1+H184)</f>
        <v>0</v>
      </c>
      <c r="I185" s="106">
        <f t="shared" si="99"/>
        <v>0</v>
      </c>
      <c r="J185" s="106">
        <f t="shared" si="99"/>
        <v>0</v>
      </c>
      <c r="K185" s="106">
        <f t="shared" si="99"/>
        <v>0</v>
      </c>
      <c r="L185" s="106">
        <f t="shared" si="99"/>
        <v>0</v>
      </c>
      <c r="M185" s="106">
        <f t="shared" si="99"/>
        <v>0</v>
      </c>
      <c r="N185" s="106">
        <f t="shared" si="99"/>
        <v>0</v>
      </c>
      <c r="O185" s="106">
        <f t="shared" si="99"/>
        <v>0</v>
      </c>
      <c r="P185" s="106">
        <f t="shared" si="99"/>
        <v>0</v>
      </c>
      <c r="Q185" s="106">
        <f t="shared" si="99"/>
        <v>0</v>
      </c>
      <c r="R185" s="106">
        <f t="shared" si="99"/>
        <v>0</v>
      </c>
      <c r="S185" s="106">
        <f t="shared" si="99"/>
        <v>0</v>
      </c>
      <c r="T185" s="106">
        <f t="shared" si="99"/>
        <v>0</v>
      </c>
      <c r="U185" s="106">
        <f t="shared" si="99"/>
        <v>0</v>
      </c>
      <c r="V185" s="106">
        <f t="shared" si="99"/>
        <v>0</v>
      </c>
      <c r="W185" s="106">
        <f t="shared" si="99"/>
        <v>0</v>
      </c>
      <c r="X185" s="106">
        <f t="shared" si="99"/>
        <v>0</v>
      </c>
      <c r="Y185" s="106">
        <f t="shared" si="99"/>
        <v>0</v>
      </c>
      <c r="Z185" s="106">
        <f t="shared" si="99"/>
        <v>0</v>
      </c>
      <c r="AA185" s="106">
        <f t="shared" si="99"/>
        <v>0</v>
      </c>
    </row>
    <row r="186" spans="1:27" x14ac:dyDescent="0.25">
      <c r="A186" s="101">
        <v>39</v>
      </c>
      <c r="E186" s="47" t="s">
        <v>700</v>
      </c>
      <c r="F186" s="47" t="s">
        <v>639</v>
      </c>
      <c r="G186" s="106"/>
      <c r="H186" s="102">
        <f>SW!H186+SS!H186</f>
        <v>7383626.0809328705</v>
      </c>
      <c r="I186" s="102">
        <f>SW!I186+SS!I186</f>
        <v>14753633.508052194</v>
      </c>
      <c r="J186" s="102">
        <f>SW!J186+SS!J186</f>
        <v>20685555.478231713</v>
      </c>
      <c r="K186" s="102">
        <f>SW!K186+SS!K186</f>
        <v>26382010.605628341</v>
      </c>
      <c r="L186" s="102">
        <f>SW!L186+SS!L186</f>
        <v>31749716.676046837</v>
      </c>
      <c r="M186" s="102">
        <f>SW!M186+SS!M186</f>
        <v>36768891.262095958</v>
      </c>
      <c r="N186" s="102">
        <f>SW!N186+SS!N186</f>
        <v>41570469.882946894</v>
      </c>
      <c r="O186" s="102">
        <f>SW!O186+SS!O186</f>
        <v>46284273.519764125</v>
      </c>
      <c r="P186" s="102">
        <f>SW!P186+SS!P186</f>
        <v>50899904.563732445</v>
      </c>
      <c r="Q186" s="102">
        <f>SW!Q186+SS!Q186</f>
        <v>55438748.803425714</v>
      </c>
      <c r="R186" s="102">
        <f>SW!R186+SS!R186</f>
        <v>59890022.233922899</v>
      </c>
      <c r="S186" s="102">
        <f>SW!S186+SS!S186</f>
        <v>64240725.252494797</v>
      </c>
      <c r="T186" s="102">
        <f>SW!T186+SS!T186</f>
        <v>68494588.824741602</v>
      </c>
      <c r="U186" s="102">
        <f>SW!U186+SS!U186</f>
        <v>72615049.290025383</v>
      </c>
      <c r="V186" s="102">
        <f>SW!V186+SS!V186</f>
        <v>76613150.680146396</v>
      </c>
      <c r="W186" s="102">
        <f>SW!W186+SS!W186</f>
        <v>80472237.873064548</v>
      </c>
      <c r="X186" s="102">
        <f>SW!X186+SS!X186</f>
        <v>84155222.722109973</v>
      </c>
      <c r="Y186" s="102">
        <f>SW!Y186+SS!Y186</f>
        <v>87709181.035798162</v>
      </c>
      <c r="Z186" s="102">
        <f>SW!Z186+SS!Z186</f>
        <v>91144566.180787265</v>
      </c>
      <c r="AA186" s="102">
        <f>SW!AA186+SS!AA186</f>
        <v>94481170.027890474</v>
      </c>
    </row>
    <row r="187" spans="1:27" x14ac:dyDescent="0.25">
      <c r="E187" s="47" t="s">
        <v>701</v>
      </c>
      <c r="F187" s="47" t="s">
        <v>639</v>
      </c>
      <c r="H187" s="120">
        <f>SS!H187+SW!H187</f>
        <v>8395038.2370488588</v>
      </c>
      <c r="I187" s="120">
        <f>SS!I187+SW!I187</f>
        <v>16840846.526050821</v>
      </c>
      <c r="J187" s="120">
        <f>SS!J187+SW!J187</f>
        <v>23631869.782563616</v>
      </c>
      <c r="K187" s="120">
        <f>SS!K187+SW!K187</f>
        <v>30191965.594352789</v>
      </c>
      <c r="L187" s="120">
        <f>SS!L187+SW!L187</f>
        <v>36403535.3041372</v>
      </c>
      <c r="M187" s="120">
        <f>SS!M187+SW!M187</f>
        <v>42198481.736112885</v>
      </c>
      <c r="N187" s="120">
        <f>SS!N187+SW!N187</f>
        <v>47833994.247587591</v>
      </c>
      <c r="O187" s="120">
        <f>SS!O187+SW!O187</f>
        <v>53344151.676199988</v>
      </c>
      <c r="P187" s="120">
        <f>SS!P187+SW!P187</f>
        <v>58753146.00079757</v>
      </c>
      <c r="Q187" s="120">
        <f>SS!Q187+SW!Q187</f>
        <v>64025379.717375249</v>
      </c>
      <c r="R187" s="120">
        <f>SS!R187+SW!R187</f>
        <v>69272097.962493151</v>
      </c>
      <c r="S187" s="120">
        <f>SS!S187+SW!S187</f>
        <v>74422737.897231966</v>
      </c>
      <c r="T187" s="120">
        <f>SS!T187+SW!T187</f>
        <v>79476901.808194727</v>
      </c>
      <c r="U187" s="120">
        <f>SS!U187+SW!U187</f>
        <v>84397404.101096764</v>
      </c>
      <c r="V187" s="120">
        <f>SS!V187+SW!V187</f>
        <v>89193540.337654173</v>
      </c>
      <c r="W187" s="120">
        <f>SS!W187+SW!W187</f>
        <v>93845264.231528908</v>
      </c>
      <c r="X187" s="120">
        <f>SS!X187+SW!X187</f>
        <v>98271010.179881409</v>
      </c>
      <c r="Y187" s="120">
        <f>SS!Y187+SW!Y187</f>
        <v>102599592.0822801</v>
      </c>
      <c r="Z187" s="120">
        <f>SS!Z187+SW!Z187</f>
        <v>106805426.34638759</v>
      </c>
      <c r="AA187" s="120">
        <f>SS!AA187+SW!AA187</f>
        <v>111019542.1580568</v>
      </c>
    </row>
    <row r="188" spans="1:27" x14ac:dyDescent="0.25">
      <c r="H188" s="106"/>
      <c r="I188" s="106"/>
      <c r="J188" s="106"/>
      <c r="K188" s="106"/>
      <c r="L188" s="106"/>
      <c r="M188" s="106"/>
      <c r="N188" s="106"/>
      <c r="O188" s="106"/>
      <c r="P188" s="106"/>
      <c r="Q188" s="106"/>
      <c r="R188" s="106"/>
      <c r="S188" s="106"/>
      <c r="T188" s="106"/>
      <c r="U188" s="106"/>
      <c r="V188" s="106"/>
      <c r="W188" s="106"/>
      <c r="X188" s="106"/>
      <c r="Y188" s="106"/>
      <c r="Z188" s="106"/>
      <c r="AA188" s="106"/>
    </row>
    <row r="189" spans="1:27" x14ac:dyDescent="0.25">
      <c r="C189" s="100" t="s">
        <v>702</v>
      </c>
      <c r="G189" s="106"/>
    </row>
    <row r="190" spans="1:27" x14ac:dyDescent="0.25">
      <c r="C190" s="100"/>
      <c r="D190" s="47" t="s">
        <v>703</v>
      </c>
      <c r="G190" s="106"/>
    </row>
    <row r="191" spans="1:27" x14ac:dyDescent="0.25">
      <c r="A191" s="101">
        <v>40</v>
      </c>
      <c r="C191" s="100"/>
      <c r="E191" s="47" t="s">
        <v>704</v>
      </c>
      <c r="G191" s="106"/>
      <c r="H191" s="105">
        <f>SUMIFS('INPUT Opex'!AD$97:AD$100,'INPUT Opex'!$C$97:$C$100,$G$4)</f>
        <v>-1.6126398497733785E-2</v>
      </c>
      <c r="I191" s="105">
        <f>SUMIFS('INPUT Opex'!AE$97:AE$100,'INPUT Opex'!$C$97:$C$100,$G$4)</f>
        <v>-2.8198176744306247E-2</v>
      </c>
      <c r="J191" s="105">
        <f>SUMIFS('INPUT Opex'!AF$97:AF$100,'INPUT Opex'!$C$97:$C$100,$G$4)</f>
        <v>-2.0381836302328815E-2</v>
      </c>
      <c r="K191" s="105">
        <f>SUMIFS('INPUT Opex'!AG$97:AG$100,'INPUT Opex'!$C$97:$C$100,$G$4)</f>
        <v>-1.4551937003056681E-2</v>
      </c>
      <c r="L191" s="105">
        <f>SUMIFS('INPUT Opex'!AH$97:AH$100,'INPUT Opex'!$C$97:$C$100,$G$4)</f>
        <v>-1.3591470890524593E-2</v>
      </c>
      <c r="M191" s="105">
        <f>SUMIFS('INPUT Opex'!AI$97:AI$100,'INPUT Opex'!$C$97:$C$100,$G$4)</f>
        <v>-1.3412161085008867E-2</v>
      </c>
      <c r="N191" s="105">
        <f>SUMIFS('INPUT Opex'!AJ$97:AJ$100,'INPUT Opex'!$C$97:$C$100,$G$4)</f>
        <v>-1.3647426823707121E-2</v>
      </c>
      <c r="O191" s="105">
        <f>SUMIFS('INPUT Opex'!AK$97:AK$100,'INPUT Opex'!$C$97:$C$100,$G$4)</f>
        <v>-1.4061923468026705E-2</v>
      </c>
      <c r="P191" s="105">
        <f>SUMIFS('INPUT Opex'!AL$97:AL$100,'INPUT Opex'!$C$97:$C$100,$G$4)</f>
        <v>-1.3985972347713815E-2</v>
      </c>
      <c r="Q191" s="105">
        <f>SUMIFS('INPUT Opex'!AM$97:AM$100,'INPUT Opex'!$C$97:$C$100,$G$4)</f>
        <v>0</v>
      </c>
      <c r="R191" s="105">
        <f>SUMIFS('INPUT Opex'!AN$97:AN$100,'INPUT Opex'!$C$97:$C$100,$G$4)</f>
        <v>0</v>
      </c>
      <c r="S191" s="105">
        <f>SUMIFS('INPUT Opex'!AO$97:AO$100,'INPUT Opex'!$C$97:$C$100,$G$4)</f>
        <v>0</v>
      </c>
      <c r="T191" s="105">
        <f>SUMIFS('INPUT Opex'!AP$97:AP$100,'INPUT Opex'!$C$97:$C$100,$G$4)</f>
        <v>0</v>
      </c>
      <c r="U191" s="105">
        <f>SUMIFS('INPUT Opex'!AQ$97:AQ$100,'INPUT Opex'!$C$97:$C$100,$G$4)</f>
        <v>0</v>
      </c>
      <c r="V191" s="105">
        <f>SUMIFS('INPUT Opex'!AR$97:AR$100,'INPUT Opex'!$C$97:$C$100,$G$4)</f>
        <v>0</v>
      </c>
      <c r="W191" s="105">
        <f>SUMIFS('INPUT Opex'!AS$97:AS$100,'INPUT Opex'!$C$97:$C$100,$G$4)</f>
        <v>0</v>
      </c>
      <c r="X191" s="105">
        <f>SUMIFS('INPUT Opex'!AT$97:AT$100,'INPUT Opex'!$C$97:$C$100,$G$4)</f>
        <v>0</v>
      </c>
      <c r="Y191" s="105">
        <f>SUMIFS('INPUT Opex'!AU$97:AU$100,'INPUT Opex'!$C$97:$C$100,$G$4)</f>
        <v>0</v>
      </c>
      <c r="Z191" s="105">
        <f>SUMIFS('INPUT Opex'!AV$97:AV$100,'INPUT Opex'!$C$97:$C$100,$G$4)</f>
        <v>0</v>
      </c>
      <c r="AA191" s="105">
        <f>SUMIFS('INPUT Opex'!AW$97:AW$100,'INPUT Opex'!$C$97:$C$100,$G$4)</f>
        <v>0</v>
      </c>
    </row>
    <row r="192" spans="1:27" x14ac:dyDescent="0.25">
      <c r="A192" s="101">
        <v>41</v>
      </c>
      <c r="E192" s="47" t="s">
        <v>705</v>
      </c>
      <c r="F192" s="47" t="s">
        <v>695</v>
      </c>
      <c r="G192" s="114">
        <f>SUMIFS('INPUT Opex'!AC$97:AC$100,'INPUT Opex'!$C$97:$C$100,$G$4)</f>
        <v>282.54945244704999</v>
      </c>
      <c r="H192" s="106">
        <f t="shared" ref="H192:W193" si="100">G192*(1+$G$14)*(1+H$191)</f>
        <v>277.99294738157238</v>
      </c>
      <c r="I192" s="106">
        <f t="shared" si="100"/>
        <v>270.15405311763618</v>
      </c>
      <c r="J192" s="106">
        <f t="shared" si="100"/>
        <v>264.64781743058188</v>
      </c>
      <c r="K192" s="106">
        <f t="shared" si="100"/>
        <v>260.7966790633356</v>
      </c>
      <c r="L192" s="106">
        <f t="shared" si="100"/>
        <v>257.2520685915008</v>
      </c>
      <c r="M192" s="106">
        <f t="shared" si="100"/>
        <v>253.80176240809985</v>
      </c>
      <c r="N192" s="106">
        <f t="shared" si="100"/>
        <v>250.33802142790739</v>
      </c>
      <c r="O192" s="106">
        <f t="shared" si="100"/>
        <v>246.81778732945094</v>
      </c>
      <c r="P192" s="106">
        <f t="shared" si="100"/>
        <v>243.36580058093733</v>
      </c>
      <c r="Q192" s="106">
        <f t="shared" si="100"/>
        <v>243.36580058093733</v>
      </c>
      <c r="R192" s="106">
        <f t="shared" si="100"/>
        <v>243.36580058093733</v>
      </c>
      <c r="S192" s="106">
        <f t="shared" si="100"/>
        <v>243.36580058093733</v>
      </c>
      <c r="T192" s="106">
        <f t="shared" si="100"/>
        <v>243.36580058093733</v>
      </c>
      <c r="U192" s="106">
        <f t="shared" si="100"/>
        <v>243.36580058093733</v>
      </c>
      <c r="V192" s="106">
        <f t="shared" si="100"/>
        <v>243.36580058093733</v>
      </c>
      <c r="W192" s="106">
        <f t="shared" si="100"/>
        <v>243.36580058093733</v>
      </c>
      <c r="X192" s="106">
        <f t="shared" ref="X192:AA193" si="101">W192*(1+$G$14)*(1+X$191)</f>
        <v>243.36580058093733</v>
      </c>
      <c r="Y192" s="106">
        <f t="shared" si="101"/>
        <v>243.36580058093733</v>
      </c>
      <c r="Z192" s="106">
        <f t="shared" si="101"/>
        <v>243.36580058093733</v>
      </c>
      <c r="AA192" s="106">
        <f t="shared" si="101"/>
        <v>243.36580058093733</v>
      </c>
    </row>
    <row r="193" spans="1:29" x14ac:dyDescent="0.25">
      <c r="A193" s="101">
        <v>42</v>
      </c>
      <c r="E193" s="47" t="s">
        <v>706</v>
      </c>
      <c r="F193" s="47" t="s">
        <v>697</v>
      </c>
      <c r="G193" s="102"/>
      <c r="H193" s="106">
        <f>G193*(1+$G$14)*(1+H$191)</f>
        <v>0</v>
      </c>
      <c r="I193" s="106">
        <f t="shared" si="100"/>
        <v>0</v>
      </c>
      <c r="J193" s="106">
        <f t="shared" si="100"/>
        <v>0</v>
      </c>
      <c r="K193" s="106">
        <f t="shared" si="100"/>
        <v>0</v>
      </c>
      <c r="L193" s="106">
        <f t="shared" si="100"/>
        <v>0</v>
      </c>
      <c r="M193" s="106">
        <f t="shared" si="100"/>
        <v>0</v>
      </c>
      <c r="N193" s="106">
        <f t="shared" si="100"/>
        <v>0</v>
      </c>
      <c r="O193" s="106">
        <f t="shared" si="100"/>
        <v>0</v>
      </c>
      <c r="P193" s="106">
        <f t="shared" si="100"/>
        <v>0</v>
      </c>
      <c r="Q193" s="106">
        <f t="shared" si="100"/>
        <v>0</v>
      </c>
      <c r="R193" s="106">
        <f t="shared" si="100"/>
        <v>0</v>
      </c>
      <c r="S193" s="106">
        <f t="shared" si="100"/>
        <v>0</v>
      </c>
      <c r="T193" s="106">
        <f t="shared" si="100"/>
        <v>0</v>
      </c>
      <c r="U193" s="106">
        <f t="shared" si="100"/>
        <v>0</v>
      </c>
      <c r="V193" s="106">
        <f t="shared" si="100"/>
        <v>0</v>
      </c>
      <c r="W193" s="106">
        <f t="shared" si="100"/>
        <v>0</v>
      </c>
      <c r="X193" s="106">
        <f t="shared" si="101"/>
        <v>0</v>
      </c>
      <c r="Y193" s="106">
        <f t="shared" si="101"/>
        <v>0</v>
      </c>
      <c r="Z193" s="106">
        <f t="shared" si="101"/>
        <v>0</v>
      </c>
      <c r="AA193" s="106">
        <f t="shared" si="101"/>
        <v>0</v>
      </c>
    </row>
    <row r="194" spans="1:29" x14ac:dyDescent="0.25">
      <c r="A194" s="101">
        <v>43</v>
      </c>
      <c r="E194" s="47" t="s">
        <v>707</v>
      </c>
      <c r="F194" s="47" t="s">
        <v>639</v>
      </c>
      <c r="G194" s="106"/>
      <c r="H194" s="102"/>
      <c r="I194" s="102"/>
      <c r="J194" s="102"/>
      <c r="K194" s="102"/>
      <c r="L194" s="102"/>
      <c r="M194" s="102"/>
      <c r="N194" s="102"/>
      <c r="O194" s="102"/>
      <c r="P194" s="102"/>
      <c r="Q194" s="102"/>
      <c r="R194" s="102"/>
      <c r="S194" s="102"/>
      <c r="T194" s="102"/>
      <c r="U194" s="102"/>
      <c r="V194" s="102"/>
      <c r="W194" s="102"/>
      <c r="X194" s="102"/>
      <c r="Y194" s="102"/>
      <c r="Z194" s="102"/>
      <c r="AA194" s="102"/>
    </row>
    <row r="195" spans="1:29" x14ac:dyDescent="0.25">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row>
    <row r="196" spans="1:29" x14ac:dyDescent="0.25">
      <c r="D196" s="47" t="s">
        <v>708</v>
      </c>
      <c r="G196" s="101"/>
      <c r="H196" s="101"/>
      <c r="I196" s="101"/>
      <c r="J196" s="101"/>
      <c r="K196" s="101"/>
      <c r="L196" s="101"/>
      <c r="M196" s="101"/>
      <c r="N196" s="101"/>
      <c r="O196" s="101"/>
      <c r="P196" s="101"/>
      <c r="Q196" s="101"/>
      <c r="R196" s="101"/>
      <c r="S196" s="101"/>
      <c r="T196" s="101"/>
      <c r="U196" s="101"/>
      <c r="V196" s="101"/>
      <c r="W196" s="101"/>
      <c r="X196" s="101"/>
      <c r="Y196" s="101"/>
      <c r="Z196" s="101"/>
      <c r="AA196" s="101"/>
    </row>
    <row r="197" spans="1:29" x14ac:dyDescent="0.25">
      <c r="A197" s="101">
        <v>44</v>
      </c>
      <c r="E197" s="47" t="s">
        <v>706</v>
      </c>
      <c r="F197" s="47" t="s">
        <v>697</v>
      </c>
      <c r="G197" s="101"/>
      <c r="H197" s="102"/>
      <c r="I197" s="102"/>
      <c r="J197" s="102"/>
      <c r="K197" s="102"/>
      <c r="L197" s="102"/>
      <c r="M197" s="102"/>
      <c r="N197" s="102"/>
      <c r="O197" s="102"/>
      <c r="P197" s="102"/>
      <c r="Q197" s="102"/>
      <c r="R197" s="102"/>
      <c r="S197" s="102"/>
      <c r="T197" s="102"/>
      <c r="U197" s="102"/>
      <c r="V197" s="102"/>
      <c r="W197" s="102"/>
      <c r="X197" s="102"/>
      <c r="Y197" s="102"/>
      <c r="Z197" s="102"/>
      <c r="AA197" s="102"/>
    </row>
    <row r="198" spans="1:29" x14ac:dyDescent="0.25">
      <c r="A198" s="101">
        <v>45</v>
      </c>
      <c r="E198" s="47" t="s">
        <v>707</v>
      </c>
      <c r="F198" s="47" t="s">
        <v>639</v>
      </c>
      <c r="G198" s="106"/>
      <c r="H198" s="102"/>
      <c r="I198" s="102"/>
      <c r="J198" s="102"/>
      <c r="K198" s="102"/>
      <c r="L198" s="102"/>
      <c r="M198" s="102"/>
      <c r="N198" s="102"/>
      <c r="O198" s="102"/>
      <c r="P198" s="102"/>
      <c r="Q198" s="102"/>
      <c r="R198" s="102"/>
      <c r="S198" s="102"/>
      <c r="T198" s="102"/>
      <c r="U198" s="102"/>
      <c r="V198" s="102"/>
      <c r="W198" s="102"/>
      <c r="X198" s="102"/>
      <c r="Y198" s="102"/>
      <c r="Z198" s="102"/>
      <c r="AA198" s="102"/>
    </row>
    <row r="199" spans="1:29" x14ac:dyDescent="0.25">
      <c r="G199" s="106"/>
    </row>
    <row r="200" spans="1:29" x14ac:dyDescent="0.25">
      <c r="E200" s="47" t="s">
        <v>702</v>
      </c>
      <c r="F200" s="47" t="s">
        <v>639</v>
      </c>
      <c r="G200" s="106"/>
      <c r="H200" s="106">
        <f>H192*H175+(H193+H197)*H176+H194+H198</f>
        <v>4321392.3303855732</v>
      </c>
      <c r="I200" s="106">
        <f t="shared" ref="I200:AA200" si="102">I192*I175+(I193+I197)*I176+I194+I198</f>
        <v>8613030.7532741763</v>
      </c>
      <c r="J200" s="106">
        <f t="shared" si="102"/>
        <v>12126154.478932364</v>
      </c>
      <c r="K200" s="106">
        <f t="shared" si="102"/>
        <v>15609140.874721644</v>
      </c>
      <c r="L200" s="106">
        <f t="shared" si="102"/>
        <v>18982427.855161946</v>
      </c>
      <c r="M200" s="106">
        <f t="shared" si="102"/>
        <v>22201215.403725069</v>
      </c>
      <c r="N200" s="106">
        <f t="shared" si="102"/>
        <v>25306575.859253231</v>
      </c>
      <c r="O200" s="106">
        <f t="shared" si="102"/>
        <v>28378582.965526987</v>
      </c>
      <c r="P200" s="106">
        <f t="shared" si="102"/>
        <v>31415636.48935917</v>
      </c>
      <c r="Q200" s="106">
        <f t="shared" si="102"/>
        <v>34926447.982638516</v>
      </c>
      <c r="R200" s="106">
        <f t="shared" si="102"/>
        <v>38515390.807018481</v>
      </c>
      <c r="S200" s="106">
        <f t="shared" si="102"/>
        <v>42163544.369891658</v>
      </c>
      <c r="T200" s="106">
        <f t="shared" si="102"/>
        <v>45865220.776312701</v>
      </c>
      <c r="U200" s="106">
        <f t="shared" si="102"/>
        <v>49599817.718219586</v>
      </c>
      <c r="V200" s="106">
        <f t="shared" si="102"/>
        <v>53363839.253848992</v>
      </c>
      <c r="W200" s="106">
        <f t="shared" si="102"/>
        <v>57137653.741137639</v>
      </c>
      <c r="X200" s="106">
        <f t="shared" si="102"/>
        <v>60934548.791869618</v>
      </c>
      <c r="Y200" s="106">
        <f t="shared" si="102"/>
        <v>64710831.227273569</v>
      </c>
      <c r="Z200" s="106">
        <f t="shared" si="102"/>
        <v>68491733.841882214</v>
      </c>
      <c r="AA200" s="106">
        <f t="shared" si="102"/>
        <v>72301579.380325079</v>
      </c>
    </row>
    <row r="201" spans="1:29" x14ac:dyDescent="0.25">
      <c r="G201" s="106"/>
      <c r="H201" s="106"/>
      <c r="I201" s="106"/>
      <c r="J201" s="106"/>
      <c r="K201" s="106"/>
      <c r="L201" s="106"/>
      <c r="M201" s="106"/>
      <c r="N201" s="106"/>
      <c r="O201" s="106"/>
      <c r="P201" s="106"/>
      <c r="Q201" s="106"/>
      <c r="R201" s="106"/>
      <c r="S201" s="106"/>
      <c r="T201" s="106"/>
      <c r="U201" s="106"/>
      <c r="V201" s="106"/>
      <c r="W201" s="106"/>
      <c r="X201" s="106"/>
      <c r="Y201" s="106"/>
      <c r="Z201" s="106"/>
      <c r="AA201" s="106"/>
    </row>
    <row r="202" spans="1:29" x14ac:dyDescent="0.25">
      <c r="C202" s="100" t="s">
        <v>709</v>
      </c>
      <c r="G202" s="106"/>
      <c r="H202" s="106"/>
      <c r="I202" s="106"/>
      <c r="J202" s="106"/>
      <c r="K202" s="106"/>
      <c r="L202" s="106"/>
      <c r="M202" s="106"/>
      <c r="N202" s="106"/>
      <c r="O202" s="106"/>
      <c r="P202" s="106"/>
      <c r="Q202" s="106"/>
      <c r="R202" s="106"/>
      <c r="S202" s="106"/>
      <c r="T202" s="106"/>
      <c r="U202" s="106"/>
      <c r="V202" s="106"/>
      <c r="W202" s="106"/>
      <c r="X202" s="106"/>
      <c r="Y202" s="106"/>
      <c r="Z202" s="106"/>
      <c r="AA202" s="106"/>
    </row>
    <row r="203" spans="1:29" x14ac:dyDescent="0.25">
      <c r="A203" s="101">
        <v>46</v>
      </c>
      <c r="E203" s="102" t="s">
        <v>710</v>
      </c>
      <c r="F203" s="47" t="s">
        <v>639</v>
      </c>
      <c r="G203" s="106"/>
      <c r="H203" s="102"/>
      <c r="I203" s="102"/>
      <c r="J203" s="102"/>
      <c r="K203" s="102"/>
      <c r="L203" s="102"/>
      <c r="M203" s="102"/>
      <c r="N203" s="102"/>
      <c r="O203" s="102"/>
      <c r="P203" s="102"/>
      <c r="Q203" s="102"/>
      <c r="R203" s="102"/>
      <c r="S203" s="102"/>
      <c r="T203" s="102"/>
      <c r="U203" s="102"/>
      <c r="V203" s="102"/>
      <c r="W203" s="102"/>
      <c r="X203" s="102"/>
      <c r="Y203" s="102"/>
      <c r="Z203" s="102"/>
      <c r="AA203" s="102"/>
    </row>
    <row r="204" spans="1:29" x14ac:dyDescent="0.25">
      <c r="A204" s="101">
        <v>47</v>
      </c>
      <c r="E204" s="102" t="s">
        <v>711</v>
      </c>
      <c r="F204" s="47" t="s">
        <v>639</v>
      </c>
      <c r="G204" s="106"/>
      <c r="H204" s="102"/>
      <c r="I204" s="102"/>
      <c r="J204" s="102"/>
      <c r="K204" s="102"/>
      <c r="L204" s="102"/>
      <c r="M204" s="102"/>
      <c r="N204" s="102"/>
      <c r="O204" s="102"/>
      <c r="P204" s="102"/>
      <c r="Q204" s="102"/>
      <c r="R204" s="102"/>
      <c r="S204" s="102"/>
      <c r="T204" s="102"/>
      <c r="U204" s="102"/>
      <c r="V204" s="102"/>
      <c r="W204" s="102"/>
      <c r="X204" s="102"/>
      <c r="Y204" s="102"/>
      <c r="Z204" s="102"/>
      <c r="AA204" s="102"/>
    </row>
    <row r="205" spans="1:29" x14ac:dyDescent="0.25">
      <c r="A205" s="101">
        <v>48</v>
      </c>
      <c r="E205" s="102" t="s">
        <v>712</v>
      </c>
      <c r="F205" s="47" t="s">
        <v>639</v>
      </c>
      <c r="G205" s="106"/>
      <c r="H205" s="102"/>
      <c r="I205" s="102"/>
      <c r="J205" s="102"/>
      <c r="K205" s="102"/>
      <c r="L205" s="102"/>
      <c r="M205" s="102"/>
      <c r="N205" s="102"/>
      <c r="O205" s="102"/>
      <c r="P205" s="102"/>
      <c r="Q205" s="102"/>
      <c r="R205" s="102"/>
      <c r="S205" s="102"/>
      <c r="T205" s="102"/>
      <c r="U205" s="102"/>
      <c r="V205" s="102"/>
      <c r="W205" s="102"/>
      <c r="X205" s="102"/>
      <c r="Y205" s="102"/>
      <c r="Z205" s="102"/>
      <c r="AA205" s="102"/>
    </row>
    <row r="206" spans="1:29" x14ac:dyDescent="0.25">
      <c r="A206" s="101">
        <v>49</v>
      </c>
      <c r="E206" s="102" t="s">
        <v>713</v>
      </c>
      <c r="F206" s="47" t="s">
        <v>639</v>
      </c>
      <c r="G206" s="106"/>
      <c r="H206" s="102"/>
      <c r="I206" s="102"/>
      <c r="J206" s="102"/>
      <c r="K206" s="102"/>
      <c r="L206" s="102"/>
      <c r="M206" s="102"/>
      <c r="N206" s="102"/>
      <c r="O206" s="102"/>
      <c r="P206" s="102"/>
      <c r="Q206" s="102"/>
      <c r="R206" s="102"/>
      <c r="S206" s="102"/>
      <c r="T206" s="102"/>
      <c r="U206" s="102"/>
      <c r="V206" s="102"/>
      <c r="W206" s="102"/>
      <c r="X206" s="102"/>
      <c r="Y206" s="102"/>
      <c r="Z206" s="102"/>
      <c r="AA206" s="102"/>
    </row>
    <row r="207" spans="1:29" x14ac:dyDescent="0.25">
      <c r="E207" s="47" t="s">
        <v>44</v>
      </c>
      <c r="G207" s="106"/>
      <c r="H207" s="106">
        <f>SUM(H203:H206)</f>
        <v>0</v>
      </c>
      <c r="I207" s="106">
        <f t="shared" ref="I207:AA207" si="103">SUM(I203:I206)</f>
        <v>0</v>
      </c>
      <c r="J207" s="106">
        <f t="shared" si="103"/>
        <v>0</v>
      </c>
      <c r="K207" s="106">
        <f t="shared" si="103"/>
        <v>0</v>
      </c>
      <c r="L207" s="106">
        <f t="shared" si="103"/>
        <v>0</v>
      </c>
      <c r="M207" s="106">
        <f t="shared" si="103"/>
        <v>0</v>
      </c>
      <c r="N207" s="106">
        <f t="shared" si="103"/>
        <v>0</v>
      </c>
      <c r="O207" s="106">
        <f t="shared" si="103"/>
        <v>0</v>
      </c>
      <c r="P207" s="106">
        <f t="shared" si="103"/>
        <v>0</v>
      </c>
      <c r="Q207" s="106">
        <f t="shared" si="103"/>
        <v>0</v>
      </c>
      <c r="R207" s="106">
        <f t="shared" si="103"/>
        <v>0</v>
      </c>
      <c r="S207" s="106">
        <f t="shared" si="103"/>
        <v>0</v>
      </c>
      <c r="T207" s="106">
        <f t="shared" si="103"/>
        <v>0</v>
      </c>
      <c r="U207" s="106">
        <f t="shared" si="103"/>
        <v>0</v>
      </c>
      <c r="V207" s="106">
        <f t="shared" si="103"/>
        <v>0</v>
      </c>
      <c r="W207" s="106">
        <f t="shared" si="103"/>
        <v>0</v>
      </c>
      <c r="X207" s="106">
        <f t="shared" si="103"/>
        <v>0</v>
      </c>
      <c r="Y207" s="106">
        <f t="shared" si="103"/>
        <v>0</v>
      </c>
      <c r="Z207" s="106">
        <f t="shared" si="103"/>
        <v>0</v>
      </c>
      <c r="AA207" s="106">
        <f t="shared" si="103"/>
        <v>0</v>
      </c>
    </row>
    <row r="208" spans="1:29" x14ac:dyDescent="0.25">
      <c r="G208" s="106"/>
      <c r="H208" s="106"/>
      <c r="I208" s="106"/>
      <c r="J208" s="106"/>
      <c r="K208" s="106"/>
      <c r="L208" s="106"/>
      <c r="M208" s="106"/>
      <c r="N208" s="106"/>
      <c r="O208" s="106"/>
      <c r="P208" s="106"/>
      <c r="Q208" s="106"/>
      <c r="R208" s="106"/>
      <c r="S208" s="106"/>
      <c r="T208" s="106"/>
      <c r="U208" s="106"/>
      <c r="V208" s="106"/>
      <c r="W208" s="106"/>
      <c r="X208" s="106"/>
      <c r="Y208" s="106"/>
      <c r="Z208" s="106"/>
      <c r="AA208" s="106"/>
    </row>
    <row r="209" spans="1:27" x14ac:dyDescent="0.25">
      <c r="C209" s="100" t="s">
        <v>714</v>
      </c>
      <c r="G209" s="106"/>
      <c r="H209" s="106"/>
      <c r="I209" s="106"/>
      <c r="J209" s="106"/>
      <c r="K209" s="106"/>
      <c r="L209" s="106"/>
      <c r="M209" s="106"/>
      <c r="N209" s="106"/>
      <c r="O209" s="106"/>
      <c r="P209" s="106"/>
      <c r="Q209" s="106"/>
      <c r="R209" s="106"/>
      <c r="S209" s="106"/>
      <c r="T209" s="106"/>
      <c r="U209" s="106"/>
      <c r="V209" s="106"/>
      <c r="W209" s="106"/>
      <c r="X209" s="106"/>
      <c r="Y209" s="106"/>
      <c r="Z209" s="106"/>
      <c r="AA209" s="106"/>
    </row>
    <row r="210" spans="1:27" x14ac:dyDescent="0.25">
      <c r="A210" s="101">
        <v>50</v>
      </c>
      <c r="E210" s="102" t="s">
        <v>715</v>
      </c>
      <c r="F210" s="47" t="s">
        <v>639</v>
      </c>
      <c r="G210" s="106"/>
      <c r="H210" s="102"/>
      <c r="I210" s="102"/>
      <c r="J210" s="102"/>
      <c r="K210" s="102"/>
      <c r="L210" s="102"/>
      <c r="M210" s="102"/>
      <c r="N210" s="102"/>
      <c r="O210" s="102"/>
      <c r="P210" s="102"/>
      <c r="Q210" s="102"/>
      <c r="R210" s="102"/>
      <c r="S210" s="102"/>
      <c r="T210" s="102"/>
      <c r="U210" s="102"/>
      <c r="V210" s="102"/>
      <c r="W210" s="102"/>
      <c r="X210" s="102"/>
      <c r="Y210" s="102"/>
      <c r="Z210" s="102"/>
      <c r="AA210" s="102"/>
    </row>
    <row r="211" spans="1:27" x14ac:dyDescent="0.25">
      <c r="A211" s="101">
        <v>51</v>
      </c>
      <c r="E211" s="102" t="s">
        <v>716</v>
      </c>
      <c r="F211" s="47" t="s">
        <v>639</v>
      </c>
      <c r="G211" s="106"/>
      <c r="H211" s="102"/>
      <c r="I211" s="102"/>
      <c r="J211" s="102"/>
      <c r="K211" s="102"/>
      <c r="L211" s="102"/>
      <c r="M211" s="102"/>
      <c r="N211" s="102"/>
      <c r="O211" s="102"/>
      <c r="P211" s="102"/>
      <c r="Q211" s="102"/>
      <c r="R211" s="102"/>
      <c r="S211" s="102"/>
      <c r="T211" s="102"/>
      <c r="U211" s="102"/>
      <c r="V211" s="102"/>
      <c r="W211" s="102"/>
      <c r="X211" s="102"/>
      <c r="Y211" s="102"/>
      <c r="Z211" s="102"/>
      <c r="AA211" s="102"/>
    </row>
    <row r="212" spans="1:27" x14ac:dyDescent="0.25">
      <c r="A212" s="101">
        <v>52</v>
      </c>
      <c r="E212" s="102" t="s">
        <v>717</v>
      </c>
      <c r="F212" s="47" t="s">
        <v>639</v>
      </c>
      <c r="G212" s="106"/>
      <c r="H212" s="102"/>
      <c r="I212" s="102"/>
      <c r="J212" s="102"/>
      <c r="K212" s="102"/>
      <c r="L212" s="102"/>
      <c r="M212" s="102"/>
      <c r="N212" s="102"/>
      <c r="O212" s="102"/>
      <c r="P212" s="102"/>
      <c r="Q212" s="102"/>
      <c r="R212" s="102"/>
      <c r="S212" s="102"/>
      <c r="T212" s="102"/>
      <c r="U212" s="102"/>
      <c r="V212" s="102"/>
      <c r="W212" s="102"/>
      <c r="X212" s="102"/>
      <c r="Y212" s="102"/>
      <c r="Z212" s="102"/>
      <c r="AA212" s="102"/>
    </row>
    <row r="213" spans="1:27" x14ac:dyDescent="0.25">
      <c r="A213" s="101">
        <v>53</v>
      </c>
      <c r="E213" s="102" t="s">
        <v>718</v>
      </c>
      <c r="F213" s="47" t="s">
        <v>639</v>
      </c>
      <c r="G213" s="106"/>
      <c r="H213" s="102"/>
      <c r="I213" s="102"/>
      <c r="J213" s="102"/>
      <c r="K213" s="102"/>
      <c r="L213" s="102"/>
      <c r="M213" s="102"/>
      <c r="N213" s="102"/>
      <c r="O213" s="102"/>
      <c r="P213" s="102"/>
      <c r="Q213" s="102"/>
      <c r="R213" s="102"/>
      <c r="S213" s="102"/>
      <c r="T213" s="102"/>
      <c r="U213" s="102"/>
      <c r="V213" s="102"/>
      <c r="W213" s="102"/>
      <c r="X213" s="102"/>
      <c r="Y213" s="102"/>
      <c r="Z213" s="102"/>
      <c r="AA213" s="102"/>
    </row>
    <row r="214" spans="1:27" x14ac:dyDescent="0.25">
      <c r="E214" s="47" t="s">
        <v>44</v>
      </c>
      <c r="G214" s="106"/>
      <c r="H214" s="106">
        <f>SUM(H210:H213)</f>
        <v>0</v>
      </c>
      <c r="I214" s="106">
        <f t="shared" ref="I214:AA214" si="104">SUM(I210:I213)</f>
        <v>0</v>
      </c>
      <c r="J214" s="106">
        <f t="shared" si="104"/>
        <v>0</v>
      </c>
      <c r="K214" s="106">
        <f t="shared" si="104"/>
        <v>0</v>
      </c>
      <c r="L214" s="106">
        <f t="shared" si="104"/>
        <v>0</v>
      </c>
      <c r="M214" s="106">
        <f t="shared" si="104"/>
        <v>0</v>
      </c>
      <c r="N214" s="106">
        <f t="shared" si="104"/>
        <v>0</v>
      </c>
      <c r="O214" s="106">
        <f t="shared" si="104"/>
        <v>0</v>
      </c>
      <c r="P214" s="106">
        <f t="shared" si="104"/>
        <v>0</v>
      </c>
      <c r="Q214" s="106">
        <f t="shared" si="104"/>
        <v>0</v>
      </c>
      <c r="R214" s="106">
        <f t="shared" si="104"/>
        <v>0</v>
      </c>
      <c r="S214" s="106">
        <f t="shared" si="104"/>
        <v>0</v>
      </c>
      <c r="T214" s="106">
        <f t="shared" si="104"/>
        <v>0</v>
      </c>
      <c r="U214" s="106">
        <f t="shared" si="104"/>
        <v>0</v>
      </c>
      <c r="V214" s="106">
        <f t="shared" si="104"/>
        <v>0</v>
      </c>
      <c r="W214" s="106">
        <f t="shared" si="104"/>
        <v>0</v>
      </c>
      <c r="X214" s="106">
        <f t="shared" si="104"/>
        <v>0</v>
      </c>
      <c r="Y214" s="106">
        <f t="shared" si="104"/>
        <v>0</v>
      </c>
      <c r="Z214" s="106">
        <f t="shared" si="104"/>
        <v>0</v>
      </c>
      <c r="AA214" s="106">
        <f t="shared" si="104"/>
        <v>0</v>
      </c>
    </row>
    <row r="215" spans="1:27" x14ac:dyDescent="0.25">
      <c r="G215" s="106"/>
      <c r="H215" s="106"/>
      <c r="I215" s="106"/>
      <c r="J215" s="106"/>
      <c r="K215" s="106"/>
      <c r="L215" s="106"/>
      <c r="M215" s="106"/>
      <c r="N215" s="106"/>
      <c r="O215" s="106"/>
      <c r="P215" s="106"/>
      <c r="Q215" s="106"/>
      <c r="R215" s="106"/>
      <c r="S215" s="106"/>
      <c r="T215" s="106"/>
      <c r="U215" s="106"/>
      <c r="V215" s="106"/>
      <c r="W215" s="106"/>
      <c r="X215" s="106"/>
      <c r="Y215" s="106"/>
      <c r="Z215" s="106"/>
      <c r="AA215" s="106"/>
    </row>
    <row r="216" spans="1:27" x14ac:dyDescent="0.25">
      <c r="C216" s="100" t="s">
        <v>719</v>
      </c>
      <c r="G216" s="106"/>
      <c r="H216" s="106"/>
      <c r="I216" s="106"/>
      <c r="J216" s="106"/>
      <c r="K216" s="106"/>
      <c r="L216" s="106"/>
      <c r="M216" s="106"/>
      <c r="N216" s="106"/>
      <c r="O216" s="106"/>
      <c r="P216" s="106"/>
      <c r="Q216" s="106"/>
      <c r="R216" s="106"/>
      <c r="S216" s="106"/>
      <c r="T216" s="106"/>
      <c r="U216" s="106"/>
      <c r="V216" s="106"/>
      <c r="W216" s="106"/>
      <c r="X216" s="106"/>
      <c r="Y216" s="106"/>
      <c r="Z216" s="106"/>
      <c r="AA216" s="106"/>
    </row>
    <row r="217" spans="1:27" x14ac:dyDescent="0.25">
      <c r="C217" s="100"/>
      <c r="D217" s="100"/>
      <c r="E217" s="47" t="s">
        <v>404</v>
      </c>
      <c r="F217" s="47" t="s">
        <v>655</v>
      </c>
      <c r="G217" s="106"/>
      <c r="H217" s="106">
        <f t="shared" ref="H217:AA217" si="105">H174</f>
        <v>15544.971090414179</v>
      </c>
      <c r="I217" s="106">
        <f t="shared" si="105"/>
        <v>16336.952034106584</v>
      </c>
      <c r="J217" s="106">
        <f t="shared" si="105"/>
        <v>13938.044697859257</v>
      </c>
      <c r="K217" s="106">
        <f t="shared" si="105"/>
        <v>14031.794595694702</v>
      </c>
      <c r="L217" s="106">
        <f t="shared" si="105"/>
        <v>13937.451247315776</v>
      </c>
      <c r="M217" s="106">
        <f t="shared" si="105"/>
        <v>13685.416900912205</v>
      </c>
      <c r="N217" s="106">
        <f t="shared" si="105"/>
        <v>13614.991037745334</v>
      </c>
      <c r="O217" s="106">
        <f t="shared" si="105"/>
        <v>13888.246371275058</v>
      </c>
      <c r="P217" s="106">
        <f t="shared" si="105"/>
        <v>14110.263612463896</v>
      </c>
      <c r="Q217" s="106">
        <f t="shared" si="105"/>
        <v>14426.067610562834</v>
      </c>
      <c r="R217" s="106">
        <f t="shared" si="105"/>
        <v>14747.112436557705</v>
      </c>
      <c r="S217" s="106">
        <f t="shared" si="105"/>
        <v>14990.411775872697</v>
      </c>
      <c r="T217" s="106">
        <f t="shared" si="105"/>
        <v>15210.339322882628</v>
      </c>
      <c r="U217" s="106">
        <f t="shared" si="105"/>
        <v>15345.611145822648</v>
      </c>
      <c r="V217" s="106">
        <f t="shared" si="105"/>
        <v>15466.518001478984</v>
      </c>
      <c r="W217" s="106">
        <f t="shared" si="105"/>
        <v>15506.75763924179</v>
      </c>
      <c r="X217" s="106">
        <f t="shared" si="105"/>
        <v>15601.596615746465</v>
      </c>
      <c r="Y217" s="106">
        <f t="shared" si="105"/>
        <v>15516.898538700236</v>
      </c>
      <c r="Z217" s="106">
        <f t="shared" si="105"/>
        <v>15535.883043481299</v>
      </c>
      <c r="AA217" s="106">
        <f t="shared" si="105"/>
        <v>15654.810697922205</v>
      </c>
    </row>
    <row r="218" spans="1:27" x14ac:dyDescent="0.25">
      <c r="E218" s="47" t="s">
        <v>720</v>
      </c>
      <c r="F218" s="47" t="s">
        <v>695</v>
      </c>
      <c r="G218" s="115">
        <f>MAX(0,-G245/(NPV($G$16,H217:AP217)))</f>
        <v>3775.7100584309469</v>
      </c>
      <c r="H218" s="106">
        <f t="shared" ref="H218:AA218" si="106">G218*(1+$G$14)</f>
        <v>3775.7100584309469</v>
      </c>
      <c r="I218" s="106">
        <f t="shared" si="106"/>
        <v>3775.7100584309469</v>
      </c>
      <c r="J218" s="106">
        <f t="shared" si="106"/>
        <v>3775.7100584309469</v>
      </c>
      <c r="K218" s="106">
        <f t="shared" si="106"/>
        <v>3775.7100584309469</v>
      </c>
      <c r="L218" s="106">
        <f t="shared" si="106"/>
        <v>3775.7100584309469</v>
      </c>
      <c r="M218" s="106">
        <f t="shared" si="106"/>
        <v>3775.7100584309469</v>
      </c>
      <c r="N218" s="106">
        <f t="shared" si="106"/>
        <v>3775.7100584309469</v>
      </c>
      <c r="O218" s="106">
        <f t="shared" si="106"/>
        <v>3775.7100584309469</v>
      </c>
      <c r="P218" s="106">
        <f t="shared" si="106"/>
        <v>3775.7100584309469</v>
      </c>
      <c r="Q218" s="106">
        <f t="shared" si="106"/>
        <v>3775.7100584309469</v>
      </c>
      <c r="R218" s="106">
        <f t="shared" si="106"/>
        <v>3775.7100584309469</v>
      </c>
      <c r="S218" s="106">
        <f t="shared" si="106"/>
        <v>3775.7100584309469</v>
      </c>
      <c r="T218" s="106">
        <f t="shared" si="106"/>
        <v>3775.7100584309469</v>
      </c>
      <c r="U218" s="106">
        <f t="shared" si="106"/>
        <v>3775.7100584309469</v>
      </c>
      <c r="V218" s="106">
        <f t="shared" si="106"/>
        <v>3775.7100584309469</v>
      </c>
      <c r="W218" s="106">
        <f t="shared" si="106"/>
        <v>3775.7100584309469</v>
      </c>
      <c r="X218" s="106">
        <f t="shared" si="106"/>
        <v>3775.7100584309469</v>
      </c>
      <c r="Y218" s="106">
        <f t="shared" si="106"/>
        <v>3775.7100584309469</v>
      </c>
      <c r="Z218" s="106">
        <f t="shared" si="106"/>
        <v>3775.7100584309469</v>
      </c>
      <c r="AA218" s="106">
        <f t="shared" si="106"/>
        <v>3775.7100584309469</v>
      </c>
    </row>
    <row r="219" spans="1:27" x14ac:dyDescent="0.25">
      <c r="E219" s="47" t="s">
        <v>721</v>
      </c>
      <c r="F219" s="47" t="s">
        <v>639</v>
      </c>
      <c r="H219" s="106">
        <f>H218*H217</f>
        <v>58693303.704095103</v>
      </c>
      <c r="I219" s="106">
        <f t="shared" ref="I219:AA219" si="107">I218*I217</f>
        <v>61683594.119280145</v>
      </c>
      <c r="J219" s="106">
        <f t="shared" si="107"/>
        <v>52626015.560567327</v>
      </c>
      <c r="K219" s="106">
        <f t="shared" si="107"/>
        <v>52979987.992801487</v>
      </c>
      <c r="L219" s="106">
        <f t="shared" si="107"/>
        <v>52623774.863381118</v>
      </c>
      <c r="M219" s="106">
        <f t="shared" si="107"/>
        <v>51672166.246595092</v>
      </c>
      <c r="N219" s="106">
        <f t="shared" si="107"/>
        <v>51406258.606662251</v>
      </c>
      <c r="O219" s="106">
        <f t="shared" si="107"/>
        <v>52437991.517990336</v>
      </c>
      <c r="P219" s="106">
        <f t="shared" si="107"/>
        <v>53276264.248692118</v>
      </c>
      <c r="Q219" s="106">
        <f t="shared" si="107"/>
        <v>54468648.580806985</v>
      </c>
      <c r="R219" s="106">
        <f t="shared" si="107"/>
        <v>55680820.759523034</v>
      </c>
      <c r="S219" s="106">
        <f t="shared" si="107"/>
        <v>56599448.522184253</v>
      </c>
      <c r="T219" s="106">
        <f t="shared" si="107"/>
        <v>57429831.173555695</v>
      </c>
      <c r="U219" s="106">
        <f t="shared" si="107"/>
        <v>57940578.356052622</v>
      </c>
      <c r="V219" s="106">
        <f t="shared" si="107"/>
        <v>58397087.587087505</v>
      </c>
      <c r="W219" s="106">
        <f t="shared" si="107"/>
        <v>58549020.792136155</v>
      </c>
      <c r="X219" s="106">
        <f t="shared" si="107"/>
        <v>58907105.269656144</v>
      </c>
      <c r="Y219" s="106">
        <f t="shared" si="107"/>
        <v>58587309.88822294</v>
      </c>
      <c r="Z219" s="106">
        <f t="shared" si="107"/>
        <v>58658989.873879135</v>
      </c>
      <c r="AA219" s="106">
        <f t="shared" si="107"/>
        <v>59108026.214977257</v>
      </c>
    </row>
    <row r="221" spans="1:27" x14ac:dyDescent="0.25">
      <c r="D221" s="47" t="s">
        <v>722</v>
      </c>
    </row>
    <row r="222" spans="1:27" x14ac:dyDescent="0.25">
      <c r="E222" s="47" t="s">
        <v>573</v>
      </c>
      <c r="F222" s="47" t="s">
        <v>639</v>
      </c>
      <c r="G222" s="106">
        <f t="shared" ref="G222:AA222" si="108">G42</f>
        <v>0</v>
      </c>
      <c r="H222" s="106">
        <f t="shared" si="108"/>
        <v>38681921.948851243</v>
      </c>
      <c r="I222" s="106">
        <f t="shared" si="108"/>
        <v>39521998.891712219</v>
      </c>
      <c r="J222" s="106">
        <f t="shared" si="108"/>
        <v>42033118.265981808</v>
      </c>
      <c r="K222" s="106">
        <f t="shared" si="108"/>
        <v>42591664.044101633</v>
      </c>
      <c r="L222" s="106">
        <f t="shared" si="108"/>
        <v>38375648.676506177</v>
      </c>
      <c r="M222" s="106">
        <f t="shared" si="108"/>
        <v>38924797.797191493</v>
      </c>
      <c r="N222" s="106">
        <f t="shared" si="108"/>
        <v>37844700.966784842</v>
      </c>
      <c r="O222" s="106">
        <f t="shared" si="108"/>
        <v>39850637.287842631</v>
      </c>
      <c r="P222" s="106">
        <f t="shared" si="108"/>
        <v>40864698.650687002</v>
      </c>
      <c r="Q222" s="106">
        <f t="shared" si="108"/>
        <v>40236095.443586729</v>
      </c>
      <c r="R222" s="106">
        <f t="shared" si="108"/>
        <v>39325509.917707063</v>
      </c>
      <c r="S222" s="106">
        <f t="shared" si="108"/>
        <v>38256639.393971272</v>
      </c>
      <c r="T222" s="106">
        <f t="shared" si="108"/>
        <v>36013738.956393406</v>
      </c>
      <c r="U222" s="106">
        <f t="shared" si="108"/>
        <v>33264315.839493237</v>
      </c>
      <c r="V222" s="106">
        <f t="shared" si="108"/>
        <v>30083556.989111878</v>
      </c>
      <c r="W222" s="106">
        <f t="shared" si="108"/>
        <v>27089288.876369976</v>
      </c>
      <c r="X222" s="106">
        <f t="shared" si="108"/>
        <v>25175054.560933016</v>
      </c>
      <c r="Y222" s="106">
        <f t="shared" si="108"/>
        <v>21991120.872615352</v>
      </c>
      <c r="Z222" s="106">
        <f t="shared" si="108"/>
        <v>18491838.147785448</v>
      </c>
      <c r="AA222" s="106">
        <f t="shared" si="108"/>
        <v>15802574.674329042</v>
      </c>
    </row>
    <row r="223" spans="1:27" x14ac:dyDescent="0.25">
      <c r="E223" s="47" t="s">
        <v>723</v>
      </c>
      <c r="F223" s="47" t="s">
        <v>639</v>
      </c>
      <c r="G223" s="106">
        <f t="shared" ref="G223:AA223" si="109">G177</f>
        <v>0</v>
      </c>
      <c r="H223" s="106">
        <f t="shared" si="109"/>
        <v>18421045.867623996</v>
      </c>
      <c r="I223" s="106">
        <f t="shared" si="109"/>
        <v>37859756.38162265</v>
      </c>
      <c r="J223" s="106">
        <f t="shared" si="109"/>
        <v>53939757.599666893</v>
      </c>
      <c r="K223" s="106">
        <f t="shared" si="109"/>
        <v>70148874.064151764</v>
      </c>
      <c r="L223" s="106">
        <f t="shared" si="109"/>
        <v>85352978.70745568</v>
      </c>
      <c r="M223" s="106">
        <f t="shared" si="109"/>
        <v>100464187.39598957</v>
      </c>
      <c r="N223" s="106">
        <f t="shared" si="109"/>
        <v>116185625.83560775</v>
      </c>
      <c r="O223" s="106">
        <f t="shared" si="109"/>
        <v>131753286.99678124</v>
      </c>
      <c r="P223" s="106">
        <f t="shared" si="109"/>
        <v>147488122.01223531</v>
      </c>
      <c r="Q223" s="106">
        <f t="shared" si="109"/>
        <v>147273901.50236818</v>
      </c>
      <c r="R223" s="106">
        <f t="shared" si="109"/>
        <v>161668406.18924841</v>
      </c>
      <c r="S223" s="106">
        <f t="shared" si="109"/>
        <v>176223997.87700218</v>
      </c>
      <c r="T223" s="106">
        <f t="shared" si="109"/>
        <v>190883752.42088783</v>
      </c>
      <c r="U223" s="106">
        <f t="shared" si="109"/>
        <v>205599622.15226832</v>
      </c>
      <c r="V223" s="106">
        <f t="shared" si="109"/>
        <v>200727726.10459125</v>
      </c>
      <c r="W223" s="106">
        <f t="shared" si="109"/>
        <v>214119242.91104704</v>
      </c>
      <c r="X223" s="106">
        <f t="shared" si="109"/>
        <v>227110062.13946748</v>
      </c>
      <c r="Y223" s="106">
        <f t="shared" si="109"/>
        <v>240372907.11903542</v>
      </c>
      <c r="Z223" s="106">
        <f t="shared" si="109"/>
        <v>253598332.49543279</v>
      </c>
      <c r="AA223" s="106">
        <f t="shared" si="109"/>
        <v>267801830.59767011</v>
      </c>
    </row>
    <row r="224" spans="1:27" x14ac:dyDescent="0.25">
      <c r="E224" s="47" t="s">
        <v>701</v>
      </c>
      <c r="F224" s="47" t="s">
        <v>639</v>
      </c>
      <c r="G224" s="106">
        <f t="shared" ref="G224:AA224" si="110">-G187</f>
        <v>0</v>
      </c>
      <c r="H224" s="106">
        <f t="shared" si="110"/>
        <v>-8395038.2370488588</v>
      </c>
      <c r="I224" s="106">
        <f t="shared" si="110"/>
        <v>-16840846.526050821</v>
      </c>
      <c r="J224" s="106">
        <f t="shared" si="110"/>
        <v>-23631869.782563616</v>
      </c>
      <c r="K224" s="106">
        <f t="shared" si="110"/>
        <v>-30191965.594352789</v>
      </c>
      <c r="L224" s="106">
        <f t="shared" si="110"/>
        <v>-36403535.3041372</v>
      </c>
      <c r="M224" s="106">
        <f t="shared" si="110"/>
        <v>-42198481.736112885</v>
      </c>
      <c r="N224" s="106">
        <f t="shared" si="110"/>
        <v>-47833994.247587591</v>
      </c>
      <c r="O224" s="106">
        <f t="shared" si="110"/>
        <v>-53344151.676199988</v>
      </c>
      <c r="P224" s="106">
        <f t="shared" si="110"/>
        <v>-58753146.00079757</v>
      </c>
      <c r="Q224" s="106">
        <f t="shared" si="110"/>
        <v>-64025379.717375249</v>
      </c>
      <c r="R224" s="106">
        <f t="shared" si="110"/>
        <v>-69272097.962493151</v>
      </c>
      <c r="S224" s="106">
        <f t="shared" si="110"/>
        <v>-74422737.897231966</v>
      </c>
      <c r="T224" s="106">
        <f t="shared" si="110"/>
        <v>-79476901.808194727</v>
      </c>
      <c r="U224" s="106">
        <f t="shared" si="110"/>
        <v>-84397404.101096764</v>
      </c>
      <c r="V224" s="106">
        <f t="shared" si="110"/>
        <v>-89193540.337654173</v>
      </c>
      <c r="W224" s="106">
        <f t="shared" si="110"/>
        <v>-93845264.231528908</v>
      </c>
      <c r="X224" s="106">
        <f t="shared" si="110"/>
        <v>-98271010.179881409</v>
      </c>
      <c r="Y224" s="106">
        <f t="shared" si="110"/>
        <v>-102599592.0822801</v>
      </c>
      <c r="Z224" s="106">
        <f t="shared" si="110"/>
        <v>-106805426.34638759</v>
      </c>
      <c r="AA224" s="106">
        <f t="shared" si="110"/>
        <v>-111019542.1580568</v>
      </c>
    </row>
    <row r="225" spans="4:28" x14ac:dyDescent="0.25">
      <c r="E225" s="47" t="s">
        <v>702</v>
      </c>
      <c r="F225" s="47" t="s">
        <v>639</v>
      </c>
      <c r="G225" s="106">
        <f t="shared" ref="G225:AA225" si="111">-G200</f>
        <v>0</v>
      </c>
      <c r="H225" s="106">
        <f t="shared" si="111"/>
        <v>-4321392.3303855732</v>
      </c>
      <c r="I225" s="106">
        <f t="shared" si="111"/>
        <v>-8613030.7532741763</v>
      </c>
      <c r="J225" s="106">
        <f t="shared" si="111"/>
        <v>-12126154.478932364</v>
      </c>
      <c r="K225" s="106">
        <f t="shared" si="111"/>
        <v>-15609140.874721644</v>
      </c>
      <c r="L225" s="106">
        <f t="shared" si="111"/>
        <v>-18982427.855161946</v>
      </c>
      <c r="M225" s="106">
        <f t="shared" si="111"/>
        <v>-22201215.403725069</v>
      </c>
      <c r="N225" s="106">
        <f t="shared" si="111"/>
        <v>-25306575.859253231</v>
      </c>
      <c r="O225" s="106">
        <f t="shared" si="111"/>
        <v>-28378582.965526987</v>
      </c>
      <c r="P225" s="106">
        <f t="shared" si="111"/>
        <v>-31415636.48935917</v>
      </c>
      <c r="Q225" s="106">
        <f t="shared" si="111"/>
        <v>-34926447.982638516</v>
      </c>
      <c r="R225" s="106">
        <f t="shared" si="111"/>
        <v>-38515390.807018481</v>
      </c>
      <c r="S225" s="106">
        <f t="shared" si="111"/>
        <v>-42163544.369891658</v>
      </c>
      <c r="T225" s="106">
        <f t="shared" si="111"/>
        <v>-45865220.776312701</v>
      </c>
      <c r="U225" s="106">
        <f t="shared" si="111"/>
        <v>-49599817.718219586</v>
      </c>
      <c r="V225" s="106">
        <f t="shared" si="111"/>
        <v>-53363839.253848992</v>
      </c>
      <c r="W225" s="106">
        <f t="shared" si="111"/>
        <v>-57137653.741137639</v>
      </c>
      <c r="X225" s="106">
        <f t="shared" si="111"/>
        <v>-60934548.791869618</v>
      </c>
      <c r="Y225" s="106">
        <f t="shared" si="111"/>
        <v>-64710831.227273569</v>
      </c>
      <c r="Z225" s="106">
        <f t="shared" si="111"/>
        <v>-68491733.841882214</v>
      </c>
      <c r="AA225" s="106">
        <f t="shared" si="111"/>
        <v>-72301579.380325079</v>
      </c>
    </row>
    <row r="226" spans="4:28" x14ac:dyDescent="0.25">
      <c r="E226" s="47" t="s">
        <v>724</v>
      </c>
      <c r="F226" s="47" t="s">
        <v>639</v>
      </c>
      <c r="G226" s="106">
        <f t="shared" ref="G226:AA226" si="112">-G34-G50-G85</f>
        <v>0</v>
      </c>
      <c r="H226" s="106">
        <f t="shared" si="112"/>
        <v>-971283.38643729384</v>
      </c>
      <c r="I226" s="106">
        <f t="shared" si="112"/>
        <v>-1958639.794876379</v>
      </c>
      <c r="J226" s="106">
        <f t="shared" si="112"/>
        <v>-3205647.0498287934</v>
      </c>
      <c r="K226" s="106">
        <f t="shared" si="112"/>
        <v>-4479479.2846406028</v>
      </c>
      <c r="L226" s="106">
        <f t="shared" si="112"/>
        <v>-5764600.6689832974</v>
      </c>
      <c r="M226" s="106">
        <f t="shared" si="112"/>
        <v>-7145930.1499072108</v>
      </c>
      <c r="N226" s="106">
        <f t="shared" si="112"/>
        <v>-8680587.94012345</v>
      </c>
      <c r="O226" s="106">
        <f t="shared" si="112"/>
        <v>-10403596.639444465</v>
      </c>
      <c r="P226" s="106">
        <f t="shared" si="112"/>
        <v>-11870523.285743318</v>
      </c>
      <c r="Q226" s="106">
        <f t="shared" si="112"/>
        <v>-13360554.294494798</v>
      </c>
      <c r="R226" s="106">
        <f t="shared" si="112"/>
        <v>-14840467.686292062</v>
      </c>
      <c r="S226" s="106">
        <f t="shared" si="112"/>
        <v>-16308504.738936704</v>
      </c>
      <c r="T226" s="106">
        <f t="shared" si="112"/>
        <v>-17751620.675608259</v>
      </c>
      <c r="U226" s="106">
        <f t="shared" si="112"/>
        <v>-19164187.466536477</v>
      </c>
      <c r="V226" s="106">
        <f t="shared" si="112"/>
        <v>-20541412.492460459</v>
      </c>
      <c r="W226" s="106">
        <f t="shared" si="112"/>
        <v>-21885367.87268731</v>
      </c>
      <c r="X226" s="106">
        <f t="shared" si="112"/>
        <v>-23208053.982742637</v>
      </c>
      <c r="Y226" s="106">
        <f t="shared" si="112"/>
        <v>-24495363.051816657</v>
      </c>
      <c r="Z226" s="106">
        <f t="shared" si="112"/>
        <v>-25743791.201725896</v>
      </c>
      <c r="AA226" s="106">
        <f t="shared" si="112"/>
        <v>-26962338.646374512</v>
      </c>
    </row>
    <row r="227" spans="4:28" x14ac:dyDescent="0.25">
      <c r="E227" s="47" t="s">
        <v>709</v>
      </c>
      <c r="F227" s="47" t="s">
        <v>639</v>
      </c>
      <c r="G227" s="106">
        <f t="shared" ref="G227:AA227" si="113">G207</f>
        <v>0</v>
      </c>
      <c r="H227" s="106">
        <f t="shared" si="113"/>
        <v>0</v>
      </c>
      <c r="I227" s="106">
        <f t="shared" si="113"/>
        <v>0</v>
      </c>
      <c r="J227" s="106">
        <f t="shared" si="113"/>
        <v>0</v>
      </c>
      <c r="K227" s="106">
        <f t="shared" si="113"/>
        <v>0</v>
      </c>
      <c r="L227" s="106">
        <f t="shared" si="113"/>
        <v>0</v>
      </c>
      <c r="M227" s="106">
        <f t="shared" si="113"/>
        <v>0</v>
      </c>
      <c r="N227" s="106">
        <f t="shared" si="113"/>
        <v>0</v>
      </c>
      <c r="O227" s="106">
        <f t="shared" si="113"/>
        <v>0</v>
      </c>
      <c r="P227" s="106">
        <f t="shared" si="113"/>
        <v>0</v>
      </c>
      <c r="Q227" s="106">
        <f t="shared" si="113"/>
        <v>0</v>
      </c>
      <c r="R227" s="106">
        <f t="shared" si="113"/>
        <v>0</v>
      </c>
      <c r="S227" s="106">
        <f t="shared" si="113"/>
        <v>0</v>
      </c>
      <c r="T227" s="106">
        <f t="shared" si="113"/>
        <v>0</v>
      </c>
      <c r="U227" s="106">
        <f t="shared" si="113"/>
        <v>0</v>
      </c>
      <c r="V227" s="106">
        <f t="shared" si="113"/>
        <v>0</v>
      </c>
      <c r="W227" s="106">
        <f t="shared" si="113"/>
        <v>0</v>
      </c>
      <c r="X227" s="106">
        <f t="shared" si="113"/>
        <v>0</v>
      </c>
      <c r="Y227" s="106">
        <f t="shared" si="113"/>
        <v>0</v>
      </c>
      <c r="Z227" s="106">
        <f t="shared" si="113"/>
        <v>0</v>
      </c>
      <c r="AA227" s="106">
        <f t="shared" si="113"/>
        <v>0</v>
      </c>
    </row>
    <row r="228" spans="4:28" x14ac:dyDescent="0.25">
      <c r="E228" s="47" t="s">
        <v>725</v>
      </c>
      <c r="F228" s="47" t="s">
        <v>639</v>
      </c>
      <c r="H228" s="106">
        <f t="shared" ref="H228:AA228" si="114">H219</f>
        <v>58693303.704095103</v>
      </c>
      <c r="I228" s="106">
        <f t="shared" si="114"/>
        <v>61683594.119280145</v>
      </c>
      <c r="J228" s="106">
        <f t="shared" si="114"/>
        <v>52626015.560567327</v>
      </c>
      <c r="K228" s="106">
        <f t="shared" si="114"/>
        <v>52979987.992801487</v>
      </c>
      <c r="L228" s="106">
        <f t="shared" si="114"/>
        <v>52623774.863381118</v>
      </c>
      <c r="M228" s="106">
        <f t="shared" si="114"/>
        <v>51672166.246595092</v>
      </c>
      <c r="N228" s="106">
        <f t="shared" si="114"/>
        <v>51406258.606662251</v>
      </c>
      <c r="O228" s="106">
        <f t="shared" si="114"/>
        <v>52437991.517990336</v>
      </c>
      <c r="P228" s="106">
        <f t="shared" si="114"/>
        <v>53276264.248692118</v>
      </c>
      <c r="Q228" s="106">
        <f t="shared" si="114"/>
        <v>54468648.580806985</v>
      </c>
      <c r="R228" s="106">
        <f t="shared" si="114"/>
        <v>55680820.759523034</v>
      </c>
      <c r="S228" s="106">
        <f t="shared" si="114"/>
        <v>56599448.522184253</v>
      </c>
      <c r="T228" s="106">
        <f t="shared" si="114"/>
        <v>57429831.173555695</v>
      </c>
      <c r="U228" s="106">
        <f t="shared" si="114"/>
        <v>57940578.356052622</v>
      </c>
      <c r="V228" s="106">
        <f t="shared" si="114"/>
        <v>58397087.587087505</v>
      </c>
      <c r="W228" s="106">
        <f t="shared" si="114"/>
        <v>58549020.792136155</v>
      </c>
      <c r="X228" s="106">
        <f t="shared" si="114"/>
        <v>58907105.269656144</v>
      </c>
      <c r="Y228" s="106">
        <f t="shared" si="114"/>
        <v>58587309.88822294</v>
      </c>
      <c r="Z228" s="106">
        <f t="shared" si="114"/>
        <v>58658989.873879135</v>
      </c>
      <c r="AA228" s="106">
        <f t="shared" si="114"/>
        <v>59108026.214977257</v>
      </c>
    </row>
    <row r="230" spans="4:28" x14ac:dyDescent="0.25">
      <c r="E230" s="47" t="s">
        <v>726</v>
      </c>
      <c r="F230" s="47" t="s">
        <v>639</v>
      </c>
      <c r="G230" s="106">
        <f t="shared" ref="G230:AA230" si="115">SUM(G222:G228)</f>
        <v>0</v>
      </c>
      <c r="H230" s="106">
        <f t="shared" si="115"/>
        <v>102108557.56669861</v>
      </c>
      <c r="I230" s="106">
        <f t="shared" si="115"/>
        <v>111652832.31841363</v>
      </c>
      <c r="J230" s="106">
        <f t="shared" si="115"/>
        <v>109635220.11489126</v>
      </c>
      <c r="K230" s="106">
        <f t="shared" si="115"/>
        <v>115439940.34733984</v>
      </c>
      <c r="L230" s="106">
        <f t="shared" si="115"/>
        <v>115201838.41906053</v>
      </c>
      <c r="M230" s="106">
        <f t="shared" si="115"/>
        <v>119515524.15003097</v>
      </c>
      <c r="N230" s="106">
        <f t="shared" si="115"/>
        <v>123615427.36209059</v>
      </c>
      <c r="O230" s="106">
        <f t="shared" si="115"/>
        <v>131915584.52144276</v>
      </c>
      <c r="P230" s="106">
        <f t="shared" si="115"/>
        <v>139589779.13571438</v>
      </c>
      <c r="Q230" s="106">
        <f t="shared" si="115"/>
        <v>129666263.53225335</v>
      </c>
      <c r="R230" s="106">
        <f t="shared" si="115"/>
        <v>134046780.4106748</v>
      </c>
      <c r="S230" s="106">
        <f t="shared" si="115"/>
        <v>138185298.78709736</v>
      </c>
      <c r="T230" s="106">
        <f t="shared" si="115"/>
        <v>141233579.29072124</v>
      </c>
      <c r="U230" s="106">
        <f t="shared" si="115"/>
        <v>143643107.06196138</v>
      </c>
      <c r="V230" s="106">
        <f t="shared" si="115"/>
        <v>126109578.596827</v>
      </c>
      <c r="W230" s="106">
        <f t="shared" si="115"/>
        <v>126889266.73419932</v>
      </c>
      <c r="X230" s="106">
        <f t="shared" si="115"/>
        <v>128778609.01556298</v>
      </c>
      <c r="Y230" s="106">
        <f t="shared" si="115"/>
        <v>129145551.51850337</v>
      </c>
      <c r="Z230" s="106">
        <f t="shared" si="115"/>
        <v>129708209.12710164</v>
      </c>
      <c r="AA230" s="106">
        <f t="shared" si="115"/>
        <v>132428971.30221999</v>
      </c>
    </row>
    <row r="231" spans="4:28" x14ac:dyDescent="0.25">
      <c r="E231" s="47" t="s">
        <v>727</v>
      </c>
      <c r="F231" s="47" t="s">
        <v>639</v>
      </c>
      <c r="G231" s="106">
        <f>-G230*G$18</f>
        <v>0</v>
      </c>
      <c r="H231" s="106">
        <f t="shared" ref="H231:AA231" si="116">-H230*H$18</f>
        <v>-30632567.270009581</v>
      </c>
      <c r="I231" s="106">
        <f t="shared" si="116"/>
        <v>-33495849.695524089</v>
      </c>
      <c r="J231" s="106">
        <f t="shared" si="116"/>
        <v>-32890566.034467377</v>
      </c>
      <c r="K231" s="106">
        <f t="shared" si="116"/>
        <v>-34631982.10420195</v>
      </c>
      <c r="L231" s="106">
        <f t="shared" si="116"/>
        <v>-34560551.52571816</v>
      </c>
      <c r="M231" s="106">
        <f t="shared" si="116"/>
        <v>-35854657.245009288</v>
      </c>
      <c r="N231" s="106">
        <f t="shared" si="116"/>
        <v>-37084628.208627172</v>
      </c>
      <c r="O231" s="106">
        <f t="shared" si="116"/>
        <v>-39574675.356432825</v>
      </c>
      <c r="P231" s="106">
        <f t="shared" si="116"/>
        <v>-41876933.740714312</v>
      </c>
      <c r="Q231" s="106">
        <f t="shared" si="116"/>
        <v>-38899879.059676006</v>
      </c>
      <c r="R231" s="106">
        <f t="shared" si="116"/>
        <v>-40214034.123202436</v>
      </c>
      <c r="S231" s="106">
        <f t="shared" si="116"/>
        <v>-41455589.636129208</v>
      </c>
      <c r="T231" s="106">
        <f t="shared" si="116"/>
        <v>-42370073.787216373</v>
      </c>
      <c r="U231" s="106">
        <f t="shared" si="116"/>
        <v>-43092932.11858841</v>
      </c>
      <c r="V231" s="106">
        <f t="shared" si="116"/>
        <v>-37832873.579048097</v>
      </c>
      <c r="W231" s="106">
        <f t="shared" si="116"/>
        <v>-38066780.02025979</v>
      </c>
      <c r="X231" s="106">
        <f t="shared" si="116"/>
        <v>-38633582.704668894</v>
      </c>
      <c r="Y231" s="106">
        <f t="shared" si="116"/>
        <v>-38743665.455551006</v>
      </c>
      <c r="Z231" s="106">
        <f t="shared" si="116"/>
        <v>-38912462.738130495</v>
      </c>
      <c r="AA231" s="106">
        <f t="shared" si="116"/>
        <v>-39728691.390665993</v>
      </c>
    </row>
    <row r="233" spans="4:28" x14ac:dyDescent="0.25">
      <c r="D233" s="47" t="s">
        <v>728</v>
      </c>
    </row>
    <row r="234" spans="4:28" x14ac:dyDescent="0.25">
      <c r="E234" s="47" t="s">
        <v>638</v>
      </c>
      <c r="F234" s="47" t="s">
        <v>639</v>
      </c>
      <c r="G234" s="106">
        <f t="shared" ref="G234:AA234" si="117">-G26</f>
        <v>0</v>
      </c>
      <c r="H234" s="106">
        <f t="shared" si="117"/>
        <v>-46691810.028247699</v>
      </c>
      <c r="I234" s="106">
        <f t="shared" si="117"/>
        <v>-47423757.597461477</v>
      </c>
      <c r="J234" s="106">
        <f t="shared" si="117"/>
        <v>-68405104.485954791</v>
      </c>
      <c r="K234" s="106">
        <f t="shared" si="117"/>
        <v>-70764201.319401696</v>
      </c>
      <c r="L234" s="106">
        <f t="shared" si="117"/>
        <v>-76157978.025306746</v>
      </c>
      <c r="M234" s="106">
        <f t="shared" si="117"/>
        <v>-83846565.748006046</v>
      </c>
      <c r="N234" s="106">
        <f t="shared" si="117"/>
        <v>-98864948.5583639</v>
      </c>
      <c r="O234" s="106">
        <f t="shared" si="117"/>
        <v>-114097625.18001817</v>
      </c>
      <c r="P234" s="106">
        <f t="shared" si="117"/>
        <v>-90036179.045179099</v>
      </c>
      <c r="Q234" s="106">
        <f t="shared" si="117"/>
        <v>-92600659.311374784</v>
      </c>
      <c r="R234" s="106">
        <f>-R26</f>
        <v>-92600659.311374784</v>
      </c>
      <c r="S234" s="106">
        <f t="shared" si="117"/>
        <v>-92600659.311374784</v>
      </c>
      <c r="T234" s="106">
        <f t="shared" si="117"/>
        <v>-92600659.311374784</v>
      </c>
      <c r="U234" s="106">
        <f t="shared" si="117"/>
        <v>-92600659.311374784</v>
      </c>
      <c r="V234" s="106">
        <f t="shared" si="117"/>
        <v>-92600659.311374784</v>
      </c>
      <c r="W234" s="106">
        <f t="shared" si="117"/>
        <v>-92600659.311374784</v>
      </c>
      <c r="X234" s="106">
        <f t="shared" si="117"/>
        <v>-92600659.311374784</v>
      </c>
      <c r="Y234" s="106">
        <f t="shared" si="117"/>
        <v>-92600659.311374784</v>
      </c>
      <c r="Z234" s="106">
        <f t="shared" si="117"/>
        <v>-92600659.311374784</v>
      </c>
      <c r="AA234" s="106">
        <f t="shared" si="117"/>
        <v>-92600659.311374784</v>
      </c>
    </row>
    <row r="235" spans="4:28" x14ac:dyDescent="0.25">
      <c r="E235" s="47" t="s">
        <v>729</v>
      </c>
      <c r="F235" s="47" t="s">
        <v>639</v>
      </c>
      <c r="G235" s="106">
        <f t="shared" ref="G235:AA235" si="118">G84</f>
        <v>0</v>
      </c>
      <c r="H235" s="106">
        <f t="shared" si="118"/>
        <v>0</v>
      </c>
      <c r="I235" s="106">
        <f t="shared" si="118"/>
        <v>0</v>
      </c>
      <c r="J235" s="106">
        <f t="shared" si="118"/>
        <v>0</v>
      </c>
      <c r="K235" s="106">
        <f t="shared" si="118"/>
        <v>0</v>
      </c>
      <c r="L235" s="106">
        <f t="shared" si="118"/>
        <v>0</v>
      </c>
      <c r="M235" s="106">
        <f t="shared" si="118"/>
        <v>0</v>
      </c>
      <c r="N235" s="106">
        <f t="shared" si="118"/>
        <v>0</v>
      </c>
      <c r="O235" s="106">
        <f t="shared" si="118"/>
        <v>0</v>
      </c>
      <c r="P235" s="106">
        <f t="shared" si="118"/>
        <v>0</v>
      </c>
      <c r="Q235" s="106">
        <f t="shared" si="118"/>
        <v>0</v>
      </c>
      <c r="R235" s="106">
        <f t="shared" si="118"/>
        <v>0</v>
      </c>
      <c r="S235" s="106">
        <f t="shared" si="118"/>
        <v>0</v>
      </c>
      <c r="T235" s="106">
        <f t="shared" si="118"/>
        <v>0</v>
      </c>
      <c r="U235" s="106">
        <f t="shared" si="118"/>
        <v>0</v>
      </c>
      <c r="V235" s="106">
        <f t="shared" si="118"/>
        <v>0</v>
      </c>
      <c r="W235" s="106">
        <f t="shared" si="118"/>
        <v>0</v>
      </c>
      <c r="X235" s="106">
        <f t="shared" si="118"/>
        <v>0</v>
      </c>
      <c r="Y235" s="106">
        <f t="shared" si="118"/>
        <v>0</v>
      </c>
      <c r="Z235" s="106">
        <f t="shared" si="118"/>
        <v>0</v>
      </c>
      <c r="AA235" s="106">
        <f t="shared" si="118"/>
        <v>0</v>
      </c>
    </row>
    <row r="236" spans="4:28" x14ac:dyDescent="0.25">
      <c r="E236" s="47" t="s">
        <v>645</v>
      </c>
      <c r="F236" s="47" t="s">
        <v>639</v>
      </c>
      <c r="G236" s="106">
        <f t="shared" ref="G236:AA236" si="119">G53</f>
        <v>0</v>
      </c>
      <c r="H236" s="106">
        <f t="shared" si="119"/>
        <v>0</v>
      </c>
      <c r="I236" s="106">
        <f t="shared" si="119"/>
        <v>0</v>
      </c>
      <c r="J236" s="106">
        <f t="shared" si="119"/>
        <v>0</v>
      </c>
      <c r="K236" s="106">
        <f t="shared" si="119"/>
        <v>0</v>
      </c>
      <c r="L236" s="106">
        <f t="shared" si="119"/>
        <v>0</v>
      </c>
      <c r="M236" s="106">
        <f t="shared" si="119"/>
        <v>0</v>
      </c>
      <c r="N236" s="106">
        <f t="shared" si="119"/>
        <v>0</v>
      </c>
      <c r="O236" s="106">
        <f t="shared" si="119"/>
        <v>0</v>
      </c>
      <c r="P236" s="106">
        <f t="shared" si="119"/>
        <v>0</v>
      </c>
      <c r="Q236" s="106">
        <f t="shared" si="119"/>
        <v>0</v>
      </c>
      <c r="R236" s="106">
        <f t="shared" si="119"/>
        <v>0</v>
      </c>
      <c r="S236" s="106">
        <f t="shared" si="119"/>
        <v>0</v>
      </c>
      <c r="T236" s="106">
        <f t="shared" si="119"/>
        <v>0</v>
      </c>
      <c r="U236" s="106">
        <f t="shared" si="119"/>
        <v>0</v>
      </c>
      <c r="V236" s="106">
        <f t="shared" si="119"/>
        <v>0</v>
      </c>
      <c r="W236" s="106">
        <f t="shared" si="119"/>
        <v>0</v>
      </c>
      <c r="X236" s="106">
        <f t="shared" si="119"/>
        <v>0</v>
      </c>
      <c r="Y236" s="106">
        <f t="shared" si="119"/>
        <v>0</v>
      </c>
      <c r="Z236" s="106">
        <f t="shared" si="119"/>
        <v>0</v>
      </c>
      <c r="AA236" s="106">
        <f t="shared" si="119"/>
        <v>0</v>
      </c>
    </row>
    <row r="237" spans="4:28" x14ac:dyDescent="0.25">
      <c r="E237" s="47" t="s">
        <v>723</v>
      </c>
      <c r="F237" s="47" t="s">
        <v>639</v>
      </c>
      <c r="G237" s="106">
        <f t="shared" ref="G237:AA237" si="120">G177</f>
        <v>0</v>
      </c>
      <c r="H237" s="106">
        <f t="shared" si="120"/>
        <v>18421045.867623996</v>
      </c>
      <c r="I237" s="106">
        <f t="shared" si="120"/>
        <v>37859756.38162265</v>
      </c>
      <c r="J237" s="106">
        <f t="shared" si="120"/>
        <v>53939757.599666893</v>
      </c>
      <c r="K237" s="106">
        <f t="shared" si="120"/>
        <v>70148874.064151764</v>
      </c>
      <c r="L237" s="106">
        <f t="shared" si="120"/>
        <v>85352978.70745568</v>
      </c>
      <c r="M237" s="106">
        <f t="shared" si="120"/>
        <v>100464187.39598957</v>
      </c>
      <c r="N237" s="106">
        <f t="shared" si="120"/>
        <v>116185625.83560775</v>
      </c>
      <c r="O237" s="106">
        <f t="shared" si="120"/>
        <v>131753286.99678124</v>
      </c>
      <c r="P237" s="106">
        <f t="shared" si="120"/>
        <v>147488122.01223531</v>
      </c>
      <c r="Q237" s="106">
        <f t="shared" si="120"/>
        <v>147273901.50236818</v>
      </c>
      <c r="R237" s="106">
        <f t="shared" si="120"/>
        <v>161668406.18924841</v>
      </c>
      <c r="S237" s="106">
        <f t="shared" si="120"/>
        <v>176223997.87700218</v>
      </c>
      <c r="T237" s="106">
        <f t="shared" si="120"/>
        <v>190883752.42088783</v>
      </c>
      <c r="U237" s="106">
        <f t="shared" si="120"/>
        <v>205599622.15226832</v>
      </c>
      <c r="V237" s="106">
        <f t="shared" si="120"/>
        <v>200727726.10459125</v>
      </c>
      <c r="W237" s="106">
        <f t="shared" si="120"/>
        <v>214119242.91104704</v>
      </c>
      <c r="X237" s="106">
        <f t="shared" si="120"/>
        <v>227110062.13946748</v>
      </c>
      <c r="Y237" s="106">
        <f t="shared" si="120"/>
        <v>240372907.11903542</v>
      </c>
      <c r="Z237" s="106">
        <f t="shared" si="120"/>
        <v>253598332.49543279</v>
      </c>
      <c r="AA237" s="106">
        <f t="shared" si="120"/>
        <v>267801830.59767011</v>
      </c>
      <c r="AB237" s="106">
        <f t="shared" ref="AB237:AB241" si="121">IF(V237=0,0,IF($G$15&gt;(AA237/V237)^(1/5)-1+2%,AA237*(AA237/V237)^(1/5)/($G$15-((AA237/V237)^(1/5)-1)),AA237*(1+$G$14)/$G$16))</f>
        <v>11112109153.43029</v>
      </c>
    </row>
    <row r="238" spans="4:28" x14ac:dyDescent="0.25">
      <c r="E238" s="47" t="s">
        <v>701</v>
      </c>
      <c r="F238" s="47" t="s">
        <v>639</v>
      </c>
      <c r="G238" s="106">
        <f t="shared" ref="G238:AA238" si="122">G224</f>
        <v>0</v>
      </c>
      <c r="H238" s="106">
        <f t="shared" si="122"/>
        <v>-8395038.2370488588</v>
      </c>
      <c r="I238" s="106">
        <f t="shared" si="122"/>
        <v>-16840846.526050821</v>
      </c>
      <c r="J238" s="106">
        <f t="shared" si="122"/>
        <v>-23631869.782563616</v>
      </c>
      <c r="K238" s="106">
        <f t="shared" si="122"/>
        <v>-30191965.594352789</v>
      </c>
      <c r="L238" s="106">
        <f t="shared" si="122"/>
        <v>-36403535.3041372</v>
      </c>
      <c r="M238" s="106">
        <f t="shared" si="122"/>
        <v>-42198481.736112885</v>
      </c>
      <c r="N238" s="106">
        <f t="shared" si="122"/>
        <v>-47833994.247587591</v>
      </c>
      <c r="O238" s="106">
        <f t="shared" si="122"/>
        <v>-53344151.676199988</v>
      </c>
      <c r="P238" s="106">
        <f t="shared" si="122"/>
        <v>-58753146.00079757</v>
      </c>
      <c r="Q238" s="106">
        <f t="shared" si="122"/>
        <v>-64025379.717375249</v>
      </c>
      <c r="R238" s="106">
        <f t="shared" si="122"/>
        <v>-69272097.962493151</v>
      </c>
      <c r="S238" s="106">
        <f t="shared" si="122"/>
        <v>-74422737.897231966</v>
      </c>
      <c r="T238" s="106">
        <f t="shared" si="122"/>
        <v>-79476901.808194727</v>
      </c>
      <c r="U238" s="106">
        <f t="shared" si="122"/>
        <v>-84397404.101096764</v>
      </c>
      <c r="V238" s="106">
        <f t="shared" si="122"/>
        <v>-89193540.337654173</v>
      </c>
      <c r="W238" s="106">
        <f t="shared" si="122"/>
        <v>-93845264.231528908</v>
      </c>
      <c r="X238" s="106">
        <f t="shared" si="122"/>
        <v>-98271010.179881409</v>
      </c>
      <c r="Y238" s="106">
        <f t="shared" si="122"/>
        <v>-102599592.0822801</v>
      </c>
      <c r="Z238" s="106">
        <f t="shared" si="122"/>
        <v>-106805426.34638759</v>
      </c>
      <c r="AA238" s="106">
        <f t="shared" si="122"/>
        <v>-111019542.1580568</v>
      </c>
      <c r="AB238" s="106">
        <f t="shared" si="121"/>
        <v>-4606620006.5583715</v>
      </c>
    </row>
    <row r="239" spans="4:28" x14ac:dyDescent="0.25">
      <c r="E239" s="47" t="s">
        <v>702</v>
      </c>
      <c r="F239" s="47" t="s">
        <v>639</v>
      </c>
      <c r="G239" s="106">
        <f t="shared" ref="G239:AA239" si="123">-G200</f>
        <v>0</v>
      </c>
      <c r="H239" s="106">
        <f t="shared" si="123"/>
        <v>-4321392.3303855732</v>
      </c>
      <c r="I239" s="106">
        <f t="shared" si="123"/>
        <v>-8613030.7532741763</v>
      </c>
      <c r="J239" s="106">
        <f t="shared" si="123"/>
        <v>-12126154.478932364</v>
      </c>
      <c r="K239" s="106">
        <f t="shared" si="123"/>
        <v>-15609140.874721644</v>
      </c>
      <c r="L239" s="106">
        <f t="shared" si="123"/>
        <v>-18982427.855161946</v>
      </c>
      <c r="M239" s="106">
        <f t="shared" si="123"/>
        <v>-22201215.403725069</v>
      </c>
      <c r="N239" s="106">
        <f t="shared" si="123"/>
        <v>-25306575.859253231</v>
      </c>
      <c r="O239" s="106">
        <f t="shared" si="123"/>
        <v>-28378582.965526987</v>
      </c>
      <c r="P239" s="106">
        <f t="shared" si="123"/>
        <v>-31415636.48935917</v>
      </c>
      <c r="Q239" s="106">
        <f t="shared" si="123"/>
        <v>-34926447.982638516</v>
      </c>
      <c r="R239" s="106">
        <f t="shared" si="123"/>
        <v>-38515390.807018481</v>
      </c>
      <c r="S239" s="106">
        <f t="shared" si="123"/>
        <v>-42163544.369891658</v>
      </c>
      <c r="T239" s="106">
        <f t="shared" si="123"/>
        <v>-45865220.776312701</v>
      </c>
      <c r="U239" s="106">
        <f t="shared" si="123"/>
        <v>-49599817.718219586</v>
      </c>
      <c r="V239" s="106">
        <f t="shared" si="123"/>
        <v>-53363839.253848992</v>
      </c>
      <c r="W239" s="106">
        <f t="shared" si="123"/>
        <v>-57137653.741137639</v>
      </c>
      <c r="X239" s="106">
        <f t="shared" si="123"/>
        <v>-60934548.791869618</v>
      </c>
      <c r="Y239" s="106">
        <f t="shared" si="123"/>
        <v>-64710831.227273569</v>
      </c>
      <c r="Z239" s="106">
        <f t="shared" si="123"/>
        <v>-68491733.841882214</v>
      </c>
      <c r="AA239" s="106">
        <f t="shared" si="123"/>
        <v>-72301579.380325079</v>
      </c>
      <c r="AB239" s="106">
        <f t="shared" si="121"/>
        <v>-3000065534.4533215</v>
      </c>
    </row>
    <row r="240" spans="4:28" x14ac:dyDescent="0.25">
      <c r="E240" s="47" t="s">
        <v>709</v>
      </c>
      <c r="F240" s="47" t="s">
        <v>639</v>
      </c>
      <c r="G240" s="106">
        <f t="shared" ref="G240:AA240" si="124">G207</f>
        <v>0</v>
      </c>
      <c r="H240" s="106">
        <f t="shared" si="124"/>
        <v>0</v>
      </c>
      <c r="I240" s="106">
        <f t="shared" si="124"/>
        <v>0</v>
      </c>
      <c r="J240" s="106">
        <f t="shared" si="124"/>
        <v>0</v>
      </c>
      <c r="K240" s="106">
        <f t="shared" si="124"/>
        <v>0</v>
      </c>
      <c r="L240" s="106">
        <f t="shared" si="124"/>
        <v>0</v>
      </c>
      <c r="M240" s="106">
        <f t="shared" si="124"/>
        <v>0</v>
      </c>
      <c r="N240" s="106">
        <f t="shared" si="124"/>
        <v>0</v>
      </c>
      <c r="O240" s="106">
        <f t="shared" si="124"/>
        <v>0</v>
      </c>
      <c r="P240" s="106">
        <f t="shared" si="124"/>
        <v>0</v>
      </c>
      <c r="Q240" s="106">
        <f t="shared" si="124"/>
        <v>0</v>
      </c>
      <c r="R240" s="106">
        <f t="shared" si="124"/>
        <v>0</v>
      </c>
      <c r="S240" s="106">
        <f t="shared" si="124"/>
        <v>0</v>
      </c>
      <c r="T240" s="106">
        <f t="shared" si="124"/>
        <v>0</v>
      </c>
      <c r="U240" s="106">
        <f t="shared" si="124"/>
        <v>0</v>
      </c>
      <c r="V240" s="106">
        <f t="shared" si="124"/>
        <v>0</v>
      </c>
      <c r="W240" s="106">
        <f t="shared" si="124"/>
        <v>0</v>
      </c>
      <c r="X240" s="106">
        <f t="shared" si="124"/>
        <v>0</v>
      </c>
      <c r="Y240" s="106">
        <f t="shared" si="124"/>
        <v>0</v>
      </c>
      <c r="Z240" s="106">
        <f t="shared" si="124"/>
        <v>0</v>
      </c>
      <c r="AA240" s="106">
        <f t="shared" si="124"/>
        <v>0</v>
      </c>
      <c r="AB240" s="106">
        <f t="shared" si="121"/>
        <v>0</v>
      </c>
    </row>
    <row r="241" spans="3:40" x14ac:dyDescent="0.25">
      <c r="E241" s="47" t="s">
        <v>714</v>
      </c>
      <c r="F241" s="47" t="s">
        <v>639</v>
      </c>
      <c r="G241" s="106">
        <f t="shared" ref="G241:AA241" si="125">G214</f>
        <v>0</v>
      </c>
      <c r="H241" s="106">
        <f t="shared" si="125"/>
        <v>0</v>
      </c>
      <c r="I241" s="106">
        <f t="shared" si="125"/>
        <v>0</v>
      </c>
      <c r="J241" s="106">
        <f t="shared" si="125"/>
        <v>0</v>
      </c>
      <c r="K241" s="106">
        <f t="shared" si="125"/>
        <v>0</v>
      </c>
      <c r="L241" s="106">
        <f t="shared" si="125"/>
        <v>0</v>
      </c>
      <c r="M241" s="106">
        <f t="shared" si="125"/>
        <v>0</v>
      </c>
      <c r="N241" s="106">
        <f t="shared" si="125"/>
        <v>0</v>
      </c>
      <c r="O241" s="106">
        <f t="shared" si="125"/>
        <v>0</v>
      </c>
      <c r="P241" s="106">
        <f t="shared" si="125"/>
        <v>0</v>
      </c>
      <c r="Q241" s="106">
        <f t="shared" si="125"/>
        <v>0</v>
      </c>
      <c r="R241" s="106">
        <f t="shared" si="125"/>
        <v>0</v>
      </c>
      <c r="S241" s="106">
        <f t="shared" si="125"/>
        <v>0</v>
      </c>
      <c r="T241" s="106">
        <f t="shared" si="125"/>
        <v>0</v>
      </c>
      <c r="U241" s="106">
        <f t="shared" si="125"/>
        <v>0</v>
      </c>
      <c r="V241" s="106">
        <f t="shared" si="125"/>
        <v>0</v>
      </c>
      <c r="W241" s="106">
        <f t="shared" si="125"/>
        <v>0</v>
      </c>
      <c r="X241" s="106">
        <f t="shared" si="125"/>
        <v>0</v>
      </c>
      <c r="Y241" s="106">
        <f t="shared" si="125"/>
        <v>0</v>
      </c>
      <c r="Z241" s="106">
        <f t="shared" si="125"/>
        <v>0</v>
      </c>
      <c r="AA241" s="106">
        <f t="shared" si="125"/>
        <v>0</v>
      </c>
      <c r="AB241" s="106">
        <f t="shared" si="121"/>
        <v>0</v>
      </c>
    </row>
    <row r="242" spans="3:40" x14ac:dyDescent="0.25">
      <c r="E242" s="47" t="s">
        <v>458</v>
      </c>
      <c r="F242" s="47" t="s">
        <v>639</v>
      </c>
      <c r="G242" s="106">
        <f t="shared" ref="G242:AA242" si="126">G231</f>
        <v>0</v>
      </c>
      <c r="H242" s="106">
        <f t="shared" si="126"/>
        <v>-30632567.270009581</v>
      </c>
      <c r="I242" s="106">
        <f t="shared" si="126"/>
        <v>-33495849.695524089</v>
      </c>
      <c r="J242" s="106">
        <f t="shared" si="126"/>
        <v>-32890566.034467377</v>
      </c>
      <c r="K242" s="106">
        <f t="shared" si="126"/>
        <v>-34631982.10420195</v>
      </c>
      <c r="L242" s="106">
        <f t="shared" si="126"/>
        <v>-34560551.52571816</v>
      </c>
      <c r="M242" s="106">
        <f t="shared" si="126"/>
        <v>-35854657.245009288</v>
      </c>
      <c r="N242" s="106">
        <f t="shared" si="126"/>
        <v>-37084628.208627172</v>
      </c>
      <c r="O242" s="106">
        <f t="shared" si="126"/>
        <v>-39574675.356432825</v>
      </c>
      <c r="P242" s="106">
        <f t="shared" si="126"/>
        <v>-41876933.740714312</v>
      </c>
      <c r="Q242" s="106">
        <f t="shared" si="126"/>
        <v>-38899879.059676006</v>
      </c>
      <c r="R242" s="106">
        <f t="shared" si="126"/>
        <v>-40214034.123202436</v>
      </c>
      <c r="S242" s="106">
        <f t="shared" si="126"/>
        <v>-41455589.636129208</v>
      </c>
      <c r="T242" s="106">
        <f t="shared" si="126"/>
        <v>-42370073.787216373</v>
      </c>
      <c r="U242" s="106">
        <f t="shared" si="126"/>
        <v>-43092932.11858841</v>
      </c>
      <c r="V242" s="106">
        <f t="shared" si="126"/>
        <v>-37832873.579048097</v>
      </c>
      <c r="W242" s="106">
        <f t="shared" si="126"/>
        <v>-38066780.02025979</v>
      </c>
      <c r="X242" s="106">
        <f t="shared" si="126"/>
        <v>-38633582.704668894</v>
      </c>
      <c r="Y242" s="106">
        <f t="shared" si="126"/>
        <v>-38743665.455551006</v>
      </c>
      <c r="Z242" s="106">
        <f t="shared" si="126"/>
        <v>-38912462.738130495</v>
      </c>
      <c r="AA242" s="106">
        <f t="shared" si="126"/>
        <v>-39728691.390665993</v>
      </c>
      <c r="AB242" s="106">
        <f>IF(V242=0,0,IF($G$15&gt;(AA242/V242)^(1/5)-1+2%,AA242*(AA242/V242)^(1/5)/($G$15-((AA242/V242)^(1/5)-1)),AA242*(1+$G$14)/$G$16))</f>
        <v>-1648493418.6998329</v>
      </c>
      <c r="AN242" s="104"/>
    </row>
    <row r="243" spans="3:40" x14ac:dyDescent="0.25">
      <c r="E243" s="47" t="s">
        <v>730</v>
      </c>
      <c r="F243" s="47" t="s">
        <v>639</v>
      </c>
      <c r="G243" s="106">
        <f>-$G$17*G242</f>
        <v>0</v>
      </c>
      <c r="H243" s="106">
        <f t="shared" ref="H243:AA243" si="127">-$G$17*H242</f>
        <v>15316283.63500479</v>
      </c>
      <c r="I243" s="106">
        <f t="shared" si="127"/>
        <v>16747924.847762045</v>
      </c>
      <c r="J243" s="106">
        <f t="shared" si="127"/>
        <v>16445283.017233688</v>
      </c>
      <c r="K243" s="106">
        <f t="shared" si="127"/>
        <v>17315991.052100975</v>
      </c>
      <c r="L243" s="106">
        <f t="shared" si="127"/>
        <v>17280275.76285908</v>
      </c>
      <c r="M243" s="106">
        <f t="shared" si="127"/>
        <v>17927328.622504644</v>
      </c>
      <c r="N243" s="106">
        <f t="shared" si="127"/>
        <v>18542314.104313586</v>
      </c>
      <c r="O243" s="106">
        <f t="shared" si="127"/>
        <v>19787337.678216413</v>
      </c>
      <c r="P243" s="106">
        <f t="shared" si="127"/>
        <v>20938466.870357156</v>
      </c>
      <c r="Q243" s="106">
        <f t="shared" si="127"/>
        <v>19449939.529838003</v>
      </c>
      <c r="R243" s="106">
        <f t="shared" si="127"/>
        <v>20107017.061601218</v>
      </c>
      <c r="S243" s="106">
        <f t="shared" si="127"/>
        <v>20727794.818064604</v>
      </c>
      <c r="T243" s="106">
        <f t="shared" si="127"/>
        <v>21185036.893608186</v>
      </c>
      <c r="U243" s="106">
        <f t="shared" si="127"/>
        <v>21546466.059294205</v>
      </c>
      <c r="V243" s="106">
        <f t="shared" si="127"/>
        <v>18916436.789524049</v>
      </c>
      <c r="W243" s="106">
        <f t="shared" si="127"/>
        <v>19033390.010129895</v>
      </c>
      <c r="X243" s="106">
        <f t="shared" si="127"/>
        <v>19316791.352334447</v>
      </c>
      <c r="Y243" s="106">
        <f t="shared" si="127"/>
        <v>19371832.727775503</v>
      </c>
      <c r="Z243" s="106">
        <f t="shared" si="127"/>
        <v>19456231.369065247</v>
      </c>
      <c r="AA243" s="106">
        <f t="shared" si="127"/>
        <v>19864345.695332997</v>
      </c>
      <c r="AB243" s="106">
        <f t="shared" ref="AB243" si="128">IF(V243=0,0,IF($G$15&gt;(AA243/V243)^(1/5)-1+2%,AA243*(AA243/V243)^(1/5)/($G$15-((AA243/V243)^(1/5)-1)),AA243*(1+$G$14)/$G$16))</f>
        <v>824246709.34991646</v>
      </c>
    </row>
    <row r="244" spans="3:40" x14ac:dyDescent="0.25">
      <c r="E244" s="47" t="s">
        <v>731</v>
      </c>
      <c r="F244" s="47" t="s">
        <v>639</v>
      </c>
      <c r="G244" s="116">
        <f>SUM(G234:G243)</f>
        <v>0</v>
      </c>
      <c r="H244" s="116">
        <f t="shared" ref="H244:AA244" si="129">SUM(H234:H243)</f>
        <v>-56303478.363062933</v>
      </c>
      <c r="I244" s="116">
        <f t="shared" si="129"/>
        <v>-51765803.342925876</v>
      </c>
      <c r="J244" s="116">
        <f t="shared" si="129"/>
        <v>-66668654.16501756</v>
      </c>
      <c r="K244" s="116">
        <f t="shared" si="129"/>
        <v>-63732424.776425347</v>
      </c>
      <c r="L244" s="116">
        <f t="shared" si="129"/>
        <v>-63471238.240009308</v>
      </c>
      <c r="M244" s="116">
        <f t="shared" si="129"/>
        <v>-65709404.114359073</v>
      </c>
      <c r="N244" s="116">
        <f t="shared" si="129"/>
        <v>-74362206.933910549</v>
      </c>
      <c r="O244" s="116">
        <f t="shared" si="129"/>
        <v>-83854410.50318031</v>
      </c>
      <c r="P244" s="116">
        <f t="shared" si="129"/>
        <v>-53655306.393457681</v>
      </c>
      <c r="Q244" s="116">
        <f t="shared" si="129"/>
        <v>-63728525.038858376</v>
      </c>
      <c r="R244" s="116">
        <f t="shared" si="129"/>
        <v>-58826758.953239217</v>
      </c>
      <c r="S244" s="116">
        <f t="shared" si="129"/>
        <v>-53690738.519560844</v>
      </c>
      <c r="T244" s="116">
        <f t="shared" si="129"/>
        <v>-48244066.368602574</v>
      </c>
      <c r="U244" s="116">
        <f t="shared" si="129"/>
        <v>-42544725.037717015</v>
      </c>
      <c r="V244" s="116">
        <f t="shared" si="129"/>
        <v>-53346749.587810755</v>
      </c>
      <c r="W244" s="116">
        <f t="shared" si="129"/>
        <v>-48497724.383124173</v>
      </c>
      <c r="X244" s="116">
        <f t="shared" si="129"/>
        <v>-44012947.49599278</v>
      </c>
      <c r="Y244" s="116">
        <f t="shared" si="129"/>
        <v>-38910008.229668528</v>
      </c>
      <c r="Z244" s="116">
        <f t="shared" si="129"/>
        <v>-33755718.373277046</v>
      </c>
      <c r="AA244" s="116">
        <f t="shared" si="129"/>
        <v>-27984295.947419547</v>
      </c>
      <c r="AB244" s="116">
        <f>SUM(AB234:AB243)</f>
        <v>2681176903.0686808</v>
      </c>
    </row>
    <row r="245" spans="3:40" x14ac:dyDescent="0.25">
      <c r="E245" s="47" t="s">
        <v>732</v>
      </c>
      <c r="F245" s="47" t="s">
        <v>639</v>
      </c>
      <c r="G245" s="116">
        <f>NPV($G$15,H244:AA244)+G244</f>
        <v>-878945727.54884768</v>
      </c>
      <c r="H245" s="48"/>
      <c r="I245" s="48"/>
      <c r="J245" s="48"/>
      <c r="K245" s="48"/>
      <c r="L245" s="48"/>
      <c r="M245" s="48"/>
      <c r="N245" s="48"/>
      <c r="O245" s="48"/>
      <c r="P245" s="48"/>
      <c r="Q245" s="48"/>
      <c r="R245" s="48"/>
      <c r="S245" s="48"/>
      <c r="T245" s="48"/>
      <c r="U245" s="48"/>
      <c r="V245" s="48"/>
      <c r="W245" s="48"/>
      <c r="X245" s="48"/>
      <c r="Y245" s="48"/>
      <c r="Z245" s="48"/>
      <c r="AA245" s="48"/>
      <c r="AB245" s="48"/>
    </row>
    <row r="246" spans="3:40" x14ac:dyDescent="0.25">
      <c r="G246" s="48"/>
      <c r="H246" s="48"/>
      <c r="I246" s="48"/>
      <c r="J246" s="48"/>
      <c r="K246" s="48"/>
      <c r="L246" s="48"/>
      <c r="M246" s="48"/>
      <c r="N246" s="48"/>
      <c r="O246" s="48"/>
      <c r="P246" s="48"/>
      <c r="Q246" s="48"/>
      <c r="R246" s="48"/>
      <c r="S246" s="48"/>
      <c r="T246" s="48"/>
      <c r="U246" s="48"/>
      <c r="V246" s="48"/>
      <c r="W246" s="48"/>
      <c r="X246" s="48"/>
      <c r="Y246" s="48"/>
      <c r="Z246" s="48"/>
      <c r="AA246" s="48"/>
      <c r="AB246" s="48"/>
    </row>
    <row r="247" spans="3:40" x14ac:dyDescent="0.25">
      <c r="E247" s="47" t="s">
        <v>725</v>
      </c>
      <c r="F247" s="47" t="s">
        <v>639</v>
      </c>
      <c r="G247" s="48"/>
      <c r="H247" s="116">
        <f t="shared" ref="H247:AA247" si="130">H219</f>
        <v>58693303.704095103</v>
      </c>
      <c r="I247" s="116">
        <f t="shared" si="130"/>
        <v>61683594.119280145</v>
      </c>
      <c r="J247" s="116">
        <f t="shared" si="130"/>
        <v>52626015.560567327</v>
      </c>
      <c r="K247" s="116">
        <f t="shared" si="130"/>
        <v>52979987.992801487</v>
      </c>
      <c r="L247" s="116">
        <f t="shared" si="130"/>
        <v>52623774.863381118</v>
      </c>
      <c r="M247" s="116">
        <f t="shared" si="130"/>
        <v>51672166.246595092</v>
      </c>
      <c r="N247" s="116">
        <f t="shared" si="130"/>
        <v>51406258.606662251</v>
      </c>
      <c r="O247" s="116">
        <f t="shared" si="130"/>
        <v>52437991.517990336</v>
      </c>
      <c r="P247" s="116">
        <f t="shared" si="130"/>
        <v>53276264.248692118</v>
      </c>
      <c r="Q247" s="116">
        <f t="shared" si="130"/>
        <v>54468648.580806985</v>
      </c>
      <c r="R247" s="116">
        <f t="shared" si="130"/>
        <v>55680820.759523034</v>
      </c>
      <c r="S247" s="116">
        <f t="shared" si="130"/>
        <v>56599448.522184253</v>
      </c>
      <c r="T247" s="116">
        <f t="shared" si="130"/>
        <v>57429831.173555695</v>
      </c>
      <c r="U247" s="116">
        <f t="shared" si="130"/>
        <v>57940578.356052622</v>
      </c>
      <c r="V247" s="116">
        <f t="shared" si="130"/>
        <v>58397087.587087505</v>
      </c>
      <c r="W247" s="116">
        <f t="shared" si="130"/>
        <v>58549020.792136155</v>
      </c>
      <c r="X247" s="116">
        <f t="shared" si="130"/>
        <v>58907105.269656144</v>
      </c>
      <c r="Y247" s="116">
        <f t="shared" si="130"/>
        <v>58587309.88822294</v>
      </c>
      <c r="Z247" s="116">
        <f t="shared" si="130"/>
        <v>58658989.873879135</v>
      </c>
      <c r="AA247" s="116">
        <f t="shared" si="130"/>
        <v>59108026.214977257</v>
      </c>
      <c r="AB247" s="48"/>
    </row>
    <row r="248" spans="3:40" x14ac:dyDescent="0.25">
      <c r="E248" s="47" t="s">
        <v>733</v>
      </c>
      <c r="F248" s="47" t="s">
        <v>639</v>
      </c>
      <c r="G248" s="117">
        <f>NPV($G$15,H247:AA247)+G247</f>
        <v>878945727.54884744</v>
      </c>
      <c r="H248" s="48"/>
      <c r="I248" s="48"/>
      <c r="J248" s="48"/>
      <c r="K248" s="48"/>
      <c r="L248" s="48"/>
      <c r="M248" s="48"/>
      <c r="N248" s="48"/>
      <c r="O248" s="48"/>
      <c r="P248" s="48"/>
      <c r="Q248" s="48"/>
      <c r="R248" s="48"/>
      <c r="S248" s="48"/>
      <c r="T248" s="48"/>
      <c r="U248" s="48"/>
      <c r="V248" s="48"/>
      <c r="W248" s="48"/>
      <c r="X248" s="48"/>
      <c r="Y248" s="48"/>
      <c r="Z248" s="48"/>
      <c r="AA248" s="48"/>
      <c r="AB248" s="48"/>
    </row>
    <row r="249" spans="3:40" x14ac:dyDescent="0.25">
      <c r="E249" s="111" t="s">
        <v>734</v>
      </c>
      <c r="F249" s="111"/>
      <c r="G249" s="118" t="str">
        <f>IF(G245&gt;0,"N/A",IF(ABS(G245+G248)&gt;1,"Error","OK"))</f>
        <v>OK</v>
      </c>
    </row>
    <row r="251" spans="3:40" hidden="1" x14ac:dyDescent="0.25">
      <c r="C251" s="100" t="s">
        <v>735</v>
      </c>
      <c r="D251" s="100"/>
    </row>
    <row r="252" spans="3:40" hidden="1" x14ac:dyDescent="0.25">
      <c r="C252" s="100"/>
      <c r="D252" s="100"/>
    </row>
    <row r="253" spans="3:40" hidden="1" x14ac:dyDescent="0.25">
      <c r="C253" s="100"/>
      <c r="D253" s="47" t="s">
        <v>735</v>
      </c>
      <c r="F253" s="47" t="s">
        <v>639</v>
      </c>
      <c r="G253" s="115" t="e">
        <f>MAX(0,-G279)</f>
        <v>#REF!</v>
      </c>
    </row>
    <row r="254" spans="3:40" hidden="1" x14ac:dyDescent="0.25"/>
    <row r="255" spans="3:40" hidden="1" x14ac:dyDescent="0.25">
      <c r="D255" s="47" t="s">
        <v>722</v>
      </c>
    </row>
    <row r="256" spans="3:40" hidden="1" x14ac:dyDescent="0.25">
      <c r="E256" s="47" t="s">
        <v>573</v>
      </c>
      <c r="F256" s="47" t="s">
        <v>639</v>
      </c>
      <c r="G256" s="106">
        <f t="shared" ref="G256:AA261" si="131">G222</f>
        <v>0</v>
      </c>
      <c r="H256" s="106">
        <f t="shared" si="131"/>
        <v>38681921.948851243</v>
      </c>
      <c r="I256" s="106">
        <f t="shared" si="131"/>
        <v>39521998.891712219</v>
      </c>
      <c r="J256" s="106">
        <f t="shared" si="131"/>
        <v>42033118.265981808</v>
      </c>
      <c r="K256" s="106">
        <f t="shared" si="131"/>
        <v>42591664.044101633</v>
      </c>
      <c r="L256" s="106">
        <f t="shared" si="131"/>
        <v>38375648.676506177</v>
      </c>
      <c r="M256" s="106">
        <f t="shared" si="131"/>
        <v>38924797.797191493</v>
      </c>
      <c r="N256" s="106">
        <f t="shared" si="131"/>
        <v>37844700.966784842</v>
      </c>
      <c r="O256" s="106">
        <f t="shared" si="131"/>
        <v>39850637.287842631</v>
      </c>
      <c r="P256" s="106">
        <f t="shared" si="131"/>
        <v>40864698.650687002</v>
      </c>
      <c r="Q256" s="106">
        <f t="shared" si="131"/>
        <v>40236095.443586729</v>
      </c>
      <c r="R256" s="106">
        <f t="shared" si="131"/>
        <v>39325509.917707063</v>
      </c>
      <c r="S256" s="106">
        <f t="shared" si="131"/>
        <v>38256639.393971272</v>
      </c>
      <c r="T256" s="106">
        <f t="shared" si="131"/>
        <v>36013738.956393406</v>
      </c>
      <c r="U256" s="106">
        <f t="shared" si="131"/>
        <v>33264315.839493237</v>
      </c>
      <c r="V256" s="106">
        <f t="shared" si="131"/>
        <v>30083556.989111878</v>
      </c>
      <c r="W256" s="106">
        <f t="shared" si="131"/>
        <v>27089288.876369976</v>
      </c>
      <c r="X256" s="106">
        <f t="shared" si="131"/>
        <v>25175054.560933016</v>
      </c>
      <c r="Y256" s="106">
        <f t="shared" si="131"/>
        <v>21991120.872615352</v>
      </c>
      <c r="Z256" s="106">
        <f t="shared" si="131"/>
        <v>18491838.147785448</v>
      </c>
      <c r="AA256" s="106">
        <f t="shared" si="131"/>
        <v>15802574.674329042</v>
      </c>
    </row>
    <row r="257" spans="4:28" hidden="1" x14ac:dyDescent="0.25">
      <c r="E257" s="47" t="s">
        <v>723</v>
      </c>
      <c r="F257" s="47" t="s">
        <v>639</v>
      </c>
      <c r="G257" s="106">
        <f t="shared" si="131"/>
        <v>0</v>
      </c>
      <c r="H257" s="106">
        <f t="shared" si="131"/>
        <v>18421045.867623996</v>
      </c>
      <c r="I257" s="106">
        <f t="shared" si="131"/>
        <v>37859756.38162265</v>
      </c>
      <c r="J257" s="106">
        <f t="shared" si="131"/>
        <v>53939757.599666893</v>
      </c>
      <c r="K257" s="106">
        <f t="shared" si="131"/>
        <v>70148874.064151764</v>
      </c>
      <c r="L257" s="106">
        <f t="shared" si="131"/>
        <v>85352978.70745568</v>
      </c>
      <c r="M257" s="106">
        <f t="shared" si="131"/>
        <v>100464187.39598957</v>
      </c>
      <c r="N257" s="106">
        <f t="shared" si="131"/>
        <v>116185625.83560775</v>
      </c>
      <c r="O257" s="106">
        <f t="shared" si="131"/>
        <v>131753286.99678124</v>
      </c>
      <c r="P257" s="106">
        <f t="shared" si="131"/>
        <v>147488122.01223531</v>
      </c>
      <c r="Q257" s="106">
        <f t="shared" si="131"/>
        <v>147273901.50236818</v>
      </c>
      <c r="R257" s="106">
        <f t="shared" si="131"/>
        <v>161668406.18924841</v>
      </c>
      <c r="S257" s="106">
        <f t="shared" si="131"/>
        <v>176223997.87700218</v>
      </c>
      <c r="T257" s="106">
        <f t="shared" si="131"/>
        <v>190883752.42088783</v>
      </c>
      <c r="U257" s="106">
        <f t="shared" si="131"/>
        <v>205599622.15226832</v>
      </c>
      <c r="V257" s="106">
        <f t="shared" si="131"/>
        <v>200727726.10459125</v>
      </c>
      <c r="W257" s="106">
        <f t="shared" si="131"/>
        <v>214119242.91104704</v>
      </c>
      <c r="X257" s="106">
        <f t="shared" si="131"/>
        <v>227110062.13946748</v>
      </c>
      <c r="Y257" s="106">
        <f t="shared" si="131"/>
        <v>240372907.11903542</v>
      </c>
      <c r="Z257" s="106">
        <f t="shared" si="131"/>
        <v>253598332.49543279</v>
      </c>
      <c r="AA257" s="106">
        <f t="shared" si="131"/>
        <v>267801830.59767011</v>
      </c>
    </row>
    <row r="258" spans="4:28" hidden="1" x14ac:dyDescent="0.25">
      <c r="E258" s="47" t="s">
        <v>701</v>
      </c>
      <c r="F258" s="47" t="s">
        <v>639</v>
      </c>
      <c r="G258" s="106">
        <f t="shared" si="131"/>
        <v>0</v>
      </c>
      <c r="H258" s="106">
        <f t="shared" si="131"/>
        <v>-8395038.2370488588</v>
      </c>
      <c r="I258" s="106">
        <f t="shared" si="131"/>
        <v>-16840846.526050821</v>
      </c>
      <c r="J258" s="106">
        <f t="shared" si="131"/>
        <v>-23631869.782563616</v>
      </c>
      <c r="K258" s="106">
        <f t="shared" si="131"/>
        <v>-30191965.594352789</v>
      </c>
      <c r="L258" s="106">
        <f t="shared" si="131"/>
        <v>-36403535.3041372</v>
      </c>
      <c r="M258" s="106">
        <f t="shared" si="131"/>
        <v>-42198481.736112885</v>
      </c>
      <c r="N258" s="106">
        <f t="shared" si="131"/>
        <v>-47833994.247587591</v>
      </c>
      <c r="O258" s="106">
        <f t="shared" si="131"/>
        <v>-53344151.676199988</v>
      </c>
      <c r="P258" s="106">
        <f t="shared" si="131"/>
        <v>-58753146.00079757</v>
      </c>
      <c r="Q258" s="106">
        <f t="shared" si="131"/>
        <v>-64025379.717375249</v>
      </c>
      <c r="R258" s="106">
        <f t="shared" si="131"/>
        <v>-69272097.962493151</v>
      </c>
      <c r="S258" s="106">
        <f t="shared" si="131"/>
        <v>-74422737.897231966</v>
      </c>
      <c r="T258" s="106">
        <f t="shared" si="131"/>
        <v>-79476901.808194727</v>
      </c>
      <c r="U258" s="106">
        <f t="shared" si="131"/>
        <v>-84397404.101096764</v>
      </c>
      <c r="V258" s="106">
        <f t="shared" si="131"/>
        <v>-89193540.337654173</v>
      </c>
      <c r="W258" s="106">
        <f t="shared" si="131"/>
        <v>-93845264.231528908</v>
      </c>
      <c r="X258" s="106">
        <f t="shared" si="131"/>
        <v>-98271010.179881409</v>
      </c>
      <c r="Y258" s="106">
        <f t="shared" si="131"/>
        <v>-102599592.0822801</v>
      </c>
      <c r="Z258" s="106">
        <f t="shared" si="131"/>
        <v>-106805426.34638759</v>
      </c>
      <c r="AA258" s="106">
        <f t="shared" si="131"/>
        <v>-111019542.1580568</v>
      </c>
    </row>
    <row r="259" spans="4:28" hidden="1" x14ac:dyDescent="0.25">
      <c r="E259" s="47" t="s">
        <v>702</v>
      </c>
      <c r="F259" s="47" t="s">
        <v>639</v>
      </c>
      <c r="G259" s="106">
        <f t="shared" si="131"/>
        <v>0</v>
      </c>
      <c r="H259" s="106">
        <f t="shared" si="131"/>
        <v>-4321392.3303855732</v>
      </c>
      <c r="I259" s="106">
        <f t="shared" si="131"/>
        <v>-8613030.7532741763</v>
      </c>
      <c r="J259" s="106">
        <f t="shared" si="131"/>
        <v>-12126154.478932364</v>
      </c>
      <c r="K259" s="106">
        <f t="shared" si="131"/>
        <v>-15609140.874721644</v>
      </c>
      <c r="L259" s="106">
        <f t="shared" si="131"/>
        <v>-18982427.855161946</v>
      </c>
      <c r="M259" s="106">
        <f t="shared" si="131"/>
        <v>-22201215.403725069</v>
      </c>
      <c r="N259" s="106">
        <f t="shared" si="131"/>
        <v>-25306575.859253231</v>
      </c>
      <c r="O259" s="106">
        <f t="shared" si="131"/>
        <v>-28378582.965526987</v>
      </c>
      <c r="P259" s="106">
        <f t="shared" si="131"/>
        <v>-31415636.48935917</v>
      </c>
      <c r="Q259" s="106">
        <f t="shared" si="131"/>
        <v>-34926447.982638516</v>
      </c>
      <c r="R259" s="106">
        <f t="shared" si="131"/>
        <v>-38515390.807018481</v>
      </c>
      <c r="S259" s="106">
        <f t="shared" si="131"/>
        <v>-42163544.369891658</v>
      </c>
      <c r="T259" s="106">
        <f t="shared" si="131"/>
        <v>-45865220.776312701</v>
      </c>
      <c r="U259" s="106">
        <f t="shared" si="131"/>
        <v>-49599817.718219586</v>
      </c>
      <c r="V259" s="106">
        <f t="shared" si="131"/>
        <v>-53363839.253848992</v>
      </c>
      <c r="W259" s="106">
        <f t="shared" si="131"/>
        <v>-57137653.741137639</v>
      </c>
      <c r="X259" s="106">
        <f t="shared" si="131"/>
        <v>-60934548.791869618</v>
      </c>
      <c r="Y259" s="106">
        <f t="shared" si="131"/>
        <v>-64710831.227273569</v>
      </c>
      <c r="Z259" s="106">
        <f t="shared" si="131"/>
        <v>-68491733.841882214</v>
      </c>
      <c r="AA259" s="106">
        <f t="shared" si="131"/>
        <v>-72301579.380325079</v>
      </c>
    </row>
    <row r="260" spans="4:28" hidden="1" x14ac:dyDescent="0.25">
      <c r="E260" s="47" t="s">
        <v>724</v>
      </c>
      <c r="F260" s="47" t="s">
        <v>639</v>
      </c>
      <c r="G260" s="106">
        <f t="shared" si="131"/>
        <v>0</v>
      </c>
      <c r="H260" s="106">
        <f t="shared" si="131"/>
        <v>-971283.38643729384</v>
      </c>
      <c r="I260" s="106">
        <f t="shared" si="131"/>
        <v>-1958639.794876379</v>
      </c>
      <c r="J260" s="106">
        <f t="shared" si="131"/>
        <v>-3205647.0498287934</v>
      </c>
      <c r="K260" s="106">
        <f t="shared" si="131"/>
        <v>-4479479.2846406028</v>
      </c>
      <c r="L260" s="106">
        <f t="shared" si="131"/>
        <v>-5764600.6689832974</v>
      </c>
      <c r="M260" s="106">
        <f t="shared" si="131"/>
        <v>-7145930.1499072108</v>
      </c>
      <c r="N260" s="106">
        <f t="shared" si="131"/>
        <v>-8680587.94012345</v>
      </c>
      <c r="O260" s="106">
        <f t="shared" si="131"/>
        <v>-10403596.639444465</v>
      </c>
      <c r="P260" s="106">
        <f t="shared" si="131"/>
        <v>-11870523.285743318</v>
      </c>
      <c r="Q260" s="106">
        <f t="shared" si="131"/>
        <v>-13360554.294494798</v>
      </c>
      <c r="R260" s="106">
        <f t="shared" si="131"/>
        <v>-14840467.686292062</v>
      </c>
      <c r="S260" s="106">
        <f t="shared" si="131"/>
        <v>-16308504.738936704</v>
      </c>
      <c r="T260" s="106">
        <f t="shared" si="131"/>
        <v>-17751620.675608259</v>
      </c>
      <c r="U260" s="106">
        <f t="shared" si="131"/>
        <v>-19164187.466536477</v>
      </c>
      <c r="V260" s="106">
        <f t="shared" si="131"/>
        <v>-20541412.492460459</v>
      </c>
      <c r="W260" s="106">
        <f t="shared" si="131"/>
        <v>-21885367.87268731</v>
      </c>
      <c r="X260" s="106">
        <f t="shared" si="131"/>
        <v>-23208053.982742637</v>
      </c>
      <c r="Y260" s="106">
        <f t="shared" si="131"/>
        <v>-24495363.051816657</v>
      </c>
      <c r="Z260" s="106">
        <f t="shared" si="131"/>
        <v>-25743791.201725896</v>
      </c>
      <c r="AA260" s="106">
        <f t="shared" si="131"/>
        <v>-26962338.646374512</v>
      </c>
    </row>
    <row r="261" spans="4:28" hidden="1" x14ac:dyDescent="0.25">
      <c r="E261" s="47" t="s">
        <v>709</v>
      </c>
      <c r="F261" s="47" t="s">
        <v>639</v>
      </c>
      <c r="G261" s="106">
        <f t="shared" si="131"/>
        <v>0</v>
      </c>
      <c r="H261" s="106">
        <f t="shared" si="131"/>
        <v>0</v>
      </c>
      <c r="I261" s="106">
        <f t="shared" si="131"/>
        <v>0</v>
      </c>
      <c r="J261" s="106">
        <f t="shared" si="131"/>
        <v>0</v>
      </c>
      <c r="K261" s="106">
        <f t="shared" si="131"/>
        <v>0</v>
      </c>
      <c r="L261" s="106">
        <f t="shared" si="131"/>
        <v>0</v>
      </c>
      <c r="M261" s="106">
        <f t="shared" si="131"/>
        <v>0</v>
      </c>
      <c r="N261" s="106">
        <f t="shared" si="131"/>
        <v>0</v>
      </c>
      <c r="O261" s="106">
        <f t="shared" si="131"/>
        <v>0</v>
      </c>
      <c r="P261" s="106">
        <f t="shared" si="131"/>
        <v>0</v>
      </c>
      <c r="Q261" s="106">
        <f t="shared" si="131"/>
        <v>0</v>
      </c>
      <c r="R261" s="106">
        <f t="shared" si="131"/>
        <v>0</v>
      </c>
      <c r="S261" s="106">
        <f t="shared" si="131"/>
        <v>0</v>
      </c>
      <c r="T261" s="106">
        <f t="shared" si="131"/>
        <v>0</v>
      </c>
      <c r="U261" s="106">
        <f t="shared" si="131"/>
        <v>0</v>
      </c>
      <c r="V261" s="106">
        <f t="shared" si="131"/>
        <v>0</v>
      </c>
      <c r="W261" s="106">
        <f t="shared" si="131"/>
        <v>0</v>
      </c>
      <c r="X261" s="106">
        <f t="shared" si="131"/>
        <v>0</v>
      </c>
      <c r="Y261" s="106">
        <f t="shared" si="131"/>
        <v>0</v>
      </c>
      <c r="Z261" s="106">
        <f t="shared" si="131"/>
        <v>0</v>
      </c>
      <c r="AA261" s="106">
        <f t="shared" si="131"/>
        <v>0</v>
      </c>
    </row>
    <row r="262" spans="4:28" hidden="1" x14ac:dyDescent="0.25">
      <c r="E262" s="47" t="s">
        <v>725</v>
      </c>
      <c r="F262" s="47" t="s">
        <v>639</v>
      </c>
      <c r="G262" s="106" t="e">
        <f>G253</f>
        <v>#REF!</v>
      </c>
      <c r="H262" s="106"/>
      <c r="I262" s="106"/>
      <c r="J262" s="106"/>
      <c r="K262" s="106"/>
      <c r="L262" s="106"/>
      <c r="M262" s="106"/>
      <c r="N262" s="106"/>
      <c r="O262" s="106"/>
      <c r="P262" s="106"/>
      <c r="Q262" s="106"/>
      <c r="R262" s="106"/>
      <c r="S262" s="106"/>
      <c r="T262" s="106"/>
      <c r="U262" s="106"/>
      <c r="V262" s="106"/>
      <c r="W262" s="106"/>
      <c r="X262" s="106"/>
      <c r="Y262" s="106"/>
      <c r="Z262" s="106"/>
      <c r="AA262" s="106"/>
    </row>
    <row r="263" spans="4:28" hidden="1" x14ac:dyDescent="0.25"/>
    <row r="264" spans="4:28" hidden="1" x14ac:dyDescent="0.25">
      <c r="E264" s="47" t="s">
        <v>726</v>
      </c>
      <c r="F264" s="47" t="s">
        <v>639</v>
      </c>
      <c r="G264" s="106" t="e">
        <f t="shared" ref="G264:AA264" si="132">SUM(G256:G262)</f>
        <v>#REF!</v>
      </c>
      <c r="H264" s="106">
        <f t="shared" si="132"/>
        <v>43415253.862603515</v>
      </c>
      <c r="I264" s="106">
        <f t="shared" si="132"/>
        <v>49969238.199133486</v>
      </c>
      <c r="J264" s="106">
        <f t="shared" si="132"/>
        <v>57009204.554323934</v>
      </c>
      <c r="K264" s="106">
        <f t="shared" si="132"/>
        <v>62459952.354538359</v>
      </c>
      <c r="L264" s="106">
        <f t="shared" si="132"/>
        <v>62578063.555679411</v>
      </c>
      <c r="M264" s="106">
        <f t="shared" si="132"/>
        <v>67843357.903435886</v>
      </c>
      <c r="N264" s="106">
        <f t="shared" si="132"/>
        <v>72209168.755428329</v>
      </c>
      <c r="O264" s="106">
        <f t="shared" si="132"/>
        <v>79477593.00345242</v>
      </c>
      <c r="P264" s="106">
        <f t="shared" si="132"/>
        <v>86313514.887022257</v>
      </c>
      <c r="Q264" s="106">
        <f t="shared" si="132"/>
        <v>75197614.951446369</v>
      </c>
      <c r="R264" s="106">
        <f t="shared" si="132"/>
        <v>78365959.651151761</v>
      </c>
      <c r="S264" s="106">
        <f t="shared" si="132"/>
        <v>81585850.264913112</v>
      </c>
      <c r="T264" s="106">
        <f t="shared" si="132"/>
        <v>83803748.117165551</v>
      </c>
      <c r="U264" s="106">
        <f t="shared" si="132"/>
        <v>85702528.70590876</v>
      </c>
      <c r="V264" s="106">
        <f t="shared" si="132"/>
        <v>67712491.009739488</v>
      </c>
      <c r="W264" s="106">
        <f t="shared" si="132"/>
        <v>68340245.942063168</v>
      </c>
      <c r="X264" s="106">
        <f t="shared" si="132"/>
        <v>69871503.74590683</v>
      </c>
      <c r="Y264" s="106">
        <f t="shared" si="132"/>
        <v>70558241.630280435</v>
      </c>
      <c r="Z264" s="106">
        <f t="shared" si="132"/>
        <v>71049219.25322251</v>
      </c>
      <c r="AA264" s="106">
        <f t="shared" si="132"/>
        <v>73320945.087242737</v>
      </c>
    </row>
    <row r="265" spans="4:28" hidden="1" x14ac:dyDescent="0.25">
      <c r="E265" s="47" t="s">
        <v>727</v>
      </c>
      <c r="F265" s="47" t="s">
        <v>639</v>
      </c>
      <c r="G265" s="106" t="e">
        <f>-G264*G$18</f>
        <v>#REF!</v>
      </c>
      <c r="H265" s="106">
        <f t="shared" ref="H265:AA265" si="133">-H264*H$18</f>
        <v>-13024576.158781053</v>
      </c>
      <c r="I265" s="106">
        <f t="shared" si="133"/>
        <v>-14990771.459740045</v>
      </c>
      <c r="J265" s="106">
        <f t="shared" si="133"/>
        <v>-17102761.366297178</v>
      </c>
      <c r="K265" s="106">
        <f t="shared" si="133"/>
        <v>-18737985.706361506</v>
      </c>
      <c r="L265" s="106">
        <f t="shared" si="133"/>
        <v>-18773419.066703822</v>
      </c>
      <c r="M265" s="106">
        <f t="shared" si="133"/>
        <v>-20353007.371030767</v>
      </c>
      <c r="N265" s="106">
        <f t="shared" si="133"/>
        <v>-21662750.626628499</v>
      </c>
      <c r="O265" s="106">
        <f t="shared" si="133"/>
        <v>-23843277.901035726</v>
      </c>
      <c r="P265" s="106">
        <f t="shared" si="133"/>
        <v>-25894054.466106676</v>
      </c>
      <c r="Q265" s="106">
        <f t="shared" si="133"/>
        <v>-22559284.48543391</v>
      </c>
      <c r="R265" s="106">
        <f t="shared" si="133"/>
        <v>-23509787.895345528</v>
      </c>
      <c r="S265" s="106">
        <f t="shared" si="133"/>
        <v>-24475755.079473931</v>
      </c>
      <c r="T265" s="106">
        <f t="shared" si="133"/>
        <v>-25141124.435149666</v>
      </c>
      <c r="U265" s="106">
        <f t="shared" si="133"/>
        <v>-25710758.611772627</v>
      </c>
      <c r="V265" s="106">
        <f t="shared" si="133"/>
        <v>-20313747.302921847</v>
      </c>
      <c r="W265" s="106">
        <f t="shared" si="133"/>
        <v>-20502073.782618951</v>
      </c>
      <c r="X265" s="106">
        <f t="shared" si="133"/>
        <v>-20961451.123772047</v>
      </c>
      <c r="Y265" s="106">
        <f t="shared" si="133"/>
        <v>-21167472.489084128</v>
      </c>
      <c r="Z265" s="106">
        <f t="shared" si="133"/>
        <v>-21314765.775966752</v>
      </c>
      <c r="AA265" s="106">
        <f t="shared" si="133"/>
        <v>-21996283.52617282</v>
      </c>
    </row>
    <row r="266" spans="4:28" hidden="1" x14ac:dyDescent="0.25"/>
    <row r="267" spans="4:28" hidden="1" x14ac:dyDescent="0.25">
      <c r="D267" s="47" t="s">
        <v>728</v>
      </c>
    </row>
    <row r="268" spans="4:28" hidden="1" x14ac:dyDescent="0.25">
      <c r="E268" s="47" t="s">
        <v>638</v>
      </c>
      <c r="F268" s="47" t="s">
        <v>639</v>
      </c>
      <c r="G268" s="106">
        <f t="shared" ref="G268:AA275" si="134">G234</f>
        <v>0</v>
      </c>
      <c r="H268" s="106">
        <f t="shared" si="134"/>
        <v>-46691810.028247699</v>
      </c>
      <c r="I268" s="106">
        <f t="shared" si="134"/>
        <v>-47423757.597461477</v>
      </c>
      <c r="J268" s="106">
        <f t="shared" si="134"/>
        <v>-68405104.485954791</v>
      </c>
      <c r="K268" s="106">
        <f t="shared" si="134"/>
        <v>-70764201.319401696</v>
      </c>
      <c r="L268" s="106">
        <f t="shared" si="134"/>
        <v>-76157978.025306746</v>
      </c>
      <c r="M268" s="106">
        <f t="shared" si="134"/>
        <v>-83846565.748006046</v>
      </c>
      <c r="N268" s="106">
        <f t="shared" si="134"/>
        <v>-98864948.5583639</v>
      </c>
      <c r="O268" s="106">
        <f t="shared" si="134"/>
        <v>-114097625.18001817</v>
      </c>
      <c r="P268" s="106">
        <f t="shared" si="134"/>
        <v>-90036179.045179099</v>
      </c>
      <c r="Q268" s="106">
        <f t="shared" si="134"/>
        <v>-92600659.311374784</v>
      </c>
      <c r="R268" s="106">
        <f t="shared" si="134"/>
        <v>-92600659.311374784</v>
      </c>
      <c r="S268" s="106">
        <f t="shared" si="134"/>
        <v>-92600659.311374784</v>
      </c>
      <c r="T268" s="106">
        <f t="shared" si="134"/>
        <v>-92600659.311374784</v>
      </c>
      <c r="U268" s="106">
        <f t="shared" si="134"/>
        <v>-92600659.311374784</v>
      </c>
      <c r="V268" s="106">
        <f t="shared" si="134"/>
        <v>-92600659.311374784</v>
      </c>
      <c r="W268" s="106">
        <f t="shared" si="134"/>
        <v>-92600659.311374784</v>
      </c>
      <c r="X268" s="106">
        <f t="shared" si="134"/>
        <v>-92600659.311374784</v>
      </c>
      <c r="Y268" s="106">
        <f t="shared" si="134"/>
        <v>-92600659.311374784</v>
      </c>
      <c r="Z268" s="106">
        <f t="shared" si="134"/>
        <v>-92600659.311374784</v>
      </c>
      <c r="AA268" s="106">
        <f t="shared" si="134"/>
        <v>-92600659.311374784</v>
      </c>
    </row>
    <row r="269" spans="4:28" hidden="1" x14ac:dyDescent="0.25">
      <c r="E269" s="47" t="s">
        <v>729</v>
      </c>
      <c r="F269" s="47" t="s">
        <v>639</v>
      </c>
      <c r="G269" s="106">
        <f t="shared" si="134"/>
        <v>0</v>
      </c>
      <c r="H269" s="106">
        <f t="shared" si="134"/>
        <v>0</v>
      </c>
      <c r="I269" s="106">
        <f t="shared" si="134"/>
        <v>0</v>
      </c>
      <c r="J269" s="106">
        <f t="shared" si="134"/>
        <v>0</v>
      </c>
      <c r="K269" s="106">
        <f t="shared" si="134"/>
        <v>0</v>
      </c>
      <c r="L269" s="106">
        <f t="shared" si="134"/>
        <v>0</v>
      </c>
      <c r="M269" s="106">
        <f t="shared" si="134"/>
        <v>0</v>
      </c>
      <c r="N269" s="106">
        <f t="shared" si="134"/>
        <v>0</v>
      </c>
      <c r="O269" s="106">
        <f t="shared" si="134"/>
        <v>0</v>
      </c>
      <c r="P269" s="106">
        <f t="shared" si="134"/>
        <v>0</v>
      </c>
      <c r="Q269" s="106">
        <f t="shared" si="134"/>
        <v>0</v>
      </c>
      <c r="R269" s="106">
        <f t="shared" si="134"/>
        <v>0</v>
      </c>
      <c r="S269" s="106">
        <f t="shared" si="134"/>
        <v>0</v>
      </c>
      <c r="T269" s="106">
        <f t="shared" si="134"/>
        <v>0</v>
      </c>
      <c r="U269" s="106">
        <f t="shared" si="134"/>
        <v>0</v>
      </c>
      <c r="V269" s="106">
        <f t="shared" si="134"/>
        <v>0</v>
      </c>
      <c r="W269" s="106">
        <f t="shared" si="134"/>
        <v>0</v>
      </c>
      <c r="X269" s="106">
        <f t="shared" si="134"/>
        <v>0</v>
      </c>
      <c r="Y269" s="106">
        <f t="shared" si="134"/>
        <v>0</v>
      </c>
      <c r="Z269" s="106">
        <f t="shared" si="134"/>
        <v>0</v>
      </c>
      <c r="AA269" s="106">
        <f t="shared" si="134"/>
        <v>0</v>
      </c>
    </row>
    <row r="270" spans="4:28" hidden="1" x14ac:dyDescent="0.25">
      <c r="E270" s="47" t="s">
        <v>645</v>
      </c>
      <c r="F270" s="47" t="s">
        <v>639</v>
      </c>
      <c r="G270" s="106">
        <f t="shared" si="134"/>
        <v>0</v>
      </c>
      <c r="H270" s="106">
        <f t="shared" si="134"/>
        <v>0</v>
      </c>
      <c r="I270" s="106">
        <f t="shared" si="134"/>
        <v>0</v>
      </c>
      <c r="J270" s="106">
        <f t="shared" si="134"/>
        <v>0</v>
      </c>
      <c r="K270" s="106">
        <f t="shared" si="134"/>
        <v>0</v>
      </c>
      <c r="L270" s="106">
        <f t="shared" si="134"/>
        <v>0</v>
      </c>
      <c r="M270" s="106">
        <f t="shared" si="134"/>
        <v>0</v>
      </c>
      <c r="N270" s="106">
        <f t="shared" si="134"/>
        <v>0</v>
      </c>
      <c r="O270" s="106">
        <f t="shared" si="134"/>
        <v>0</v>
      </c>
      <c r="P270" s="106">
        <f t="shared" si="134"/>
        <v>0</v>
      </c>
      <c r="Q270" s="106">
        <f t="shared" si="134"/>
        <v>0</v>
      </c>
      <c r="R270" s="106">
        <f t="shared" si="134"/>
        <v>0</v>
      </c>
      <c r="S270" s="106">
        <f t="shared" si="134"/>
        <v>0</v>
      </c>
      <c r="T270" s="106">
        <f t="shared" si="134"/>
        <v>0</v>
      </c>
      <c r="U270" s="106">
        <f t="shared" si="134"/>
        <v>0</v>
      </c>
      <c r="V270" s="106">
        <f t="shared" si="134"/>
        <v>0</v>
      </c>
      <c r="W270" s="106">
        <f t="shared" si="134"/>
        <v>0</v>
      </c>
      <c r="X270" s="106">
        <f t="shared" si="134"/>
        <v>0</v>
      </c>
      <c r="Y270" s="106">
        <f t="shared" si="134"/>
        <v>0</v>
      </c>
      <c r="Z270" s="106">
        <f t="shared" si="134"/>
        <v>0</v>
      </c>
      <c r="AA270" s="106">
        <f t="shared" si="134"/>
        <v>0</v>
      </c>
    </row>
    <row r="271" spans="4:28" hidden="1" x14ac:dyDescent="0.25">
      <c r="E271" s="47" t="s">
        <v>723</v>
      </c>
      <c r="F271" s="47" t="s">
        <v>639</v>
      </c>
      <c r="G271" s="106">
        <f t="shared" si="134"/>
        <v>0</v>
      </c>
      <c r="H271" s="106">
        <f t="shared" si="134"/>
        <v>18421045.867623996</v>
      </c>
      <c r="I271" s="106">
        <f t="shared" si="134"/>
        <v>37859756.38162265</v>
      </c>
      <c r="J271" s="106">
        <f t="shared" si="134"/>
        <v>53939757.599666893</v>
      </c>
      <c r="K271" s="106">
        <f t="shared" si="134"/>
        <v>70148874.064151764</v>
      </c>
      <c r="L271" s="106">
        <f t="shared" si="134"/>
        <v>85352978.70745568</v>
      </c>
      <c r="M271" s="106">
        <f t="shared" si="134"/>
        <v>100464187.39598957</v>
      </c>
      <c r="N271" s="106">
        <f t="shared" si="134"/>
        <v>116185625.83560775</v>
      </c>
      <c r="O271" s="106">
        <f t="shared" si="134"/>
        <v>131753286.99678124</v>
      </c>
      <c r="P271" s="106">
        <f t="shared" si="134"/>
        <v>147488122.01223531</v>
      </c>
      <c r="Q271" s="106">
        <f t="shared" si="134"/>
        <v>147273901.50236818</v>
      </c>
      <c r="R271" s="106">
        <f t="shared" si="134"/>
        <v>161668406.18924841</v>
      </c>
      <c r="S271" s="106">
        <f t="shared" si="134"/>
        <v>176223997.87700218</v>
      </c>
      <c r="T271" s="106">
        <f t="shared" si="134"/>
        <v>190883752.42088783</v>
      </c>
      <c r="U271" s="106">
        <f t="shared" si="134"/>
        <v>205599622.15226832</v>
      </c>
      <c r="V271" s="106">
        <f t="shared" si="134"/>
        <v>200727726.10459125</v>
      </c>
      <c r="W271" s="106">
        <f t="shared" si="134"/>
        <v>214119242.91104704</v>
      </c>
      <c r="X271" s="106">
        <f t="shared" si="134"/>
        <v>227110062.13946748</v>
      </c>
      <c r="Y271" s="106">
        <f t="shared" si="134"/>
        <v>240372907.11903542</v>
      </c>
      <c r="Z271" s="106">
        <f t="shared" si="134"/>
        <v>253598332.49543279</v>
      </c>
      <c r="AA271" s="106">
        <f t="shared" si="134"/>
        <v>267801830.59767011</v>
      </c>
      <c r="AB271" s="106">
        <f t="shared" ref="AB271:AB275" si="135">IF(V271=0,0,IF($G$15&gt;(AA271/V271)^(1/5)-1+2%,AA271*(AA271/V271)^(1/5)/($G$15-((AA271/V271)^(1/5)-1)),AA271*(1+$G$14)/$G$16))</f>
        <v>11112109153.43029</v>
      </c>
    </row>
    <row r="272" spans="4:28" hidden="1" x14ac:dyDescent="0.25">
      <c r="E272" s="47" t="s">
        <v>701</v>
      </c>
      <c r="F272" s="47" t="s">
        <v>639</v>
      </c>
      <c r="G272" s="106">
        <f t="shared" si="134"/>
        <v>0</v>
      </c>
      <c r="H272" s="106">
        <f t="shared" si="134"/>
        <v>-8395038.2370488588</v>
      </c>
      <c r="I272" s="106">
        <f t="shared" si="134"/>
        <v>-16840846.526050821</v>
      </c>
      <c r="J272" s="106">
        <f t="shared" si="134"/>
        <v>-23631869.782563616</v>
      </c>
      <c r="K272" s="106">
        <f t="shared" si="134"/>
        <v>-30191965.594352789</v>
      </c>
      <c r="L272" s="106">
        <f t="shared" si="134"/>
        <v>-36403535.3041372</v>
      </c>
      <c r="M272" s="106">
        <f t="shared" si="134"/>
        <v>-42198481.736112885</v>
      </c>
      <c r="N272" s="106">
        <f t="shared" si="134"/>
        <v>-47833994.247587591</v>
      </c>
      <c r="O272" s="106">
        <f t="shared" si="134"/>
        <v>-53344151.676199988</v>
      </c>
      <c r="P272" s="106">
        <f t="shared" si="134"/>
        <v>-58753146.00079757</v>
      </c>
      <c r="Q272" s="106">
        <f t="shared" si="134"/>
        <v>-64025379.717375249</v>
      </c>
      <c r="R272" s="106">
        <f t="shared" si="134"/>
        <v>-69272097.962493151</v>
      </c>
      <c r="S272" s="106">
        <f t="shared" si="134"/>
        <v>-74422737.897231966</v>
      </c>
      <c r="T272" s="106">
        <f t="shared" si="134"/>
        <v>-79476901.808194727</v>
      </c>
      <c r="U272" s="106">
        <f t="shared" si="134"/>
        <v>-84397404.101096764</v>
      </c>
      <c r="V272" s="106">
        <f t="shared" si="134"/>
        <v>-89193540.337654173</v>
      </c>
      <c r="W272" s="106">
        <f t="shared" si="134"/>
        <v>-93845264.231528908</v>
      </c>
      <c r="X272" s="106">
        <f t="shared" si="134"/>
        <v>-98271010.179881409</v>
      </c>
      <c r="Y272" s="106">
        <f t="shared" si="134"/>
        <v>-102599592.0822801</v>
      </c>
      <c r="Z272" s="106">
        <f t="shared" si="134"/>
        <v>-106805426.34638759</v>
      </c>
      <c r="AA272" s="106">
        <f t="shared" si="134"/>
        <v>-111019542.1580568</v>
      </c>
      <c r="AB272" s="106">
        <f t="shared" si="135"/>
        <v>-4606620006.5583715</v>
      </c>
    </row>
    <row r="273" spans="1:28" hidden="1" x14ac:dyDescent="0.25">
      <c r="E273" s="47" t="s">
        <v>702</v>
      </c>
      <c r="F273" s="47" t="s">
        <v>639</v>
      </c>
      <c r="G273" s="106">
        <f t="shared" si="134"/>
        <v>0</v>
      </c>
      <c r="H273" s="106">
        <f t="shared" si="134"/>
        <v>-4321392.3303855732</v>
      </c>
      <c r="I273" s="106">
        <f t="shared" si="134"/>
        <v>-8613030.7532741763</v>
      </c>
      <c r="J273" s="106">
        <f t="shared" si="134"/>
        <v>-12126154.478932364</v>
      </c>
      <c r="K273" s="106">
        <f t="shared" si="134"/>
        <v>-15609140.874721644</v>
      </c>
      <c r="L273" s="106">
        <f t="shared" si="134"/>
        <v>-18982427.855161946</v>
      </c>
      <c r="M273" s="106">
        <f t="shared" si="134"/>
        <v>-22201215.403725069</v>
      </c>
      <c r="N273" s="106">
        <f t="shared" si="134"/>
        <v>-25306575.859253231</v>
      </c>
      <c r="O273" s="106">
        <f t="shared" si="134"/>
        <v>-28378582.965526987</v>
      </c>
      <c r="P273" s="106">
        <f t="shared" si="134"/>
        <v>-31415636.48935917</v>
      </c>
      <c r="Q273" s="106">
        <f t="shared" si="134"/>
        <v>-34926447.982638516</v>
      </c>
      <c r="R273" s="106">
        <f t="shared" si="134"/>
        <v>-38515390.807018481</v>
      </c>
      <c r="S273" s="106">
        <f t="shared" si="134"/>
        <v>-42163544.369891658</v>
      </c>
      <c r="T273" s="106">
        <f t="shared" si="134"/>
        <v>-45865220.776312701</v>
      </c>
      <c r="U273" s="106">
        <f t="shared" si="134"/>
        <v>-49599817.718219586</v>
      </c>
      <c r="V273" s="106">
        <f t="shared" si="134"/>
        <v>-53363839.253848992</v>
      </c>
      <c r="W273" s="106">
        <f t="shared" si="134"/>
        <v>-57137653.741137639</v>
      </c>
      <c r="X273" s="106">
        <f t="shared" si="134"/>
        <v>-60934548.791869618</v>
      </c>
      <c r="Y273" s="106">
        <f t="shared" si="134"/>
        <v>-64710831.227273569</v>
      </c>
      <c r="Z273" s="106">
        <f t="shared" si="134"/>
        <v>-68491733.841882214</v>
      </c>
      <c r="AA273" s="106">
        <f t="shared" si="134"/>
        <v>-72301579.380325079</v>
      </c>
      <c r="AB273" s="106">
        <f t="shared" si="135"/>
        <v>-3000065534.4533215</v>
      </c>
    </row>
    <row r="274" spans="1:28" hidden="1" x14ac:dyDescent="0.25">
      <c r="E274" s="47" t="s">
        <v>709</v>
      </c>
      <c r="F274" s="47" t="s">
        <v>639</v>
      </c>
      <c r="G274" s="106">
        <f t="shared" si="134"/>
        <v>0</v>
      </c>
      <c r="H274" s="106">
        <f t="shared" si="134"/>
        <v>0</v>
      </c>
      <c r="I274" s="106">
        <f t="shared" si="134"/>
        <v>0</v>
      </c>
      <c r="J274" s="106">
        <f t="shared" si="134"/>
        <v>0</v>
      </c>
      <c r="K274" s="106">
        <f t="shared" si="134"/>
        <v>0</v>
      </c>
      <c r="L274" s="106">
        <f t="shared" si="134"/>
        <v>0</v>
      </c>
      <c r="M274" s="106">
        <f t="shared" si="134"/>
        <v>0</v>
      </c>
      <c r="N274" s="106">
        <f t="shared" si="134"/>
        <v>0</v>
      </c>
      <c r="O274" s="106">
        <f t="shared" si="134"/>
        <v>0</v>
      </c>
      <c r="P274" s="106">
        <f t="shared" si="134"/>
        <v>0</v>
      </c>
      <c r="Q274" s="106">
        <f t="shared" si="134"/>
        <v>0</v>
      </c>
      <c r="R274" s="106">
        <f t="shared" si="134"/>
        <v>0</v>
      </c>
      <c r="S274" s="106">
        <f t="shared" si="134"/>
        <v>0</v>
      </c>
      <c r="T274" s="106">
        <f t="shared" si="134"/>
        <v>0</v>
      </c>
      <c r="U274" s="106">
        <f t="shared" si="134"/>
        <v>0</v>
      </c>
      <c r="V274" s="106">
        <f t="shared" si="134"/>
        <v>0</v>
      </c>
      <c r="W274" s="106">
        <f t="shared" si="134"/>
        <v>0</v>
      </c>
      <c r="X274" s="106">
        <f t="shared" si="134"/>
        <v>0</v>
      </c>
      <c r="Y274" s="106">
        <f t="shared" si="134"/>
        <v>0</v>
      </c>
      <c r="Z274" s="106">
        <f t="shared" si="134"/>
        <v>0</v>
      </c>
      <c r="AA274" s="106">
        <f t="shared" si="134"/>
        <v>0</v>
      </c>
      <c r="AB274" s="106">
        <f t="shared" si="135"/>
        <v>0</v>
      </c>
    </row>
    <row r="275" spans="1:28" hidden="1" x14ac:dyDescent="0.25">
      <c r="E275" s="47" t="s">
        <v>714</v>
      </c>
      <c r="F275" s="47" t="s">
        <v>639</v>
      </c>
      <c r="G275" s="106">
        <f t="shared" si="134"/>
        <v>0</v>
      </c>
      <c r="H275" s="106">
        <f t="shared" si="134"/>
        <v>0</v>
      </c>
      <c r="I275" s="106">
        <f t="shared" si="134"/>
        <v>0</v>
      </c>
      <c r="J275" s="106">
        <f t="shared" si="134"/>
        <v>0</v>
      </c>
      <c r="K275" s="106">
        <f t="shared" si="134"/>
        <v>0</v>
      </c>
      <c r="L275" s="106">
        <f t="shared" si="134"/>
        <v>0</v>
      </c>
      <c r="M275" s="106">
        <f t="shared" si="134"/>
        <v>0</v>
      </c>
      <c r="N275" s="106">
        <f t="shared" si="134"/>
        <v>0</v>
      </c>
      <c r="O275" s="106">
        <f t="shared" si="134"/>
        <v>0</v>
      </c>
      <c r="P275" s="106">
        <f t="shared" si="134"/>
        <v>0</v>
      </c>
      <c r="Q275" s="106">
        <f t="shared" si="134"/>
        <v>0</v>
      </c>
      <c r="R275" s="106">
        <f t="shared" si="134"/>
        <v>0</v>
      </c>
      <c r="S275" s="106">
        <f t="shared" si="134"/>
        <v>0</v>
      </c>
      <c r="T275" s="106">
        <f t="shared" si="134"/>
        <v>0</v>
      </c>
      <c r="U275" s="106">
        <f t="shared" si="134"/>
        <v>0</v>
      </c>
      <c r="V275" s="106">
        <f t="shared" si="134"/>
        <v>0</v>
      </c>
      <c r="W275" s="106">
        <f t="shared" si="134"/>
        <v>0</v>
      </c>
      <c r="X275" s="106">
        <f t="shared" si="134"/>
        <v>0</v>
      </c>
      <c r="Y275" s="106">
        <f t="shared" si="134"/>
        <v>0</v>
      </c>
      <c r="Z275" s="106">
        <f t="shared" si="134"/>
        <v>0</v>
      </c>
      <c r="AA275" s="106">
        <f t="shared" si="134"/>
        <v>0</v>
      </c>
      <c r="AB275" s="106">
        <f t="shared" si="135"/>
        <v>0</v>
      </c>
    </row>
    <row r="276" spans="1:28" hidden="1" x14ac:dyDescent="0.25">
      <c r="E276" s="47" t="s">
        <v>458</v>
      </c>
      <c r="F276" s="47" t="s">
        <v>639</v>
      </c>
      <c r="G276" s="106" t="e">
        <f t="shared" ref="G276:AA276" si="136">G265</f>
        <v>#REF!</v>
      </c>
      <c r="H276" s="106">
        <f t="shared" si="136"/>
        <v>-13024576.158781053</v>
      </c>
      <c r="I276" s="106">
        <f t="shared" si="136"/>
        <v>-14990771.459740045</v>
      </c>
      <c r="J276" s="106">
        <f t="shared" si="136"/>
        <v>-17102761.366297178</v>
      </c>
      <c r="K276" s="106">
        <f t="shared" si="136"/>
        <v>-18737985.706361506</v>
      </c>
      <c r="L276" s="106">
        <f t="shared" si="136"/>
        <v>-18773419.066703822</v>
      </c>
      <c r="M276" s="106">
        <f t="shared" si="136"/>
        <v>-20353007.371030767</v>
      </c>
      <c r="N276" s="106">
        <f t="shared" si="136"/>
        <v>-21662750.626628499</v>
      </c>
      <c r="O276" s="106">
        <f t="shared" si="136"/>
        <v>-23843277.901035726</v>
      </c>
      <c r="P276" s="106">
        <f t="shared" si="136"/>
        <v>-25894054.466106676</v>
      </c>
      <c r="Q276" s="106">
        <f t="shared" si="136"/>
        <v>-22559284.48543391</v>
      </c>
      <c r="R276" s="106">
        <f t="shared" si="136"/>
        <v>-23509787.895345528</v>
      </c>
      <c r="S276" s="106">
        <f t="shared" si="136"/>
        <v>-24475755.079473931</v>
      </c>
      <c r="T276" s="106">
        <f t="shared" si="136"/>
        <v>-25141124.435149666</v>
      </c>
      <c r="U276" s="106">
        <f t="shared" si="136"/>
        <v>-25710758.611772627</v>
      </c>
      <c r="V276" s="106">
        <f t="shared" si="136"/>
        <v>-20313747.302921847</v>
      </c>
      <c r="W276" s="106">
        <f t="shared" si="136"/>
        <v>-20502073.782618951</v>
      </c>
      <c r="X276" s="106">
        <f t="shared" si="136"/>
        <v>-20961451.123772047</v>
      </c>
      <c r="Y276" s="106">
        <f t="shared" si="136"/>
        <v>-21167472.489084128</v>
      </c>
      <c r="Z276" s="106">
        <f t="shared" si="136"/>
        <v>-21314765.775966752</v>
      </c>
      <c r="AA276" s="106">
        <f t="shared" si="136"/>
        <v>-21996283.52617282</v>
      </c>
      <c r="AB276" s="106">
        <f>IF(V276=0,0,IF($G$15&gt;(AA276/V276)^(1/5)-1+2%,AA276*(AA276/V276)^(1/5)/($G$15-((AA276/V276)^(1/5)-1)),AA276*(1+$G$14)/$G$16))</f>
        <v>-912708860.00717056</v>
      </c>
    </row>
    <row r="277" spans="1:28" hidden="1" x14ac:dyDescent="0.25">
      <c r="E277" s="47" t="s">
        <v>730</v>
      </c>
      <c r="F277" s="47" t="s">
        <v>639</v>
      </c>
      <c r="G277" s="106" t="e">
        <f>-$G$17*G276</f>
        <v>#REF!</v>
      </c>
      <c r="H277" s="106">
        <f t="shared" ref="H277:AA277" si="137">-$G$17*H276</f>
        <v>6512288.0793905267</v>
      </c>
      <c r="I277" s="106">
        <f t="shared" si="137"/>
        <v>7495385.7298700223</v>
      </c>
      <c r="J277" s="106">
        <f t="shared" si="137"/>
        <v>8551380.683148589</v>
      </c>
      <c r="K277" s="106">
        <f t="shared" si="137"/>
        <v>9368992.8531807531</v>
      </c>
      <c r="L277" s="106">
        <f t="shared" si="137"/>
        <v>9386709.5333519112</v>
      </c>
      <c r="M277" s="106">
        <f t="shared" si="137"/>
        <v>10176503.685515383</v>
      </c>
      <c r="N277" s="106">
        <f t="shared" si="137"/>
        <v>10831375.31331425</v>
      </c>
      <c r="O277" s="106">
        <f t="shared" si="137"/>
        <v>11921638.950517863</v>
      </c>
      <c r="P277" s="106">
        <f t="shared" si="137"/>
        <v>12947027.233053338</v>
      </c>
      <c r="Q277" s="106">
        <f t="shared" si="137"/>
        <v>11279642.242716955</v>
      </c>
      <c r="R277" s="106">
        <f t="shared" si="137"/>
        <v>11754893.947672764</v>
      </c>
      <c r="S277" s="106">
        <f t="shared" si="137"/>
        <v>12237877.539736966</v>
      </c>
      <c r="T277" s="106">
        <f t="shared" si="137"/>
        <v>12570562.217574833</v>
      </c>
      <c r="U277" s="106">
        <f t="shared" si="137"/>
        <v>12855379.305886313</v>
      </c>
      <c r="V277" s="106">
        <f t="shared" si="137"/>
        <v>10156873.651460923</v>
      </c>
      <c r="W277" s="106">
        <f t="shared" si="137"/>
        <v>10251036.891309476</v>
      </c>
      <c r="X277" s="106">
        <f t="shared" si="137"/>
        <v>10480725.561886024</v>
      </c>
      <c r="Y277" s="106">
        <f t="shared" si="137"/>
        <v>10583736.244542064</v>
      </c>
      <c r="Z277" s="106">
        <f t="shared" si="137"/>
        <v>10657382.887983376</v>
      </c>
      <c r="AA277" s="106">
        <f t="shared" si="137"/>
        <v>10998141.76308641</v>
      </c>
      <c r="AB277" s="106">
        <f t="shared" ref="AB277" si="138">IF(V277=0,0,IF($G$15&gt;(AA277/V277)^(1/5)-1+2%,AA277*(AA277/V277)^(1/5)/($G$15-((AA277/V277)^(1/5)-1)),AA277*(1+$G$14)/$G$16))</f>
        <v>456354430.00358528</v>
      </c>
    </row>
    <row r="278" spans="1:28" hidden="1" x14ac:dyDescent="0.25">
      <c r="E278" s="47" t="s">
        <v>731</v>
      </c>
      <c r="F278" s="47" t="s">
        <v>639</v>
      </c>
      <c r="G278" s="106" t="e">
        <f t="shared" ref="G278:AA278" si="139">SUM(G268:G277)</f>
        <v>#REF!</v>
      </c>
      <c r="H278" s="106">
        <f t="shared" si="139"/>
        <v>-47499482.807448663</v>
      </c>
      <c r="I278" s="106">
        <f t="shared" si="139"/>
        <v>-42513264.225033849</v>
      </c>
      <c r="J278" s="106">
        <f t="shared" si="139"/>
        <v>-58774751.830932468</v>
      </c>
      <c r="K278" s="106">
        <f t="shared" si="139"/>
        <v>-55785426.577505127</v>
      </c>
      <c r="L278" s="106">
        <f t="shared" si="139"/>
        <v>-55577672.01050213</v>
      </c>
      <c r="M278" s="106">
        <f t="shared" si="139"/>
        <v>-57958579.177369811</v>
      </c>
      <c r="N278" s="106">
        <f t="shared" si="139"/>
        <v>-66651268.142911218</v>
      </c>
      <c r="O278" s="106">
        <f t="shared" si="139"/>
        <v>-75988711.775481761</v>
      </c>
      <c r="P278" s="106">
        <f t="shared" si="139"/>
        <v>-45663866.756153867</v>
      </c>
      <c r="Q278" s="106">
        <f t="shared" si="139"/>
        <v>-55558227.751737326</v>
      </c>
      <c r="R278" s="106">
        <f t="shared" si="139"/>
        <v>-50474635.839310773</v>
      </c>
      <c r="S278" s="106">
        <f t="shared" si="139"/>
        <v>-45200821.241233192</v>
      </c>
      <c r="T278" s="106">
        <f t="shared" si="139"/>
        <v>-39629591.692569211</v>
      </c>
      <c r="U278" s="106">
        <f t="shared" si="139"/>
        <v>-33853638.284309126</v>
      </c>
      <c r="V278" s="106">
        <f t="shared" si="139"/>
        <v>-44587186.449747622</v>
      </c>
      <c r="W278" s="106">
        <f t="shared" si="139"/>
        <v>-39715371.264303766</v>
      </c>
      <c r="X278" s="106">
        <f t="shared" si="139"/>
        <v>-35176881.705544353</v>
      </c>
      <c r="Y278" s="106">
        <f t="shared" si="139"/>
        <v>-30121911.746435091</v>
      </c>
      <c r="Z278" s="106">
        <f t="shared" si="139"/>
        <v>-24956869.892195173</v>
      </c>
      <c r="AA278" s="106">
        <f t="shared" si="139"/>
        <v>-19118092.015172958</v>
      </c>
      <c r="AB278" s="106" t="e">
        <f>SUM(AB268:AB277)*IF(DASH!#REF!="yes",1,0)</f>
        <v>#REF!</v>
      </c>
    </row>
    <row r="279" spans="1:28" hidden="1" x14ac:dyDescent="0.25">
      <c r="E279" s="47" t="s">
        <v>732</v>
      </c>
      <c r="F279" s="47" t="s">
        <v>639</v>
      </c>
      <c r="G279" s="106" t="e">
        <f>NPV($G$15,H278:AQ278)+G278</f>
        <v>#REF!</v>
      </c>
    </row>
    <row r="280" spans="1:28" hidden="1" x14ac:dyDescent="0.25">
      <c r="E280" s="111" t="s">
        <v>734</v>
      </c>
      <c r="F280" s="111"/>
      <c r="G280" s="118" t="e">
        <f>IF(G279&gt;0,"N/A",IF(ABS(G279+G253)&gt;1,"Error","OK"))</f>
        <v>#REF!</v>
      </c>
    </row>
    <row r="281" spans="1:28" hidden="1" x14ac:dyDescent="0.25"/>
    <row r="282" spans="1:28" hidden="1" x14ac:dyDescent="0.25">
      <c r="C282" s="100" t="s">
        <v>736</v>
      </c>
      <c r="D282" s="100"/>
    </row>
    <row r="283" spans="1:28" hidden="1" x14ac:dyDescent="0.25">
      <c r="A283" s="101">
        <v>54</v>
      </c>
      <c r="C283" s="100"/>
      <c r="D283" s="100"/>
      <c r="E283" s="47" t="s">
        <v>737</v>
      </c>
      <c r="F283" s="47" t="s">
        <v>655</v>
      </c>
      <c r="G283" s="102">
        <v>1</v>
      </c>
      <c r="H283" s="102">
        <v>1</v>
      </c>
      <c r="I283" s="102">
        <v>1</v>
      </c>
      <c r="J283" s="102">
        <v>1</v>
      </c>
      <c r="K283" s="102">
        <v>1</v>
      </c>
      <c r="L283" s="102">
        <v>1</v>
      </c>
      <c r="M283" s="102">
        <v>0</v>
      </c>
      <c r="N283" s="102">
        <v>0</v>
      </c>
      <c r="O283" s="102">
        <v>0</v>
      </c>
      <c r="P283" s="102">
        <v>0</v>
      </c>
      <c r="Q283" s="102">
        <v>0</v>
      </c>
      <c r="R283" s="102">
        <v>0</v>
      </c>
      <c r="S283" s="102">
        <v>0</v>
      </c>
      <c r="T283" s="102">
        <v>0</v>
      </c>
      <c r="U283" s="102">
        <v>0</v>
      </c>
      <c r="V283" s="102">
        <v>0</v>
      </c>
      <c r="W283" s="102">
        <v>0</v>
      </c>
      <c r="X283" s="102">
        <v>0</v>
      </c>
      <c r="Y283" s="102">
        <v>0</v>
      </c>
      <c r="Z283" s="102">
        <v>0</v>
      </c>
      <c r="AA283" s="102">
        <v>0</v>
      </c>
    </row>
    <row r="284" spans="1:28" hidden="1" x14ac:dyDescent="0.25">
      <c r="E284" s="47" t="s">
        <v>738</v>
      </c>
      <c r="F284" s="47" t="s">
        <v>739</v>
      </c>
      <c r="G284" s="115" t="e">
        <f>MAX(0,-G311/(NPV($G$16,H283:AA283)+G283))</f>
        <v>#VALUE!</v>
      </c>
      <c r="H284" s="106" t="e">
        <f t="shared" ref="H284:AA284" si="140">G284*(1+$G$14)</f>
        <v>#VALUE!</v>
      </c>
      <c r="I284" s="106" t="e">
        <f t="shared" si="140"/>
        <v>#VALUE!</v>
      </c>
      <c r="J284" s="106" t="e">
        <f t="shared" si="140"/>
        <v>#VALUE!</v>
      </c>
      <c r="K284" s="106" t="e">
        <f t="shared" si="140"/>
        <v>#VALUE!</v>
      </c>
      <c r="L284" s="106" t="e">
        <f t="shared" si="140"/>
        <v>#VALUE!</v>
      </c>
      <c r="M284" s="106" t="e">
        <f t="shared" si="140"/>
        <v>#VALUE!</v>
      </c>
      <c r="N284" s="106" t="e">
        <f t="shared" si="140"/>
        <v>#VALUE!</v>
      </c>
      <c r="O284" s="106" t="e">
        <f t="shared" si="140"/>
        <v>#VALUE!</v>
      </c>
      <c r="P284" s="106" t="e">
        <f t="shared" si="140"/>
        <v>#VALUE!</v>
      </c>
      <c r="Q284" s="106" t="e">
        <f t="shared" si="140"/>
        <v>#VALUE!</v>
      </c>
      <c r="R284" s="106" t="e">
        <f t="shared" si="140"/>
        <v>#VALUE!</v>
      </c>
      <c r="S284" s="106" t="e">
        <f t="shared" si="140"/>
        <v>#VALUE!</v>
      </c>
      <c r="T284" s="106" t="e">
        <f t="shared" si="140"/>
        <v>#VALUE!</v>
      </c>
      <c r="U284" s="106" t="e">
        <f t="shared" si="140"/>
        <v>#VALUE!</v>
      </c>
      <c r="V284" s="106" t="e">
        <f t="shared" si="140"/>
        <v>#VALUE!</v>
      </c>
      <c r="W284" s="106" t="e">
        <f t="shared" si="140"/>
        <v>#VALUE!</v>
      </c>
      <c r="X284" s="106" t="e">
        <f t="shared" si="140"/>
        <v>#VALUE!</v>
      </c>
      <c r="Y284" s="106" t="e">
        <f t="shared" si="140"/>
        <v>#VALUE!</v>
      </c>
      <c r="Z284" s="106" t="e">
        <f t="shared" si="140"/>
        <v>#VALUE!</v>
      </c>
      <c r="AA284" s="106" t="e">
        <f t="shared" si="140"/>
        <v>#VALUE!</v>
      </c>
    </row>
    <row r="285" spans="1:28" hidden="1" x14ac:dyDescent="0.25">
      <c r="E285" s="47" t="s">
        <v>721</v>
      </c>
      <c r="F285" s="47" t="s">
        <v>639</v>
      </c>
      <c r="G285" s="106" t="e">
        <f>G283*G284</f>
        <v>#VALUE!</v>
      </c>
      <c r="H285" s="106" t="e">
        <f t="shared" ref="H285:AA285" si="141">H283*H284</f>
        <v>#VALUE!</v>
      </c>
      <c r="I285" s="106" t="e">
        <f t="shared" si="141"/>
        <v>#VALUE!</v>
      </c>
      <c r="J285" s="106" t="e">
        <f t="shared" si="141"/>
        <v>#VALUE!</v>
      </c>
      <c r="K285" s="106" t="e">
        <f t="shared" si="141"/>
        <v>#VALUE!</v>
      </c>
      <c r="L285" s="106" t="e">
        <f t="shared" si="141"/>
        <v>#VALUE!</v>
      </c>
      <c r="M285" s="106" t="e">
        <f t="shared" si="141"/>
        <v>#VALUE!</v>
      </c>
      <c r="N285" s="106" t="e">
        <f t="shared" si="141"/>
        <v>#VALUE!</v>
      </c>
      <c r="O285" s="106" t="e">
        <f t="shared" si="141"/>
        <v>#VALUE!</v>
      </c>
      <c r="P285" s="106" t="e">
        <f t="shared" si="141"/>
        <v>#VALUE!</v>
      </c>
      <c r="Q285" s="106" t="e">
        <f t="shared" si="141"/>
        <v>#VALUE!</v>
      </c>
      <c r="R285" s="106" t="e">
        <f t="shared" si="141"/>
        <v>#VALUE!</v>
      </c>
      <c r="S285" s="106" t="e">
        <f t="shared" si="141"/>
        <v>#VALUE!</v>
      </c>
      <c r="T285" s="106" t="e">
        <f t="shared" si="141"/>
        <v>#VALUE!</v>
      </c>
      <c r="U285" s="106" t="e">
        <f t="shared" si="141"/>
        <v>#VALUE!</v>
      </c>
      <c r="V285" s="106" t="e">
        <f t="shared" si="141"/>
        <v>#VALUE!</v>
      </c>
      <c r="W285" s="106" t="e">
        <f t="shared" si="141"/>
        <v>#VALUE!</v>
      </c>
      <c r="X285" s="106" t="e">
        <f t="shared" si="141"/>
        <v>#VALUE!</v>
      </c>
      <c r="Y285" s="106" t="e">
        <f t="shared" si="141"/>
        <v>#VALUE!</v>
      </c>
      <c r="Z285" s="106" t="e">
        <f t="shared" si="141"/>
        <v>#VALUE!</v>
      </c>
      <c r="AA285" s="106" t="e">
        <f t="shared" si="141"/>
        <v>#VALUE!</v>
      </c>
    </row>
    <row r="286" spans="1:28" hidden="1" x14ac:dyDescent="0.25"/>
    <row r="287" spans="1:28" hidden="1" x14ac:dyDescent="0.25">
      <c r="D287" s="47" t="s">
        <v>722</v>
      </c>
    </row>
    <row r="288" spans="1:28" hidden="1" x14ac:dyDescent="0.25">
      <c r="E288" s="47" t="s">
        <v>573</v>
      </c>
      <c r="F288" s="47" t="s">
        <v>639</v>
      </c>
      <c r="G288" s="106">
        <f t="shared" ref="G288:AA293" si="142">G222</f>
        <v>0</v>
      </c>
      <c r="H288" s="106">
        <f t="shared" si="142"/>
        <v>38681921.948851243</v>
      </c>
      <c r="I288" s="106">
        <f t="shared" si="142"/>
        <v>39521998.891712219</v>
      </c>
      <c r="J288" s="106">
        <f t="shared" si="142"/>
        <v>42033118.265981808</v>
      </c>
      <c r="K288" s="106">
        <f t="shared" si="142"/>
        <v>42591664.044101633</v>
      </c>
      <c r="L288" s="106">
        <f t="shared" si="142"/>
        <v>38375648.676506177</v>
      </c>
      <c r="M288" s="106">
        <f t="shared" si="142"/>
        <v>38924797.797191493</v>
      </c>
      <c r="N288" s="106">
        <f t="shared" si="142"/>
        <v>37844700.966784842</v>
      </c>
      <c r="O288" s="106">
        <f t="shared" si="142"/>
        <v>39850637.287842631</v>
      </c>
      <c r="P288" s="106">
        <f t="shared" si="142"/>
        <v>40864698.650687002</v>
      </c>
      <c r="Q288" s="106">
        <f t="shared" si="142"/>
        <v>40236095.443586729</v>
      </c>
      <c r="R288" s="106">
        <f t="shared" si="142"/>
        <v>39325509.917707063</v>
      </c>
      <c r="S288" s="106">
        <f t="shared" si="142"/>
        <v>38256639.393971272</v>
      </c>
      <c r="T288" s="106">
        <f t="shared" si="142"/>
        <v>36013738.956393406</v>
      </c>
      <c r="U288" s="106">
        <f t="shared" si="142"/>
        <v>33264315.839493237</v>
      </c>
      <c r="V288" s="106">
        <f t="shared" si="142"/>
        <v>30083556.989111878</v>
      </c>
      <c r="W288" s="106">
        <f t="shared" si="142"/>
        <v>27089288.876369976</v>
      </c>
      <c r="X288" s="106">
        <f t="shared" si="142"/>
        <v>25175054.560933016</v>
      </c>
      <c r="Y288" s="106">
        <f t="shared" si="142"/>
        <v>21991120.872615352</v>
      </c>
      <c r="Z288" s="106">
        <f t="shared" si="142"/>
        <v>18491838.147785448</v>
      </c>
      <c r="AA288" s="106">
        <f t="shared" si="142"/>
        <v>15802574.674329042</v>
      </c>
    </row>
    <row r="289" spans="4:28" hidden="1" x14ac:dyDescent="0.25">
      <c r="E289" s="47" t="s">
        <v>723</v>
      </c>
      <c r="F289" s="47" t="s">
        <v>639</v>
      </c>
      <c r="G289" s="106">
        <f t="shared" si="142"/>
        <v>0</v>
      </c>
      <c r="H289" s="106">
        <f t="shared" si="142"/>
        <v>18421045.867623996</v>
      </c>
      <c r="I289" s="106">
        <f t="shared" si="142"/>
        <v>37859756.38162265</v>
      </c>
      <c r="J289" s="106">
        <f t="shared" si="142"/>
        <v>53939757.599666893</v>
      </c>
      <c r="K289" s="106">
        <f t="shared" si="142"/>
        <v>70148874.064151764</v>
      </c>
      <c r="L289" s="106">
        <f t="shared" si="142"/>
        <v>85352978.70745568</v>
      </c>
      <c r="M289" s="106">
        <f t="shared" si="142"/>
        <v>100464187.39598957</v>
      </c>
      <c r="N289" s="106">
        <f t="shared" si="142"/>
        <v>116185625.83560775</v>
      </c>
      <c r="O289" s="106">
        <f t="shared" si="142"/>
        <v>131753286.99678124</v>
      </c>
      <c r="P289" s="106">
        <f t="shared" si="142"/>
        <v>147488122.01223531</v>
      </c>
      <c r="Q289" s="106">
        <f t="shared" si="142"/>
        <v>147273901.50236818</v>
      </c>
      <c r="R289" s="106">
        <f t="shared" si="142"/>
        <v>161668406.18924841</v>
      </c>
      <c r="S289" s="106">
        <f t="shared" si="142"/>
        <v>176223997.87700218</v>
      </c>
      <c r="T289" s="106">
        <f t="shared" si="142"/>
        <v>190883752.42088783</v>
      </c>
      <c r="U289" s="106">
        <f t="shared" si="142"/>
        <v>205599622.15226832</v>
      </c>
      <c r="V289" s="106">
        <f t="shared" si="142"/>
        <v>200727726.10459125</v>
      </c>
      <c r="W289" s="106">
        <f t="shared" si="142"/>
        <v>214119242.91104704</v>
      </c>
      <c r="X289" s="106">
        <f t="shared" si="142"/>
        <v>227110062.13946748</v>
      </c>
      <c r="Y289" s="106">
        <f t="shared" si="142"/>
        <v>240372907.11903542</v>
      </c>
      <c r="Z289" s="106">
        <f t="shared" si="142"/>
        <v>253598332.49543279</v>
      </c>
      <c r="AA289" s="106">
        <f t="shared" si="142"/>
        <v>267801830.59767011</v>
      </c>
    </row>
    <row r="290" spans="4:28" hidden="1" x14ac:dyDescent="0.25">
      <c r="E290" s="47" t="s">
        <v>701</v>
      </c>
      <c r="F290" s="47" t="s">
        <v>639</v>
      </c>
      <c r="G290" s="106">
        <f t="shared" si="142"/>
        <v>0</v>
      </c>
      <c r="H290" s="106">
        <f t="shared" si="142"/>
        <v>-8395038.2370488588</v>
      </c>
      <c r="I290" s="106">
        <f t="shared" si="142"/>
        <v>-16840846.526050821</v>
      </c>
      <c r="J290" s="106">
        <f t="shared" si="142"/>
        <v>-23631869.782563616</v>
      </c>
      <c r="K290" s="106">
        <f t="shared" si="142"/>
        <v>-30191965.594352789</v>
      </c>
      <c r="L290" s="106">
        <f t="shared" si="142"/>
        <v>-36403535.3041372</v>
      </c>
      <c r="M290" s="106">
        <f t="shared" si="142"/>
        <v>-42198481.736112885</v>
      </c>
      <c r="N290" s="106">
        <f t="shared" si="142"/>
        <v>-47833994.247587591</v>
      </c>
      <c r="O290" s="106">
        <f t="shared" si="142"/>
        <v>-53344151.676199988</v>
      </c>
      <c r="P290" s="106">
        <f t="shared" si="142"/>
        <v>-58753146.00079757</v>
      </c>
      <c r="Q290" s="106">
        <f t="shared" si="142"/>
        <v>-64025379.717375249</v>
      </c>
      <c r="R290" s="106">
        <f t="shared" si="142"/>
        <v>-69272097.962493151</v>
      </c>
      <c r="S290" s="106">
        <f t="shared" si="142"/>
        <v>-74422737.897231966</v>
      </c>
      <c r="T290" s="106">
        <f t="shared" si="142"/>
        <v>-79476901.808194727</v>
      </c>
      <c r="U290" s="106">
        <f t="shared" si="142"/>
        <v>-84397404.101096764</v>
      </c>
      <c r="V290" s="106">
        <f t="shared" si="142"/>
        <v>-89193540.337654173</v>
      </c>
      <c r="W290" s="106">
        <f t="shared" si="142"/>
        <v>-93845264.231528908</v>
      </c>
      <c r="X290" s="106">
        <f t="shared" si="142"/>
        <v>-98271010.179881409</v>
      </c>
      <c r="Y290" s="106">
        <f t="shared" si="142"/>
        <v>-102599592.0822801</v>
      </c>
      <c r="Z290" s="106">
        <f t="shared" si="142"/>
        <v>-106805426.34638759</v>
      </c>
      <c r="AA290" s="106">
        <f t="shared" si="142"/>
        <v>-111019542.1580568</v>
      </c>
    </row>
    <row r="291" spans="4:28" hidden="1" x14ac:dyDescent="0.25">
      <c r="E291" s="47" t="s">
        <v>702</v>
      </c>
      <c r="F291" s="47" t="s">
        <v>639</v>
      </c>
      <c r="G291" s="106">
        <f t="shared" si="142"/>
        <v>0</v>
      </c>
      <c r="H291" s="106">
        <f t="shared" si="142"/>
        <v>-4321392.3303855732</v>
      </c>
      <c r="I291" s="106">
        <f t="shared" si="142"/>
        <v>-8613030.7532741763</v>
      </c>
      <c r="J291" s="106">
        <f t="shared" si="142"/>
        <v>-12126154.478932364</v>
      </c>
      <c r="K291" s="106">
        <f t="shared" si="142"/>
        <v>-15609140.874721644</v>
      </c>
      <c r="L291" s="106">
        <f t="shared" si="142"/>
        <v>-18982427.855161946</v>
      </c>
      <c r="M291" s="106">
        <f t="shared" si="142"/>
        <v>-22201215.403725069</v>
      </c>
      <c r="N291" s="106">
        <f t="shared" si="142"/>
        <v>-25306575.859253231</v>
      </c>
      <c r="O291" s="106">
        <f t="shared" si="142"/>
        <v>-28378582.965526987</v>
      </c>
      <c r="P291" s="106">
        <f t="shared" si="142"/>
        <v>-31415636.48935917</v>
      </c>
      <c r="Q291" s="106">
        <f t="shared" si="142"/>
        <v>-34926447.982638516</v>
      </c>
      <c r="R291" s="106">
        <f t="shared" si="142"/>
        <v>-38515390.807018481</v>
      </c>
      <c r="S291" s="106">
        <f t="shared" si="142"/>
        <v>-42163544.369891658</v>
      </c>
      <c r="T291" s="106">
        <f t="shared" si="142"/>
        <v>-45865220.776312701</v>
      </c>
      <c r="U291" s="106">
        <f t="shared" si="142"/>
        <v>-49599817.718219586</v>
      </c>
      <c r="V291" s="106">
        <f t="shared" si="142"/>
        <v>-53363839.253848992</v>
      </c>
      <c r="W291" s="106">
        <f t="shared" si="142"/>
        <v>-57137653.741137639</v>
      </c>
      <c r="X291" s="106">
        <f t="shared" si="142"/>
        <v>-60934548.791869618</v>
      </c>
      <c r="Y291" s="106">
        <f t="shared" si="142"/>
        <v>-64710831.227273569</v>
      </c>
      <c r="Z291" s="106">
        <f t="shared" si="142"/>
        <v>-68491733.841882214</v>
      </c>
      <c r="AA291" s="106">
        <f t="shared" si="142"/>
        <v>-72301579.380325079</v>
      </c>
    </row>
    <row r="292" spans="4:28" hidden="1" x14ac:dyDescent="0.25">
      <c r="E292" s="47" t="s">
        <v>724</v>
      </c>
      <c r="F292" s="47" t="s">
        <v>639</v>
      </c>
      <c r="G292" s="106">
        <f t="shared" si="142"/>
        <v>0</v>
      </c>
      <c r="H292" s="106">
        <f t="shared" si="142"/>
        <v>-971283.38643729384</v>
      </c>
      <c r="I292" s="106">
        <f t="shared" si="142"/>
        <v>-1958639.794876379</v>
      </c>
      <c r="J292" s="106">
        <f t="shared" si="142"/>
        <v>-3205647.0498287934</v>
      </c>
      <c r="K292" s="106">
        <f t="shared" si="142"/>
        <v>-4479479.2846406028</v>
      </c>
      <c r="L292" s="106">
        <f t="shared" si="142"/>
        <v>-5764600.6689832974</v>
      </c>
      <c r="M292" s="106">
        <f t="shared" si="142"/>
        <v>-7145930.1499072108</v>
      </c>
      <c r="N292" s="106">
        <f t="shared" si="142"/>
        <v>-8680587.94012345</v>
      </c>
      <c r="O292" s="106">
        <f t="shared" si="142"/>
        <v>-10403596.639444465</v>
      </c>
      <c r="P292" s="106">
        <f t="shared" si="142"/>
        <v>-11870523.285743318</v>
      </c>
      <c r="Q292" s="106">
        <f t="shared" si="142"/>
        <v>-13360554.294494798</v>
      </c>
      <c r="R292" s="106">
        <f t="shared" si="142"/>
        <v>-14840467.686292062</v>
      </c>
      <c r="S292" s="106">
        <f t="shared" si="142"/>
        <v>-16308504.738936704</v>
      </c>
      <c r="T292" s="106">
        <f t="shared" si="142"/>
        <v>-17751620.675608259</v>
      </c>
      <c r="U292" s="106">
        <f t="shared" si="142"/>
        <v>-19164187.466536477</v>
      </c>
      <c r="V292" s="106">
        <f t="shared" si="142"/>
        <v>-20541412.492460459</v>
      </c>
      <c r="W292" s="106">
        <f t="shared" si="142"/>
        <v>-21885367.87268731</v>
      </c>
      <c r="X292" s="106">
        <f t="shared" si="142"/>
        <v>-23208053.982742637</v>
      </c>
      <c r="Y292" s="106">
        <f t="shared" si="142"/>
        <v>-24495363.051816657</v>
      </c>
      <c r="Z292" s="106">
        <f t="shared" si="142"/>
        <v>-25743791.201725896</v>
      </c>
      <c r="AA292" s="106">
        <f t="shared" si="142"/>
        <v>-26962338.646374512</v>
      </c>
    </row>
    <row r="293" spans="4:28" hidden="1" x14ac:dyDescent="0.25">
      <c r="E293" s="47" t="s">
        <v>709</v>
      </c>
      <c r="F293" s="47" t="s">
        <v>639</v>
      </c>
      <c r="G293" s="106">
        <f t="shared" si="142"/>
        <v>0</v>
      </c>
      <c r="H293" s="106">
        <f t="shared" si="142"/>
        <v>0</v>
      </c>
      <c r="I293" s="106">
        <f t="shared" si="142"/>
        <v>0</v>
      </c>
      <c r="J293" s="106">
        <f t="shared" si="142"/>
        <v>0</v>
      </c>
      <c r="K293" s="106">
        <f t="shared" si="142"/>
        <v>0</v>
      </c>
      <c r="L293" s="106">
        <f t="shared" si="142"/>
        <v>0</v>
      </c>
      <c r="M293" s="106">
        <f t="shared" si="142"/>
        <v>0</v>
      </c>
      <c r="N293" s="106">
        <f t="shared" si="142"/>
        <v>0</v>
      </c>
      <c r="O293" s="106">
        <f t="shared" si="142"/>
        <v>0</v>
      </c>
      <c r="P293" s="106">
        <f t="shared" si="142"/>
        <v>0</v>
      </c>
      <c r="Q293" s="106">
        <f t="shared" si="142"/>
        <v>0</v>
      </c>
      <c r="R293" s="106">
        <f t="shared" si="142"/>
        <v>0</v>
      </c>
      <c r="S293" s="106">
        <f t="shared" si="142"/>
        <v>0</v>
      </c>
      <c r="T293" s="106">
        <f t="shared" si="142"/>
        <v>0</v>
      </c>
      <c r="U293" s="106">
        <f t="shared" si="142"/>
        <v>0</v>
      </c>
      <c r="V293" s="106">
        <f t="shared" si="142"/>
        <v>0</v>
      </c>
      <c r="W293" s="106">
        <f t="shared" si="142"/>
        <v>0</v>
      </c>
      <c r="X293" s="106">
        <f t="shared" si="142"/>
        <v>0</v>
      </c>
      <c r="Y293" s="106">
        <f t="shared" si="142"/>
        <v>0</v>
      </c>
      <c r="Z293" s="106">
        <f t="shared" si="142"/>
        <v>0</v>
      </c>
      <c r="AA293" s="106">
        <f t="shared" si="142"/>
        <v>0</v>
      </c>
    </row>
    <row r="294" spans="4:28" hidden="1" x14ac:dyDescent="0.25">
      <c r="E294" s="47" t="s">
        <v>725</v>
      </c>
      <c r="F294" s="47" t="s">
        <v>639</v>
      </c>
      <c r="G294" s="106" t="e">
        <f t="shared" ref="G294:AA294" si="143">G285</f>
        <v>#VALUE!</v>
      </c>
      <c r="H294" s="106" t="e">
        <f t="shared" si="143"/>
        <v>#VALUE!</v>
      </c>
      <c r="I294" s="106" t="e">
        <f t="shared" si="143"/>
        <v>#VALUE!</v>
      </c>
      <c r="J294" s="106" t="e">
        <f t="shared" si="143"/>
        <v>#VALUE!</v>
      </c>
      <c r="K294" s="106" t="e">
        <f t="shared" si="143"/>
        <v>#VALUE!</v>
      </c>
      <c r="L294" s="106" t="e">
        <f t="shared" si="143"/>
        <v>#VALUE!</v>
      </c>
      <c r="M294" s="106" t="e">
        <f t="shared" si="143"/>
        <v>#VALUE!</v>
      </c>
      <c r="N294" s="106" t="e">
        <f t="shared" si="143"/>
        <v>#VALUE!</v>
      </c>
      <c r="O294" s="106" t="e">
        <f t="shared" si="143"/>
        <v>#VALUE!</v>
      </c>
      <c r="P294" s="106" t="e">
        <f t="shared" si="143"/>
        <v>#VALUE!</v>
      </c>
      <c r="Q294" s="106" t="e">
        <f t="shared" si="143"/>
        <v>#VALUE!</v>
      </c>
      <c r="R294" s="106" t="e">
        <f t="shared" si="143"/>
        <v>#VALUE!</v>
      </c>
      <c r="S294" s="106" t="e">
        <f t="shared" si="143"/>
        <v>#VALUE!</v>
      </c>
      <c r="T294" s="106" t="e">
        <f t="shared" si="143"/>
        <v>#VALUE!</v>
      </c>
      <c r="U294" s="106" t="e">
        <f t="shared" si="143"/>
        <v>#VALUE!</v>
      </c>
      <c r="V294" s="106" t="e">
        <f t="shared" si="143"/>
        <v>#VALUE!</v>
      </c>
      <c r="W294" s="106" t="e">
        <f t="shared" si="143"/>
        <v>#VALUE!</v>
      </c>
      <c r="X294" s="106" t="e">
        <f t="shared" si="143"/>
        <v>#VALUE!</v>
      </c>
      <c r="Y294" s="106" t="e">
        <f t="shared" si="143"/>
        <v>#VALUE!</v>
      </c>
      <c r="Z294" s="106" t="e">
        <f t="shared" si="143"/>
        <v>#VALUE!</v>
      </c>
      <c r="AA294" s="106" t="e">
        <f t="shared" si="143"/>
        <v>#VALUE!</v>
      </c>
    </row>
    <row r="295" spans="4:28" hidden="1" x14ac:dyDescent="0.25"/>
    <row r="296" spans="4:28" hidden="1" x14ac:dyDescent="0.25">
      <c r="E296" s="47" t="s">
        <v>726</v>
      </c>
      <c r="F296" s="47" t="s">
        <v>639</v>
      </c>
      <c r="G296" s="106" t="e">
        <f t="shared" ref="G296:AA296" si="144">SUM(G288:G294)</f>
        <v>#VALUE!</v>
      </c>
      <c r="H296" s="106" t="e">
        <f t="shared" si="144"/>
        <v>#VALUE!</v>
      </c>
      <c r="I296" s="106" t="e">
        <f t="shared" si="144"/>
        <v>#VALUE!</v>
      </c>
      <c r="J296" s="106" t="e">
        <f t="shared" si="144"/>
        <v>#VALUE!</v>
      </c>
      <c r="K296" s="106" t="e">
        <f t="shared" si="144"/>
        <v>#VALUE!</v>
      </c>
      <c r="L296" s="106" t="e">
        <f t="shared" si="144"/>
        <v>#VALUE!</v>
      </c>
      <c r="M296" s="106" t="e">
        <f t="shared" si="144"/>
        <v>#VALUE!</v>
      </c>
      <c r="N296" s="106" t="e">
        <f t="shared" si="144"/>
        <v>#VALUE!</v>
      </c>
      <c r="O296" s="106" t="e">
        <f t="shared" si="144"/>
        <v>#VALUE!</v>
      </c>
      <c r="P296" s="106" t="e">
        <f t="shared" si="144"/>
        <v>#VALUE!</v>
      </c>
      <c r="Q296" s="106" t="e">
        <f t="shared" si="144"/>
        <v>#VALUE!</v>
      </c>
      <c r="R296" s="106" t="e">
        <f t="shared" si="144"/>
        <v>#VALUE!</v>
      </c>
      <c r="S296" s="106" t="e">
        <f t="shared" si="144"/>
        <v>#VALUE!</v>
      </c>
      <c r="T296" s="106" t="e">
        <f t="shared" si="144"/>
        <v>#VALUE!</v>
      </c>
      <c r="U296" s="106" t="e">
        <f t="shared" si="144"/>
        <v>#VALUE!</v>
      </c>
      <c r="V296" s="106" t="e">
        <f t="shared" si="144"/>
        <v>#VALUE!</v>
      </c>
      <c r="W296" s="106" t="e">
        <f t="shared" si="144"/>
        <v>#VALUE!</v>
      </c>
      <c r="X296" s="106" t="e">
        <f t="shared" si="144"/>
        <v>#VALUE!</v>
      </c>
      <c r="Y296" s="106" t="e">
        <f t="shared" si="144"/>
        <v>#VALUE!</v>
      </c>
      <c r="Z296" s="106" t="e">
        <f t="shared" si="144"/>
        <v>#VALUE!</v>
      </c>
      <c r="AA296" s="106" t="e">
        <f t="shared" si="144"/>
        <v>#VALUE!</v>
      </c>
    </row>
    <row r="297" spans="4:28" hidden="1" x14ac:dyDescent="0.25">
      <c r="E297" s="47" t="s">
        <v>727</v>
      </c>
      <c r="F297" s="47" t="s">
        <v>639</v>
      </c>
      <c r="G297" s="106" t="e">
        <f t="shared" ref="G297:AA297" si="145">-G296*G$18</f>
        <v>#VALUE!</v>
      </c>
      <c r="H297" s="106" t="e">
        <f t="shared" si="145"/>
        <v>#VALUE!</v>
      </c>
      <c r="I297" s="106" t="e">
        <f t="shared" si="145"/>
        <v>#VALUE!</v>
      </c>
      <c r="J297" s="106" t="e">
        <f t="shared" si="145"/>
        <v>#VALUE!</v>
      </c>
      <c r="K297" s="106" t="e">
        <f t="shared" si="145"/>
        <v>#VALUE!</v>
      </c>
      <c r="L297" s="106" t="e">
        <f t="shared" si="145"/>
        <v>#VALUE!</v>
      </c>
      <c r="M297" s="106" t="e">
        <f t="shared" si="145"/>
        <v>#VALUE!</v>
      </c>
      <c r="N297" s="106" t="e">
        <f t="shared" si="145"/>
        <v>#VALUE!</v>
      </c>
      <c r="O297" s="106" t="e">
        <f t="shared" si="145"/>
        <v>#VALUE!</v>
      </c>
      <c r="P297" s="106" t="e">
        <f t="shared" si="145"/>
        <v>#VALUE!</v>
      </c>
      <c r="Q297" s="106" t="e">
        <f t="shared" si="145"/>
        <v>#VALUE!</v>
      </c>
      <c r="R297" s="106" t="e">
        <f t="shared" si="145"/>
        <v>#VALUE!</v>
      </c>
      <c r="S297" s="106" t="e">
        <f t="shared" si="145"/>
        <v>#VALUE!</v>
      </c>
      <c r="T297" s="106" t="e">
        <f t="shared" si="145"/>
        <v>#VALUE!</v>
      </c>
      <c r="U297" s="106" t="e">
        <f t="shared" si="145"/>
        <v>#VALUE!</v>
      </c>
      <c r="V297" s="106" t="e">
        <f t="shared" si="145"/>
        <v>#VALUE!</v>
      </c>
      <c r="W297" s="106" t="e">
        <f t="shared" si="145"/>
        <v>#VALUE!</v>
      </c>
      <c r="X297" s="106" t="e">
        <f t="shared" si="145"/>
        <v>#VALUE!</v>
      </c>
      <c r="Y297" s="106" t="e">
        <f t="shared" si="145"/>
        <v>#VALUE!</v>
      </c>
      <c r="Z297" s="106" t="e">
        <f t="shared" si="145"/>
        <v>#VALUE!</v>
      </c>
      <c r="AA297" s="106" t="e">
        <f t="shared" si="145"/>
        <v>#VALUE!</v>
      </c>
    </row>
    <row r="298" spans="4:28" hidden="1" x14ac:dyDescent="0.25"/>
    <row r="299" spans="4:28" hidden="1" x14ac:dyDescent="0.25">
      <c r="D299" s="47" t="s">
        <v>728</v>
      </c>
    </row>
    <row r="300" spans="4:28" hidden="1" x14ac:dyDescent="0.25">
      <c r="E300" s="47" t="s">
        <v>638</v>
      </c>
      <c r="F300" s="47" t="s">
        <v>639</v>
      </c>
      <c r="G300" s="106">
        <f t="shared" ref="G300:AA307" si="146">G234</f>
        <v>0</v>
      </c>
      <c r="H300" s="106">
        <f t="shared" si="146"/>
        <v>-46691810.028247699</v>
      </c>
      <c r="I300" s="106">
        <f t="shared" si="146"/>
        <v>-47423757.597461477</v>
      </c>
      <c r="J300" s="106">
        <f t="shared" si="146"/>
        <v>-68405104.485954791</v>
      </c>
      <c r="K300" s="106">
        <f t="shared" si="146"/>
        <v>-70764201.319401696</v>
      </c>
      <c r="L300" s="106">
        <f t="shared" si="146"/>
        <v>-76157978.025306746</v>
      </c>
      <c r="M300" s="106">
        <f t="shared" si="146"/>
        <v>-83846565.748006046</v>
      </c>
      <c r="N300" s="106">
        <f t="shared" si="146"/>
        <v>-98864948.5583639</v>
      </c>
      <c r="O300" s="106">
        <f t="shared" si="146"/>
        <v>-114097625.18001817</v>
      </c>
      <c r="P300" s="106">
        <f t="shared" si="146"/>
        <v>-90036179.045179099</v>
      </c>
      <c r="Q300" s="106">
        <f t="shared" si="146"/>
        <v>-92600659.311374784</v>
      </c>
      <c r="R300" s="106">
        <f t="shared" si="146"/>
        <v>-92600659.311374784</v>
      </c>
      <c r="S300" s="106">
        <f t="shared" si="146"/>
        <v>-92600659.311374784</v>
      </c>
      <c r="T300" s="106">
        <f t="shared" si="146"/>
        <v>-92600659.311374784</v>
      </c>
      <c r="U300" s="106">
        <f t="shared" si="146"/>
        <v>-92600659.311374784</v>
      </c>
      <c r="V300" s="106">
        <f t="shared" si="146"/>
        <v>-92600659.311374784</v>
      </c>
      <c r="W300" s="106">
        <f t="shared" si="146"/>
        <v>-92600659.311374784</v>
      </c>
      <c r="X300" s="106">
        <f t="shared" si="146"/>
        <v>-92600659.311374784</v>
      </c>
      <c r="Y300" s="106">
        <f t="shared" si="146"/>
        <v>-92600659.311374784</v>
      </c>
      <c r="Z300" s="106">
        <f t="shared" si="146"/>
        <v>-92600659.311374784</v>
      </c>
      <c r="AA300" s="106">
        <f t="shared" si="146"/>
        <v>-92600659.311374784</v>
      </c>
    </row>
    <row r="301" spans="4:28" hidden="1" x14ac:dyDescent="0.25">
      <c r="E301" s="47" t="s">
        <v>729</v>
      </c>
      <c r="F301" s="47" t="s">
        <v>639</v>
      </c>
      <c r="G301" s="106">
        <f t="shared" si="146"/>
        <v>0</v>
      </c>
      <c r="H301" s="106">
        <f t="shared" si="146"/>
        <v>0</v>
      </c>
      <c r="I301" s="106">
        <f t="shared" si="146"/>
        <v>0</v>
      </c>
      <c r="J301" s="106">
        <f t="shared" si="146"/>
        <v>0</v>
      </c>
      <c r="K301" s="106">
        <f t="shared" si="146"/>
        <v>0</v>
      </c>
      <c r="L301" s="106">
        <f t="shared" si="146"/>
        <v>0</v>
      </c>
      <c r="M301" s="106">
        <f t="shared" si="146"/>
        <v>0</v>
      </c>
      <c r="N301" s="106">
        <f t="shared" si="146"/>
        <v>0</v>
      </c>
      <c r="O301" s="106">
        <f t="shared" si="146"/>
        <v>0</v>
      </c>
      <c r="P301" s="106">
        <f t="shared" si="146"/>
        <v>0</v>
      </c>
      <c r="Q301" s="106">
        <f t="shared" si="146"/>
        <v>0</v>
      </c>
      <c r="R301" s="106">
        <f t="shared" si="146"/>
        <v>0</v>
      </c>
      <c r="S301" s="106">
        <f t="shared" si="146"/>
        <v>0</v>
      </c>
      <c r="T301" s="106">
        <f t="shared" si="146"/>
        <v>0</v>
      </c>
      <c r="U301" s="106">
        <f t="shared" si="146"/>
        <v>0</v>
      </c>
      <c r="V301" s="106">
        <f t="shared" si="146"/>
        <v>0</v>
      </c>
      <c r="W301" s="106">
        <f t="shared" si="146"/>
        <v>0</v>
      </c>
      <c r="X301" s="106">
        <f t="shared" si="146"/>
        <v>0</v>
      </c>
      <c r="Y301" s="106">
        <f t="shared" si="146"/>
        <v>0</v>
      </c>
      <c r="Z301" s="106">
        <f t="shared" si="146"/>
        <v>0</v>
      </c>
      <c r="AA301" s="106">
        <f t="shared" si="146"/>
        <v>0</v>
      </c>
    </row>
    <row r="302" spans="4:28" hidden="1" x14ac:dyDescent="0.25">
      <c r="E302" s="47" t="s">
        <v>645</v>
      </c>
      <c r="F302" s="47" t="s">
        <v>639</v>
      </c>
      <c r="G302" s="106">
        <f t="shared" si="146"/>
        <v>0</v>
      </c>
      <c r="H302" s="106">
        <f t="shared" si="146"/>
        <v>0</v>
      </c>
      <c r="I302" s="106">
        <f t="shared" si="146"/>
        <v>0</v>
      </c>
      <c r="J302" s="106">
        <f t="shared" si="146"/>
        <v>0</v>
      </c>
      <c r="K302" s="106">
        <f t="shared" si="146"/>
        <v>0</v>
      </c>
      <c r="L302" s="106">
        <f t="shared" si="146"/>
        <v>0</v>
      </c>
      <c r="M302" s="106">
        <f t="shared" si="146"/>
        <v>0</v>
      </c>
      <c r="N302" s="106">
        <f t="shared" si="146"/>
        <v>0</v>
      </c>
      <c r="O302" s="106">
        <f t="shared" si="146"/>
        <v>0</v>
      </c>
      <c r="P302" s="106">
        <f t="shared" si="146"/>
        <v>0</v>
      </c>
      <c r="Q302" s="106">
        <f t="shared" si="146"/>
        <v>0</v>
      </c>
      <c r="R302" s="106">
        <f t="shared" si="146"/>
        <v>0</v>
      </c>
      <c r="S302" s="106">
        <f t="shared" si="146"/>
        <v>0</v>
      </c>
      <c r="T302" s="106">
        <f t="shared" si="146"/>
        <v>0</v>
      </c>
      <c r="U302" s="106">
        <f t="shared" si="146"/>
        <v>0</v>
      </c>
      <c r="V302" s="106">
        <f t="shared" si="146"/>
        <v>0</v>
      </c>
      <c r="W302" s="106">
        <f t="shared" si="146"/>
        <v>0</v>
      </c>
      <c r="X302" s="106">
        <f t="shared" si="146"/>
        <v>0</v>
      </c>
      <c r="Y302" s="106">
        <f t="shared" si="146"/>
        <v>0</v>
      </c>
      <c r="Z302" s="106">
        <f t="shared" si="146"/>
        <v>0</v>
      </c>
      <c r="AA302" s="106">
        <f t="shared" si="146"/>
        <v>0</v>
      </c>
    </row>
    <row r="303" spans="4:28" hidden="1" x14ac:dyDescent="0.25">
      <c r="E303" s="47" t="s">
        <v>723</v>
      </c>
      <c r="F303" s="47" t="s">
        <v>639</v>
      </c>
      <c r="G303" s="106">
        <f t="shared" si="146"/>
        <v>0</v>
      </c>
      <c r="H303" s="106">
        <f t="shared" si="146"/>
        <v>18421045.867623996</v>
      </c>
      <c r="I303" s="106">
        <f t="shared" si="146"/>
        <v>37859756.38162265</v>
      </c>
      <c r="J303" s="106">
        <f t="shared" si="146"/>
        <v>53939757.599666893</v>
      </c>
      <c r="K303" s="106">
        <f t="shared" si="146"/>
        <v>70148874.064151764</v>
      </c>
      <c r="L303" s="106">
        <f t="shared" si="146"/>
        <v>85352978.70745568</v>
      </c>
      <c r="M303" s="106">
        <f t="shared" si="146"/>
        <v>100464187.39598957</v>
      </c>
      <c r="N303" s="106">
        <f t="shared" si="146"/>
        <v>116185625.83560775</v>
      </c>
      <c r="O303" s="106">
        <f t="shared" si="146"/>
        <v>131753286.99678124</v>
      </c>
      <c r="P303" s="106">
        <f t="shared" si="146"/>
        <v>147488122.01223531</v>
      </c>
      <c r="Q303" s="106">
        <f t="shared" si="146"/>
        <v>147273901.50236818</v>
      </c>
      <c r="R303" s="106">
        <f t="shared" si="146"/>
        <v>161668406.18924841</v>
      </c>
      <c r="S303" s="106">
        <f t="shared" si="146"/>
        <v>176223997.87700218</v>
      </c>
      <c r="T303" s="106">
        <f t="shared" si="146"/>
        <v>190883752.42088783</v>
      </c>
      <c r="U303" s="106">
        <f t="shared" si="146"/>
        <v>205599622.15226832</v>
      </c>
      <c r="V303" s="106">
        <f t="shared" si="146"/>
        <v>200727726.10459125</v>
      </c>
      <c r="W303" s="106">
        <f t="shared" si="146"/>
        <v>214119242.91104704</v>
      </c>
      <c r="X303" s="106">
        <f t="shared" si="146"/>
        <v>227110062.13946748</v>
      </c>
      <c r="Y303" s="106">
        <f t="shared" si="146"/>
        <v>240372907.11903542</v>
      </c>
      <c r="Z303" s="106">
        <f t="shared" si="146"/>
        <v>253598332.49543279</v>
      </c>
      <c r="AA303" s="106">
        <f t="shared" si="146"/>
        <v>267801830.59767011</v>
      </c>
      <c r="AB303" s="106">
        <f t="shared" ref="AB303:AB307" si="147">IF(V303=0,0,IF($G$15&gt;(AA303/V303)^(1/5)-1+2%,AA303*(AA303/V303)^(1/5)/($G$15-((AA303/V303)^(1/5)-1)),AA303*(1+$G$14)/$G$16))</f>
        <v>11112109153.43029</v>
      </c>
    </row>
    <row r="304" spans="4:28" hidden="1" x14ac:dyDescent="0.25">
      <c r="E304" s="47" t="s">
        <v>701</v>
      </c>
      <c r="F304" s="47" t="s">
        <v>639</v>
      </c>
      <c r="G304" s="106">
        <f t="shared" si="146"/>
        <v>0</v>
      </c>
      <c r="H304" s="106">
        <f t="shared" si="146"/>
        <v>-8395038.2370488588</v>
      </c>
      <c r="I304" s="106">
        <f t="shared" si="146"/>
        <v>-16840846.526050821</v>
      </c>
      <c r="J304" s="106">
        <f t="shared" si="146"/>
        <v>-23631869.782563616</v>
      </c>
      <c r="K304" s="106">
        <f t="shared" si="146"/>
        <v>-30191965.594352789</v>
      </c>
      <c r="L304" s="106">
        <f t="shared" si="146"/>
        <v>-36403535.3041372</v>
      </c>
      <c r="M304" s="106">
        <f t="shared" si="146"/>
        <v>-42198481.736112885</v>
      </c>
      <c r="N304" s="106">
        <f t="shared" si="146"/>
        <v>-47833994.247587591</v>
      </c>
      <c r="O304" s="106">
        <f t="shared" si="146"/>
        <v>-53344151.676199988</v>
      </c>
      <c r="P304" s="106">
        <f t="shared" si="146"/>
        <v>-58753146.00079757</v>
      </c>
      <c r="Q304" s="106">
        <f t="shared" si="146"/>
        <v>-64025379.717375249</v>
      </c>
      <c r="R304" s="106">
        <f t="shared" si="146"/>
        <v>-69272097.962493151</v>
      </c>
      <c r="S304" s="106">
        <f t="shared" si="146"/>
        <v>-74422737.897231966</v>
      </c>
      <c r="T304" s="106">
        <f t="shared" si="146"/>
        <v>-79476901.808194727</v>
      </c>
      <c r="U304" s="106">
        <f t="shared" si="146"/>
        <v>-84397404.101096764</v>
      </c>
      <c r="V304" s="106">
        <f t="shared" si="146"/>
        <v>-89193540.337654173</v>
      </c>
      <c r="W304" s="106">
        <f t="shared" si="146"/>
        <v>-93845264.231528908</v>
      </c>
      <c r="X304" s="106">
        <f t="shared" si="146"/>
        <v>-98271010.179881409</v>
      </c>
      <c r="Y304" s="106">
        <f t="shared" si="146"/>
        <v>-102599592.0822801</v>
      </c>
      <c r="Z304" s="106">
        <f t="shared" si="146"/>
        <v>-106805426.34638759</v>
      </c>
      <c r="AA304" s="106">
        <f t="shared" si="146"/>
        <v>-111019542.1580568</v>
      </c>
      <c r="AB304" s="106">
        <f t="shared" si="147"/>
        <v>-4606620006.5583715</v>
      </c>
    </row>
    <row r="305" spans="1:28" hidden="1" x14ac:dyDescent="0.25">
      <c r="E305" s="47" t="s">
        <v>702</v>
      </c>
      <c r="F305" s="47" t="s">
        <v>639</v>
      </c>
      <c r="G305" s="106">
        <f t="shared" si="146"/>
        <v>0</v>
      </c>
      <c r="H305" s="106">
        <f t="shared" si="146"/>
        <v>-4321392.3303855732</v>
      </c>
      <c r="I305" s="106">
        <f t="shared" si="146"/>
        <v>-8613030.7532741763</v>
      </c>
      <c r="J305" s="106">
        <f t="shared" si="146"/>
        <v>-12126154.478932364</v>
      </c>
      <c r="K305" s="106">
        <f t="shared" si="146"/>
        <v>-15609140.874721644</v>
      </c>
      <c r="L305" s="106">
        <f t="shared" si="146"/>
        <v>-18982427.855161946</v>
      </c>
      <c r="M305" s="106">
        <f t="shared" si="146"/>
        <v>-22201215.403725069</v>
      </c>
      <c r="N305" s="106">
        <f t="shared" si="146"/>
        <v>-25306575.859253231</v>
      </c>
      <c r="O305" s="106">
        <f t="shared" si="146"/>
        <v>-28378582.965526987</v>
      </c>
      <c r="P305" s="106">
        <f t="shared" si="146"/>
        <v>-31415636.48935917</v>
      </c>
      <c r="Q305" s="106">
        <f t="shared" si="146"/>
        <v>-34926447.982638516</v>
      </c>
      <c r="R305" s="106">
        <f t="shared" si="146"/>
        <v>-38515390.807018481</v>
      </c>
      <c r="S305" s="106">
        <f t="shared" si="146"/>
        <v>-42163544.369891658</v>
      </c>
      <c r="T305" s="106">
        <f t="shared" si="146"/>
        <v>-45865220.776312701</v>
      </c>
      <c r="U305" s="106">
        <f t="shared" si="146"/>
        <v>-49599817.718219586</v>
      </c>
      <c r="V305" s="106">
        <f t="shared" si="146"/>
        <v>-53363839.253848992</v>
      </c>
      <c r="W305" s="106">
        <f t="shared" si="146"/>
        <v>-57137653.741137639</v>
      </c>
      <c r="X305" s="106">
        <f t="shared" si="146"/>
        <v>-60934548.791869618</v>
      </c>
      <c r="Y305" s="106">
        <f t="shared" si="146"/>
        <v>-64710831.227273569</v>
      </c>
      <c r="Z305" s="106">
        <f t="shared" si="146"/>
        <v>-68491733.841882214</v>
      </c>
      <c r="AA305" s="106">
        <f t="shared" si="146"/>
        <v>-72301579.380325079</v>
      </c>
      <c r="AB305" s="106">
        <f t="shared" si="147"/>
        <v>-3000065534.4533215</v>
      </c>
    </row>
    <row r="306" spans="1:28" hidden="1" x14ac:dyDescent="0.25">
      <c r="E306" s="47" t="s">
        <v>709</v>
      </c>
      <c r="F306" s="47" t="s">
        <v>639</v>
      </c>
      <c r="G306" s="106">
        <f t="shared" si="146"/>
        <v>0</v>
      </c>
      <c r="H306" s="106">
        <f t="shared" si="146"/>
        <v>0</v>
      </c>
      <c r="I306" s="106">
        <f t="shared" si="146"/>
        <v>0</v>
      </c>
      <c r="J306" s="106">
        <f t="shared" si="146"/>
        <v>0</v>
      </c>
      <c r="K306" s="106">
        <f t="shared" si="146"/>
        <v>0</v>
      </c>
      <c r="L306" s="106">
        <f t="shared" si="146"/>
        <v>0</v>
      </c>
      <c r="M306" s="106">
        <f t="shared" si="146"/>
        <v>0</v>
      </c>
      <c r="N306" s="106">
        <f t="shared" si="146"/>
        <v>0</v>
      </c>
      <c r="O306" s="106">
        <f t="shared" si="146"/>
        <v>0</v>
      </c>
      <c r="P306" s="106">
        <f t="shared" si="146"/>
        <v>0</v>
      </c>
      <c r="Q306" s="106">
        <f t="shared" si="146"/>
        <v>0</v>
      </c>
      <c r="R306" s="106">
        <f t="shared" si="146"/>
        <v>0</v>
      </c>
      <c r="S306" s="106">
        <f t="shared" si="146"/>
        <v>0</v>
      </c>
      <c r="T306" s="106">
        <f t="shared" si="146"/>
        <v>0</v>
      </c>
      <c r="U306" s="106">
        <f t="shared" si="146"/>
        <v>0</v>
      </c>
      <c r="V306" s="106">
        <f t="shared" si="146"/>
        <v>0</v>
      </c>
      <c r="W306" s="106">
        <f t="shared" si="146"/>
        <v>0</v>
      </c>
      <c r="X306" s="106">
        <f t="shared" si="146"/>
        <v>0</v>
      </c>
      <c r="Y306" s="106">
        <f t="shared" si="146"/>
        <v>0</v>
      </c>
      <c r="Z306" s="106">
        <f t="shared" si="146"/>
        <v>0</v>
      </c>
      <c r="AA306" s="106">
        <f t="shared" si="146"/>
        <v>0</v>
      </c>
      <c r="AB306" s="106">
        <f t="shared" si="147"/>
        <v>0</v>
      </c>
    </row>
    <row r="307" spans="1:28" hidden="1" x14ac:dyDescent="0.25">
      <c r="E307" s="47" t="s">
        <v>714</v>
      </c>
      <c r="F307" s="47" t="s">
        <v>639</v>
      </c>
      <c r="G307" s="106">
        <f t="shared" si="146"/>
        <v>0</v>
      </c>
      <c r="H307" s="106">
        <f t="shared" si="146"/>
        <v>0</v>
      </c>
      <c r="I307" s="106">
        <f t="shared" si="146"/>
        <v>0</v>
      </c>
      <c r="J307" s="106">
        <f t="shared" si="146"/>
        <v>0</v>
      </c>
      <c r="K307" s="106">
        <f t="shared" si="146"/>
        <v>0</v>
      </c>
      <c r="L307" s="106">
        <f t="shared" si="146"/>
        <v>0</v>
      </c>
      <c r="M307" s="106">
        <f t="shared" si="146"/>
        <v>0</v>
      </c>
      <c r="N307" s="106">
        <f t="shared" si="146"/>
        <v>0</v>
      </c>
      <c r="O307" s="106">
        <f t="shared" si="146"/>
        <v>0</v>
      </c>
      <c r="P307" s="106">
        <f t="shared" si="146"/>
        <v>0</v>
      </c>
      <c r="Q307" s="106">
        <f t="shared" si="146"/>
        <v>0</v>
      </c>
      <c r="R307" s="106">
        <f t="shared" si="146"/>
        <v>0</v>
      </c>
      <c r="S307" s="106">
        <f t="shared" si="146"/>
        <v>0</v>
      </c>
      <c r="T307" s="106">
        <f t="shared" si="146"/>
        <v>0</v>
      </c>
      <c r="U307" s="106">
        <f t="shared" si="146"/>
        <v>0</v>
      </c>
      <c r="V307" s="106">
        <f t="shared" si="146"/>
        <v>0</v>
      </c>
      <c r="W307" s="106">
        <f t="shared" si="146"/>
        <v>0</v>
      </c>
      <c r="X307" s="106">
        <f t="shared" si="146"/>
        <v>0</v>
      </c>
      <c r="Y307" s="106">
        <f t="shared" si="146"/>
        <v>0</v>
      </c>
      <c r="Z307" s="106">
        <f t="shared" si="146"/>
        <v>0</v>
      </c>
      <c r="AA307" s="106">
        <f t="shared" si="146"/>
        <v>0</v>
      </c>
      <c r="AB307" s="106">
        <f t="shared" si="147"/>
        <v>0</v>
      </c>
    </row>
    <row r="308" spans="1:28" hidden="1" x14ac:dyDescent="0.25">
      <c r="E308" s="47" t="s">
        <v>458</v>
      </c>
      <c r="F308" s="47" t="s">
        <v>639</v>
      </c>
      <c r="G308" s="106" t="e">
        <f t="shared" ref="G308:AA308" si="148">G297</f>
        <v>#VALUE!</v>
      </c>
      <c r="H308" s="106" t="e">
        <f t="shared" si="148"/>
        <v>#VALUE!</v>
      </c>
      <c r="I308" s="106" t="e">
        <f t="shared" si="148"/>
        <v>#VALUE!</v>
      </c>
      <c r="J308" s="106" t="e">
        <f t="shared" si="148"/>
        <v>#VALUE!</v>
      </c>
      <c r="K308" s="106" t="e">
        <f t="shared" si="148"/>
        <v>#VALUE!</v>
      </c>
      <c r="L308" s="106" t="e">
        <f t="shared" si="148"/>
        <v>#VALUE!</v>
      </c>
      <c r="M308" s="106" t="e">
        <f t="shared" si="148"/>
        <v>#VALUE!</v>
      </c>
      <c r="N308" s="106" t="e">
        <f t="shared" si="148"/>
        <v>#VALUE!</v>
      </c>
      <c r="O308" s="106" t="e">
        <f t="shared" si="148"/>
        <v>#VALUE!</v>
      </c>
      <c r="P308" s="106" t="e">
        <f t="shared" si="148"/>
        <v>#VALUE!</v>
      </c>
      <c r="Q308" s="106" t="e">
        <f t="shared" si="148"/>
        <v>#VALUE!</v>
      </c>
      <c r="R308" s="106" t="e">
        <f t="shared" si="148"/>
        <v>#VALUE!</v>
      </c>
      <c r="S308" s="106" t="e">
        <f t="shared" si="148"/>
        <v>#VALUE!</v>
      </c>
      <c r="T308" s="106" t="e">
        <f t="shared" si="148"/>
        <v>#VALUE!</v>
      </c>
      <c r="U308" s="106" t="e">
        <f t="shared" si="148"/>
        <v>#VALUE!</v>
      </c>
      <c r="V308" s="106" t="e">
        <f t="shared" si="148"/>
        <v>#VALUE!</v>
      </c>
      <c r="W308" s="106" t="e">
        <f t="shared" si="148"/>
        <v>#VALUE!</v>
      </c>
      <c r="X308" s="106" t="e">
        <f t="shared" si="148"/>
        <v>#VALUE!</v>
      </c>
      <c r="Y308" s="106" t="e">
        <f t="shared" si="148"/>
        <v>#VALUE!</v>
      </c>
      <c r="Z308" s="106" t="e">
        <f t="shared" si="148"/>
        <v>#VALUE!</v>
      </c>
      <c r="AA308" s="106" t="e">
        <f t="shared" si="148"/>
        <v>#VALUE!</v>
      </c>
      <c r="AB308" s="106" t="e">
        <f>IF(V308=0,0,IF($G$15&gt;(AA308/V308)^(1/5)-1+2%,AA308*(AA308/V308)^(1/5)/($G$15-((AA308/V308)^(1/5)-1)),AA308*(1+$G$14)/$G$16))</f>
        <v>#VALUE!</v>
      </c>
    </row>
    <row r="309" spans="1:28" hidden="1" x14ac:dyDescent="0.25">
      <c r="E309" s="47" t="s">
        <v>730</v>
      </c>
      <c r="F309" s="47" t="s">
        <v>639</v>
      </c>
      <c r="G309" s="106" t="e">
        <f>-$G$17*G308</f>
        <v>#VALUE!</v>
      </c>
      <c r="H309" s="106" t="e">
        <f t="shared" ref="H309:AA309" si="149">-$G$17*H308</f>
        <v>#VALUE!</v>
      </c>
      <c r="I309" s="106" t="e">
        <f t="shared" si="149"/>
        <v>#VALUE!</v>
      </c>
      <c r="J309" s="106" t="e">
        <f t="shared" si="149"/>
        <v>#VALUE!</v>
      </c>
      <c r="K309" s="106" t="e">
        <f t="shared" si="149"/>
        <v>#VALUE!</v>
      </c>
      <c r="L309" s="106" t="e">
        <f t="shared" si="149"/>
        <v>#VALUE!</v>
      </c>
      <c r="M309" s="106" t="e">
        <f t="shared" si="149"/>
        <v>#VALUE!</v>
      </c>
      <c r="N309" s="106" t="e">
        <f t="shared" si="149"/>
        <v>#VALUE!</v>
      </c>
      <c r="O309" s="106" t="e">
        <f t="shared" si="149"/>
        <v>#VALUE!</v>
      </c>
      <c r="P309" s="106" t="e">
        <f t="shared" si="149"/>
        <v>#VALUE!</v>
      </c>
      <c r="Q309" s="106" t="e">
        <f t="shared" si="149"/>
        <v>#VALUE!</v>
      </c>
      <c r="R309" s="106" t="e">
        <f t="shared" si="149"/>
        <v>#VALUE!</v>
      </c>
      <c r="S309" s="106" t="e">
        <f t="shared" si="149"/>
        <v>#VALUE!</v>
      </c>
      <c r="T309" s="106" t="e">
        <f t="shared" si="149"/>
        <v>#VALUE!</v>
      </c>
      <c r="U309" s="106" t="e">
        <f t="shared" si="149"/>
        <v>#VALUE!</v>
      </c>
      <c r="V309" s="106" t="e">
        <f t="shared" si="149"/>
        <v>#VALUE!</v>
      </c>
      <c r="W309" s="106" t="e">
        <f t="shared" si="149"/>
        <v>#VALUE!</v>
      </c>
      <c r="X309" s="106" t="e">
        <f t="shared" si="149"/>
        <v>#VALUE!</v>
      </c>
      <c r="Y309" s="106" t="e">
        <f t="shared" si="149"/>
        <v>#VALUE!</v>
      </c>
      <c r="Z309" s="106" t="e">
        <f t="shared" si="149"/>
        <v>#VALUE!</v>
      </c>
      <c r="AA309" s="106" t="e">
        <f t="shared" si="149"/>
        <v>#VALUE!</v>
      </c>
      <c r="AB309" s="106" t="e">
        <f t="shared" ref="AB309" si="150">IF(V309=0,0,IF($G$15&gt;(AA309/V309)^(1/5)-1+2%,AA309*(AA309/V309)^(1/5)/($G$15-((AA309/V309)^(1/5)-1)),AA309*(1+$G$14)/$G$16))</f>
        <v>#VALUE!</v>
      </c>
    </row>
    <row r="310" spans="1:28" hidden="1" x14ac:dyDescent="0.25">
      <c r="E310" s="47" t="s">
        <v>731</v>
      </c>
      <c r="F310" s="47" t="s">
        <v>639</v>
      </c>
      <c r="G310" s="106" t="e">
        <f t="shared" ref="G310:AA310" si="151">SUM(G300:G309)</f>
        <v>#VALUE!</v>
      </c>
      <c r="H310" s="106" t="e">
        <f t="shared" si="151"/>
        <v>#VALUE!</v>
      </c>
      <c r="I310" s="106" t="e">
        <f t="shared" si="151"/>
        <v>#VALUE!</v>
      </c>
      <c r="J310" s="106" t="e">
        <f t="shared" si="151"/>
        <v>#VALUE!</v>
      </c>
      <c r="K310" s="106" t="e">
        <f t="shared" si="151"/>
        <v>#VALUE!</v>
      </c>
      <c r="L310" s="106" t="e">
        <f t="shared" si="151"/>
        <v>#VALUE!</v>
      </c>
      <c r="M310" s="106" t="e">
        <f t="shared" si="151"/>
        <v>#VALUE!</v>
      </c>
      <c r="N310" s="106" t="e">
        <f t="shared" si="151"/>
        <v>#VALUE!</v>
      </c>
      <c r="O310" s="106" t="e">
        <f t="shared" si="151"/>
        <v>#VALUE!</v>
      </c>
      <c r="P310" s="106" t="e">
        <f t="shared" si="151"/>
        <v>#VALUE!</v>
      </c>
      <c r="Q310" s="106" t="e">
        <f t="shared" si="151"/>
        <v>#VALUE!</v>
      </c>
      <c r="R310" s="106" t="e">
        <f t="shared" si="151"/>
        <v>#VALUE!</v>
      </c>
      <c r="S310" s="106" t="e">
        <f t="shared" si="151"/>
        <v>#VALUE!</v>
      </c>
      <c r="T310" s="106" t="e">
        <f t="shared" si="151"/>
        <v>#VALUE!</v>
      </c>
      <c r="U310" s="106" t="e">
        <f t="shared" si="151"/>
        <v>#VALUE!</v>
      </c>
      <c r="V310" s="106" t="e">
        <f t="shared" si="151"/>
        <v>#VALUE!</v>
      </c>
      <c r="W310" s="106" t="e">
        <f t="shared" si="151"/>
        <v>#VALUE!</v>
      </c>
      <c r="X310" s="106" t="e">
        <f t="shared" si="151"/>
        <v>#VALUE!</v>
      </c>
      <c r="Y310" s="106" t="e">
        <f t="shared" si="151"/>
        <v>#VALUE!</v>
      </c>
      <c r="Z310" s="106" t="e">
        <f t="shared" si="151"/>
        <v>#VALUE!</v>
      </c>
      <c r="AA310" s="106" t="e">
        <f t="shared" si="151"/>
        <v>#VALUE!</v>
      </c>
      <c r="AB310" s="106" t="e">
        <f>SUM(AB300:AB309)*IF(DASH!#REF!="yes",1,0)</f>
        <v>#VALUE!</v>
      </c>
    </row>
    <row r="311" spans="1:28" hidden="1" x14ac:dyDescent="0.25">
      <c r="E311" s="47" t="s">
        <v>732</v>
      </c>
      <c r="F311" s="47" t="s">
        <v>639</v>
      </c>
      <c r="G311" s="106" t="e">
        <f>NPV($G$15,H310:AQ310)+G310</f>
        <v>#VALUE!</v>
      </c>
    </row>
    <row r="312" spans="1:28" hidden="1" x14ac:dyDescent="0.25"/>
    <row r="313" spans="1:28" hidden="1" x14ac:dyDescent="0.25">
      <c r="E313" s="47" t="s">
        <v>725</v>
      </c>
      <c r="F313" s="47" t="s">
        <v>639</v>
      </c>
      <c r="G313" s="106" t="e">
        <f t="shared" ref="G313:AA313" si="152">G285</f>
        <v>#VALUE!</v>
      </c>
      <c r="H313" s="106" t="e">
        <f t="shared" si="152"/>
        <v>#VALUE!</v>
      </c>
      <c r="I313" s="106" t="e">
        <f t="shared" si="152"/>
        <v>#VALUE!</v>
      </c>
      <c r="J313" s="106" t="e">
        <f t="shared" si="152"/>
        <v>#VALUE!</v>
      </c>
      <c r="K313" s="106" t="e">
        <f t="shared" si="152"/>
        <v>#VALUE!</v>
      </c>
      <c r="L313" s="106" t="e">
        <f t="shared" si="152"/>
        <v>#VALUE!</v>
      </c>
      <c r="M313" s="106" t="e">
        <f t="shared" si="152"/>
        <v>#VALUE!</v>
      </c>
      <c r="N313" s="106" t="e">
        <f t="shared" si="152"/>
        <v>#VALUE!</v>
      </c>
      <c r="O313" s="106" t="e">
        <f t="shared" si="152"/>
        <v>#VALUE!</v>
      </c>
      <c r="P313" s="106" t="e">
        <f t="shared" si="152"/>
        <v>#VALUE!</v>
      </c>
      <c r="Q313" s="106" t="e">
        <f t="shared" si="152"/>
        <v>#VALUE!</v>
      </c>
      <c r="R313" s="106" t="e">
        <f t="shared" si="152"/>
        <v>#VALUE!</v>
      </c>
      <c r="S313" s="106" t="e">
        <f t="shared" si="152"/>
        <v>#VALUE!</v>
      </c>
      <c r="T313" s="106" t="e">
        <f t="shared" si="152"/>
        <v>#VALUE!</v>
      </c>
      <c r="U313" s="106" t="e">
        <f t="shared" si="152"/>
        <v>#VALUE!</v>
      </c>
      <c r="V313" s="106" t="e">
        <f t="shared" si="152"/>
        <v>#VALUE!</v>
      </c>
      <c r="W313" s="106" t="e">
        <f t="shared" si="152"/>
        <v>#VALUE!</v>
      </c>
      <c r="X313" s="106" t="e">
        <f t="shared" si="152"/>
        <v>#VALUE!</v>
      </c>
      <c r="Y313" s="106" t="e">
        <f t="shared" si="152"/>
        <v>#VALUE!</v>
      </c>
      <c r="Z313" s="106" t="e">
        <f t="shared" si="152"/>
        <v>#VALUE!</v>
      </c>
      <c r="AA313" s="106" t="e">
        <f t="shared" si="152"/>
        <v>#VALUE!</v>
      </c>
    </row>
    <row r="314" spans="1:28" hidden="1" x14ac:dyDescent="0.25">
      <c r="E314" s="47" t="s">
        <v>733</v>
      </c>
      <c r="F314" s="47" t="s">
        <v>639</v>
      </c>
      <c r="G314" s="106" t="e">
        <f>NPV($G$15,H313:AP313)+G313</f>
        <v>#VALUE!</v>
      </c>
    </row>
    <row r="315" spans="1:28" hidden="1" x14ac:dyDescent="0.25">
      <c r="E315" s="111" t="s">
        <v>734</v>
      </c>
      <c r="F315" s="111"/>
      <c r="G315" s="118" t="e">
        <f>IF(G311&gt;0,"N/A",IF(ABS(G311+G314)&gt;1,"Error","OK"))</f>
        <v>#VALUE!</v>
      </c>
    </row>
    <row r="316" spans="1:28" hidden="1" x14ac:dyDescent="0.25"/>
    <row r="317" spans="1:28" hidden="1" x14ac:dyDescent="0.25"/>
    <row r="318" spans="1:28" x14ac:dyDescent="0.25">
      <c r="C318" s="100" t="s">
        <v>740</v>
      </c>
    </row>
    <row r="319" spans="1:28" x14ac:dyDescent="0.25">
      <c r="E319" s="47" t="s">
        <v>741</v>
      </c>
      <c r="F319" s="47" t="s">
        <v>742</v>
      </c>
    </row>
    <row r="320" spans="1:28" x14ac:dyDescent="0.25">
      <c r="A320" s="101">
        <v>55</v>
      </c>
      <c r="E320" s="119" t="s">
        <v>301</v>
      </c>
      <c r="F320" s="119" t="s">
        <v>743</v>
      </c>
    </row>
    <row r="321" spans="5:6" x14ac:dyDescent="0.25">
      <c r="E321" s="119" t="s">
        <v>303</v>
      </c>
      <c r="F321" s="119" t="s">
        <v>744</v>
      </c>
    </row>
    <row r="322" spans="5:6" x14ac:dyDescent="0.25">
      <c r="E322" s="119" t="s">
        <v>310</v>
      </c>
      <c r="F322" s="119" t="s">
        <v>745</v>
      </c>
    </row>
    <row r="323" spans="5:6" x14ac:dyDescent="0.25">
      <c r="E323" s="119" t="s">
        <v>305</v>
      </c>
      <c r="F323" s="119" t="s">
        <v>746</v>
      </c>
    </row>
  </sheetData>
  <mergeCells count="1">
    <mergeCell ref="G4:H4"/>
  </mergeCells>
  <dataValidations count="1">
    <dataValidation type="list" showInputMessage="1" showErrorMessage="1" sqref="G4:H4" xr:uid="{F23526F7-A016-4410-B24F-20E213C5153A}">
      <formula1>$E$320:$E$323</formula1>
    </dataValidation>
  </dataValidations>
  <pageMargins left="0.75" right="0.75" top="1" bottom="1" header="0.5" footer="0.5"/>
  <pageSetup paperSize="9" orientation="portrait" horizontalDpi="4294967292" verticalDpi="4294967292"/>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231D6-29BE-48DD-A145-D48893C315A2}">
  <sheetPr codeName="Sheet42">
    <tabColor rgb="FF8EA9DB"/>
  </sheetPr>
  <dimension ref="A1:AN323"/>
  <sheetViews>
    <sheetView zoomScale="70" zoomScaleNormal="70" workbookViewId="0">
      <pane xSplit="5" ySplit="2" topLeftCell="F182" activePane="bottomRight" state="frozenSplit"/>
      <selection pane="topRight" activeCell="G37" sqref="G37:AA37"/>
      <selection pane="bottomLeft" activeCell="G37" sqref="G37:AA37"/>
      <selection pane="bottomRight" activeCell="G218" sqref="G218"/>
    </sheetView>
  </sheetViews>
  <sheetFormatPr defaultColWidth="14" defaultRowHeight="15.75" x14ac:dyDescent="0.25"/>
  <cols>
    <col min="1" max="1" width="12.83203125" style="101" customWidth="1"/>
    <col min="2" max="2" width="3.83203125" style="47" customWidth="1"/>
    <col min="3" max="3" width="4.33203125" style="47" customWidth="1"/>
    <col min="4" max="4" width="3.6640625" style="47" customWidth="1"/>
    <col min="5" max="5" width="46.5" style="47" bestFit="1" customWidth="1"/>
    <col min="6" max="6" width="22.33203125" style="47" customWidth="1"/>
    <col min="7" max="7" width="16.5" style="47" customWidth="1"/>
    <col min="8" max="27" width="14" style="47"/>
    <col min="28" max="28" width="14.1640625" style="47" customWidth="1"/>
    <col min="29" max="16384" width="14" style="47"/>
  </cols>
  <sheetData>
    <row r="1" spans="1:27" ht="28.5" x14ac:dyDescent="0.45">
      <c r="A1" s="95" t="str" cm="1">
        <f t="array" ref="A1">RIGHT(CELL("filename",A1),LEN(CELL("filename",A1))-SEARCH("]",CELL("filename",A1)))</f>
        <v>GW</v>
      </c>
      <c r="E1" s="96" t="str">
        <f>INDEX(TariffName,MATCH(A1,TariffCode,0))</f>
        <v>Western Greenfield - Water</v>
      </c>
      <c r="F1" s="97">
        <f>G218</f>
        <v>6371.6368966240443</v>
      </c>
      <c r="G1" s="98" t="str">
        <f>'INPUT Opex'!AC7</f>
        <v>2023-24</v>
      </c>
      <c r="H1" s="98" t="str">
        <f>'INPUT Opex'!AD7</f>
        <v>2024-25</v>
      </c>
      <c r="I1" s="98" t="str">
        <f>'INPUT Opex'!AE7</f>
        <v>2025-26</v>
      </c>
      <c r="J1" s="98" t="str">
        <f>'INPUT Opex'!AF7</f>
        <v>2026-27</v>
      </c>
      <c r="K1" s="98" t="str">
        <f>'INPUT Opex'!AG7</f>
        <v>2027-28</v>
      </c>
      <c r="L1" s="98" t="str">
        <f>'INPUT Opex'!AH7</f>
        <v>2028-29</v>
      </c>
      <c r="M1" s="98" t="str">
        <f>'INPUT Opex'!AI7</f>
        <v>2029-30</v>
      </c>
      <c r="N1" s="98" t="str">
        <f>'INPUT Opex'!AJ7</f>
        <v>2030-31</v>
      </c>
      <c r="O1" s="98" t="str">
        <f>'INPUT Opex'!AK7</f>
        <v>2031-32</v>
      </c>
      <c r="P1" s="98" t="str">
        <f>'INPUT Opex'!AL7</f>
        <v>2032-33</v>
      </c>
      <c r="Q1" s="98" t="str">
        <f>'INPUT Opex'!AM7</f>
        <v>2033-34</v>
      </c>
      <c r="R1" s="98" t="str">
        <f>'INPUT Opex'!AN7</f>
        <v>2034-35</v>
      </c>
      <c r="S1" s="98" t="str">
        <f>'INPUT Opex'!AO7</f>
        <v>2035-36</v>
      </c>
      <c r="T1" s="98" t="str">
        <f>'INPUT Opex'!AP7</f>
        <v>2036-37</v>
      </c>
      <c r="U1" s="98" t="str">
        <f>'INPUT Opex'!AQ7</f>
        <v>2037-38</v>
      </c>
      <c r="V1" s="98" t="str">
        <f>'INPUT Opex'!AR7</f>
        <v>2038-39</v>
      </c>
      <c r="W1" s="98" t="str">
        <f>'INPUT Opex'!AS7</f>
        <v>2039-40</v>
      </c>
      <c r="X1" s="98" t="str">
        <f>'INPUT Opex'!AT7</f>
        <v>2040-41</v>
      </c>
      <c r="Y1" s="98" t="str">
        <f>'INPUT Opex'!AU7</f>
        <v>2041-42</v>
      </c>
      <c r="Z1" s="98" t="str">
        <f>'INPUT Opex'!AV7</f>
        <v>2042-43</v>
      </c>
      <c r="AA1" s="98" t="str">
        <f>'INPUT Opex'!AW7</f>
        <v>2043-44</v>
      </c>
    </row>
    <row r="2" spans="1:27" x14ac:dyDescent="0.25">
      <c r="A2" s="99"/>
      <c r="C2" s="100" t="s">
        <v>625</v>
      </c>
      <c r="D2" s="100"/>
      <c r="F2" s="97"/>
      <c r="G2" s="47">
        <v>0</v>
      </c>
      <c r="H2" s="47">
        <v>1</v>
      </c>
      <c r="I2" s="47">
        <v>2</v>
      </c>
      <c r="J2" s="47">
        <v>3</v>
      </c>
      <c r="K2" s="47">
        <v>4</v>
      </c>
      <c r="L2" s="47">
        <v>5</v>
      </c>
      <c r="M2" s="47">
        <v>6</v>
      </c>
      <c r="N2" s="47">
        <v>7</v>
      </c>
      <c r="O2" s="47">
        <v>8</v>
      </c>
      <c r="P2" s="47">
        <v>9</v>
      </c>
      <c r="Q2" s="47">
        <v>10</v>
      </c>
      <c r="R2" s="47">
        <v>11</v>
      </c>
      <c r="S2" s="47">
        <v>12</v>
      </c>
      <c r="T2" s="47">
        <v>13</v>
      </c>
      <c r="U2" s="47">
        <v>14</v>
      </c>
      <c r="V2" s="47">
        <v>15</v>
      </c>
      <c r="W2" s="47">
        <v>16</v>
      </c>
      <c r="X2" s="47">
        <v>17</v>
      </c>
      <c r="Y2" s="47">
        <v>18</v>
      </c>
      <c r="Z2" s="47">
        <v>19</v>
      </c>
      <c r="AA2" s="47">
        <v>20</v>
      </c>
    </row>
    <row r="4" spans="1:27" x14ac:dyDescent="0.25">
      <c r="A4" s="101">
        <v>1</v>
      </c>
      <c r="C4" s="100" t="s">
        <v>626</v>
      </c>
      <c r="F4" s="47" t="s">
        <v>627</v>
      </c>
      <c r="G4" s="310" t="str">
        <f>INDEX(TariffProduct,MATCH(A1,TariffCode,0))</f>
        <v>Water</v>
      </c>
      <c r="H4" s="310"/>
    </row>
    <row r="6" spans="1:27" x14ac:dyDescent="0.25">
      <c r="C6" s="100" t="s">
        <v>628</v>
      </c>
    </row>
    <row r="7" spans="1:27" x14ac:dyDescent="0.25">
      <c r="A7" s="101">
        <v>2</v>
      </c>
      <c r="E7" s="102" t="s">
        <v>616</v>
      </c>
      <c r="F7" s="47" t="s">
        <v>629</v>
      </c>
      <c r="G7" s="102">
        <f>Assumptions!H23</f>
        <v>90</v>
      </c>
    </row>
    <row r="8" spans="1:27" x14ac:dyDescent="0.25">
      <c r="A8" s="101">
        <v>3</v>
      </c>
      <c r="E8" s="102" t="s">
        <v>617</v>
      </c>
      <c r="F8" s="47" t="s">
        <v>629</v>
      </c>
      <c r="G8" s="102">
        <f>Assumptions!H24</f>
        <v>30</v>
      </c>
    </row>
    <row r="9" spans="1:27" x14ac:dyDescent="0.25">
      <c r="A9" s="101">
        <v>4</v>
      </c>
      <c r="E9" s="102" t="s">
        <v>144</v>
      </c>
      <c r="F9" s="47" t="s">
        <v>629</v>
      </c>
      <c r="G9" s="102">
        <f>Assumptions!H25</f>
        <v>80</v>
      </c>
    </row>
    <row r="10" spans="1:27" x14ac:dyDescent="0.25">
      <c r="A10" s="101">
        <v>5</v>
      </c>
      <c r="E10" s="47" t="s">
        <v>630</v>
      </c>
      <c r="F10" s="47" t="s">
        <v>629</v>
      </c>
      <c r="G10" s="102">
        <f>Assumptions!H26</f>
        <v>5</v>
      </c>
    </row>
    <row r="13" spans="1:27" x14ac:dyDescent="0.25">
      <c r="C13" s="100" t="s">
        <v>631</v>
      </c>
    </row>
    <row r="14" spans="1:27" x14ac:dyDescent="0.25">
      <c r="A14" s="101">
        <v>6</v>
      </c>
      <c r="E14" s="47" t="s">
        <v>632</v>
      </c>
      <c r="F14" s="47" t="s">
        <v>633</v>
      </c>
      <c r="G14" s="103">
        <f>Assumptions!H16</f>
        <v>0</v>
      </c>
    </row>
    <row r="15" spans="1:27" x14ac:dyDescent="0.25">
      <c r="A15" s="101">
        <v>7</v>
      </c>
      <c r="E15" s="47" t="s">
        <v>634</v>
      </c>
      <c r="F15" s="47" t="s">
        <v>633</v>
      </c>
      <c r="G15" s="103">
        <f>'INPUT Reg'!AD20</f>
        <v>2.41E-2</v>
      </c>
    </row>
    <row r="16" spans="1:27" x14ac:dyDescent="0.25">
      <c r="E16" s="47" t="s">
        <v>635</v>
      </c>
      <c r="F16" s="47" t="s">
        <v>633</v>
      </c>
      <c r="G16" s="104">
        <f>(1+G15)/(1+G14)-1</f>
        <v>2.410000000000001E-2</v>
      </c>
    </row>
    <row r="17" spans="1:27" x14ac:dyDescent="0.25">
      <c r="E17" s="47" t="s">
        <v>636</v>
      </c>
      <c r="F17" s="47" t="s">
        <v>633</v>
      </c>
      <c r="G17" s="105">
        <f>'INPUT Reg'!E22</f>
        <v>0.5</v>
      </c>
    </row>
    <row r="18" spans="1:27" x14ac:dyDescent="0.25">
      <c r="A18" s="101">
        <v>9</v>
      </c>
      <c r="E18" s="47" t="s">
        <v>637</v>
      </c>
      <c r="F18" s="47" t="s">
        <v>633</v>
      </c>
      <c r="G18" s="105">
        <f>'INPUT Reg'!E23</f>
        <v>0.3</v>
      </c>
      <c r="H18" s="105">
        <f>G18</f>
        <v>0.3</v>
      </c>
      <c r="I18" s="105">
        <f t="shared" ref="I18:AA18" si="0">H18</f>
        <v>0.3</v>
      </c>
      <c r="J18" s="105">
        <f t="shared" si="0"/>
        <v>0.3</v>
      </c>
      <c r="K18" s="105">
        <f t="shared" si="0"/>
        <v>0.3</v>
      </c>
      <c r="L18" s="105">
        <f t="shared" si="0"/>
        <v>0.3</v>
      </c>
      <c r="M18" s="105">
        <f t="shared" si="0"/>
        <v>0.3</v>
      </c>
      <c r="N18" s="105">
        <f t="shared" si="0"/>
        <v>0.3</v>
      </c>
      <c r="O18" s="105">
        <f t="shared" si="0"/>
        <v>0.3</v>
      </c>
      <c r="P18" s="105">
        <f t="shared" si="0"/>
        <v>0.3</v>
      </c>
      <c r="Q18" s="105">
        <f t="shared" si="0"/>
        <v>0.3</v>
      </c>
      <c r="R18" s="105">
        <f t="shared" si="0"/>
        <v>0.3</v>
      </c>
      <c r="S18" s="105">
        <f t="shared" si="0"/>
        <v>0.3</v>
      </c>
      <c r="T18" s="105">
        <f t="shared" si="0"/>
        <v>0.3</v>
      </c>
      <c r="U18" s="105">
        <f t="shared" si="0"/>
        <v>0.3</v>
      </c>
      <c r="V18" s="105">
        <f t="shared" si="0"/>
        <v>0.3</v>
      </c>
      <c r="W18" s="105">
        <f t="shared" si="0"/>
        <v>0.3</v>
      </c>
      <c r="X18" s="105">
        <f t="shared" si="0"/>
        <v>0.3</v>
      </c>
      <c r="Y18" s="105">
        <f t="shared" si="0"/>
        <v>0.3</v>
      </c>
      <c r="Z18" s="105">
        <f t="shared" si="0"/>
        <v>0.3</v>
      </c>
      <c r="AA18" s="105">
        <f t="shared" si="0"/>
        <v>0.3</v>
      </c>
    </row>
    <row r="20" spans="1:27" x14ac:dyDescent="0.25">
      <c r="A20" s="101">
        <v>10</v>
      </c>
      <c r="C20" s="100" t="s">
        <v>638</v>
      </c>
      <c r="D20" s="100"/>
    </row>
    <row r="21" spans="1:27" x14ac:dyDescent="0.25">
      <c r="E21" s="106" t="str">
        <f>E7</f>
        <v>Pipes / Storage</v>
      </c>
      <c r="F21" s="47" t="s">
        <v>639</v>
      </c>
      <c r="G21" s="102">
        <f>(SUMIFS('INPUT Capex'!AC$236:AC$255,'INPUT Capex'!$A$236:$A$255,$A$1,'INPUT Capex'!$G$236:$G$255,$E21)+SUMIFS('INPUT Capex'!AC$211:AC$228,'INPUT Capex'!$A$211:$A$228,$A$1,'INPUT Capex'!$G$211:$G$228,$E21))*IF(G$2=0,DASH!$E$8,1)</f>
        <v>0</v>
      </c>
      <c r="H21" s="102">
        <f>(SUMIFS('INPUT Capex'!AD$236:AD$255,'INPUT Capex'!$A$236:$A$255,$A$1,'INPUT Capex'!$G$236:$G$255,$E21)+SUMIFS('INPUT Capex'!AD$211:AD$228,'INPUT Capex'!$A$211:$A$228,$A$1,'INPUT Capex'!$G$211:$G$228,$E21))*IF(H$2=0,DASH!$E$8,1)</f>
        <v>40857861.518948428</v>
      </c>
      <c r="I21" s="102">
        <f>(SUMIFS('INPUT Capex'!AE$236:AE$255,'INPUT Capex'!$A$236:$A$255,$A$1,'INPUT Capex'!$G$236:$G$255,$E21)+SUMIFS('INPUT Capex'!AE$211:AE$228,'INPUT Capex'!$A$211:$A$228,$A$1,'INPUT Capex'!$G$211:$G$228,$E21))*IF(I$2=0,DASH!$E$8,1)</f>
        <v>32081790.99794047</v>
      </c>
      <c r="J21" s="102">
        <f>(SUMIFS('INPUT Capex'!AF$236:AF$255,'INPUT Capex'!$A$236:$A$255,$A$1,'INPUT Capex'!$G$236:$G$255,$E21)+SUMIFS('INPUT Capex'!AF$211:AF$228,'INPUT Capex'!$A$211:$A$228,$A$1,'INPUT Capex'!$G$211:$G$228,$E21))*IF(J$2=0,DASH!$E$8,1)</f>
        <v>31113234.852621861</v>
      </c>
      <c r="K21" s="102">
        <f>(SUMIFS('INPUT Capex'!AG$236:AG$255,'INPUT Capex'!$A$236:$A$255,$A$1,'INPUT Capex'!$G$236:$G$255,$E21)+SUMIFS('INPUT Capex'!AG$211:AG$228,'INPUT Capex'!$A$211:$A$228,$A$1,'INPUT Capex'!$G$211:$G$228,$E21))*IF(K$2=0,DASH!$E$8,1)</f>
        <v>9698987.1377000231</v>
      </c>
      <c r="L21" s="102">
        <f>(SUMIFS('INPUT Capex'!AH$236:AH$255,'INPUT Capex'!$A$236:$A$255,$A$1,'INPUT Capex'!$G$236:$G$255,$E21)+SUMIFS('INPUT Capex'!AH$211:AH$228,'INPUT Capex'!$A$211:$A$228,$A$1,'INPUT Capex'!$G$211:$G$228,$E21))*IF(L$2=0,DASH!$E$8,1)</f>
        <v>33090212.360870566</v>
      </c>
      <c r="M21" s="102">
        <f>(SUMIFS('INPUT Capex'!AI$236:AI$255,'INPUT Capex'!$A$236:$A$255,$A$1,'INPUT Capex'!$G$236:$G$255,$E21)+SUMIFS('INPUT Capex'!AI$211:AI$228,'INPUT Capex'!$A$211:$A$228,$A$1,'INPUT Capex'!$G$211:$G$228,$E21))*IF(M$2=0,DASH!$E$8,1)</f>
        <v>32430277.341084208</v>
      </c>
      <c r="N21" s="102">
        <f>(SUMIFS('INPUT Capex'!AJ$236:AJ$255,'INPUT Capex'!$A$236:$A$255,$A$1,'INPUT Capex'!$G$236:$G$255,$E21)+SUMIFS('INPUT Capex'!AJ$211:AJ$228,'INPUT Capex'!$A$211:$A$228,$A$1,'INPUT Capex'!$G$211:$G$228,$E21))*IF(N$2=0,DASH!$E$8,1)</f>
        <v>36452629.266810901</v>
      </c>
      <c r="O21" s="102">
        <f>(SUMIFS('INPUT Capex'!AK$236:AK$255,'INPUT Capex'!$A$236:$A$255,$A$1,'INPUT Capex'!$G$236:$G$255,$E21)+SUMIFS('INPUT Capex'!AK$211:AK$228,'INPUT Capex'!$A$211:$A$228,$A$1,'INPUT Capex'!$G$211:$G$228,$E21))*IF(O$2=0,DASH!$E$8,1)</f>
        <v>25944512.198343638</v>
      </c>
      <c r="P21" s="102">
        <f>(SUMIFS('INPUT Capex'!AL$236:AL$255,'INPUT Capex'!$A$236:$A$255,$A$1,'INPUT Capex'!$G$236:$G$255,$E21)+SUMIFS('INPUT Capex'!AL$211:AL$228,'INPUT Capex'!$A$211:$A$228,$A$1,'INPUT Capex'!$G$211:$G$228,$E21))*IF(P$2=0,DASH!$E$8,1)</f>
        <v>25028925.55776808</v>
      </c>
      <c r="Q21" s="102">
        <f>(SUMIFS('INPUT Capex'!AM$236:AM$255,'INPUT Capex'!$A$236:$A$255,$A$1,'INPUT Capex'!$G$236:$G$255,$E21)+SUMIFS('INPUT Capex'!AM$211:AM$228,'INPUT Capex'!$A$211:$A$228,$A$1,'INPUT Capex'!$G$211:$G$228,$E21))*IF(Q$2=0,DASH!$E$8,1)</f>
        <v>30589311.344975475</v>
      </c>
      <c r="R21" s="102">
        <f>(SUMIFS('INPUT Capex'!AN$236:AN$255,'INPUT Capex'!$A$236:$A$255,$A$1,'INPUT Capex'!$G$236:$G$255,$E21)+SUMIFS('INPUT Capex'!AN$211:AN$228,'INPUT Capex'!$A$211:$A$228,$A$1,'INPUT Capex'!$G$211:$G$228,$E21))*IF(R$2=0,DASH!$E$8,1)</f>
        <v>30589311.344975475</v>
      </c>
      <c r="S21" s="102">
        <f>(SUMIFS('INPUT Capex'!AO$236:AO$255,'INPUT Capex'!$A$236:$A$255,$A$1,'INPUT Capex'!$G$236:$G$255,$E21)+SUMIFS('INPUT Capex'!AO$211:AO$228,'INPUT Capex'!$A$211:$A$228,$A$1,'INPUT Capex'!$G$211:$G$228,$E21))*IF(S$2=0,DASH!$E$8,1)</f>
        <v>30589311.344975475</v>
      </c>
      <c r="T21" s="102">
        <f>(SUMIFS('INPUT Capex'!AP$236:AP$255,'INPUT Capex'!$A$236:$A$255,$A$1,'INPUT Capex'!$G$236:$G$255,$E21)+SUMIFS('INPUT Capex'!AP$211:AP$228,'INPUT Capex'!$A$211:$A$228,$A$1,'INPUT Capex'!$G$211:$G$228,$E21))*IF(T$2=0,DASH!$E$8,1)</f>
        <v>30589311.344975475</v>
      </c>
      <c r="U21" s="102">
        <f>(SUMIFS('INPUT Capex'!AQ$236:AQ$255,'INPUT Capex'!$A$236:$A$255,$A$1,'INPUT Capex'!$G$236:$G$255,$E21)+SUMIFS('INPUT Capex'!AQ$211:AQ$228,'INPUT Capex'!$A$211:$A$228,$A$1,'INPUT Capex'!$G$211:$G$228,$E21))*IF(U$2=0,DASH!$E$8,1)</f>
        <v>30589311.344975475</v>
      </c>
      <c r="V21" s="102">
        <f>(SUMIFS('INPUT Capex'!AR$236:AR$255,'INPUT Capex'!$A$236:$A$255,$A$1,'INPUT Capex'!$G$236:$G$255,$E21)+SUMIFS('INPUT Capex'!AR$211:AR$228,'INPUT Capex'!$A$211:$A$228,$A$1,'INPUT Capex'!$G$211:$G$228,$E21))*IF(V$2=0,DASH!$E$8,1)</f>
        <v>30589311.344975475</v>
      </c>
      <c r="W21" s="102">
        <f>(SUMIFS('INPUT Capex'!AS$236:AS$255,'INPUT Capex'!$A$236:$A$255,$A$1,'INPUT Capex'!$G$236:$G$255,$E21)+SUMIFS('INPUT Capex'!AS$211:AS$228,'INPUT Capex'!$A$211:$A$228,$A$1,'INPUT Capex'!$G$211:$G$228,$E21))*IF(W$2=0,DASH!$E$8,1)</f>
        <v>30589311.344975475</v>
      </c>
      <c r="X21" s="102">
        <f>(SUMIFS('INPUT Capex'!AT$236:AT$255,'INPUT Capex'!$A$236:$A$255,$A$1,'INPUT Capex'!$G$236:$G$255,$E21)+SUMIFS('INPUT Capex'!AT$211:AT$228,'INPUT Capex'!$A$211:$A$228,$A$1,'INPUT Capex'!$G$211:$G$228,$E21))*IF(X$2=0,DASH!$E$8,1)</f>
        <v>30589311.344975475</v>
      </c>
      <c r="Y21" s="102">
        <f>(SUMIFS('INPUT Capex'!AU$236:AU$255,'INPUT Capex'!$A$236:$A$255,$A$1,'INPUT Capex'!$G$236:$G$255,$E21)+SUMIFS('INPUT Capex'!AU$211:AU$228,'INPUT Capex'!$A$211:$A$228,$A$1,'INPUT Capex'!$G$211:$G$228,$E21))*IF(Y$2=0,DASH!$E$8,1)</f>
        <v>30589311.344975475</v>
      </c>
      <c r="Z21" s="102">
        <f>(SUMIFS('INPUT Capex'!AV$236:AV$255,'INPUT Capex'!$A$236:$A$255,$A$1,'INPUT Capex'!$G$236:$G$255,$E21)+SUMIFS('INPUT Capex'!AV$211:AV$228,'INPUT Capex'!$A$211:$A$228,$A$1,'INPUT Capex'!$G$211:$G$228,$E21))*IF(Z$2=0,DASH!$E$8,1)</f>
        <v>30589311.344975475</v>
      </c>
      <c r="AA21" s="102">
        <f>(SUMIFS('INPUT Capex'!AW$236:AW$255,'INPUT Capex'!$A$236:$A$255,$A$1,'INPUT Capex'!$G$236:$G$255,$E21)+SUMIFS('INPUT Capex'!AW$211:AW$228,'INPUT Capex'!$A$211:$A$228,$A$1,'INPUT Capex'!$G$211:$G$228,$E21))*IF(AA$2=0,DASH!$E$8,1)</f>
        <v>30589311.344975475</v>
      </c>
    </row>
    <row r="22" spans="1:27" x14ac:dyDescent="0.25">
      <c r="E22" s="106" t="str">
        <f>E8</f>
        <v>Pumps / Valves</v>
      </c>
      <c r="F22" s="47" t="s">
        <v>639</v>
      </c>
      <c r="G22" s="102">
        <f>(SUMIFS('INPUT Capex'!AC$236:AC$255,'INPUT Capex'!$A$236:$A$255,$A$1,'INPUT Capex'!$G$236:$G$255,$E22)+SUMIFS('INPUT Capex'!AC$211:AC$228,'INPUT Capex'!$A$211:$A$228,$A$1,'INPUT Capex'!$G$211:$G$228,$E22))*IF(G$2=0,DASH!$E$8,1)</f>
        <v>0</v>
      </c>
      <c r="H22" s="102">
        <f>(SUMIFS('INPUT Capex'!AD$236:AD$255,'INPUT Capex'!$A$236:$A$255,$A$1,'INPUT Capex'!$G$236:$G$255,$E22)+SUMIFS('INPUT Capex'!AD$211:AD$228,'INPUT Capex'!$A$211:$A$228,$A$1,'INPUT Capex'!$G$211:$G$228,$E22))*IF(H$2=0,DASH!$E$8,1)</f>
        <v>6002531.2348668016</v>
      </c>
      <c r="I22" s="102">
        <f>(SUMIFS('INPUT Capex'!AE$236:AE$255,'INPUT Capex'!$A$236:$A$255,$A$1,'INPUT Capex'!$G$236:$G$255,$E22)+SUMIFS('INPUT Capex'!AE$211:AE$228,'INPUT Capex'!$A$211:$A$228,$A$1,'INPUT Capex'!$G$211:$G$228,$E22))*IF(I$2=0,DASH!$E$8,1)</f>
        <v>10179431.234866781</v>
      </c>
      <c r="J22" s="102">
        <f>(SUMIFS('INPUT Capex'!AF$236:AF$255,'INPUT Capex'!$A$236:$A$255,$A$1,'INPUT Capex'!$G$236:$G$255,$E22)+SUMIFS('INPUT Capex'!AF$211:AF$228,'INPUT Capex'!$A$211:$A$228,$A$1,'INPUT Capex'!$G$211:$G$228,$E22))*IF(J$2=0,DASH!$E$8,1)</f>
        <v>17950230.024213005</v>
      </c>
      <c r="K22" s="102">
        <f>(SUMIFS('INPUT Capex'!AG$236:AG$255,'INPUT Capex'!$A$236:$A$255,$A$1,'INPUT Capex'!$G$236:$G$255,$E22)+SUMIFS('INPUT Capex'!AG$211:AG$228,'INPUT Capex'!$A$211:$A$228,$A$1,'INPUT Capex'!$G$211:$G$228,$E22))*IF(K$2=0,DASH!$E$8,1)</f>
        <v>8719600.4842614606</v>
      </c>
      <c r="L22" s="102">
        <f>(SUMIFS('INPUT Capex'!AH$236:AH$255,'INPUT Capex'!$A$236:$A$255,$A$1,'INPUT Capex'!$G$236:$G$255,$E22)+SUMIFS('INPUT Capex'!AH$211:AH$228,'INPUT Capex'!$A$211:$A$228,$A$1,'INPUT Capex'!$G$211:$G$228,$E22))*IF(L$2=0,DASH!$E$8,1)</f>
        <v>0</v>
      </c>
      <c r="M22" s="102">
        <f>(SUMIFS('INPUT Capex'!AI$236:AI$255,'INPUT Capex'!$A$236:$A$255,$A$1,'INPUT Capex'!$G$236:$G$255,$E22)+SUMIFS('INPUT Capex'!AI$211:AI$228,'INPUT Capex'!$A$211:$A$228,$A$1,'INPUT Capex'!$G$211:$G$228,$E22))*IF(M$2=0,DASH!$E$8,1)</f>
        <v>0</v>
      </c>
      <c r="N22" s="102">
        <f>(SUMIFS('INPUT Capex'!AJ$236:AJ$255,'INPUT Capex'!$A$236:$A$255,$A$1,'INPUT Capex'!$G$236:$G$255,$E22)+SUMIFS('INPUT Capex'!AJ$211:AJ$228,'INPUT Capex'!$A$211:$A$228,$A$1,'INPUT Capex'!$G$211:$G$228,$E22))*IF(N$2=0,DASH!$E$8,1)</f>
        <v>0</v>
      </c>
      <c r="O22" s="102">
        <f>(SUMIFS('INPUT Capex'!AK$236:AK$255,'INPUT Capex'!$A$236:$A$255,$A$1,'INPUT Capex'!$G$236:$G$255,$E22)+SUMIFS('INPUT Capex'!AK$211:AK$228,'INPUT Capex'!$A$211:$A$228,$A$1,'INPUT Capex'!$G$211:$G$228,$E22))*IF(O$2=0,DASH!$E$8,1)</f>
        <v>0</v>
      </c>
      <c r="P22" s="102">
        <f>(SUMIFS('INPUT Capex'!AL$236:AL$255,'INPUT Capex'!$A$236:$A$255,$A$1,'INPUT Capex'!$G$236:$G$255,$E22)+SUMIFS('INPUT Capex'!AL$211:AL$228,'INPUT Capex'!$A$211:$A$228,$A$1,'INPUT Capex'!$G$211:$G$228,$E22))*IF(P$2=0,DASH!$E$8,1)</f>
        <v>0</v>
      </c>
      <c r="Q22" s="102">
        <f>(SUMIFS('INPUT Capex'!AM$236:AM$255,'INPUT Capex'!$A$236:$A$255,$A$1,'INPUT Capex'!$G$236:$G$255,$E22)+SUMIFS('INPUT Capex'!AM$211:AM$228,'INPUT Capex'!$A$211:$A$228,$A$1,'INPUT Capex'!$G$211:$G$228,$E22))*IF(Q$2=0,DASH!$E$8,1)</f>
        <v>0</v>
      </c>
      <c r="R22" s="102">
        <f>(SUMIFS('INPUT Capex'!AN$236:AN$255,'INPUT Capex'!$A$236:$A$255,$A$1,'INPUT Capex'!$G$236:$G$255,$E22)+SUMIFS('INPUT Capex'!AN$211:AN$228,'INPUT Capex'!$A$211:$A$228,$A$1,'INPUT Capex'!$G$211:$G$228,$E22))*IF(R$2=0,DASH!$E$8,1)</f>
        <v>0</v>
      </c>
      <c r="S22" s="102">
        <f>(SUMIFS('INPUT Capex'!AO$236:AO$255,'INPUT Capex'!$A$236:$A$255,$A$1,'INPUT Capex'!$G$236:$G$255,$E22)+SUMIFS('INPUT Capex'!AO$211:AO$228,'INPUT Capex'!$A$211:$A$228,$A$1,'INPUT Capex'!$G$211:$G$228,$E22))*IF(S$2=0,DASH!$E$8,1)</f>
        <v>0</v>
      </c>
      <c r="T22" s="102">
        <f>(SUMIFS('INPUT Capex'!AP$236:AP$255,'INPUT Capex'!$A$236:$A$255,$A$1,'INPUT Capex'!$G$236:$G$255,$E22)+SUMIFS('INPUT Capex'!AP$211:AP$228,'INPUT Capex'!$A$211:$A$228,$A$1,'INPUT Capex'!$G$211:$G$228,$E22))*IF(T$2=0,DASH!$E$8,1)</f>
        <v>0</v>
      </c>
      <c r="U22" s="102">
        <f>(SUMIFS('INPUT Capex'!AQ$236:AQ$255,'INPUT Capex'!$A$236:$A$255,$A$1,'INPUT Capex'!$G$236:$G$255,$E22)+SUMIFS('INPUT Capex'!AQ$211:AQ$228,'INPUT Capex'!$A$211:$A$228,$A$1,'INPUT Capex'!$G$211:$G$228,$E22))*IF(U$2=0,DASH!$E$8,1)</f>
        <v>0</v>
      </c>
      <c r="V22" s="102">
        <f>(SUMIFS('INPUT Capex'!AR$236:AR$255,'INPUT Capex'!$A$236:$A$255,$A$1,'INPUT Capex'!$G$236:$G$255,$E22)+SUMIFS('INPUT Capex'!AR$211:AR$228,'INPUT Capex'!$A$211:$A$228,$A$1,'INPUT Capex'!$G$211:$G$228,$E22))*IF(V$2=0,DASH!$E$8,1)</f>
        <v>0</v>
      </c>
      <c r="W22" s="102">
        <f>(SUMIFS('INPUT Capex'!AS$236:AS$255,'INPUT Capex'!$A$236:$A$255,$A$1,'INPUT Capex'!$G$236:$G$255,$E22)+SUMIFS('INPUT Capex'!AS$211:AS$228,'INPUT Capex'!$A$211:$A$228,$A$1,'INPUT Capex'!$G$211:$G$228,$E22))*IF(W$2=0,DASH!$E$8,1)</f>
        <v>0</v>
      </c>
      <c r="X22" s="102">
        <f>(SUMIFS('INPUT Capex'!AT$236:AT$255,'INPUT Capex'!$A$236:$A$255,$A$1,'INPUT Capex'!$G$236:$G$255,$E22)+SUMIFS('INPUT Capex'!AT$211:AT$228,'INPUT Capex'!$A$211:$A$228,$A$1,'INPUT Capex'!$G$211:$G$228,$E22))*IF(X$2=0,DASH!$E$8,1)</f>
        <v>0</v>
      </c>
      <c r="Y22" s="102">
        <f>(SUMIFS('INPUT Capex'!AU$236:AU$255,'INPUT Capex'!$A$236:$A$255,$A$1,'INPUT Capex'!$G$236:$G$255,$E22)+SUMIFS('INPUT Capex'!AU$211:AU$228,'INPUT Capex'!$A$211:$A$228,$A$1,'INPUT Capex'!$G$211:$G$228,$E22))*IF(Y$2=0,DASH!$E$8,1)</f>
        <v>0</v>
      </c>
      <c r="Z22" s="102">
        <f>(SUMIFS('INPUT Capex'!AV$236:AV$255,'INPUT Capex'!$A$236:$A$255,$A$1,'INPUT Capex'!$G$236:$G$255,$E22)+SUMIFS('INPUT Capex'!AV$211:AV$228,'INPUT Capex'!$A$211:$A$228,$A$1,'INPUT Capex'!$G$211:$G$228,$E22))*IF(Z$2=0,DASH!$E$8,1)</f>
        <v>0</v>
      </c>
      <c r="AA22" s="102">
        <f>(SUMIFS('INPUT Capex'!AW$236:AW$255,'INPUT Capex'!$A$236:$A$255,$A$1,'INPUT Capex'!$G$236:$G$255,$E22)+SUMIFS('INPUT Capex'!AW$211:AW$228,'INPUT Capex'!$A$211:$A$228,$A$1,'INPUT Capex'!$G$211:$G$228,$E22))*IF(AA$2=0,DASH!$E$8,1)</f>
        <v>0</v>
      </c>
    </row>
    <row r="23" spans="1:27" x14ac:dyDescent="0.25">
      <c r="E23" s="106" t="str">
        <f>E9</f>
        <v>Treatment</v>
      </c>
      <c r="F23" s="47" t="s">
        <v>639</v>
      </c>
      <c r="G23" s="102">
        <f>(SUMIFS('INPUT Capex'!AC$236:AC$255,'INPUT Capex'!$A$236:$A$255,$A$1,'INPUT Capex'!$G$236:$G$255,$E23)+SUMIFS('INPUT Capex'!AC$211:AC$228,'INPUT Capex'!$A$211:$A$228,$A$1,'INPUT Capex'!$G$211:$G$228,$E23))*IF(G$2=0,DASH!$E$8,1)</f>
        <v>0</v>
      </c>
      <c r="H23" s="102">
        <f>(SUMIFS('INPUT Capex'!AD$236:AD$255,'INPUT Capex'!$A$236:$A$255,$A$1,'INPUT Capex'!$G$236:$G$255,$E23)+SUMIFS('INPUT Capex'!AD$211:AD$228,'INPUT Capex'!$A$211:$A$228,$A$1,'INPUT Capex'!$G$211:$G$228,$E23))*IF(H$2=0,DASH!$E$8,1)</f>
        <v>9446964.3962443676</v>
      </c>
      <c r="I23" s="102">
        <f>(SUMIFS('INPUT Capex'!AE$236:AE$255,'INPUT Capex'!$A$236:$A$255,$A$1,'INPUT Capex'!$G$236:$G$255,$E23)+SUMIFS('INPUT Capex'!AE$211:AE$228,'INPUT Capex'!$A$211:$A$228,$A$1,'INPUT Capex'!$G$211:$G$228,$E23))*IF(I$2=0,DASH!$E$8,1)</f>
        <v>9221366.795739999</v>
      </c>
      <c r="J23" s="102">
        <f>(SUMIFS('INPUT Capex'!AF$236:AF$255,'INPUT Capex'!$A$236:$A$255,$A$1,'INPUT Capex'!$G$236:$G$255,$E23)+SUMIFS('INPUT Capex'!AF$211:AF$228,'INPUT Capex'!$A$211:$A$228,$A$1,'INPUT Capex'!$G$211:$G$228,$E23))*IF(J$2=0,DASH!$E$8,1)</f>
        <v>9047986.1679366436</v>
      </c>
      <c r="K23" s="102">
        <f>(SUMIFS('INPUT Capex'!AG$236:AG$255,'INPUT Capex'!$A$236:$A$255,$A$1,'INPUT Capex'!$G$236:$G$255,$E23)+SUMIFS('INPUT Capex'!AG$211:AG$228,'INPUT Capex'!$A$211:$A$228,$A$1,'INPUT Capex'!$G$211:$G$228,$E23))*IF(K$2=0,DASH!$E$8,1)</f>
        <v>5880494.4646753361</v>
      </c>
      <c r="L23" s="102">
        <f>(SUMIFS('INPUT Capex'!AH$236:AH$255,'INPUT Capex'!$A$236:$A$255,$A$1,'INPUT Capex'!$G$236:$G$255,$E23)+SUMIFS('INPUT Capex'!AH$211:AH$228,'INPUT Capex'!$A$211:$A$228,$A$1,'INPUT Capex'!$G$211:$G$228,$E23))*IF(L$2=0,DASH!$E$8,1)</f>
        <v>7097452.6001373734</v>
      </c>
      <c r="M23" s="102">
        <f>(SUMIFS('INPUT Capex'!AI$236:AI$255,'INPUT Capex'!$A$236:$A$255,$A$1,'INPUT Capex'!$G$236:$G$255,$E23)+SUMIFS('INPUT Capex'!AI$211:AI$228,'INPUT Capex'!$A$211:$A$228,$A$1,'INPUT Capex'!$G$211:$G$228,$E23))*IF(M$2=0,DASH!$E$8,1)</f>
        <v>9632257.1001864336</v>
      </c>
      <c r="N23" s="102">
        <f>(SUMIFS('INPUT Capex'!AJ$236:AJ$255,'INPUT Capex'!$A$236:$A$255,$A$1,'INPUT Capex'!$G$236:$G$255,$E23)+SUMIFS('INPUT Capex'!AJ$211:AJ$228,'INPUT Capex'!$A$211:$A$228,$A$1,'INPUT Capex'!$G$211:$G$228,$E23))*IF(N$2=0,DASH!$E$8,1)</f>
        <v>9632257.1001864336</v>
      </c>
      <c r="O23" s="102">
        <f>(SUMIFS('INPUT Capex'!AK$236:AK$255,'INPUT Capex'!$A$236:$A$255,$A$1,'INPUT Capex'!$G$236:$G$255,$E23)+SUMIFS('INPUT Capex'!AK$211:AK$228,'INPUT Capex'!$A$211:$A$228,$A$1,'INPUT Capex'!$G$211:$G$228,$E23))*IF(O$2=0,DASH!$E$8,1)</f>
        <v>4562648.1000883114</v>
      </c>
      <c r="P23" s="102">
        <f>(SUMIFS('INPUT Capex'!AL$236:AL$255,'INPUT Capex'!$A$236:$A$255,$A$1,'INPUT Capex'!$G$236:$G$255,$E23)+SUMIFS('INPUT Capex'!AL$211:AL$228,'INPUT Capex'!$A$211:$A$228,$A$1,'INPUT Capex'!$G$211:$G$228,$E23))*IF(P$2=0,DASH!$E$8,1)</f>
        <v>4562648.1000883114</v>
      </c>
      <c r="Q23" s="102">
        <f>(SUMIFS('INPUT Capex'!AM$236:AM$255,'INPUT Capex'!$A$236:$A$255,$A$1,'INPUT Capex'!$G$236:$G$255,$E23)+SUMIFS('INPUT Capex'!AM$211:AM$228,'INPUT Capex'!$A$211:$A$228,$A$1,'INPUT Capex'!$G$211:$G$228,$E23))*IF(Q$2=0,DASH!$E$8,1)</f>
        <v>7097452.6001373734</v>
      </c>
      <c r="R23" s="102">
        <f>(SUMIFS('INPUT Capex'!AN$236:AN$255,'INPUT Capex'!$A$236:$A$255,$A$1,'INPUT Capex'!$G$236:$G$255,$E23)+SUMIFS('INPUT Capex'!AN$211:AN$228,'INPUT Capex'!$A$211:$A$228,$A$1,'INPUT Capex'!$G$211:$G$228,$E23))*IF(R$2=0,DASH!$E$8,1)</f>
        <v>7097452.6001373734</v>
      </c>
      <c r="S23" s="102">
        <f>(SUMIFS('INPUT Capex'!AO$236:AO$255,'INPUT Capex'!$A$236:$A$255,$A$1,'INPUT Capex'!$G$236:$G$255,$E23)+SUMIFS('INPUT Capex'!AO$211:AO$228,'INPUT Capex'!$A$211:$A$228,$A$1,'INPUT Capex'!$G$211:$G$228,$E23))*IF(S$2=0,DASH!$E$8,1)</f>
        <v>7097452.6001373734</v>
      </c>
      <c r="T23" s="102">
        <f>(SUMIFS('INPUT Capex'!AP$236:AP$255,'INPUT Capex'!$A$236:$A$255,$A$1,'INPUT Capex'!$G$236:$G$255,$E23)+SUMIFS('INPUT Capex'!AP$211:AP$228,'INPUT Capex'!$A$211:$A$228,$A$1,'INPUT Capex'!$G$211:$G$228,$E23))*IF(T$2=0,DASH!$E$8,1)</f>
        <v>7097452.6001373734</v>
      </c>
      <c r="U23" s="102">
        <f>(SUMIFS('INPUT Capex'!AQ$236:AQ$255,'INPUT Capex'!$A$236:$A$255,$A$1,'INPUT Capex'!$G$236:$G$255,$E23)+SUMIFS('INPUT Capex'!AQ$211:AQ$228,'INPUT Capex'!$A$211:$A$228,$A$1,'INPUT Capex'!$G$211:$G$228,$E23))*IF(U$2=0,DASH!$E$8,1)</f>
        <v>7097452.6001373734</v>
      </c>
      <c r="V23" s="102">
        <f>(SUMIFS('INPUT Capex'!AR$236:AR$255,'INPUT Capex'!$A$236:$A$255,$A$1,'INPUT Capex'!$G$236:$G$255,$E23)+SUMIFS('INPUT Capex'!AR$211:AR$228,'INPUT Capex'!$A$211:$A$228,$A$1,'INPUT Capex'!$G$211:$G$228,$E23))*IF(V$2=0,DASH!$E$8,1)</f>
        <v>7097452.6001373734</v>
      </c>
      <c r="W23" s="102">
        <f>(SUMIFS('INPUT Capex'!AS$236:AS$255,'INPUT Capex'!$A$236:$A$255,$A$1,'INPUT Capex'!$G$236:$G$255,$E23)+SUMIFS('INPUT Capex'!AS$211:AS$228,'INPUT Capex'!$A$211:$A$228,$A$1,'INPUT Capex'!$G$211:$G$228,$E23))*IF(W$2=0,DASH!$E$8,1)</f>
        <v>7097452.6001373734</v>
      </c>
      <c r="X23" s="102">
        <f>(SUMIFS('INPUT Capex'!AT$236:AT$255,'INPUT Capex'!$A$236:$A$255,$A$1,'INPUT Capex'!$G$236:$G$255,$E23)+SUMIFS('INPUT Capex'!AT$211:AT$228,'INPUT Capex'!$A$211:$A$228,$A$1,'INPUT Capex'!$G$211:$G$228,$E23))*IF(X$2=0,DASH!$E$8,1)</f>
        <v>7097452.6001373734</v>
      </c>
      <c r="Y23" s="102">
        <f>(SUMIFS('INPUT Capex'!AU$236:AU$255,'INPUT Capex'!$A$236:$A$255,$A$1,'INPUT Capex'!$G$236:$G$255,$E23)+SUMIFS('INPUT Capex'!AU$211:AU$228,'INPUT Capex'!$A$211:$A$228,$A$1,'INPUT Capex'!$G$211:$G$228,$E23))*IF(Y$2=0,DASH!$E$8,1)</f>
        <v>7097452.6001373734</v>
      </c>
      <c r="Z23" s="102">
        <f>(SUMIFS('INPUT Capex'!AV$236:AV$255,'INPUT Capex'!$A$236:$A$255,$A$1,'INPUT Capex'!$G$236:$G$255,$E23)+SUMIFS('INPUT Capex'!AV$211:AV$228,'INPUT Capex'!$A$211:$A$228,$A$1,'INPUT Capex'!$G$211:$G$228,$E23))*IF(Z$2=0,DASH!$E$8,1)</f>
        <v>7097452.6001373734</v>
      </c>
      <c r="AA23" s="102">
        <f>(SUMIFS('INPUT Capex'!AW$236:AW$255,'INPUT Capex'!$A$236:$A$255,$A$1,'INPUT Capex'!$G$236:$G$255,$E23)+SUMIFS('INPUT Capex'!AW$211:AW$228,'INPUT Capex'!$A$211:$A$228,$A$1,'INPUT Capex'!$G$211:$G$228,$E23))*IF(AA$2=0,DASH!$E$8,1)</f>
        <v>7097452.6001373734</v>
      </c>
    </row>
    <row r="24" spans="1:27" x14ac:dyDescent="0.25">
      <c r="E24" s="47" t="s">
        <v>630</v>
      </c>
      <c r="F24" s="47" t="s">
        <v>639</v>
      </c>
      <c r="G24" s="102"/>
      <c r="H24" s="102"/>
      <c r="I24" s="102"/>
      <c r="J24" s="102"/>
      <c r="K24" s="102"/>
      <c r="L24" s="102"/>
      <c r="M24" s="102"/>
      <c r="N24" s="102"/>
      <c r="O24" s="102"/>
      <c r="P24" s="102"/>
      <c r="Q24" s="102"/>
      <c r="R24" s="102"/>
      <c r="S24" s="102"/>
      <c r="T24" s="102"/>
      <c r="U24" s="102"/>
      <c r="V24" s="102"/>
      <c r="W24" s="102"/>
      <c r="X24" s="102"/>
      <c r="Y24" s="102"/>
      <c r="Z24" s="102"/>
      <c r="AA24" s="102"/>
    </row>
    <row r="25" spans="1:27" x14ac:dyDescent="0.25">
      <c r="E25" s="47" t="s">
        <v>640</v>
      </c>
      <c r="F25" s="47" t="s">
        <v>639</v>
      </c>
      <c r="G25" s="102"/>
      <c r="H25" s="102"/>
      <c r="I25" s="102"/>
      <c r="J25" s="102"/>
      <c r="K25" s="102"/>
      <c r="L25" s="102"/>
      <c r="M25" s="102"/>
      <c r="N25" s="102"/>
      <c r="O25" s="102"/>
      <c r="P25" s="102"/>
      <c r="Q25" s="102"/>
      <c r="R25" s="102"/>
      <c r="S25" s="102"/>
      <c r="T25" s="102"/>
      <c r="U25" s="102"/>
      <c r="V25" s="102"/>
      <c r="W25" s="102"/>
      <c r="X25" s="102"/>
      <c r="Y25" s="102"/>
      <c r="Z25" s="102"/>
      <c r="AA25" s="102"/>
    </row>
    <row r="26" spans="1:27" x14ac:dyDescent="0.25">
      <c r="G26" s="106">
        <f>SUM(G21:G25)</f>
        <v>0</v>
      </c>
      <c r="H26" s="106">
        <f t="shared" ref="H26:AA26" si="1">SUM(H21:H25)</f>
        <v>56307357.150059603</v>
      </c>
      <c r="I26" s="106">
        <f t="shared" si="1"/>
        <v>51482589.02854725</v>
      </c>
      <c r="J26" s="106">
        <f t="shared" si="1"/>
        <v>58111451.044771515</v>
      </c>
      <c r="K26" s="106">
        <f t="shared" si="1"/>
        <v>24299082.086636819</v>
      </c>
      <c r="L26" s="106">
        <f t="shared" si="1"/>
        <v>40187664.961007938</v>
      </c>
      <c r="M26" s="106">
        <f t="shared" si="1"/>
        <v>42062534.441270642</v>
      </c>
      <c r="N26" s="106">
        <f t="shared" si="1"/>
        <v>46084886.366997331</v>
      </c>
      <c r="O26" s="106">
        <f t="shared" si="1"/>
        <v>30507160.298431948</v>
      </c>
      <c r="P26" s="106">
        <f t="shared" si="1"/>
        <v>29591573.65785639</v>
      </c>
      <c r="Q26" s="106">
        <f t="shared" si="1"/>
        <v>37686763.945112847</v>
      </c>
      <c r="R26" s="106">
        <f t="shared" si="1"/>
        <v>37686763.945112847</v>
      </c>
      <c r="S26" s="106">
        <f t="shared" si="1"/>
        <v>37686763.945112847</v>
      </c>
      <c r="T26" s="106">
        <f t="shared" si="1"/>
        <v>37686763.945112847</v>
      </c>
      <c r="U26" s="106">
        <f t="shared" si="1"/>
        <v>37686763.945112847</v>
      </c>
      <c r="V26" s="106">
        <f t="shared" si="1"/>
        <v>37686763.945112847</v>
      </c>
      <c r="W26" s="106">
        <f t="shared" si="1"/>
        <v>37686763.945112847</v>
      </c>
      <c r="X26" s="106">
        <f t="shared" si="1"/>
        <v>37686763.945112847</v>
      </c>
      <c r="Y26" s="106">
        <f t="shared" si="1"/>
        <v>37686763.945112847</v>
      </c>
      <c r="Z26" s="106">
        <f t="shared" si="1"/>
        <v>37686763.945112847</v>
      </c>
      <c r="AA26" s="106">
        <f t="shared" si="1"/>
        <v>37686763.945112847</v>
      </c>
    </row>
    <row r="27" spans="1:27" x14ac:dyDescent="0.25">
      <c r="G27" s="106"/>
      <c r="H27" s="106"/>
      <c r="I27" s="106"/>
      <c r="J27" s="106"/>
      <c r="K27" s="106"/>
      <c r="L27" s="106"/>
      <c r="M27" s="106"/>
      <c r="N27" s="106"/>
      <c r="O27" s="106"/>
      <c r="P27" s="106"/>
      <c r="Q27" s="106"/>
    </row>
    <row r="28" spans="1:27" x14ac:dyDescent="0.25">
      <c r="D28" s="47" t="s">
        <v>641</v>
      </c>
      <c r="G28" s="106"/>
      <c r="H28" s="106"/>
      <c r="I28" s="106"/>
      <c r="J28" s="106"/>
      <c r="K28" s="106"/>
      <c r="L28" s="106"/>
      <c r="M28" s="106"/>
      <c r="N28" s="106"/>
      <c r="O28" s="106"/>
      <c r="P28" s="106"/>
      <c r="Q28" s="106"/>
    </row>
    <row r="29" spans="1:27" x14ac:dyDescent="0.25">
      <c r="E29" s="106" t="str">
        <f>E21</f>
        <v>Pipes / Storage</v>
      </c>
      <c r="F29" s="47" t="s">
        <v>639</v>
      </c>
      <c r="G29" s="106">
        <f>G21/$G7+IF((G$2-$G7+1)&gt;0,-INDEX($G21:$AP21,1,(G$2-$G7+1))/$G7,0)</f>
        <v>0</v>
      </c>
      <c r="H29" s="106">
        <f t="shared" ref="H29:AA29" si="2">H21/$G7+IF((H$2-$G7+1)&gt;0,-INDEX($G21:$AP21,1,(H$2-$G7+1))/$G7,0)</f>
        <v>453976.23909942701</v>
      </c>
      <c r="I29" s="106">
        <f t="shared" si="2"/>
        <v>356464.34442156076</v>
      </c>
      <c r="J29" s="106">
        <f t="shared" si="2"/>
        <v>345702.60947357625</v>
      </c>
      <c r="K29" s="106">
        <f t="shared" si="2"/>
        <v>107766.52375222248</v>
      </c>
      <c r="L29" s="106">
        <f t="shared" si="2"/>
        <v>367669.0262318952</v>
      </c>
      <c r="M29" s="106">
        <f t="shared" si="2"/>
        <v>360336.41490093566</v>
      </c>
      <c r="N29" s="106">
        <f t="shared" si="2"/>
        <v>405029.21407567669</v>
      </c>
      <c r="O29" s="106">
        <f t="shared" si="2"/>
        <v>288272.35775937379</v>
      </c>
      <c r="P29" s="106">
        <f t="shared" si="2"/>
        <v>278099.17286408978</v>
      </c>
      <c r="Q29" s="106">
        <f t="shared" si="2"/>
        <v>339881.23716639419</v>
      </c>
      <c r="R29" s="106">
        <f t="shared" si="2"/>
        <v>339881.23716639419</v>
      </c>
      <c r="S29" s="106">
        <f t="shared" si="2"/>
        <v>339881.23716639419</v>
      </c>
      <c r="T29" s="106">
        <f t="shared" si="2"/>
        <v>339881.23716639419</v>
      </c>
      <c r="U29" s="106">
        <f t="shared" si="2"/>
        <v>339881.23716639419</v>
      </c>
      <c r="V29" s="106">
        <f t="shared" si="2"/>
        <v>339881.23716639419</v>
      </c>
      <c r="W29" s="106">
        <f t="shared" si="2"/>
        <v>339881.23716639419</v>
      </c>
      <c r="X29" s="106">
        <f t="shared" si="2"/>
        <v>339881.23716639419</v>
      </c>
      <c r="Y29" s="106">
        <f t="shared" si="2"/>
        <v>339881.23716639419</v>
      </c>
      <c r="Z29" s="106">
        <f t="shared" si="2"/>
        <v>339881.23716639419</v>
      </c>
      <c r="AA29" s="106">
        <f t="shared" si="2"/>
        <v>339881.23716639419</v>
      </c>
    </row>
    <row r="30" spans="1:27" x14ac:dyDescent="0.25">
      <c r="E30" s="106" t="str">
        <f t="shared" ref="E30:E32" si="3">E22</f>
        <v>Pumps / Valves</v>
      </c>
      <c r="F30" s="47" t="s">
        <v>639</v>
      </c>
      <c r="G30" s="106">
        <f t="shared" ref="G30:AA32" si="4">G22/$G8+IF((G$2-$G8+1)&gt;0,-INDEX($G22:$AP22,1,(G$2-$G8+1))/$G8,0)</f>
        <v>0</v>
      </c>
      <c r="H30" s="106">
        <f t="shared" si="4"/>
        <v>200084.37449556004</v>
      </c>
      <c r="I30" s="106">
        <f t="shared" si="4"/>
        <v>339314.37449555937</v>
      </c>
      <c r="J30" s="106">
        <f t="shared" si="4"/>
        <v>598341.00080710021</v>
      </c>
      <c r="K30" s="106">
        <f t="shared" si="4"/>
        <v>290653.34947538201</v>
      </c>
      <c r="L30" s="106">
        <f t="shared" si="4"/>
        <v>0</v>
      </c>
      <c r="M30" s="106">
        <f t="shared" si="4"/>
        <v>0</v>
      </c>
      <c r="N30" s="106">
        <f t="shared" si="4"/>
        <v>0</v>
      </c>
      <c r="O30" s="106">
        <f t="shared" si="4"/>
        <v>0</v>
      </c>
      <c r="P30" s="106">
        <f t="shared" si="4"/>
        <v>0</v>
      </c>
      <c r="Q30" s="106">
        <f t="shared" si="4"/>
        <v>0</v>
      </c>
      <c r="R30" s="106">
        <f t="shared" si="4"/>
        <v>0</v>
      </c>
      <c r="S30" s="106">
        <f t="shared" si="4"/>
        <v>0</v>
      </c>
      <c r="T30" s="106">
        <f t="shared" si="4"/>
        <v>0</v>
      </c>
      <c r="U30" s="106">
        <f t="shared" si="4"/>
        <v>0</v>
      </c>
      <c r="V30" s="106">
        <f t="shared" si="4"/>
        <v>0</v>
      </c>
      <c r="W30" s="106">
        <f t="shared" si="4"/>
        <v>0</v>
      </c>
      <c r="X30" s="106">
        <f t="shared" si="4"/>
        <v>0</v>
      </c>
      <c r="Y30" s="106">
        <f t="shared" si="4"/>
        <v>0</v>
      </c>
      <c r="Z30" s="106">
        <f t="shared" si="4"/>
        <v>0</v>
      </c>
      <c r="AA30" s="106">
        <f t="shared" si="4"/>
        <v>0</v>
      </c>
    </row>
    <row r="31" spans="1:27" x14ac:dyDescent="0.25">
      <c r="E31" s="106" t="str">
        <f t="shared" si="3"/>
        <v>Treatment</v>
      </c>
      <c r="F31" s="47" t="s">
        <v>639</v>
      </c>
      <c r="G31" s="106">
        <f t="shared" si="4"/>
        <v>0</v>
      </c>
      <c r="H31" s="106">
        <f t="shared" si="4"/>
        <v>118087.0549530546</v>
      </c>
      <c r="I31" s="106">
        <f t="shared" si="4"/>
        <v>115267.08494674999</v>
      </c>
      <c r="J31" s="106">
        <f t="shared" si="4"/>
        <v>113099.82709920805</v>
      </c>
      <c r="K31" s="106">
        <f t="shared" si="4"/>
        <v>73506.180808441699</v>
      </c>
      <c r="L31" s="106">
        <f t="shared" si="4"/>
        <v>88718.157501717171</v>
      </c>
      <c r="M31" s="106">
        <f t="shared" si="4"/>
        <v>120403.21375233043</v>
      </c>
      <c r="N31" s="106">
        <f t="shared" si="4"/>
        <v>120403.21375233043</v>
      </c>
      <c r="O31" s="106">
        <f t="shared" si="4"/>
        <v>57033.101251103893</v>
      </c>
      <c r="P31" s="106">
        <f t="shared" si="4"/>
        <v>57033.101251103893</v>
      </c>
      <c r="Q31" s="106">
        <f t="shared" si="4"/>
        <v>88718.157501717171</v>
      </c>
      <c r="R31" s="106">
        <f t="shared" si="4"/>
        <v>88718.157501717171</v>
      </c>
      <c r="S31" s="106">
        <f t="shared" si="4"/>
        <v>88718.157501717171</v>
      </c>
      <c r="T31" s="106">
        <f t="shared" si="4"/>
        <v>88718.157501717171</v>
      </c>
      <c r="U31" s="106">
        <f t="shared" si="4"/>
        <v>88718.157501717171</v>
      </c>
      <c r="V31" s="106">
        <f t="shared" si="4"/>
        <v>88718.157501717171</v>
      </c>
      <c r="W31" s="106">
        <f t="shared" si="4"/>
        <v>88718.157501717171</v>
      </c>
      <c r="X31" s="106">
        <f t="shared" si="4"/>
        <v>88718.157501717171</v>
      </c>
      <c r="Y31" s="106">
        <f t="shared" si="4"/>
        <v>88718.157501717171</v>
      </c>
      <c r="Z31" s="106">
        <f t="shared" si="4"/>
        <v>88718.157501717171</v>
      </c>
      <c r="AA31" s="106">
        <f t="shared" si="4"/>
        <v>88718.157501717171</v>
      </c>
    </row>
    <row r="32" spans="1:27" x14ac:dyDescent="0.25">
      <c r="E32" s="106" t="str">
        <f t="shared" si="3"/>
        <v>Temporary Assets</v>
      </c>
      <c r="F32" s="47" t="s">
        <v>639</v>
      </c>
      <c r="G32" s="106">
        <f t="shared" si="4"/>
        <v>0</v>
      </c>
      <c r="H32" s="106">
        <f t="shared" si="4"/>
        <v>0</v>
      </c>
      <c r="I32" s="106">
        <f t="shared" si="4"/>
        <v>0</v>
      </c>
      <c r="J32" s="106">
        <f t="shared" si="4"/>
        <v>0</v>
      </c>
      <c r="K32" s="106">
        <f t="shared" si="4"/>
        <v>0</v>
      </c>
      <c r="L32" s="106">
        <f t="shared" si="4"/>
        <v>0</v>
      </c>
      <c r="M32" s="106">
        <f t="shared" si="4"/>
        <v>0</v>
      </c>
      <c r="N32" s="106">
        <f t="shared" si="4"/>
        <v>0</v>
      </c>
      <c r="O32" s="106">
        <f t="shared" si="4"/>
        <v>0</v>
      </c>
      <c r="P32" s="106">
        <f t="shared" si="4"/>
        <v>0</v>
      </c>
      <c r="Q32" s="106">
        <f t="shared" si="4"/>
        <v>0</v>
      </c>
      <c r="R32" s="106">
        <f t="shared" si="4"/>
        <v>0</v>
      </c>
      <c r="S32" s="106">
        <f t="shared" si="4"/>
        <v>0</v>
      </c>
      <c r="T32" s="106">
        <f t="shared" si="4"/>
        <v>0</v>
      </c>
      <c r="U32" s="106">
        <f t="shared" si="4"/>
        <v>0</v>
      </c>
      <c r="V32" s="106">
        <f t="shared" si="4"/>
        <v>0</v>
      </c>
      <c r="W32" s="106">
        <f t="shared" si="4"/>
        <v>0</v>
      </c>
      <c r="X32" s="106">
        <f t="shared" si="4"/>
        <v>0</v>
      </c>
      <c r="Y32" s="106">
        <f t="shared" si="4"/>
        <v>0</v>
      </c>
      <c r="Z32" s="106">
        <f t="shared" si="4"/>
        <v>0</v>
      </c>
      <c r="AA32" s="106">
        <f t="shared" si="4"/>
        <v>0</v>
      </c>
    </row>
    <row r="33" spans="1:27" x14ac:dyDescent="0.25">
      <c r="G33" s="106"/>
      <c r="H33" s="106"/>
      <c r="I33" s="106"/>
      <c r="J33" s="106"/>
      <c r="K33" s="106"/>
      <c r="L33" s="106"/>
      <c r="M33" s="106"/>
      <c r="N33" s="106"/>
      <c r="O33" s="106"/>
      <c r="P33" s="106"/>
      <c r="Q33" s="106"/>
    </row>
    <row r="34" spans="1:27" x14ac:dyDescent="0.25">
      <c r="D34" s="47" t="s">
        <v>642</v>
      </c>
      <c r="F34" s="47" t="s">
        <v>639</v>
      </c>
      <c r="G34" s="106">
        <f>SUM($G$29:G32)</f>
        <v>0</v>
      </c>
      <c r="H34" s="106">
        <f>SUM($G$29:H32)</f>
        <v>772147.66854804172</v>
      </c>
      <c r="I34" s="106">
        <f>SUM($G$29:I32)</f>
        <v>1583193.4724119117</v>
      </c>
      <c r="J34" s="106">
        <f>SUM($G$29:J32)</f>
        <v>2640336.9097917965</v>
      </c>
      <c r="K34" s="106">
        <f>SUM($G$29:K32)</f>
        <v>3112262.9638278428</v>
      </c>
      <c r="L34" s="106">
        <f>SUM($G$29:L32)</f>
        <v>3568650.1475614551</v>
      </c>
      <c r="M34" s="106">
        <f>SUM($G$29:M32)</f>
        <v>4049389.7762147207</v>
      </c>
      <c r="N34" s="106">
        <f>SUM($G$29:N32)</f>
        <v>4574822.2040427281</v>
      </c>
      <c r="O34" s="106">
        <f>SUM($G$29:O32)</f>
        <v>4920127.6630532043</v>
      </c>
      <c r="P34" s="106">
        <f>SUM($G$29:P32)</f>
        <v>5255259.9371683979</v>
      </c>
      <c r="Q34" s="106">
        <f>SUM($G$29:Q32)</f>
        <v>5683859.3318365095</v>
      </c>
      <c r="R34" s="106">
        <f>SUM($G$29:R32)</f>
        <v>6112458.7265046202</v>
      </c>
      <c r="S34" s="106">
        <f>SUM($G$29:S32)</f>
        <v>6541058.1211727317</v>
      </c>
      <c r="T34" s="106">
        <f>SUM($G$29:T32)</f>
        <v>6969657.5158408433</v>
      </c>
      <c r="U34" s="106">
        <f>SUM($G$29:U32)</f>
        <v>7398256.9105089549</v>
      </c>
      <c r="V34" s="106">
        <f>SUM($G$29:V32)</f>
        <v>7826856.3051770665</v>
      </c>
      <c r="W34" s="106">
        <f>SUM($G$29:W32)</f>
        <v>8255455.6998451781</v>
      </c>
      <c r="X34" s="106">
        <f>SUM($G$29:X32)</f>
        <v>8684055.0945132934</v>
      </c>
      <c r="Y34" s="106">
        <f>SUM($G$29:Y32)</f>
        <v>9112654.4891814087</v>
      </c>
      <c r="Z34" s="106">
        <f>SUM($G$29:Z32)</f>
        <v>9541253.8838495221</v>
      </c>
      <c r="AA34" s="106">
        <f>SUM($G$29:AA32)</f>
        <v>9969853.2785176355</v>
      </c>
    </row>
    <row r="35" spans="1:27" x14ac:dyDescent="0.25">
      <c r="G35" s="106"/>
      <c r="H35" s="106"/>
      <c r="I35" s="106"/>
      <c r="J35" s="106"/>
      <c r="K35" s="106"/>
      <c r="L35" s="106"/>
      <c r="M35" s="106"/>
      <c r="N35" s="106"/>
      <c r="O35" s="106"/>
      <c r="P35" s="106"/>
      <c r="Q35" s="106"/>
      <c r="R35" s="106"/>
      <c r="S35" s="106"/>
      <c r="T35" s="106"/>
      <c r="U35" s="106"/>
      <c r="V35" s="106"/>
      <c r="W35" s="106"/>
      <c r="X35" s="106"/>
      <c r="Y35" s="106"/>
      <c r="Z35" s="106"/>
      <c r="AA35" s="106"/>
    </row>
    <row r="36" spans="1:27" x14ac:dyDescent="0.25">
      <c r="A36" s="101">
        <v>11</v>
      </c>
      <c r="C36" s="100" t="s">
        <v>573</v>
      </c>
      <c r="D36" s="100"/>
    </row>
    <row r="37" spans="1:27" x14ac:dyDescent="0.25">
      <c r="E37" s="106" t="str">
        <f>E7</f>
        <v>Pipes / Storage</v>
      </c>
      <c r="F37" s="47" t="s">
        <v>639</v>
      </c>
      <c r="G37" s="102">
        <f>SUMIFS('INPUT Capex'!AC$48:AC$53,'INPUT Capex'!$A$48:$A$53,$A$1)*IF(G$2=0,DASH!$E$8,1)</f>
        <v>0</v>
      </c>
      <c r="H37" s="102">
        <f>SUMIFS('INPUT Capex'!AD$48:AD$53,'INPUT Capex'!$A$48:$A$53,$A$1)*IF(H$2=0,DASH!$E$8,1)</f>
        <v>12731911.420267019</v>
      </c>
      <c r="I37" s="102">
        <f>SUMIFS('INPUT Capex'!AE$48:AE$53,'INPUT Capex'!$A$48:$A$53,$A$1)*IF(I$2=0,DASH!$E$8,1)</f>
        <v>13148526.32611936</v>
      </c>
      <c r="J37" s="102">
        <f>SUMIFS('INPUT Capex'!AF$48:AF$53,'INPUT Capex'!$A$48:$A$53,$A$1)*IF(J$2=0,DASH!$E$8,1)</f>
        <v>13009894.395617187</v>
      </c>
      <c r="K37" s="102">
        <f>SUMIFS('INPUT Capex'!AG$48:AG$53,'INPUT Capex'!$A$48:$A$53,$A$1)*IF(K$2=0,DASH!$E$8,1)</f>
        <v>13409361.454437556</v>
      </c>
      <c r="L37" s="102">
        <f>SUMIFS('INPUT Capex'!AH$48:AH$53,'INPUT Capex'!$A$48:$A$53,$A$1)*IF(L$2=0,DASH!$E$8,1)</f>
        <v>12951956.441241918</v>
      </c>
      <c r="M37" s="102">
        <f>SUMIFS('INPUT Capex'!AI$48:AI$53,'INPUT Capex'!$A$48:$A$53,$A$1)*IF(M$2=0,DASH!$E$8,1)</f>
        <v>13785672.742911229</v>
      </c>
      <c r="N37" s="102">
        <f>SUMIFS('INPUT Capex'!AJ$48:AJ$53,'INPUT Capex'!$A$48:$A$53,$A$1)*IF(N$2=0,DASH!$E$8,1)</f>
        <v>13517669.775895538</v>
      </c>
      <c r="O37" s="102">
        <f>SUMIFS('INPUT Capex'!AK$48:AK$53,'INPUT Capex'!$A$48:$A$53,$A$1)*IF(O$2=0,DASH!$E$8,1)</f>
        <v>14337696.998172905</v>
      </c>
      <c r="P37" s="102">
        <f>SUMIFS('INPUT Capex'!AL$48:AL$53,'INPUT Capex'!$A$48:$A$53,$A$1)*IF(P$2=0,DASH!$E$8,1)</f>
        <v>14548544.539300503</v>
      </c>
      <c r="Q37" s="102">
        <f>SUMIFS('INPUT Capex'!AM$48:AM$53,'INPUT Capex'!$A$48:$A$53,$A$1)*IF(Q$2=0,DASH!$E$8,1)</f>
        <v>14604828.488976413</v>
      </c>
      <c r="R37" s="102">
        <f>SUMIFS('INPUT Capex'!AN$48:AN$53,'INPUT Capex'!$A$48:$A$53,$A$1)*IF(R$2=0,DASH!$E$8,1)</f>
        <v>14610038.547363196</v>
      </c>
      <c r="S37" s="102">
        <f>SUMIFS('INPUT Capex'!AO$48:AO$53,'INPUT Capex'!$A$48:$A$53,$A$1)*IF(S$2=0,DASH!$E$8,1)</f>
        <v>14531866.317820311</v>
      </c>
      <c r="T37" s="102">
        <f>SUMIFS('INPUT Capex'!AP$48:AP$53,'INPUT Capex'!$A$48:$A$53,$A$1)*IF(T$2=0,DASH!$E$8,1)</f>
        <v>14246211.859359719</v>
      </c>
      <c r="U37" s="102">
        <f>SUMIFS('INPUT Capex'!AQ$48:AQ$53,'INPUT Capex'!$A$48:$A$53,$A$1)*IF(U$2=0,DASH!$E$8,1)</f>
        <v>14214459.486185538</v>
      </c>
      <c r="V37" s="102">
        <f>SUMIFS('INPUT Capex'!AR$48:AR$53,'INPUT Capex'!$A$48:$A$53,$A$1)*IF(V$2=0,DASH!$E$8,1)</f>
        <v>14101936.703524388</v>
      </c>
      <c r="W37" s="102">
        <f>SUMIFS('INPUT Capex'!AS$48:AS$53,'INPUT Capex'!$A$48:$A$53,$A$1)*IF(W$2=0,DASH!$E$8,1)</f>
        <v>14063927.72170865</v>
      </c>
      <c r="X37" s="102">
        <f>SUMIFS('INPUT Capex'!AT$48:AT$53,'INPUT Capex'!$A$48:$A$53,$A$1)*IF(X$2=0,DASH!$E$8,1)</f>
        <v>13919675.302315457</v>
      </c>
      <c r="Y37" s="102">
        <f>SUMIFS('INPUT Capex'!AU$48:AU$53,'INPUT Capex'!$A$48:$A$53,$A$1)*IF(Y$2=0,DASH!$E$8,1)</f>
        <v>13441312.847045427</v>
      </c>
      <c r="Z37" s="102">
        <f>SUMIFS('INPUT Capex'!AV$48:AV$53,'INPUT Capex'!$A$48:$A$53,$A$1)*IF(Z$2=0,DASH!$E$8,1)</f>
        <v>12796913.36449934</v>
      </c>
      <c r="AA37" s="102">
        <f>SUMIFS('INPUT Capex'!AW$48:AW$53,'INPUT Capex'!$A$48:$A$53,$A$1)*IF(AA$2=0,DASH!$E$8,1)</f>
        <v>12072982.010669051</v>
      </c>
    </row>
    <row r="38" spans="1:27" x14ac:dyDescent="0.25">
      <c r="E38" s="106" t="str">
        <f>E8</f>
        <v>Pumps / Valves</v>
      </c>
      <c r="F38" s="47" t="s">
        <v>639</v>
      </c>
      <c r="G38" s="102"/>
      <c r="H38" s="102"/>
      <c r="I38" s="102"/>
      <c r="J38" s="102"/>
      <c r="K38" s="102"/>
      <c r="L38" s="102"/>
      <c r="M38" s="102"/>
      <c r="N38" s="102"/>
      <c r="O38" s="102"/>
      <c r="P38" s="102"/>
      <c r="Q38" s="102"/>
      <c r="R38" s="102"/>
      <c r="S38" s="102"/>
      <c r="T38" s="102"/>
      <c r="U38" s="102"/>
      <c r="V38" s="102"/>
      <c r="W38" s="102"/>
      <c r="X38" s="102"/>
      <c r="Y38" s="102"/>
      <c r="Z38" s="102"/>
      <c r="AA38" s="102"/>
    </row>
    <row r="39" spans="1:27" x14ac:dyDescent="0.25">
      <c r="E39" s="106" t="str">
        <f>E9</f>
        <v>Treatment</v>
      </c>
      <c r="F39" s="47" t="s">
        <v>639</v>
      </c>
      <c r="G39" s="102"/>
      <c r="H39" s="102"/>
      <c r="I39" s="102"/>
      <c r="J39" s="102"/>
      <c r="K39" s="102"/>
      <c r="L39" s="102"/>
      <c r="M39" s="102"/>
      <c r="N39" s="102"/>
      <c r="O39" s="102"/>
      <c r="P39" s="102"/>
      <c r="Q39" s="102"/>
      <c r="R39" s="102"/>
      <c r="S39" s="102"/>
      <c r="T39" s="102"/>
      <c r="U39" s="102"/>
      <c r="V39" s="102"/>
      <c r="W39" s="102"/>
      <c r="X39" s="102"/>
      <c r="Y39" s="102"/>
      <c r="Z39" s="102"/>
      <c r="AA39" s="102"/>
    </row>
    <row r="40" spans="1:27" x14ac:dyDescent="0.25">
      <c r="E40" s="106" t="str">
        <f>E10</f>
        <v>Temporary Assets</v>
      </c>
      <c r="F40" s="47" t="s">
        <v>639</v>
      </c>
      <c r="G40" s="102"/>
      <c r="H40" s="102"/>
      <c r="I40" s="102"/>
      <c r="J40" s="102"/>
      <c r="K40" s="102"/>
      <c r="L40" s="102"/>
      <c r="M40" s="102"/>
      <c r="N40" s="102"/>
      <c r="O40" s="102"/>
      <c r="P40" s="102"/>
      <c r="Q40" s="102"/>
      <c r="R40" s="102"/>
      <c r="S40" s="102"/>
      <c r="T40" s="102"/>
      <c r="U40" s="102"/>
      <c r="V40" s="102"/>
      <c r="W40" s="102"/>
      <c r="X40" s="102"/>
      <c r="Y40" s="102"/>
      <c r="Z40" s="102"/>
      <c r="AA40" s="102"/>
    </row>
    <row r="41" spans="1:27" x14ac:dyDescent="0.25">
      <c r="E41" s="47" t="s">
        <v>640</v>
      </c>
      <c r="F41" s="47" t="s">
        <v>639</v>
      </c>
      <c r="G41" s="102"/>
      <c r="H41" s="102"/>
      <c r="I41" s="102"/>
      <c r="J41" s="102"/>
      <c r="K41" s="102"/>
      <c r="L41" s="102"/>
      <c r="M41" s="102"/>
      <c r="N41" s="102"/>
      <c r="O41" s="102"/>
      <c r="P41" s="102"/>
      <c r="Q41" s="102"/>
      <c r="R41" s="102"/>
      <c r="S41" s="102"/>
      <c r="T41" s="102"/>
      <c r="U41" s="102"/>
      <c r="V41" s="102"/>
      <c r="W41" s="102"/>
      <c r="X41" s="102"/>
      <c r="Y41" s="102"/>
      <c r="Z41" s="102"/>
      <c r="AA41" s="102"/>
    </row>
    <row r="42" spans="1:27" x14ac:dyDescent="0.25">
      <c r="G42" s="106">
        <f>SUM(G37:G41)</f>
        <v>0</v>
      </c>
      <c r="H42" s="106">
        <f t="shared" ref="H42:AA42" si="5">SUM(H37:H41)</f>
        <v>12731911.420267019</v>
      </c>
      <c r="I42" s="106">
        <f t="shared" si="5"/>
        <v>13148526.32611936</v>
      </c>
      <c r="J42" s="106">
        <f t="shared" si="5"/>
        <v>13009894.395617187</v>
      </c>
      <c r="K42" s="106">
        <f t="shared" si="5"/>
        <v>13409361.454437556</v>
      </c>
      <c r="L42" s="106">
        <f t="shared" si="5"/>
        <v>12951956.441241918</v>
      </c>
      <c r="M42" s="106">
        <f t="shared" si="5"/>
        <v>13785672.742911229</v>
      </c>
      <c r="N42" s="106">
        <f t="shared" si="5"/>
        <v>13517669.775895538</v>
      </c>
      <c r="O42" s="106">
        <f t="shared" si="5"/>
        <v>14337696.998172905</v>
      </c>
      <c r="P42" s="106">
        <f t="shared" si="5"/>
        <v>14548544.539300503</v>
      </c>
      <c r="Q42" s="106">
        <f t="shared" si="5"/>
        <v>14604828.488976413</v>
      </c>
      <c r="R42" s="106">
        <f t="shared" si="5"/>
        <v>14610038.547363196</v>
      </c>
      <c r="S42" s="106">
        <f t="shared" si="5"/>
        <v>14531866.317820311</v>
      </c>
      <c r="T42" s="106">
        <f t="shared" si="5"/>
        <v>14246211.859359719</v>
      </c>
      <c r="U42" s="106">
        <f t="shared" si="5"/>
        <v>14214459.486185538</v>
      </c>
      <c r="V42" s="106">
        <f t="shared" si="5"/>
        <v>14101936.703524388</v>
      </c>
      <c r="W42" s="106">
        <f t="shared" si="5"/>
        <v>14063927.72170865</v>
      </c>
      <c r="X42" s="106">
        <f t="shared" si="5"/>
        <v>13919675.302315457</v>
      </c>
      <c r="Y42" s="106">
        <f t="shared" si="5"/>
        <v>13441312.847045427</v>
      </c>
      <c r="Z42" s="106">
        <f t="shared" si="5"/>
        <v>12796913.36449934</v>
      </c>
      <c r="AA42" s="106">
        <f t="shared" si="5"/>
        <v>12072982.010669051</v>
      </c>
    </row>
    <row r="43" spans="1:27" x14ac:dyDescent="0.25">
      <c r="G43" s="106"/>
      <c r="H43" s="106"/>
      <c r="I43" s="106"/>
      <c r="J43" s="106"/>
      <c r="K43" s="106"/>
      <c r="L43" s="106"/>
      <c r="M43" s="106"/>
      <c r="N43" s="106"/>
      <c r="O43" s="106"/>
      <c r="P43" s="106"/>
      <c r="Q43" s="106"/>
    </row>
    <row r="44" spans="1:27" x14ac:dyDescent="0.25">
      <c r="D44" s="47" t="s">
        <v>643</v>
      </c>
      <c r="G44" s="106"/>
      <c r="H44" s="106"/>
      <c r="I44" s="106"/>
      <c r="J44" s="106"/>
      <c r="K44" s="106"/>
      <c r="L44" s="106"/>
      <c r="M44" s="106"/>
      <c r="N44" s="106"/>
      <c r="O44" s="106"/>
      <c r="P44" s="106"/>
      <c r="Q44" s="106"/>
    </row>
    <row r="45" spans="1:27" x14ac:dyDescent="0.25">
      <c r="E45" s="106" t="str">
        <f>E37</f>
        <v>Pipes / Storage</v>
      </c>
      <c r="F45" s="47" t="s">
        <v>639</v>
      </c>
      <c r="G45" s="106">
        <f>G37/$G7+IF((G$2-$G7+1)&gt;0,-INDEX($G37:$AP37,1,(G$2-$G7+1))/$G7,0)</f>
        <v>0</v>
      </c>
      <c r="H45" s="106">
        <f t="shared" ref="H45:AA45" si="6">H37/$G7+IF((H$2-$G7+1)&gt;0,-INDEX($G37:$AP37,1,(H$2-$G7+1))/$G7,0)</f>
        <v>141465.68244741132</v>
      </c>
      <c r="I45" s="106">
        <f t="shared" si="6"/>
        <v>146094.73695688177</v>
      </c>
      <c r="J45" s="106">
        <f t="shared" si="6"/>
        <v>144554.3821735243</v>
      </c>
      <c r="K45" s="106">
        <f t="shared" si="6"/>
        <v>148992.90504930617</v>
      </c>
      <c r="L45" s="106">
        <f t="shared" si="6"/>
        <v>143910.62712491021</v>
      </c>
      <c r="M45" s="106">
        <f t="shared" si="6"/>
        <v>153174.14158790253</v>
      </c>
      <c r="N45" s="106">
        <f t="shared" si="6"/>
        <v>150196.33084328377</v>
      </c>
      <c r="O45" s="106">
        <f t="shared" si="6"/>
        <v>159307.7444241434</v>
      </c>
      <c r="P45" s="106">
        <f t="shared" si="6"/>
        <v>161650.4948811167</v>
      </c>
      <c r="Q45" s="106">
        <f t="shared" si="6"/>
        <v>162275.87209973793</v>
      </c>
      <c r="R45" s="106">
        <f t="shared" si="6"/>
        <v>162333.76163736885</v>
      </c>
      <c r="S45" s="106">
        <f t="shared" si="6"/>
        <v>161465.18130911456</v>
      </c>
      <c r="T45" s="106">
        <f t="shared" si="6"/>
        <v>158291.24288177464</v>
      </c>
      <c r="U45" s="106">
        <f t="shared" si="6"/>
        <v>157938.43873539486</v>
      </c>
      <c r="V45" s="106">
        <f t="shared" si="6"/>
        <v>156688.18559471544</v>
      </c>
      <c r="W45" s="106">
        <f t="shared" si="6"/>
        <v>156265.86357454056</v>
      </c>
      <c r="X45" s="106">
        <f t="shared" si="6"/>
        <v>154663.05891461618</v>
      </c>
      <c r="Y45" s="106">
        <f t="shared" si="6"/>
        <v>149347.92052272696</v>
      </c>
      <c r="Z45" s="106">
        <f t="shared" si="6"/>
        <v>142187.92627221489</v>
      </c>
      <c r="AA45" s="106">
        <f t="shared" si="6"/>
        <v>134144.24456298945</v>
      </c>
    </row>
    <row r="46" spans="1:27" x14ac:dyDescent="0.25">
      <c r="E46" s="106" t="str">
        <f t="shared" ref="E46:E48" si="7">E38</f>
        <v>Pumps / Valves</v>
      </c>
      <c r="F46" s="47" t="s">
        <v>639</v>
      </c>
      <c r="G46" s="106">
        <f t="shared" ref="G46:AA48" si="8">G38/$G8+IF((G$2-$G8+1)&gt;0,-INDEX($G38:$AP38,1,(G$2-$G8+1))/$G8,0)</f>
        <v>0</v>
      </c>
      <c r="H46" s="106">
        <f t="shared" si="8"/>
        <v>0</v>
      </c>
      <c r="I46" s="106">
        <f t="shared" si="8"/>
        <v>0</v>
      </c>
      <c r="J46" s="106">
        <f t="shared" si="8"/>
        <v>0</v>
      </c>
      <c r="K46" s="106">
        <f t="shared" si="8"/>
        <v>0</v>
      </c>
      <c r="L46" s="106">
        <f t="shared" si="8"/>
        <v>0</v>
      </c>
      <c r="M46" s="106">
        <f t="shared" si="8"/>
        <v>0</v>
      </c>
      <c r="N46" s="106">
        <f t="shared" si="8"/>
        <v>0</v>
      </c>
      <c r="O46" s="106">
        <f t="shared" si="8"/>
        <v>0</v>
      </c>
      <c r="P46" s="106">
        <f t="shared" si="8"/>
        <v>0</v>
      </c>
      <c r="Q46" s="106">
        <f t="shared" si="8"/>
        <v>0</v>
      </c>
      <c r="R46" s="106">
        <f t="shared" si="8"/>
        <v>0</v>
      </c>
      <c r="S46" s="106">
        <f t="shared" si="8"/>
        <v>0</v>
      </c>
      <c r="T46" s="106">
        <f t="shared" si="8"/>
        <v>0</v>
      </c>
      <c r="U46" s="106">
        <f t="shared" si="8"/>
        <v>0</v>
      </c>
      <c r="V46" s="106">
        <f t="shared" si="8"/>
        <v>0</v>
      </c>
      <c r="W46" s="106">
        <f t="shared" si="8"/>
        <v>0</v>
      </c>
      <c r="X46" s="106">
        <f t="shared" si="8"/>
        <v>0</v>
      </c>
      <c r="Y46" s="106">
        <f t="shared" si="8"/>
        <v>0</v>
      </c>
      <c r="Z46" s="106">
        <f t="shared" si="8"/>
        <v>0</v>
      </c>
      <c r="AA46" s="106">
        <f t="shared" si="8"/>
        <v>0</v>
      </c>
    </row>
    <row r="47" spans="1:27" x14ac:dyDescent="0.25">
      <c r="E47" s="106" t="str">
        <f t="shared" si="7"/>
        <v>Treatment</v>
      </c>
      <c r="F47" s="47" t="s">
        <v>639</v>
      </c>
      <c r="G47" s="106">
        <f t="shared" si="8"/>
        <v>0</v>
      </c>
      <c r="H47" s="106">
        <f t="shared" si="8"/>
        <v>0</v>
      </c>
      <c r="I47" s="106">
        <f t="shared" si="8"/>
        <v>0</v>
      </c>
      <c r="J47" s="106">
        <f t="shared" si="8"/>
        <v>0</v>
      </c>
      <c r="K47" s="106">
        <f t="shared" si="8"/>
        <v>0</v>
      </c>
      <c r="L47" s="106">
        <f t="shared" si="8"/>
        <v>0</v>
      </c>
      <c r="M47" s="106">
        <f t="shared" si="8"/>
        <v>0</v>
      </c>
      <c r="N47" s="106">
        <f t="shared" si="8"/>
        <v>0</v>
      </c>
      <c r="O47" s="106">
        <f t="shared" si="8"/>
        <v>0</v>
      </c>
      <c r="P47" s="106">
        <f t="shared" si="8"/>
        <v>0</v>
      </c>
      <c r="Q47" s="106">
        <f t="shared" si="8"/>
        <v>0</v>
      </c>
      <c r="R47" s="106">
        <f t="shared" si="8"/>
        <v>0</v>
      </c>
      <c r="S47" s="106">
        <f t="shared" si="8"/>
        <v>0</v>
      </c>
      <c r="T47" s="106">
        <f t="shared" si="8"/>
        <v>0</v>
      </c>
      <c r="U47" s="106">
        <f t="shared" si="8"/>
        <v>0</v>
      </c>
      <c r="V47" s="106">
        <f t="shared" si="8"/>
        <v>0</v>
      </c>
      <c r="W47" s="106">
        <f t="shared" si="8"/>
        <v>0</v>
      </c>
      <c r="X47" s="106">
        <f t="shared" si="8"/>
        <v>0</v>
      </c>
      <c r="Y47" s="106">
        <f t="shared" si="8"/>
        <v>0</v>
      </c>
      <c r="Z47" s="106">
        <f t="shared" si="8"/>
        <v>0</v>
      </c>
      <c r="AA47" s="106">
        <f t="shared" si="8"/>
        <v>0</v>
      </c>
    </row>
    <row r="48" spans="1:27" x14ac:dyDescent="0.25">
      <c r="E48" s="106" t="str">
        <f t="shared" si="7"/>
        <v>Temporary Assets</v>
      </c>
      <c r="F48" s="47" t="s">
        <v>639</v>
      </c>
      <c r="G48" s="106">
        <f t="shared" si="8"/>
        <v>0</v>
      </c>
      <c r="H48" s="106">
        <f t="shared" si="8"/>
        <v>0</v>
      </c>
      <c r="I48" s="106">
        <f t="shared" si="8"/>
        <v>0</v>
      </c>
      <c r="J48" s="106">
        <f t="shared" si="8"/>
        <v>0</v>
      </c>
      <c r="K48" s="106">
        <f t="shared" si="8"/>
        <v>0</v>
      </c>
      <c r="L48" s="106">
        <f t="shared" si="8"/>
        <v>0</v>
      </c>
      <c r="M48" s="106">
        <f t="shared" si="8"/>
        <v>0</v>
      </c>
      <c r="N48" s="106">
        <f t="shared" si="8"/>
        <v>0</v>
      </c>
      <c r="O48" s="106">
        <f t="shared" si="8"/>
        <v>0</v>
      </c>
      <c r="P48" s="106">
        <f t="shared" si="8"/>
        <v>0</v>
      </c>
      <c r="Q48" s="106">
        <f t="shared" si="8"/>
        <v>0</v>
      </c>
      <c r="R48" s="106">
        <f t="shared" si="8"/>
        <v>0</v>
      </c>
      <c r="S48" s="106">
        <f t="shared" si="8"/>
        <v>0</v>
      </c>
      <c r="T48" s="106">
        <f t="shared" si="8"/>
        <v>0</v>
      </c>
      <c r="U48" s="106">
        <f t="shared" si="8"/>
        <v>0</v>
      </c>
      <c r="V48" s="106">
        <f t="shared" si="8"/>
        <v>0</v>
      </c>
      <c r="W48" s="106">
        <f t="shared" si="8"/>
        <v>0</v>
      </c>
      <c r="X48" s="106">
        <f t="shared" si="8"/>
        <v>0</v>
      </c>
      <c r="Y48" s="106">
        <f t="shared" si="8"/>
        <v>0</v>
      </c>
      <c r="Z48" s="106">
        <f t="shared" si="8"/>
        <v>0</v>
      </c>
      <c r="AA48" s="106">
        <f t="shared" si="8"/>
        <v>0</v>
      </c>
    </row>
    <row r="49" spans="1:27" x14ac:dyDescent="0.25">
      <c r="G49" s="106"/>
      <c r="H49" s="106"/>
      <c r="I49" s="106"/>
      <c r="J49" s="106"/>
      <c r="K49" s="106"/>
      <c r="L49" s="106"/>
      <c r="M49" s="106"/>
      <c r="N49" s="106"/>
      <c r="O49" s="106"/>
      <c r="P49" s="106"/>
      <c r="Q49" s="106"/>
    </row>
    <row r="50" spans="1:27" x14ac:dyDescent="0.25">
      <c r="D50" s="47" t="s">
        <v>644</v>
      </c>
      <c r="F50" s="47" t="s">
        <v>639</v>
      </c>
      <c r="G50" s="106">
        <f>SUM($G$45:G48)</f>
        <v>0</v>
      </c>
      <c r="H50" s="106">
        <f>SUM($G$45:H48)</f>
        <v>141465.68244741132</v>
      </c>
      <c r="I50" s="106">
        <f>SUM($G$45:I48)</f>
        <v>287560.41940429306</v>
      </c>
      <c r="J50" s="106">
        <f>SUM($G$45:J48)</f>
        <v>432114.80157781736</v>
      </c>
      <c r="K50" s="106">
        <f>SUM($G$45:K48)</f>
        <v>581107.70662712352</v>
      </c>
      <c r="L50" s="106">
        <f>SUM($G$45:L48)</f>
        <v>725018.33375203377</v>
      </c>
      <c r="M50" s="106">
        <f>SUM($G$45:M48)</f>
        <v>878192.47533993633</v>
      </c>
      <c r="N50" s="106">
        <f>SUM($G$45:N48)</f>
        <v>1028388.8061832201</v>
      </c>
      <c r="O50" s="106">
        <f>SUM($G$45:O48)</f>
        <v>1187696.5506073635</v>
      </c>
      <c r="P50" s="106">
        <f>SUM($G$45:P48)</f>
        <v>1349347.0454884802</v>
      </c>
      <c r="Q50" s="106">
        <f>SUM($G$45:Q48)</f>
        <v>1511622.9175882181</v>
      </c>
      <c r="R50" s="106">
        <f>SUM($G$45:R48)</f>
        <v>1673956.6792255871</v>
      </c>
      <c r="S50" s="106">
        <f>SUM($G$45:S48)</f>
        <v>1835421.8605347015</v>
      </c>
      <c r="T50" s="106">
        <f>SUM($G$45:T48)</f>
        <v>1993713.1034164762</v>
      </c>
      <c r="U50" s="106">
        <f>SUM($G$45:U48)</f>
        <v>2151651.5421518711</v>
      </c>
      <c r="V50" s="106">
        <f>SUM($G$45:V48)</f>
        <v>2308339.7277465868</v>
      </c>
      <c r="W50" s="106">
        <f>SUM($G$45:W48)</f>
        <v>2464605.5913211275</v>
      </c>
      <c r="X50" s="106">
        <f>SUM($G$45:X48)</f>
        <v>2619268.6502357437</v>
      </c>
      <c r="Y50" s="106">
        <f>SUM($G$45:Y48)</f>
        <v>2768616.5707584708</v>
      </c>
      <c r="Z50" s="106">
        <f>SUM($G$45:Z48)</f>
        <v>2910804.4970306857</v>
      </c>
      <c r="AA50" s="106">
        <f>SUM($G$45:AA48)</f>
        <v>3044948.7415936752</v>
      </c>
    </row>
    <row r="51" spans="1:27" x14ac:dyDescent="0.25">
      <c r="G51" s="106"/>
      <c r="H51" s="106"/>
      <c r="I51" s="106"/>
      <c r="J51" s="106"/>
      <c r="K51" s="106"/>
      <c r="L51" s="106"/>
      <c r="M51" s="106"/>
      <c r="N51" s="106"/>
      <c r="O51" s="106"/>
      <c r="P51" s="106"/>
      <c r="Q51" s="106"/>
      <c r="R51" s="106"/>
      <c r="S51" s="106"/>
      <c r="T51" s="106"/>
      <c r="U51" s="106"/>
      <c r="V51" s="106"/>
      <c r="W51" s="106"/>
      <c r="X51" s="106"/>
      <c r="Y51" s="106"/>
      <c r="Z51" s="106"/>
      <c r="AA51" s="106"/>
    </row>
    <row r="52" spans="1:27" x14ac:dyDescent="0.25">
      <c r="A52" s="101">
        <v>12</v>
      </c>
      <c r="C52" s="100" t="s">
        <v>645</v>
      </c>
      <c r="G52" s="106"/>
      <c r="H52" s="106"/>
      <c r="I52" s="106"/>
      <c r="J52" s="106"/>
      <c r="K52" s="106"/>
      <c r="L52" s="106"/>
      <c r="M52" s="106"/>
      <c r="N52" s="106"/>
      <c r="O52" s="106"/>
      <c r="P52" s="106"/>
      <c r="Q52" s="106"/>
      <c r="R52" s="106"/>
      <c r="S52" s="106"/>
      <c r="T52" s="106"/>
      <c r="U52" s="106"/>
      <c r="V52" s="106"/>
      <c r="W52" s="106"/>
      <c r="X52" s="106"/>
      <c r="Y52" s="106"/>
      <c r="Z52" s="106"/>
      <c r="AA52" s="106"/>
    </row>
    <row r="53" spans="1:27" x14ac:dyDescent="0.25">
      <c r="E53" s="47" t="s">
        <v>645</v>
      </c>
      <c r="F53" s="47" t="s">
        <v>639</v>
      </c>
      <c r="G53" s="102"/>
      <c r="H53" s="102"/>
      <c r="I53" s="102"/>
      <c r="J53" s="102"/>
      <c r="K53" s="102"/>
      <c r="L53" s="102"/>
      <c r="M53" s="102"/>
      <c r="N53" s="102"/>
      <c r="O53" s="102"/>
      <c r="P53" s="102"/>
      <c r="Q53" s="102"/>
      <c r="R53" s="102"/>
      <c r="S53" s="102"/>
      <c r="T53" s="102"/>
      <c r="U53" s="102"/>
      <c r="V53" s="102"/>
      <c r="W53" s="102"/>
      <c r="X53" s="102"/>
      <c r="Y53" s="102"/>
      <c r="Z53" s="102"/>
      <c r="AA53" s="102"/>
    </row>
    <row r="55" spans="1:27" x14ac:dyDescent="0.25">
      <c r="C55" s="100" t="s">
        <v>646</v>
      </c>
      <c r="D55" s="100"/>
    </row>
    <row r="56" spans="1:27" x14ac:dyDescent="0.25">
      <c r="A56" s="101">
        <v>13</v>
      </c>
      <c r="D56" s="47" t="s">
        <v>647</v>
      </c>
    </row>
    <row r="57" spans="1:27" x14ac:dyDescent="0.25">
      <c r="E57" s="106" t="str">
        <f>E7</f>
        <v>Pipes / Storage</v>
      </c>
      <c r="F57" s="47" t="s">
        <v>639</v>
      </c>
      <c r="G57" s="102"/>
      <c r="H57" s="102"/>
      <c r="I57" s="102"/>
      <c r="J57" s="102"/>
      <c r="K57" s="102"/>
      <c r="L57" s="102"/>
      <c r="M57" s="102"/>
      <c r="N57" s="102"/>
      <c r="O57" s="102"/>
      <c r="P57" s="102"/>
      <c r="Q57" s="102"/>
      <c r="R57" s="102"/>
      <c r="S57" s="102"/>
      <c r="T57" s="102"/>
      <c r="U57" s="102"/>
      <c r="V57" s="102"/>
      <c r="W57" s="102"/>
      <c r="X57" s="102"/>
      <c r="Y57" s="102"/>
      <c r="Z57" s="102"/>
      <c r="AA57" s="102"/>
    </row>
    <row r="58" spans="1:27" x14ac:dyDescent="0.25">
      <c r="E58" s="106" t="str">
        <f>E8</f>
        <v>Pumps / Valves</v>
      </c>
      <c r="F58" s="47" t="s">
        <v>639</v>
      </c>
      <c r="G58" s="102"/>
      <c r="H58" s="102"/>
      <c r="I58" s="102"/>
      <c r="J58" s="102"/>
      <c r="K58" s="102"/>
      <c r="L58" s="102"/>
      <c r="M58" s="102"/>
      <c r="N58" s="102"/>
      <c r="O58" s="102"/>
      <c r="P58" s="102"/>
      <c r="Q58" s="102"/>
      <c r="R58" s="102"/>
      <c r="S58" s="102"/>
      <c r="T58" s="102"/>
      <c r="U58" s="102"/>
      <c r="V58" s="102"/>
      <c r="W58" s="102"/>
      <c r="X58" s="102"/>
      <c r="Y58" s="102"/>
      <c r="Z58" s="102"/>
      <c r="AA58" s="102"/>
    </row>
    <row r="59" spans="1:27" x14ac:dyDescent="0.25">
      <c r="E59" s="106" t="str">
        <f>E9</f>
        <v>Treatment</v>
      </c>
      <c r="F59" s="47" t="s">
        <v>639</v>
      </c>
      <c r="G59" s="102"/>
      <c r="H59" s="102"/>
      <c r="I59" s="102"/>
      <c r="J59" s="102"/>
      <c r="K59" s="102"/>
      <c r="L59" s="102"/>
      <c r="M59" s="102"/>
      <c r="N59" s="102"/>
      <c r="O59" s="102"/>
      <c r="P59" s="102"/>
      <c r="Q59" s="102"/>
      <c r="R59" s="102"/>
      <c r="S59" s="102"/>
      <c r="T59" s="102"/>
      <c r="U59" s="102"/>
      <c r="V59" s="102"/>
      <c r="W59" s="102"/>
      <c r="X59" s="102"/>
      <c r="Y59" s="102"/>
      <c r="Z59" s="102"/>
      <c r="AA59" s="102"/>
    </row>
    <row r="60" spans="1:27" x14ac:dyDescent="0.25">
      <c r="E60" s="47" t="s">
        <v>640</v>
      </c>
      <c r="F60" s="47" t="s">
        <v>639</v>
      </c>
      <c r="G60" s="102"/>
      <c r="H60" s="102"/>
      <c r="I60" s="102"/>
      <c r="J60" s="102"/>
      <c r="K60" s="102"/>
      <c r="L60" s="102"/>
      <c r="M60" s="102"/>
      <c r="N60" s="102"/>
      <c r="O60" s="102"/>
      <c r="P60" s="102"/>
      <c r="Q60" s="102"/>
      <c r="R60" s="102"/>
      <c r="S60" s="102"/>
      <c r="T60" s="102"/>
      <c r="U60" s="102"/>
      <c r="V60" s="102"/>
      <c r="W60" s="102"/>
      <c r="X60" s="102"/>
      <c r="Y60" s="102"/>
      <c r="Z60" s="102"/>
      <c r="AA60" s="102"/>
    </row>
    <row r="61" spans="1:27" x14ac:dyDescent="0.25">
      <c r="G61" s="106">
        <f>SUM(G57:G60)</f>
        <v>0</v>
      </c>
      <c r="H61" s="106">
        <f t="shared" ref="H61:AA61" si="9">SUM(H57:H60)</f>
        <v>0</v>
      </c>
      <c r="I61" s="106">
        <f t="shared" si="9"/>
        <v>0</v>
      </c>
      <c r="J61" s="106">
        <f t="shared" si="9"/>
        <v>0</v>
      </c>
      <c r="K61" s="106">
        <f t="shared" si="9"/>
        <v>0</v>
      </c>
      <c r="L61" s="106">
        <f t="shared" si="9"/>
        <v>0</v>
      </c>
      <c r="M61" s="106">
        <f t="shared" si="9"/>
        <v>0</v>
      </c>
      <c r="N61" s="106">
        <f t="shared" si="9"/>
        <v>0</v>
      </c>
      <c r="O61" s="106">
        <f t="shared" si="9"/>
        <v>0</v>
      </c>
      <c r="P61" s="106">
        <f t="shared" si="9"/>
        <v>0</v>
      </c>
      <c r="Q61" s="106">
        <f t="shared" si="9"/>
        <v>0</v>
      </c>
      <c r="R61" s="106">
        <f t="shared" si="9"/>
        <v>0</v>
      </c>
      <c r="S61" s="106">
        <f t="shared" si="9"/>
        <v>0</v>
      </c>
      <c r="T61" s="106">
        <f t="shared" si="9"/>
        <v>0</v>
      </c>
      <c r="U61" s="106">
        <f t="shared" si="9"/>
        <v>0</v>
      </c>
      <c r="V61" s="106">
        <f t="shared" si="9"/>
        <v>0</v>
      </c>
      <c r="W61" s="106">
        <f t="shared" si="9"/>
        <v>0</v>
      </c>
      <c r="X61" s="106">
        <f t="shared" si="9"/>
        <v>0</v>
      </c>
      <c r="Y61" s="106">
        <f t="shared" si="9"/>
        <v>0</v>
      </c>
      <c r="Z61" s="106">
        <f t="shared" si="9"/>
        <v>0</v>
      </c>
      <c r="AA61" s="106">
        <f t="shared" si="9"/>
        <v>0</v>
      </c>
    </row>
    <row r="63" spans="1:27" x14ac:dyDescent="0.25">
      <c r="D63" s="47" t="s">
        <v>648</v>
      </c>
      <c r="G63" s="106"/>
      <c r="H63" s="106"/>
      <c r="I63" s="106"/>
      <c r="J63" s="106"/>
      <c r="K63" s="106"/>
      <c r="L63" s="106"/>
      <c r="M63" s="106"/>
      <c r="N63" s="106"/>
      <c r="O63" s="106"/>
      <c r="P63" s="106"/>
      <c r="Q63" s="106"/>
    </row>
    <row r="64" spans="1:27" x14ac:dyDescent="0.25">
      <c r="E64" s="106" t="str">
        <f>E57</f>
        <v>Pipes / Storage</v>
      </c>
      <c r="F64" s="47" t="s">
        <v>639</v>
      </c>
      <c r="G64" s="106">
        <f>G57/$G7+IF((G$2-$G7+1)&gt;0,-INDEX($G57:$AP57,1,(G$2-$G7+1))/$G7,0)</f>
        <v>0</v>
      </c>
      <c r="H64" s="106">
        <f t="shared" ref="H64:AA64" si="10">H57/$G7+IF((H$2-$G7+1)&gt;0,-INDEX($G57:$AP57,1,(H$2-$G7+1))/$G7,0)</f>
        <v>0</v>
      </c>
      <c r="I64" s="106">
        <f t="shared" si="10"/>
        <v>0</v>
      </c>
      <c r="J64" s="106">
        <f t="shared" si="10"/>
        <v>0</v>
      </c>
      <c r="K64" s="106">
        <f t="shared" si="10"/>
        <v>0</v>
      </c>
      <c r="L64" s="106">
        <f t="shared" si="10"/>
        <v>0</v>
      </c>
      <c r="M64" s="106">
        <f t="shared" si="10"/>
        <v>0</v>
      </c>
      <c r="N64" s="106">
        <f t="shared" si="10"/>
        <v>0</v>
      </c>
      <c r="O64" s="106">
        <f t="shared" si="10"/>
        <v>0</v>
      </c>
      <c r="P64" s="106">
        <f t="shared" si="10"/>
        <v>0</v>
      </c>
      <c r="Q64" s="106">
        <f t="shared" si="10"/>
        <v>0</v>
      </c>
      <c r="R64" s="106">
        <f t="shared" si="10"/>
        <v>0</v>
      </c>
      <c r="S64" s="106">
        <f t="shared" si="10"/>
        <v>0</v>
      </c>
      <c r="T64" s="106">
        <f t="shared" si="10"/>
        <v>0</v>
      </c>
      <c r="U64" s="106">
        <f t="shared" si="10"/>
        <v>0</v>
      </c>
      <c r="V64" s="106">
        <f t="shared" si="10"/>
        <v>0</v>
      </c>
      <c r="W64" s="106">
        <f t="shared" si="10"/>
        <v>0</v>
      </c>
      <c r="X64" s="106">
        <f t="shared" si="10"/>
        <v>0</v>
      </c>
      <c r="Y64" s="106">
        <f t="shared" si="10"/>
        <v>0</v>
      </c>
      <c r="Z64" s="106">
        <f t="shared" si="10"/>
        <v>0</v>
      </c>
      <c r="AA64" s="106">
        <f t="shared" si="10"/>
        <v>0</v>
      </c>
    </row>
    <row r="65" spans="1:27" x14ac:dyDescent="0.25">
      <c r="E65" s="106" t="str">
        <f t="shared" ref="E65:E66" si="11">E58</f>
        <v>Pumps / Valves</v>
      </c>
      <c r="F65" s="47" t="s">
        <v>639</v>
      </c>
      <c r="G65" s="106">
        <f t="shared" ref="G65:AA66" si="12">G58/$G8+IF((G$2-$G8+1)&gt;0,-INDEX($G58:$AP58,1,(G$2-$G8+1))/$G8,0)</f>
        <v>0</v>
      </c>
      <c r="H65" s="106">
        <f t="shared" si="12"/>
        <v>0</v>
      </c>
      <c r="I65" s="106">
        <f t="shared" si="12"/>
        <v>0</v>
      </c>
      <c r="J65" s="106">
        <f t="shared" si="12"/>
        <v>0</v>
      </c>
      <c r="K65" s="106">
        <f t="shared" si="12"/>
        <v>0</v>
      </c>
      <c r="L65" s="106">
        <f t="shared" si="12"/>
        <v>0</v>
      </c>
      <c r="M65" s="106">
        <f t="shared" si="12"/>
        <v>0</v>
      </c>
      <c r="N65" s="106">
        <f t="shared" si="12"/>
        <v>0</v>
      </c>
      <c r="O65" s="106">
        <f t="shared" si="12"/>
        <v>0</v>
      </c>
      <c r="P65" s="106">
        <f t="shared" si="12"/>
        <v>0</v>
      </c>
      <c r="Q65" s="106">
        <f t="shared" si="12"/>
        <v>0</v>
      </c>
      <c r="R65" s="106">
        <f t="shared" si="12"/>
        <v>0</v>
      </c>
      <c r="S65" s="106">
        <f t="shared" si="12"/>
        <v>0</v>
      </c>
      <c r="T65" s="106">
        <f t="shared" si="12"/>
        <v>0</v>
      </c>
      <c r="U65" s="106">
        <f t="shared" si="12"/>
        <v>0</v>
      </c>
      <c r="V65" s="106">
        <f t="shared" si="12"/>
        <v>0</v>
      </c>
      <c r="W65" s="106">
        <f t="shared" si="12"/>
        <v>0</v>
      </c>
      <c r="X65" s="106">
        <f t="shared" si="12"/>
        <v>0</v>
      </c>
      <c r="Y65" s="106">
        <f t="shared" si="12"/>
        <v>0</v>
      </c>
      <c r="Z65" s="106">
        <f t="shared" si="12"/>
        <v>0</v>
      </c>
      <c r="AA65" s="106">
        <f t="shared" si="12"/>
        <v>0</v>
      </c>
    </row>
    <row r="66" spans="1:27" x14ac:dyDescent="0.25">
      <c r="E66" s="106" t="str">
        <f t="shared" si="11"/>
        <v>Treatment</v>
      </c>
      <c r="F66" s="47" t="s">
        <v>639</v>
      </c>
      <c r="G66" s="106">
        <f t="shared" si="12"/>
        <v>0</v>
      </c>
      <c r="H66" s="106">
        <f t="shared" si="12"/>
        <v>0</v>
      </c>
      <c r="I66" s="106">
        <f t="shared" si="12"/>
        <v>0</v>
      </c>
      <c r="J66" s="106">
        <f t="shared" si="12"/>
        <v>0</v>
      </c>
      <c r="K66" s="106">
        <f t="shared" si="12"/>
        <v>0</v>
      </c>
      <c r="L66" s="106">
        <f t="shared" si="12"/>
        <v>0</v>
      </c>
      <c r="M66" s="106">
        <f t="shared" si="12"/>
        <v>0</v>
      </c>
      <c r="N66" s="106">
        <f t="shared" si="12"/>
        <v>0</v>
      </c>
      <c r="O66" s="106">
        <f t="shared" si="12"/>
        <v>0</v>
      </c>
      <c r="P66" s="106">
        <f t="shared" si="12"/>
        <v>0</v>
      </c>
      <c r="Q66" s="106">
        <f t="shared" si="12"/>
        <v>0</v>
      </c>
      <c r="R66" s="106">
        <f t="shared" si="12"/>
        <v>0</v>
      </c>
      <c r="S66" s="106">
        <f t="shared" si="12"/>
        <v>0</v>
      </c>
      <c r="T66" s="106">
        <f t="shared" si="12"/>
        <v>0</v>
      </c>
      <c r="U66" s="106">
        <f t="shared" si="12"/>
        <v>0</v>
      </c>
      <c r="V66" s="106">
        <f t="shared" si="12"/>
        <v>0</v>
      </c>
      <c r="W66" s="106">
        <f t="shared" si="12"/>
        <v>0</v>
      </c>
      <c r="X66" s="106">
        <f t="shared" si="12"/>
        <v>0</v>
      </c>
      <c r="Y66" s="106">
        <f t="shared" si="12"/>
        <v>0</v>
      </c>
      <c r="Z66" s="106">
        <f t="shared" si="12"/>
        <v>0</v>
      </c>
      <c r="AA66" s="106">
        <f t="shared" si="12"/>
        <v>0</v>
      </c>
    </row>
    <row r="68" spans="1:27" x14ac:dyDescent="0.25">
      <c r="D68" s="47" t="s">
        <v>649</v>
      </c>
      <c r="F68" s="47" t="s">
        <v>639</v>
      </c>
      <c r="G68" s="106">
        <f>SUM($G$64:G66)</f>
        <v>0</v>
      </c>
      <c r="H68" s="106">
        <f>SUM($G$64:H66)</f>
        <v>0</v>
      </c>
      <c r="I68" s="106">
        <f>SUM($G$64:I66)</f>
        <v>0</v>
      </c>
      <c r="J68" s="106">
        <f>SUM($G$64:J66)</f>
        <v>0</v>
      </c>
      <c r="K68" s="106">
        <f>SUM($G$64:K66)</f>
        <v>0</v>
      </c>
      <c r="L68" s="106">
        <f>SUM($G$64:L66)</f>
        <v>0</v>
      </c>
      <c r="M68" s="106">
        <f>SUM($G$64:M66)</f>
        <v>0</v>
      </c>
      <c r="N68" s="106">
        <f>SUM($G$64:N66)</f>
        <v>0</v>
      </c>
      <c r="O68" s="106">
        <f>SUM($G$64:O66)</f>
        <v>0</v>
      </c>
      <c r="P68" s="106">
        <f>SUM($G$64:P66)</f>
        <v>0</v>
      </c>
      <c r="Q68" s="106">
        <f>SUM($G$64:Q66)</f>
        <v>0</v>
      </c>
      <c r="R68" s="106">
        <f>SUM($G$64:R66)</f>
        <v>0</v>
      </c>
      <c r="S68" s="106">
        <f>SUM($G$64:S66)</f>
        <v>0</v>
      </c>
      <c r="T68" s="106">
        <f>SUM($G$64:T66)</f>
        <v>0</v>
      </c>
      <c r="U68" s="106">
        <f>SUM($G$64:U66)</f>
        <v>0</v>
      </c>
      <c r="V68" s="106">
        <f>SUM($G$64:V66)</f>
        <v>0</v>
      </c>
      <c r="W68" s="106">
        <f>SUM($G$64:W66)</f>
        <v>0</v>
      </c>
      <c r="X68" s="106">
        <f>SUM($G$64:X66)</f>
        <v>0</v>
      </c>
      <c r="Y68" s="106">
        <f>SUM($G$64:Y66)</f>
        <v>0</v>
      </c>
      <c r="Z68" s="106">
        <f>SUM($G$64:Z66)</f>
        <v>0</v>
      </c>
      <c r="AA68" s="106">
        <f>SUM($G$64:AA66)</f>
        <v>0</v>
      </c>
    </row>
    <row r="70" spans="1:27" x14ac:dyDescent="0.25">
      <c r="A70" s="101">
        <v>14</v>
      </c>
      <c r="D70" s="47" t="s">
        <v>650</v>
      </c>
    </row>
    <row r="71" spans="1:27" x14ac:dyDescent="0.25">
      <c r="E71" s="106" t="str">
        <f>E7</f>
        <v>Pipes / Storage</v>
      </c>
      <c r="F71" s="47" t="s">
        <v>639</v>
      </c>
      <c r="G71" s="102"/>
      <c r="H71" s="102"/>
      <c r="I71" s="102"/>
      <c r="J71" s="102"/>
      <c r="K71" s="102"/>
      <c r="L71" s="102"/>
      <c r="M71" s="102"/>
      <c r="N71" s="102"/>
      <c r="O71" s="102"/>
      <c r="P71" s="102"/>
      <c r="Q71" s="102"/>
      <c r="R71" s="102"/>
      <c r="S71" s="102"/>
      <c r="T71" s="102"/>
      <c r="U71" s="102"/>
      <c r="V71" s="102"/>
      <c r="W71" s="102"/>
      <c r="X71" s="102"/>
      <c r="Y71" s="102"/>
      <c r="Z71" s="102"/>
      <c r="AA71" s="102"/>
    </row>
    <row r="72" spans="1:27" x14ac:dyDescent="0.25">
      <c r="E72" s="106" t="str">
        <f>E8</f>
        <v>Pumps / Valves</v>
      </c>
      <c r="F72" s="47" t="s">
        <v>639</v>
      </c>
      <c r="G72" s="102"/>
      <c r="H72" s="102"/>
      <c r="I72" s="102"/>
      <c r="J72" s="102"/>
      <c r="K72" s="102"/>
      <c r="L72" s="102"/>
      <c r="M72" s="102"/>
      <c r="N72" s="102"/>
      <c r="O72" s="102"/>
      <c r="P72" s="102"/>
      <c r="Q72" s="102"/>
      <c r="R72" s="102"/>
      <c r="S72" s="102"/>
      <c r="T72" s="102"/>
      <c r="U72" s="102"/>
      <c r="V72" s="102"/>
      <c r="W72" s="102"/>
      <c r="X72" s="102"/>
      <c r="Y72" s="102"/>
      <c r="Z72" s="102"/>
      <c r="AA72" s="102"/>
    </row>
    <row r="73" spans="1:27" x14ac:dyDescent="0.25">
      <c r="E73" s="106" t="str">
        <f>E9</f>
        <v>Treatment</v>
      </c>
      <c r="F73" s="47" t="s">
        <v>639</v>
      </c>
      <c r="G73" s="102"/>
      <c r="H73" s="102"/>
      <c r="I73" s="102"/>
      <c r="J73" s="102"/>
      <c r="K73" s="102"/>
      <c r="L73" s="102"/>
      <c r="M73" s="102"/>
      <c r="N73" s="102"/>
      <c r="O73" s="102"/>
      <c r="P73" s="102"/>
      <c r="Q73" s="102"/>
      <c r="R73" s="102"/>
      <c r="S73" s="102"/>
      <c r="T73" s="102"/>
      <c r="U73" s="102"/>
      <c r="V73" s="102"/>
      <c r="W73" s="102"/>
      <c r="X73" s="102"/>
      <c r="Y73" s="102"/>
      <c r="Z73" s="102"/>
      <c r="AA73" s="102"/>
    </row>
    <row r="74" spans="1:27" x14ac:dyDescent="0.25">
      <c r="E74" s="47" t="s">
        <v>640</v>
      </c>
      <c r="F74" s="47" t="s">
        <v>639</v>
      </c>
      <c r="G74" s="102"/>
      <c r="H74" s="102"/>
      <c r="I74" s="102"/>
      <c r="J74" s="102"/>
      <c r="K74" s="102"/>
      <c r="L74" s="102"/>
      <c r="M74" s="102"/>
      <c r="N74" s="102"/>
      <c r="O74" s="102"/>
      <c r="P74" s="102"/>
      <c r="Q74" s="102"/>
      <c r="R74" s="102"/>
      <c r="S74" s="102"/>
      <c r="T74" s="102"/>
      <c r="U74" s="102"/>
      <c r="V74" s="102"/>
      <c r="W74" s="102"/>
      <c r="X74" s="102"/>
      <c r="Y74" s="102"/>
      <c r="Z74" s="102"/>
      <c r="AA74" s="102"/>
    </row>
    <row r="75" spans="1:27" x14ac:dyDescent="0.25">
      <c r="G75" s="106">
        <f>SUM(G71:G74)</f>
        <v>0</v>
      </c>
      <c r="H75" s="106">
        <f t="shared" ref="H75:AA75" si="13">SUM(H71:H74)</f>
        <v>0</v>
      </c>
      <c r="I75" s="106">
        <f t="shared" si="13"/>
        <v>0</v>
      </c>
      <c r="J75" s="106">
        <f t="shared" si="13"/>
        <v>0</v>
      </c>
      <c r="K75" s="106">
        <f t="shared" si="13"/>
        <v>0</v>
      </c>
      <c r="L75" s="106">
        <f t="shared" si="13"/>
        <v>0</v>
      </c>
      <c r="M75" s="106">
        <f t="shared" si="13"/>
        <v>0</v>
      </c>
      <c r="N75" s="106">
        <f t="shared" si="13"/>
        <v>0</v>
      </c>
      <c r="O75" s="106">
        <f t="shared" si="13"/>
        <v>0</v>
      </c>
      <c r="P75" s="106">
        <f t="shared" si="13"/>
        <v>0</v>
      </c>
      <c r="Q75" s="106">
        <f t="shared" si="13"/>
        <v>0</v>
      </c>
      <c r="R75" s="106">
        <f t="shared" si="13"/>
        <v>0</v>
      </c>
      <c r="S75" s="106">
        <f t="shared" si="13"/>
        <v>0</v>
      </c>
      <c r="T75" s="106">
        <f t="shared" si="13"/>
        <v>0</v>
      </c>
      <c r="U75" s="106">
        <f t="shared" si="13"/>
        <v>0</v>
      </c>
      <c r="V75" s="106">
        <f t="shared" si="13"/>
        <v>0</v>
      </c>
      <c r="W75" s="106">
        <f t="shared" si="13"/>
        <v>0</v>
      </c>
      <c r="X75" s="106">
        <f t="shared" si="13"/>
        <v>0</v>
      </c>
      <c r="Y75" s="106">
        <f t="shared" si="13"/>
        <v>0</v>
      </c>
      <c r="Z75" s="106">
        <f t="shared" si="13"/>
        <v>0</v>
      </c>
      <c r="AA75" s="106">
        <f t="shared" si="13"/>
        <v>0</v>
      </c>
    </row>
    <row r="76" spans="1:27" x14ac:dyDescent="0.25">
      <c r="G76" s="106"/>
      <c r="H76" s="106"/>
      <c r="I76" s="106"/>
      <c r="J76" s="106"/>
      <c r="K76" s="106"/>
      <c r="L76" s="106"/>
      <c r="M76" s="106"/>
      <c r="N76" s="106"/>
      <c r="O76" s="106"/>
      <c r="P76" s="106"/>
      <c r="Q76" s="106"/>
      <c r="R76" s="106"/>
      <c r="S76" s="106"/>
      <c r="T76" s="106"/>
      <c r="U76" s="106"/>
      <c r="V76" s="106"/>
      <c r="W76" s="106"/>
      <c r="X76" s="106"/>
      <c r="Y76" s="106"/>
      <c r="Z76" s="106"/>
      <c r="AA76" s="106"/>
    </row>
    <row r="77" spans="1:27" x14ac:dyDescent="0.25">
      <c r="D77" s="47" t="s">
        <v>648</v>
      </c>
      <c r="G77" s="106"/>
      <c r="H77" s="106"/>
      <c r="I77" s="106"/>
      <c r="J77" s="106"/>
      <c r="K77" s="106"/>
      <c r="L77" s="106"/>
      <c r="M77" s="106"/>
      <c r="N77" s="106"/>
      <c r="O77" s="106"/>
      <c r="P77" s="106"/>
      <c r="Q77" s="106"/>
    </row>
    <row r="78" spans="1:27" x14ac:dyDescent="0.25">
      <c r="E78" s="106" t="str">
        <f>E71</f>
        <v>Pipes / Storage</v>
      </c>
      <c r="F78" s="47" t="s">
        <v>639</v>
      </c>
      <c r="G78" s="106">
        <f t="shared" ref="G78:AA80" si="14">G71/$G7+IF((G$2-$G7+1)&gt;0,-INDEX($G71:$AP71,1,(G$2-$G7+1))/$G7,0)</f>
        <v>0</v>
      </c>
      <c r="H78" s="106">
        <f t="shared" si="14"/>
        <v>0</v>
      </c>
      <c r="I78" s="106">
        <f t="shared" si="14"/>
        <v>0</v>
      </c>
      <c r="J78" s="106">
        <f t="shared" si="14"/>
        <v>0</v>
      </c>
      <c r="K78" s="106">
        <f t="shared" si="14"/>
        <v>0</v>
      </c>
      <c r="L78" s="106">
        <f t="shared" si="14"/>
        <v>0</v>
      </c>
      <c r="M78" s="106">
        <f t="shared" si="14"/>
        <v>0</v>
      </c>
      <c r="N78" s="106">
        <f t="shared" si="14"/>
        <v>0</v>
      </c>
      <c r="O78" s="106">
        <f t="shared" si="14"/>
        <v>0</v>
      </c>
      <c r="P78" s="106">
        <f t="shared" si="14"/>
        <v>0</v>
      </c>
      <c r="Q78" s="106">
        <f t="shared" si="14"/>
        <v>0</v>
      </c>
      <c r="R78" s="106">
        <f t="shared" si="14"/>
        <v>0</v>
      </c>
      <c r="S78" s="106">
        <f t="shared" si="14"/>
        <v>0</v>
      </c>
      <c r="T78" s="106">
        <f t="shared" si="14"/>
        <v>0</v>
      </c>
      <c r="U78" s="106">
        <f t="shared" si="14"/>
        <v>0</v>
      </c>
      <c r="V78" s="106">
        <f t="shared" si="14"/>
        <v>0</v>
      </c>
      <c r="W78" s="106">
        <f t="shared" si="14"/>
        <v>0</v>
      </c>
      <c r="X78" s="106">
        <f t="shared" si="14"/>
        <v>0</v>
      </c>
      <c r="Y78" s="106">
        <f t="shared" si="14"/>
        <v>0</v>
      </c>
      <c r="Z78" s="106">
        <f t="shared" si="14"/>
        <v>0</v>
      </c>
      <c r="AA78" s="106">
        <f t="shared" si="14"/>
        <v>0</v>
      </c>
    </row>
    <row r="79" spans="1:27" x14ac:dyDescent="0.25">
      <c r="E79" s="106" t="str">
        <f t="shared" ref="E79:E80" si="15">E72</f>
        <v>Pumps / Valves</v>
      </c>
      <c r="F79" s="47" t="s">
        <v>639</v>
      </c>
      <c r="G79" s="106">
        <f t="shared" si="14"/>
        <v>0</v>
      </c>
      <c r="H79" s="106">
        <f t="shared" si="14"/>
        <v>0</v>
      </c>
      <c r="I79" s="106">
        <f t="shared" si="14"/>
        <v>0</v>
      </c>
      <c r="J79" s="106">
        <f t="shared" si="14"/>
        <v>0</v>
      </c>
      <c r="K79" s="106">
        <f t="shared" si="14"/>
        <v>0</v>
      </c>
      <c r="L79" s="106">
        <f t="shared" si="14"/>
        <v>0</v>
      </c>
      <c r="M79" s="106">
        <f t="shared" si="14"/>
        <v>0</v>
      </c>
      <c r="N79" s="106">
        <f t="shared" si="14"/>
        <v>0</v>
      </c>
      <c r="O79" s="106">
        <f t="shared" si="14"/>
        <v>0</v>
      </c>
      <c r="P79" s="106">
        <f t="shared" si="14"/>
        <v>0</v>
      </c>
      <c r="Q79" s="106">
        <f t="shared" si="14"/>
        <v>0</v>
      </c>
      <c r="R79" s="106">
        <f t="shared" si="14"/>
        <v>0</v>
      </c>
      <c r="S79" s="106">
        <f t="shared" si="14"/>
        <v>0</v>
      </c>
      <c r="T79" s="106">
        <f t="shared" si="14"/>
        <v>0</v>
      </c>
      <c r="U79" s="106">
        <f t="shared" si="14"/>
        <v>0</v>
      </c>
      <c r="V79" s="106">
        <f t="shared" si="14"/>
        <v>0</v>
      </c>
      <c r="W79" s="106">
        <f t="shared" si="14"/>
        <v>0</v>
      </c>
      <c r="X79" s="106">
        <f t="shared" si="14"/>
        <v>0</v>
      </c>
      <c r="Y79" s="106">
        <f t="shared" si="14"/>
        <v>0</v>
      </c>
      <c r="Z79" s="106">
        <f t="shared" si="14"/>
        <v>0</v>
      </c>
      <c r="AA79" s="106">
        <f t="shared" si="14"/>
        <v>0</v>
      </c>
    </row>
    <row r="80" spans="1:27" x14ac:dyDescent="0.25">
      <c r="E80" s="106" t="str">
        <f t="shared" si="15"/>
        <v>Treatment</v>
      </c>
      <c r="F80" s="47" t="s">
        <v>639</v>
      </c>
      <c r="G80" s="106">
        <f t="shared" si="14"/>
        <v>0</v>
      </c>
      <c r="H80" s="106">
        <f t="shared" si="14"/>
        <v>0</v>
      </c>
      <c r="I80" s="106">
        <f t="shared" si="14"/>
        <v>0</v>
      </c>
      <c r="J80" s="106">
        <f t="shared" si="14"/>
        <v>0</v>
      </c>
      <c r="K80" s="106">
        <f t="shared" si="14"/>
        <v>0</v>
      </c>
      <c r="L80" s="106">
        <f t="shared" si="14"/>
        <v>0</v>
      </c>
      <c r="M80" s="106">
        <f t="shared" si="14"/>
        <v>0</v>
      </c>
      <c r="N80" s="106">
        <f t="shared" si="14"/>
        <v>0</v>
      </c>
      <c r="O80" s="106">
        <f t="shared" si="14"/>
        <v>0</v>
      </c>
      <c r="P80" s="106">
        <f t="shared" si="14"/>
        <v>0</v>
      </c>
      <c r="Q80" s="106">
        <f t="shared" si="14"/>
        <v>0</v>
      </c>
      <c r="R80" s="106">
        <f t="shared" si="14"/>
        <v>0</v>
      </c>
      <c r="S80" s="106">
        <f t="shared" si="14"/>
        <v>0</v>
      </c>
      <c r="T80" s="106">
        <f t="shared" si="14"/>
        <v>0</v>
      </c>
      <c r="U80" s="106">
        <f t="shared" si="14"/>
        <v>0</v>
      </c>
      <c r="V80" s="106">
        <f t="shared" si="14"/>
        <v>0</v>
      </c>
      <c r="W80" s="106">
        <f t="shared" si="14"/>
        <v>0</v>
      </c>
      <c r="X80" s="106">
        <f t="shared" si="14"/>
        <v>0</v>
      </c>
      <c r="Y80" s="106">
        <f t="shared" si="14"/>
        <v>0</v>
      </c>
      <c r="Z80" s="106">
        <f t="shared" si="14"/>
        <v>0</v>
      </c>
      <c r="AA80" s="106">
        <f t="shared" si="14"/>
        <v>0</v>
      </c>
    </row>
    <row r="82" spans="1:27" x14ac:dyDescent="0.25">
      <c r="D82" s="47" t="s">
        <v>649</v>
      </c>
      <c r="F82" s="47" t="s">
        <v>639</v>
      </c>
      <c r="G82" s="106">
        <f>SUM($G$77:G80)</f>
        <v>0</v>
      </c>
      <c r="H82" s="106">
        <f>SUM($G$77:H80)</f>
        <v>0</v>
      </c>
      <c r="I82" s="106">
        <f>SUM($G$77:I80)</f>
        <v>0</v>
      </c>
      <c r="J82" s="106">
        <f>SUM($G$77:J80)</f>
        <v>0</v>
      </c>
      <c r="K82" s="106">
        <f>SUM($G$77:K80)</f>
        <v>0</v>
      </c>
      <c r="L82" s="106">
        <f>SUM($G$77:L80)</f>
        <v>0</v>
      </c>
      <c r="M82" s="106">
        <f>SUM($G$77:M80)</f>
        <v>0</v>
      </c>
      <c r="N82" s="106">
        <f>SUM($G$77:N80)</f>
        <v>0</v>
      </c>
      <c r="O82" s="106">
        <f>SUM($G$77:O80)</f>
        <v>0</v>
      </c>
      <c r="P82" s="106">
        <f>SUM($G$77:P80)</f>
        <v>0</v>
      </c>
      <c r="Q82" s="106">
        <f>SUM($G$77:Q80)</f>
        <v>0</v>
      </c>
      <c r="R82" s="106">
        <f>SUM($G$77:R80)</f>
        <v>0</v>
      </c>
      <c r="S82" s="106">
        <f>SUM($G$77:S80)</f>
        <v>0</v>
      </c>
      <c r="T82" s="106">
        <f>SUM($G$77:T80)</f>
        <v>0</v>
      </c>
      <c r="U82" s="106">
        <f>SUM($G$77:U80)</f>
        <v>0</v>
      </c>
      <c r="V82" s="106">
        <f>SUM($G$77:V80)</f>
        <v>0</v>
      </c>
      <c r="W82" s="106">
        <f>SUM($G$77:W80)</f>
        <v>0</v>
      </c>
      <c r="X82" s="106">
        <f>SUM($G$77:X80)</f>
        <v>0</v>
      </c>
      <c r="Y82" s="106">
        <f>SUM($G$77:Y80)</f>
        <v>0</v>
      </c>
      <c r="Z82" s="106">
        <f>SUM($G$77:Z80)</f>
        <v>0</v>
      </c>
      <c r="AA82" s="106">
        <f>SUM($G$77:AA80)</f>
        <v>0</v>
      </c>
    </row>
    <row r="83" spans="1:27" x14ac:dyDescent="0.25">
      <c r="G83" s="106"/>
      <c r="H83" s="106"/>
      <c r="I83" s="106"/>
      <c r="J83" s="106"/>
      <c r="K83" s="106"/>
      <c r="L83" s="106"/>
      <c r="M83" s="106"/>
      <c r="N83" s="106"/>
      <c r="O83" s="106"/>
      <c r="P83" s="106"/>
      <c r="Q83" s="106"/>
      <c r="R83" s="106"/>
      <c r="S83" s="106"/>
      <c r="T83" s="106"/>
      <c r="U83" s="106"/>
      <c r="V83" s="106"/>
      <c r="W83" s="106"/>
      <c r="X83" s="106"/>
      <c r="Y83" s="106"/>
      <c r="Z83" s="106"/>
      <c r="AA83" s="106"/>
    </row>
    <row r="84" spans="1:27" x14ac:dyDescent="0.25">
      <c r="D84" s="47" t="s">
        <v>651</v>
      </c>
      <c r="F84" s="47" t="s">
        <v>639</v>
      </c>
      <c r="G84" s="106">
        <f t="shared" ref="G84:AA84" si="16">G61-G75</f>
        <v>0</v>
      </c>
      <c r="H84" s="106">
        <f t="shared" si="16"/>
        <v>0</v>
      </c>
      <c r="I84" s="106">
        <f t="shared" si="16"/>
        <v>0</v>
      </c>
      <c r="J84" s="106">
        <f t="shared" si="16"/>
        <v>0</v>
      </c>
      <c r="K84" s="106">
        <f t="shared" si="16"/>
        <v>0</v>
      </c>
      <c r="L84" s="106">
        <f t="shared" si="16"/>
        <v>0</v>
      </c>
      <c r="M84" s="106">
        <f t="shared" si="16"/>
        <v>0</v>
      </c>
      <c r="N84" s="106">
        <f t="shared" si="16"/>
        <v>0</v>
      </c>
      <c r="O84" s="106">
        <f t="shared" si="16"/>
        <v>0</v>
      </c>
      <c r="P84" s="106">
        <f t="shared" si="16"/>
        <v>0</v>
      </c>
      <c r="Q84" s="106">
        <f t="shared" si="16"/>
        <v>0</v>
      </c>
      <c r="R84" s="106">
        <f t="shared" si="16"/>
        <v>0</v>
      </c>
      <c r="S84" s="106">
        <f t="shared" si="16"/>
        <v>0</v>
      </c>
      <c r="T84" s="106">
        <f t="shared" si="16"/>
        <v>0</v>
      </c>
      <c r="U84" s="106">
        <f t="shared" si="16"/>
        <v>0</v>
      </c>
      <c r="V84" s="106">
        <f t="shared" si="16"/>
        <v>0</v>
      </c>
      <c r="W84" s="106">
        <f t="shared" si="16"/>
        <v>0</v>
      </c>
      <c r="X84" s="106">
        <f t="shared" si="16"/>
        <v>0</v>
      </c>
      <c r="Y84" s="106">
        <f t="shared" si="16"/>
        <v>0</v>
      </c>
      <c r="Z84" s="106">
        <f t="shared" si="16"/>
        <v>0</v>
      </c>
      <c r="AA84" s="106">
        <f t="shared" si="16"/>
        <v>0</v>
      </c>
    </row>
    <row r="85" spans="1:27" x14ac:dyDescent="0.25">
      <c r="D85" s="47" t="s">
        <v>652</v>
      </c>
      <c r="F85" s="47" t="s">
        <v>639</v>
      </c>
      <c r="G85" s="106">
        <f t="shared" ref="G85:AA85" si="17">-G68+G82</f>
        <v>0</v>
      </c>
      <c r="H85" s="106">
        <f t="shared" si="17"/>
        <v>0</v>
      </c>
      <c r="I85" s="106">
        <f t="shared" si="17"/>
        <v>0</v>
      </c>
      <c r="J85" s="106">
        <f t="shared" si="17"/>
        <v>0</v>
      </c>
      <c r="K85" s="106">
        <f t="shared" si="17"/>
        <v>0</v>
      </c>
      <c r="L85" s="106">
        <f t="shared" si="17"/>
        <v>0</v>
      </c>
      <c r="M85" s="106">
        <f t="shared" si="17"/>
        <v>0</v>
      </c>
      <c r="N85" s="106">
        <f t="shared" si="17"/>
        <v>0</v>
      </c>
      <c r="O85" s="106">
        <f t="shared" si="17"/>
        <v>0</v>
      </c>
      <c r="P85" s="106">
        <f t="shared" si="17"/>
        <v>0</v>
      </c>
      <c r="Q85" s="106">
        <f t="shared" si="17"/>
        <v>0</v>
      </c>
      <c r="R85" s="106">
        <f t="shared" si="17"/>
        <v>0</v>
      </c>
      <c r="S85" s="106">
        <f t="shared" si="17"/>
        <v>0</v>
      </c>
      <c r="T85" s="106">
        <f t="shared" si="17"/>
        <v>0</v>
      </c>
      <c r="U85" s="106">
        <f t="shared" si="17"/>
        <v>0</v>
      </c>
      <c r="V85" s="106">
        <f t="shared" si="17"/>
        <v>0</v>
      </c>
      <c r="W85" s="106">
        <f t="shared" si="17"/>
        <v>0</v>
      </c>
      <c r="X85" s="106">
        <f t="shared" si="17"/>
        <v>0</v>
      </c>
      <c r="Y85" s="106">
        <f t="shared" si="17"/>
        <v>0</v>
      </c>
      <c r="Z85" s="106">
        <f t="shared" si="17"/>
        <v>0</v>
      </c>
      <c r="AA85" s="106">
        <f t="shared" si="17"/>
        <v>0</v>
      </c>
    </row>
    <row r="87" spans="1:27" x14ac:dyDescent="0.25">
      <c r="C87" s="100" t="str">
        <f>"Incremental "&amp;G4&amp;" Service Revenue"</f>
        <v>Incremental Water Service Revenue</v>
      </c>
      <c r="D87" s="100"/>
    </row>
    <row r="88" spans="1:27" x14ac:dyDescent="0.25">
      <c r="C88" s="100"/>
      <c r="D88" s="100"/>
    </row>
    <row r="89" spans="1:27" x14ac:dyDescent="0.25">
      <c r="C89" s="100"/>
      <c r="D89" s="47" t="s">
        <v>653</v>
      </c>
    </row>
    <row r="90" spans="1:27" x14ac:dyDescent="0.25">
      <c r="A90" s="101">
        <v>15</v>
      </c>
      <c r="B90" s="107" t="s">
        <v>262</v>
      </c>
      <c r="C90" s="47" t="s">
        <v>405</v>
      </c>
      <c r="D90" s="100" t="str">
        <f>$G$4</f>
        <v>Water</v>
      </c>
      <c r="E90" s="47" t="s">
        <v>654</v>
      </c>
      <c r="F90" s="47" t="s">
        <v>655</v>
      </c>
      <c r="H90" s="102">
        <f>IF($G$4="Water and sewer",SUMIFS('INPUT Growth'!AD$64:AD$115,'INPUT Growth'!$B$64:$B$115,$A$1,'INPUT Growth'!$F$64:$F$115,$B90,'INPUT Growth'!$E$64:$E$115,$C90),SUMIFS('INPUT Growth'!AD$64:AD$115,'INPUT Growth'!$A$64:$A$115,$A$1,'INPUT Growth'!$F$64:$F$115,$B90,'INPUT Growth'!$E$64:$E$115,$C90))</f>
        <v>0</v>
      </c>
      <c r="I90" s="102">
        <f>IF($G$4="Water and sewer",SUMIFS('INPUT Growth'!AE$64:AE$115,'INPUT Growth'!$B$64:$B$115,$A$1,'INPUT Growth'!$F$64:$F$115,$B90,'INPUT Growth'!$E$64:$E$115,$C90),SUMIFS('INPUT Growth'!AE$64:AE$115,'INPUT Growth'!$A$64:$A$115,$A$1,'INPUT Growth'!$F$64:$F$115,$B90,'INPUT Growth'!$E$64:$E$115,$C90))</f>
        <v>0</v>
      </c>
      <c r="J90" s="102">
        <f>IF($G$4="Water and sewer",SUMIFS('INPUT Growth'!AF$64:AF$115,'INPUT Growth'!$B$64:$B$115,$A$1,'INPUT Growth'!$F$64:$F$115,$B90,'INPUT Growth'!$E$64:$E$115,$C90),SUMIFS('INPUT Growth'!AF$64:AF$115,'INPUT Growth'!$A$64:$A$115,$A$1,'INPUT Growth'!$F$64:$F$115,$B90,'INPUT Growth'!$E$64:$E$115,$C90))</f>
        <v>0</v>
      </c>
      <c r="K90" s="102">
        <f>IF($G$4="Water and sewer",SUMIFS('INPUT Growth'!AG$64:AG$115,'INPUT Growth'!$B$64:$B$115,$A$1,'INPUT Growth'!$F$64:$F$115,$B90,'INPUT Growth'!$E$64:$E$115,$C90),SUMIFS('INPUT Growth'!AG$64:AG$115,'INPUT Growth'!$A$64:$A$115,$A$1,'INPUT Growth'!$F$64:$F$115,$B90,'INPUT Growth'!$E$64:$E$115,$C90))</f>
        <v>0</v>
      </c>
      <c r="L90" s="102">
        <f>IF($G$4="Water and sewer",SUMIFS('INPUT Growth'!AH$64:AH$115,'INPUT Growth'!$B$64:$B$115,$A$1,'INPUT Growth'!$F$64:$F$115,$B90,'INPUT Growth'!$E$64:$E$115,$C90),SUMIFS('INPUT Growth'!AH$64:AH$115,'INPUT Growth'!$A$64:$A$115,$A$1,'INPUT Growth'!$F$64:$F$115,$B90,'INPUT Growth'!$E$64:$E$115,$C90))</f>
        <v>0</v>
      </c>
      <c r="M90" s="102">
        <f>IF($G$4="Water and sewer",SUMIFS('INPUT Growth'!AI$64:AI$115,'INPUT Growth'!$B$64:$B$115,$A$1,'INPUT Growth'!$F$64:$F$115,$B90,'INPUT Growth'!$E$64:$E$115,$C90),SUMIFS('INPUT Growth'!AI$64:AI$115,'INPUT Growth'!$A$64:$A$115,$A$1,'INPUT Growth'!$F$64:$F$115,$B90,'INPUT Growth'!$E$64:$E$115,$C90))</f>
        <v>0</v>
      </c>
      <c r="N90" s="102">
        <f>IF($G$4="Water and sewer",SUMIFS('INPUT Growth'!AJ$64:AJ$115,'INPUT Growth'!$B$64:$B$115,$A$1,'INPUT Growth'!$F$64:$F$115,$B90,'INPUT Growth'!$E$64:$E$115,$C90),SUMIFS('INPUT Growth'!AJ$64:AJ$115,'INPUT Growth'!$A$64:$A$115,$A$1,'INPUT Growth'!$F$64:$F$115,$B90,'INPUT Growth'!$E$64:$E$115,$C90))</f>
        <v>0</v>
      </c>
      <c r="O90" s="102">
        <f>IF($G$4="Water and sewer",SUMIFS('INPUT Growth'!AK$64:AK$115,'INPUT Growth'!$B$64:$B$115,$A$1,'INPUT Growth'!$F$64:$F$115,$B90,'INPUT Growth'!$E$64:$E$115,$C90),SUMIFS('INPUT Growth'!AK$64:AK$115,'INPUT Growth'!$A$64:$A$115,$A$1,'INPUT Growth'!$F$64:$F$115,$B90,'INPUT Growth'!$E$64:$E$115,$C90))</f>
        <v>0</v>
      </c>
      <c r="P90" s="102">
        <f>IF($G$4="Water and sewer",SUMIFS('INPUT Growth'!AL$64:AL$115,'INPUT Growth'!$B$64:$B$115,$A$1,'INPUT Growth'!$F$64:$F$115,$B90,'INPUT Growth'!$E$64:$E$115,$C90),SUMIFS('INPUT Growth'!AL$64:AL$115,'INPUT Growth'!$A$64:$A$115,$A$1,'INPUT Growth'!$F$64:$F$115,$B90,'INPUT Growth'!$E$64:$E$115,$C90))</f>
        <v>0</v>
      </c>
      <c r="Q90" s="102">
        <f>IF($G$4="Water and sewer",SUMIFS('INPUT Growth'!AM$64:AM$115,'INPUT Growth'!$B$64:$B$115,$A$1,'INPUT Growth'!$F$64:$F$115,$B90,'INPUT Growth'!$E$64:$E$115,$C90),SUMIFS('INPUT Growth'!AM$64:AM$115,'INPUT Growth'!$A$64:$A$115,$A$1,'INPUT Growth'!$F$64:$F$115,$B90,'INPUT Growth'!$E$64:$E$115,$C90))</f>
        <v>0</v>
      </c>
      <c r="R90" s="102">
        <f>IF($G$4="Water and sewer",SUMIFS('INPUT Growth'!AN$64:AN$115,'INPUT Growth'!$B$64:$B$115,$A$1,'INPUT Growth'!$F$64:$F$115,$B90,'INPUT Growth'!$E$64:$E$115,$C90),SUMIFS('INPUT Growth'!AN$64:AN$115,'INPUT Growth'!$A$64:$A$115,$A$1,'INPUT Growth'!$F$64:$F$115,$B90,'INPUT Growth'!$E$64:$E$115,$C90))</f>
        <v>0</v>
      </c>
      <c r="S90" s="102">
        <f>IF($G$4="Water and sewer",SUMIFS('INPUT Growth'!AO$64:AO$115,'INPUT Growth'!$B$64:$B$115,$A$1,'INPUT Growth'!$F$64:$F$115,$B90,'INPUT Growth'!$E$64:$E$115,$C90),SUMIFS('INPUT Growth'!AO$64:AO$115,'INPUT Growth'!$A$64:$A$115,$A$1,'INPUT Growth'!$F$64:$F$115,$B90,'INPUT Growth'!$E$64:$E$115,$C90))</f>
        <v>0</v>
      </c>
      <c r="T90" s="102">
        <f>IF($G$4="Water and sewer",SUMIFS('INPUT Growth'!AP$64:AP$115,'INPUT Growth'!$B$64:$B$115,$A$1,'INPUT Growth'!$F$64:$F$115,$B90,'INPUT Growth'!$E$64:$E$115,$C90),SUMIFS('INPUT Growth'!AP$64:AP$115,'INPUT Growth'!$A$64:$A$115,$A$1,'INPUT Growth'!$F$64:$F$115,$B90,'INPUT Growth'!$E$64:$E$115,$C90))</f>
        <v>0</v>
      </c>
      <c r="U90" s="102">
        <f>IF($G$4="Water and sewer",SUMIFS('INPUT Growth'!AQ$64:AQ$115,'INPUT Growth'!$B$64:$B$115,$A$1,'INPUT Growth'!$F$64:$F$115,$B90,'INPUT Growth'!$E$64:$E$115,$C90),SUMIFS('INPUT Growth'!AQ$64:AQ$115,'INPUT Growth'!$A$64:$A$115,$A$1,'INPUT Growth'!$F$64:$F$115,$B90,'INPUT Growth'!$E$64:$E$115,$C90))</f>
        <v>0</v>
      </c>
      <c r="V90" s="102">
        <f>IF($G$4="Water and sewer",SUMIFS('INPUT Growth'!AR$64:AR$115,'INPUT Growth'!$B$64:$B$115,$A$1,'INPUT Growth'!$F$64:$F$115,$B90,'INPUT Growth'!$E$64:$E$115,$C90),SUMIFS('INPUT Growth'!AR$64:AR$115,'INPUT Growth'!$A$64:$A$115,$A$1,'INPUT Growth'!$F$64:$F$115,$B90,'INPUT Growth'!$E$64:$E$115,$C90))</f>
        <v>0</v>
      </c>
      <c r="W90" s="102">
        <f>IF($G$4="Water and sewer",SUMIFS('INPUT Growth'!AS$64:AS$115,'INPUT Growth'!$B$64:$B$115,$A$1,'INPUT Growth'!$F$64:$F$115,$B90,'INPUT Growth'!$E$64:$E$115,$C90),SUMIFS('INPUT Growth'!AS$64:AS$115,'INPUT Growth'!$A$64:$A$115,$A$1,'INPUT Growth'!$F$64:$F$115,$B90,'INPUT Growth'!$E$64:$E$115,$C90))</f>
        <v>0</v>
      </c>
      <c r="X90" s="102">
        <f>IF($G$4="Water and sewer",SUMIFS('INPUT Growth'!AT$64:AT$115,'INPUT Growth'!$B$64:$B$115,$A$1,'INPUT Growth'!$F$64:$F$115,$B90,'INPUT Growth'!$E$64:$E$115,$C90),SUMIFS('INPUT Growth'!AT$64:AT$115,'INPUT Growth'!$A$64:$A$115,$A$1,'INPUT Growth'!$F$64:$F$115,$B90,'INPUT Growth'!$E$64:$E$115,$C90))</f>
        <v>0</v>
      </c>
      <c r="Y90" s="102">
        <f>IF($G$4="Water and sewer",SUMIFS('INPUT Growth'!AU$64:AU$115,'INPUT Growth'!$B$64:$B$115,$A$1,'INPUT Growth'!$F$64:$F$115,$B90,'INPUT Growth'!$E$64:$E$115,$C90),SUMIFS('INPUT Growth'!AU$64:AU$115,'INPUT Growth'!$A$64:$A$115,$A$1,'INPUT Growth'!$F$64:$F$115,$B90,'INPUT Growth'!$E$64:$E$115,$C90))</f>
        <v>0</v>
      </c>
      <c r="Z90" s="102">
        <f>IF($G$4="Water and sewer",SUMIFS('INPUT Growth'!AV$64:AV$115,'INPUT Growth'!$B$64:$B$115,$A$1,'INPUT Growth'!$F$64:$F$115,$B90,'INPUT Growth'!$E$64:$E$115,$C90),SUMIFS('INPUT Growth'!AV$64:AV$115,'INPUT Growth'!$A$64:$A$115,$A$1,'INPUT Growth'!$F$64:$F$115,$B90,'INPUT Growth'!$E$64:$E$115,$C90))</f>
        <v>0</v>
      </c>
      <c r="AA90" s="102">
        <f>IF($G$4="Water and sewer",SUMIFS('INPUT Growth'!AW$64:AW$115,'INPUT Growth'!$B$64:$B$115,$A$1,'INPUT Growth'!$F$64:$F$115,$B90,'INPUT Growth'!$E$64:$E$115,$C90),SUMIFS('INPUT Growth'!AW$64:AW$115,'INPUT Growth'!$A$64:$A$115,$A$1,'INPUT Growth'!$F$64:$F$115,$B90,'INPUT Growth'!$E$64:$E$115,$C90))</f>
        <v>0</v>
      </c>
    </row>
    <row r="91" spans="1:27" x14ac:dyDescent="0.25">
      <c r="C91" s="100"/>
      <c r="D91" s="100"/>
      <c r="E91" s="47" t="s">
        <v>656</v>
      </c>
      <c r="F91" s="47" t="s">
        <v>655</v>
      </c>
      <c r="H91" s="106">
        <f>G91+H90</f>
        <v>0</v>
      </c>
      <c r="I91" s="106">
        <f t="shared" ref="I91:AA91" si="18">H91+I90</f>
        <v>0</v>
      </c>
      <c r="J91" s="106">
        <f t="shared" si="18"/>
        <v>0</v>
      </c>
      <c r="K91" s="106">
        <f t="shared" si="18"/>
        <v>0</v>
      </c>
      <c r="L91" s="106">
        <f t="shared" si="18"/>
        <v>0</v>
      </c>
      <c r="M91" s="106">
        <f t="shared" si="18"/>
        <v>0</v>
      </c>
      <c r="N91" s="106">
        <f t="shared" si="18"/>
        <v>0</v>
      </c>
      <c r="O91" s="106">
        <f t="shared" si="18"/>
        <v>0</v>
      </c>
      <c r="P91" s="106">
        <f t="shared" si="18"/>
        <v>0</v>
      </c>
      <c r="Q91" s="106">
        <f t="shared" si="18"/>
        <v>0</v>
      </c>
      <c r="R91" s="106">
        <f t="shared" si="18"/>
        <v>0</v>
      </c>
      <c r="S91" s="106">
        <f t="shared" si="18"/>
        <v>0</v>
      </c>
      <c r="T91" s="106">
        <f t="shared" si="18"/>
        <v>0</v>
      </c>
      <c r="U91" s="106">
        <f t="shared" si="18"/>
        <v>0</v>
      </c>
      <c r="V91" s="106">
        <f t="shared" si="18"/>
        <v>0</v>
      </c>
      <c r="W91" s="106">
        <f t="shared" si="18"/>
        <v>0</v>
      </c>
      <c r="X91" s="106">
        <f t="shared" si="18"/>
        <v>0</v>
      </c>
      <c r="Y91" s="106">
        <f t="shared" si="18"/>
        <v>0</v>
      </c>
      <c r="Z91" s="106">
        <f t="shared" si="18"/>
        <v>0</v>
      </c>
      <c r="AA91" s="106">
        <f t="shared" si="18"/>
        <v>0</v>
      </c>
    </row>
    <row r="92" spans="1:27" x14ac:dyDescent="0.25">
      <c r="A92" s="101">
        <v>16</v>
      </c>
      <c r="C92" s="100"/>
      <c r="D92" s="100"/>
      <c r="E92" s="47" t="s">
        <v>657</v>
      </c>
      <c r="F92" s="47" t="s">
        <v>655</v>
      </c>
      <c r="G92" s="102">
        <v>1</v>
      </c>
    </row>
    <row r="93" spans="1:27" x14ac:dyDescent="0.25">
      <c r="C93" s="100"/>
      <c r="D93" s="100"/>
      <c r="E93" s="47" t="s">
        <v>658</v>
      </c>
      <c r="F93" s="47" t="s">
        <v>655</v>
      </c>
      <c r="H93" s="47">
        <f>H90*$G92</f>
        <v>0</v>
      </c>
      <c r="I93" s="47">
        <f t="shared" ref="I93:AA93" si="19">I90*$G92</f>
        <v>0</v>
      </c>
      <c r="J93" s="47">
        <f t="shared" si="19"/>
        <v>0</v>
      </c>
      <c r="K93" s="47">
        <f t="shared" si="19"/>
        <v>0</v>
      </c>
      <c r="L93" s="47">
        <f t="shared" si="19"/>
        <v>0</v>
      </c>
      <c r="M93" s="47">
        <f t="shared" si="19"/>
        <v>0</v>
      </c>
      <c r="N93" s="47">
        <f t="shared" si="19"/>
        <v>0</v>
      </c>
      <c r="O93" s="47">
        <f t="shared" si="19"/>
        <v>0</v>
      </c>
      <c r="P93" s="47">
        <f t="shared" si="19"/>
        <v>0</v>
      </c>
      <c r="Q93" s="47">
        <f t="shared" si="19"/>
        <v>0</v>
      </c>
      <c r="R93" s="47">
        <f t="shared" si="19"/>
        <v>0</v>
      </c>
      <c r="S93" s="47">
        <f t="shared" si="19"/>
        <v>0</v>
      </c>
      <c r="T93" s="47">
        <f t="shared" si="19"/>
        <v>0</v>
      </c>
      <c r="U93" s="47">
        <f t="shared" si="19"/>
        <v>0</v>
      </c>
      <c r="V93" s="47">
        <f t="shared" si="19"/>
        <v>0</v>
      </c>
      <c r="W93" s="47">
        <f t="shared" si="19"/>
        <v>0</v>
      </c>
      <c r="X93" s="47">
        <f t="shared" si="19"/>
        <v>0</v>
      </c>
      <c r="Y93" s="47">
        <f t="shared" si="19"/>
        <v>0</v>
      </c>
      <c r="Z93" s="47">
        <f t="shared" si="19"/>
        <v>0</v>
      </c>
      <c r="AA93" s="47">
        <f t="shared" si="19"/>
        <v>0</v>
      </c>
    </row>
    <row r="94" spans="1:27" x14ac:dyDescent="0.25">
      <c r="C94" s="100"/>
      <c r="D94" s="100"/>
      <c r="E94" s="47" t="s">
        <v>659</v>
      </c>
      <c r="F94" s="47" t="s">
        <v>655</v>
      </c>
      <c r="H94" s="47">
        <f>H91*$G92</f>
        <v>0</v>
      </c>
      <c r="I94" s="47">
        <f t="shared" ref="I94:AA94" si="20">I91*$G92</f>
        <v>0</v>
      </c>
      <c r="J94" s="47">
        <f t="shared" si="20"/>
        <v>0</v>
      </c>
      <c r="K94" s="47">
        <f t="shared" si="20"/>
        <v>0</v>
      </c>
      <c r="L94" s="47">
        <f t="shared" si="20"/>
        <v>0</v>
      </c>
      <c r="M94" s="47">
        <f t="shared" si="20"/>
        <v>0</v>
      </c>
      <c r="N94" s="47">
        <f t="shared" si="20"/>
        <v>0</v>
      </c>
      <c r="O94" s="47">
        <f t="shared" si="20"/>
        <v>0</v>
      </c>
      <c r="P94" s="47">
        <f t="shared" si="20"/>
        <v>0</v>
      </c>
      <c r="Q94" s="47">
        <f t="shared" si="20"/>
        <v>0</v>
      </c>
      <c r="R94" s="47">
        <f t="shared" si="20"/>
        <v>0</v>
      </c>
      <c r="S94" s="47">
        <f t="shared" si="20"/>
        <v>0</v>
      </c>
      <c r="T94" s="47">
        <f t="shared" si="20"/>
        <v>0</v>
      </c>
      <c r="U94" s="47">
        <f t="shared" si="20"/>
        <v>0</v>
      </c>
      <c r="V94" s="47">
        <f t="shared" si="20"/>
        <v>0</v>
      </c>
      <c r="W94" s="47">
        <f t="shared" si="20"/>
        <v>0</v>
      </c>
      <c r="X94" s="47">
        <f t="shared" si="20"/>
        <v>0</v>
      </c>
      <c r="Y94" s="47">
        <f t="shared" si="20"/>
        <v>0</v>
      </c>
      <c r="Z94" s="47">
        <f t="shared" si="20"/>
        <v>0</v>
      </c>
      <c r="AA94" s="47">
        <f t="shared" si="20"/>
        <v>0</v>
      </c>
    </row>
    <row r="95" spans="1:27" x14ac:dyDescent="0.25">
      <c r="A95" s="101">
        <v>17</v>
      </c>
      <c r="B95" s="47" t="str">
        <f>B90</f>
        <v>Central</v>
      </c>
      <c r="C95" s="47" t="str">
        <f>C90</f>
        <v>R</v>
      </c>
      <c r="D95" s="47" t="str">
        <f>D90</f>
        <v>Water</v>
      </c>
      <c r="E95" s="47" t="s">
        <v>660</v>
      </c>
      <c r="F95" s="47" t="s">
        <v>661</v>
      </c>
      <c r="H95" s="102">
        <f>IF(OR($D95=W,$D95=WS),'INPUT Reg'!AD113,IF($D95=RW,'INPUT Reg'!AD117,0))</f>
        <v>130.87254215836683</v>
      </c>
      <c r="I95" s="102">
        <f>IF(OR($D95=W,$D95=WS),'INPUT Reg'!AE113,IF($D95=RW,'INPUT Reg'!AE117,0))</f>
        <v>130.9304572418996</v>
      </c>
      <c r="J95" s="102">
        <f>IF(OR($D95=W,$D95=WS),'INPUT Reg'!AF113,IF($D95=RW,'INPUT Reg'!AF117,0))</f>
        <v>128.32012463785938</v>
      </c>
      <c r="K95" s="102">
        <f>IF(OR($D95=W,$D95=WS),'INPUT Reg'!AG113,IF($D95=RW,'INPUT Reg'!AG117,0))</f>
        <v>127.36557580042182</v>
      </c>
      <c r="L95" s="102">
        <f>IF(OR($D95=W,$D95=WS),'INPUT Reg'!AH113,IF($D95=RW,'INPUT Reg'!AH117,0))</f>
        <v>126.44551181569685</v>
      </c>
      <c r="M95" s="102">
        <f>IF(OR($D95=W,$D95=WS),'INPUT Reg'!AI113,IF($D95=RW,'INPUT Reg'!AI117,0))</f>
        <v>124.14959329831383</v>
      </c>
      <c r="N95" s="102">
        <f>IF(OR($D95=W,$D95=WS),'INPUT Reg'!AJ113,IF($D95=RW,'INPUT Reg'!AJ117,0))</f>
        <v>124.68106583406338</v>
      </c>
      <c r="O95" s="102">
        <f>IF(OR($D95=W,$D95=WS),'INPUT Reg'!AK113,IF($D95=RW,'INPUT Reg'!AK117,0))</f>
        <v>123.80768278743128</v>
      </c>
      <c r="P95" s="102">
        <f>IF(OR($D95=W,$D95=WS),'INPUT Reg'!AL113,IF($D95=RW,'INPUT Reg'!AL117,0))</f>
        <v>122.95675931515683</v>
      </c>
      <c r="Q95" s="102">
        <f>IF(OR($D95=W,$D95=WS),'INPUT Reg'!AM113,IF($D95=RW,'INPUT Reg'!AM117,0))</f>
        <v>120.62498921677354</v>
      </c>
      <c r="R95" s="102">
        <f>IF(OR($D95=W,$D95=WS),'INPUT Reg'!AN113,IF($D95=RW,'INPUT Reg'!AN117,0))</f>
        <v>119.79286586906213</v>
      </c>
      <c r="S95" s="102">
        <f>IF(OR($D95=W,$D95=WS),'INPUT Reg'!AO113,IF($D95=RW,'INPUT Reg'!AO117,0))</f>
        <v>118.98813463210472</v>
      </c>
      <c r="T95" s="102">
        <f>IF(OR($D95=W,$D95=WS),'INPUT Reg'!AP113,IF($D95=RW,'INPUT Reg'!AP117,0))</f>
        <v>118.20476724223678</v>
      </c>
      <c r="U95" s="102">
        <f>IF(OR($D95=W,$D95=WS),'INPUT Reg'!AQ113,IF($D95=RW,'INPUT Reg'!AQ117,0))</f>
        <v>117.44370468514018</v>
      </c>
      <c r="V95" s="102">
        <f>IF(OR($D95=W,$D95=WS),'INPUT Reg'!AR113,IF($D95=RW,'INPUT Reg'!AR117,0))</f>
        <v>116.69996220664642</v>
      </c>
      <c r="W95" s="102">
        <f>IF(OR($D95=W,$D95=WS),'INPUT Reg'!AS113,IF($D95=RW,'INPUT Reg'!AS117,0))</f>
        <v>115.96840868261178</v>
      </c>
      <c r="X95" s="102">
        <f>IF(OR($D95=W,$D95=WS),'INPUT Reg'!AT113,IF($D95=RW,'INPUT Reg'!AT117,0))</f>
        <v>114.69237365956346</v>
      </c>
      <c r="Y95" s="102">
        <f>IF(OR($D95=W,$D95=WS),'INPUT Reg'!AU113,IF($D95=RW,'INPUT Reg'!AU117,0))</f>
        <v>114.04823695325099</v>
      </c>
      <c r="Z95" s="102">
        <f>IF(OR($D95=W,$D95=WS),'INPUT Reg'!AV113,IF($D95=RW,'INPUT Reg'!AV117,0))</f>
        <v>113.43247552103075</v>
      </c>
      <c r="AA95" s="102">
        <f>IF(OR($D95=W,$D95=WS),'INPUT Reg'!AW113,IF($D95=RW,'INPUT Reg'!AW117,0))</f>
        <v>113.43247552103075</v>
      </c>
    </row>
    <row r="96" spans="1:27" x14ac:dyDescent="0.25">
      <c r="B96" s="47" t="str">
        <f>B90</f>
        <v>Central</v>
      </c>
      <c r="C96" s="47" t="str">
        <f t="shared" ref="C96:D96" si="21">C90</f>
        <v>R</v>
      </c>
      <c r="D96" s="47" t="str">
        <f t="shared" si="21"/>
        <v>Water</v>
      </c>
      <c r="E96" s="47" t="s">
        <v>662</v>
      </c>
      <c r="F96" s="47" t="s">
        <v>661</v>
      </c>
      <c r="H96" s="102">
        <f>IF(OR($D96=W,$D96=WS),'INPUT Reg'!AD114,0)</f>
        <v>0</v>
      </c>
      <c r="I96" s="102">
        <f>IF(OR($D96=W,$D96=WS),'INPUT Reg'!AE114,0)</f>
        <v>0</v>
      </c>
      <c r="J96" s="102">
        <f>IF(OR($D96=W,$D96=WS),'INPUT Reg'!AF114,0)</f>
        <v>0</v>
      </c>
      <c r="K96" s="102">
        <f>IF(OR($D96=W,$D96=WS),'INPUT Reg'!AG114,0)</f>
        <v>0</v>
      </c>
      <c r="L96" s="102">
        <f>IF(OR($D96=W,$D96=WS),'INPUT Reg'!AH114,0)</f>
        <v>0</v>
      </c>
      <c r="M96" s="102">
        <f>IF(OR($D96=W,$D96=WS),'INPUT Reg'!AI114,0)</f>
        <v>0</v>
      </c>
      <c r="N96" s="102">
        <f>IF(OR($D96=W,$D96=WS),'INPUT Reg'!AJ114,0)</f>
        <v>0</v>
      </c>
      <c r="O96" s="102">
        <f>IF(OR($D96=W,$D96=WS),'INPUT Reg'!AK114,0)</f>
        <v>0</v>
      </c>
      <c r="P96" s="102">
        <f>IF(OR($D96=W,$D96=WS),'INPUT Reg'!AL114,0)</f>
        <v>0</v>
      </c>
      <c r="Q96" s="102">
        <f>IF(OR($D96=W,$D96=WS),'INPUT Reg'!AM114,0)</f>
        <v>0</v>
      </c>
      <c r="R96" s="102">
        <f>IF(OR($D96=W,$D96=WS),'INPUT Reg'!AN114,0)</f>
        <v>0</v>
      </c>
      <c r="S96" s="102">
        <f>IF(OR($D96=W,$D96=WS),'INPUT Reg'!AO114,0)</f>
        <v>0</v>
      </c>
      <c r="T96" s="102">
        <f>IF(OR($D96=W,$D96=WS),'INPUT Reg'!AP114,0)</f>
        <v>0</v>
      </c>
      <c r="U96" s="102">
        <f>IF(OR($D96=W,$D96=WS),'INPUT Reg'!AQ114,0)</f>
        <v>0</v>
      </c>
      <c r="V96" s="102">
        <f>IF(OR($D96=W,$D96=WS),'INPUT Reg'!AR114,0)</f>
        <v>0</v>
      </c>
      <c r="W96" s="102">
        <f>IF(OR($D96=W,$D96=WS),'INPUT Reg'!AS114,0)</f>
        <v>0</v>
      </c>
      <c r="X96" s="102">
        <f>IF(OR($D96=W,$D96=WS),'INPUT Reg'!AT114,0)</f>
        <v>0</v>
      </c>
      <c r="Y96" s="102">
        <f>IF(OR($D96=W,$D96=WS),'INPUT Reg'!AU114,0)</f>
        <v>0</v>
      </c>
      <c r="Z96" s="102">
        <f>IF(OR($D96=W,$D96=WS),'INPUT Reg'!AV114,0)</f>
        <v>0</v>
      </c>
      <c r="AA96" s="102">
        <f>IF(OR($D96=W,$D96=WS),'INPUT Reg'!AW114,0)</f>
        <v>0</v>
      </c>
    </row>
    <row r="97" spans="1:27" x14ac:dyDescent="0.25">
      <c r="B97" s="47" t="str">
        <f>B90</f>
        <v>Central</v>
      </c>
      <c r="C97" s="47" t="str">
        <f t="shared" ref="C97:D97" si="22">C90</f>
        <v>R</v>
      </c>
      <c r="D97" s="47" t="str">
        <f t="shared" si="22"/>
        <v>Water</v>
      </c>
      <c r="E97" s="47" t="s">
        <v>663</v>
      </c>
      <c r="F97" s="47" t="s">
        <v>661</v>
      </c>
      <c r="H97" s="102">
        <f>IF(OR($D97=S,$D97=WS),'INPUT Reg'!AD116,0)</f>
        <v>0</v>
      </c>
      <c r="I97" s="102">
        <f>IF(OR($D97=S,$D97=WS),'INPUT Reg'!AE116,0)</f>
        <v>0</v>
      </c>
      <c r="J97" s="102">
        <f>IF(OR($D97=S,$D97=WS),'INPUT Reg'!AF116,0)</f>
        <v>0</v>
      </c>
      <c r="K97" s="102">
        <f>IF(OR($D97=S,$D97=WS),'INPUT Reg'!AG116,0)</f>
        <v>0</v>
      </c>
      <c r="L97" s="102">
        <f>IF(OR($D97=S,$D97=WS),'INPUT Reg'!AH116,0)</f>
        <v>0</v>
      </c>
      <c r="M97" s="102">
        <f>IF(OR($D97=S,$D97=WS),'INPUT Reg'!AI116,0)</f>
        <v>0</v>
      </c>
      <c r="N97" s="102">
        <f>IF(OR($D97=S,$D97=WS),'INPUT Reg'!AJ116,0)</f>
        <v>0</v>
      </c>
      <c r="O97" s="102">
        <f>IF(OR($D97=S,$D97=WS),'INPUT Reg'!AK116,0)</f>
        <v>0</v>
      </c>
      <c r="P97" s="102">
        <f>IF(OR($D97=S,$D97=WS),'INPUT Reg'!AL116,0)</f>
        <v>0</v>
      </c>
      <c r="Q97" s="102">
        <f>IF(OR($D97=S,$D97=WS),'INPUT Reg'!AM116,0)</f>
        <v>0</v>
      </c>
      <c r="R97" s="102">
        <f>IF(OR($D97=S,$D97=WS),'INPUT Reg'!AN116,0)</f>
        <v>0</v>
      </c>
      <c r="S97" s="102">
        <f>IF(OR($D97=S,$D97=WS),'INPUT Reg'!AO116,0)</f>
        <v>0</v>
      </c>
      <c r="T97" s="102">
        <f>IF(OR($D97=S,$D97=WS),'INPUT Reg'!AP116,0)</f>
        <v>0</v>
      </c>
      <c r="U97" s="102">
        <f>IF(OR($D97=S,$D97=WS),'INPUT Reg'!AQ116,0)</f>
        <v>0</v>
      </c>
      <c r="V97" s="102">
        <f>IF(OR($D97=S,$D97=WS),'INPUT Reg'!AR116,0)</f>
        <v>0</v>
      </c>
      <c r="W97" s="102">
        <f>IF(OR($D97=S,$D97=WS),'INPUT Reg'!AS116,0)</f>
        <v>0</v>
      </c>
      <c r="X97" s="102">
        <f>IF(OR($D97=S,$D97=WS),'INPUT Reg'!AT116,0)</f>
        <v>0</v>
      </c>
      <c r="Y97" s="102">
        <f>IF(OR($D97=S,$D97=WS),'INPUT Reg'!AU116,0)</f>
        <v>0</v>
      </c>
      <c r="Z97" s="102">
        <f>IF(OR($D97=S,$D97=WS),'INPUT Reg'!AV116,0)</f>
        <v>0</v>
      </c>
      <c r="AA97" s="102">
        <f>IF(OR($D97=S,$D97=WS),'INPUT Reg'!AW116,0)</f>
        <v>0</v>
      </c>
    </row>
    <row r="98" spans="1:27" x14ac:dyDescent="0.25">
      <c r="C98" s="100"/>
      <c r="D98" s="100"/>
      <c r="E98" s="47" t="s">
        <v>664</v>
      </c>
      <c r="F98" s="47" t="s">
        <v>665</v>
      </c>
      <c r="H98" s="106">
        <f>H91*H95</f>
        <v>0</v>
      </c>
      <c r="I98" s="106">
        <f t="shared" ref="I98:AA98" si="23">I91*I95</f>
        <v>0</v>
      </c>
      <c r="J98" s="106">
        <f t="shared" si="23"/>
        <v>0</v>
      </c>
      <c r="K98" s="106">
        <f t="shared" si="23"/>
        <v>0</v>
      </c>
      <c r="L98" s="106">
        <f t="shared" si="23"/>
        <v>0</v>
      </c>
      <c r="M98" s="106">
        <f t="shared" si="23"/>
        <v>0</v>
      </c>
      <c r="N98" s="106">
        <f t="shared" si="23"/>
        <v>0</v>
      </c>
      <c r="O98" s="106">
        <f t="shared" si="23"/>
        <v>0</v>
      </c>
      <c r="P98" s="106">
        <f t="shared" si="23"/>
        <v>0</v>
      </c>
      <c r="Q98" s="106">
        <f t="shared" si="23"/>
        <v>0</v>
      </c>
      <c r="R98" s="106">
        <f t="shared" si="23"/>
        <v>0</v>
      </c>
      <c r="S98" s="106">
        <f t="shared" si="23"/>
        <v>0</v>
      </c>
      <c r="T98" s="106">
        <f t="shared" si="23"/>
        <v>0</v>
      </c>
      <c r="U98" s="106">
        <f t="shared" si="23"/>
        <v>0</v>
      </c>
      <c r="V98" s="106">
        <f t="shared" si="23"/>
        <v>0</v>
      </c>
      <c r="W98" s="106">
        <f t="shared" si="23"/>
        <v>0</v>
      </c>
      <c r="X98" s="106">
        <f t="shared" si="23"/>
        <v>0</v>
      </c>
      <c r="Y98" s="106">
        <f t="shared" si="23"/>
        <v>0</v>
      </c>
      <c r="Z98" s="106">
        <f t="shared" si="23"/>
        <v>0</v>
      </c>
      <c r="AA98" s="106">
        <f t="shared" si="23"/>
        <v>0</v>
      </c>
    </row>
    <row r="99" spans="1:27" x14ac:dyDescent="0.25">
      <c r="C99" s="100"/>
      <c r="D99" s="100"/>
      <c r="E99" s="47" t="s">
        <v>666</v>
      </c>
      <c r="F99" s="47" t="s">
        <v>665</v>
      </c>
      <c r="H99" s="106">
        <f>H91*H96</f>
        <v>0</v>
      </c>
      <c r="I99" s="106">
        <f t="shared" ref="I99:AA99" si="24">I91*I96</f>
        <v>0</v>
      </c>
      <c r="J99" s="106">
        <f t="shared" si="24"/>
        <v>0</v>
      </c>
      <c r="K99" s="106">
        <f t="shared" si="24"/>
        <v>0</v>
      </c>
      <c r="L99" s="106">
        <f t="shared" si="24"/>
        <v>0</v>
      </c>
      <c r="M99" s="106">
        <f t="shared" si="24"/>
        <v>0</v>
      </c>
      <c r="N99" s="106">
        <f t="shared" si="24"/>
        <v>0</v>
      </c>
      <c r="O99" s="106">
        <f t="shared" si="24"/>
        <v>0</v>
      </c>
      <c r="P99" s="106">
        <f t="shared" si="24"/>
        <v>0</v>
      </c>
      <c r="Q99" s="106">
        <f t="shared" si="24"/>
        <v>0</v>
      </c>
      <c r="R99" s="106">
        <f t="shared" si="24"/>
        <v>0</v>
      </c>
      <c r="S99" s="106">
        <f t="shared" si="24"/>
        <v>0</v>
      </c>
      <c r="T99" s="106">
        <f t="shared" si="24"/>
        <v>0</v>
      </c>
      <c r="U99" s="106">
        <f t="shared" si="24"/>
        <v>0</v>
      </c>
      <c r="V99" s="106">
        <f t="shared" si="24"/>
        <v>0</v>
      </c>
      <c r="W99" s="106">
        <f t="shared" si="24"/>
        <v>0</v>
      </c>
      <c r="X99" s="106">
        <f t="shared" si="24"/>
        <v>0</v>
      </c>
      <c r="Y99" s="106">
        <f t="shared" si="24"/>
        <v>0</v>
      </c>
      <c r="Z99" s="106">
        <f t="shared" si="24"/>
        <v>0</v>
      </c>
      <c r="AA99" s="106">
        <f t="shared" si="24"/>
        <v>0</v>
      </c>
    </row>
    <row r="100" spans="1:27" x14ac:dyDescent="0.25">
      <c r="C100" s="100"/>
      <c r="D100" s="100"/>
      <c r="E100" s="47" t="s">
        <v>667</v>
      </c>
      <c r="F100" s="47" t="s">
        <v>665</v>
      </c>
      <c r="H100" s="106">
        <f>H91*H97</f>
        <v>0</v>
      </c>
      <c r="I100" s="106">
        <f t="shared" ref="I100:AA100" si="25">I91*I97</f>
        <v>0</v>
      </c>
      <c r="J100" s="106">
        <f t="shared" si="25"/>
        <v>0</v>
      </c>
      <c r="K100" s="106">
        <f t="shared" si="25"/>
        <v>0</v>
      </c>
      <c r="L100" s="106">
        <f t="shared" si="25"/>
        <v>0</v>
      </c>
      <c r="M100" s="106">
        <f t="shared" si="25"/>
        <v>0</v>
      </c>
      <c r="N100" s="106">
        <f t="shared" si="25"/>
        <v>0</v>
      </c>
      <c r="O100" s="106">
        <f t="shared" si="25"/>
        <v>0</v>
      </c>
      <c r="P100" s="106">
        <f t="shared" si="25"/>
        <v>0</v>
      </c>
      <c r="Q100" s="106">
        <f t="shared" si="25"/>
        <v>0</v>
      </c>
      <c r="R100" s="106">
        <f t="shared" si="25"/>
        <v>0</v>
      </c>
      <c r="S100" s="106">
        <f t="shared" si="25"/>
        <v>0</v>
      </c>
      <c r="T100" s="106">
        <f t="shared" si="25"/>
        <v>0</v>
      </c>
      <c r="U100" s="106">
        <f t="shared" si="25"/>
        <v>0</v>
      </c>
      <c r="V100" s="106">
        <f t="shared" si="25"/>
        <v>0</v>
      </c>
      <c r="W100" s="106">
        <f t="shared" si="25"/>
        <v>0</v>
      </c>
      <c r="X100" s="106">
        <f t="shared" si="25"/>
        <v>0</v>
      </c>
      <c r="Y100" s="106">
        <f t="shared" si="25"/>
        <v>0</v>
      </c>
      <c r="Z100" s="106">
        <f t="shared" si="25"/>
        <v>0</v>
      </c>
      <c r="AA100" s="106">
        <f t="shared" si="25"/>
        <v>0</v>
      </c>
    </row>
    <row r="101" spans="1:27" x14ac:dyDescent="0.25">
      <c r="A101" s="101">
        <v>18</v>
      </c>
      <c r="B101" s="47" t="str">
        <f>B95</f>
        <v>Central</v>
      </c>
      <c r="C101" s="47" t="str">
        <f t="shared" ref="C101:D101" si="26">C95</f>
        <v>R</v>
      </c>
      <c r="D101" s="47" t="str">
        <f t="shared" si="26"/>
        <v>Water</v>
      </c>
      <c r="E101" s="47" t="s">
        <v>668</v>
      </c>
      <c r="F101" s="47" t="s">
        <v>633</v>
      </c>
      <c r="H101" s="105">
        <f>SUMIFS('INPUT Reg'!AD$94:AD$109,'INPUT Reg'!$D$94:$D$109,$D101,'INPUT Reg'!$C$94:$C$109,$C101,'INPUT Reg'!$B$94:$B$109,$B101)</f>
        <v>0.10914442561920001</v>
      </c>
      <c r="I101" s="105">
        <f>SUMIFS('INPUT Reg'!AE$94:AE$109,'INPUT Reg'!$D$94:$D$109,$D101,'INPUT Reg'!$C$94:$C$109,$C101,'INPUT Reg'!$B$94:$B$109,$B101)</f>
        <v>0</v>
      </c>
      <c r="J101" s="105">
        <f>SUMIFS('INPUT Reg'!AF$94:AF$109,'INPUT Reg'!$D$94:$D$109,$D101,'INPUT Reg'!$C$94:$C$109,$C101,'INPUT Reg'!$B$94:$B$109,$B101)</f>
        <v>0</v>
      </c>
      <c r="K101" s="105">
        <f>SUMIFS('INPUT Reg'!AG$94:AG$109,'INPUT Reg'!$D$94:$D$109,$D101,'INPUT Reg'!$C$94:$C$109,$C101,'INPUT Reg'!$B$94:$B$109,$B101)</f>
        <v>0</v>
      </c>
      <c r="L101" s="105">
        <f>SUMIFS('INPUT Reg'!AH$94:AH$109,'INPUT Reg'!$D$94:$D$109,$D101,'INPUT Reg'!$C$94:$C$109,$C101,'INPUT Reg'!$B$94:$B$109,$B101)</f>
        <v>-1.3827480402770487E-2</v>
      </c>
      <c r="M101" s="105">
        <f>SUMIFS('INPUT Reg'!AI$94:AI$109,'INPUT Reg'!$D$94:$D$109,$D101,'INPUT Reg'!$C$94:$C$109,$C101,'INPUT Reg'!$B$94:$B$109,$B101)</f>
        <v>0</v>
      </c>
      <c r="N101" s="105">
        <f>SUMIFS('INPUT Reg'!AJ$94:AJ$109,'INPUT Reg'!$D$94:$D$109,$D101,'INPUT Reg'!$C$94:$C$109,$C101,'INPUT Reg'!$B$94:$B$109,$B101)</f>
        <v>0</v>
      </c>
      <c r="O101" s="105">
        <f>SUMIFS('INPUT Reg'!AK$94:AK$109,'INPUT Reg'!$D$94:$D$109,$D101,'INPUT Reg'!$C$94:$C$109,$C101,'INPUT Reg'!$B$94:$B$109,$B101)</f>
        <v>0</v>
      </c>
      <c r="P101" s="105">
        <f>SUMIFS('INPUT Reg'!AL$94:AL$109,'INPUT Reg'!$D$94:$D$109,$D101,'INPUT Reg'!$C$94:$C$109,$C101,'INPUT Reg'!$B$94:$B$109,$B101)</f>
        <v>0</v>
      </c>
      <c r="Q101" s="105">
        <f>SUMIFS('INPUT Reg'!AM$94:AM$109,'INPUT Reg'!$D$94:$D$109,$D101,'INPUT Reg'!$C$94:$C$109,$C101,'INPUT Reg'!$B$94:$B$109,$B101)</f>
        <v>-0.11315100396622813</v>
      </c>
      <c r="R101" s="105">
        <f>SUMIFS('INPUT Reg'!AN$94:AN$109,'INPUT Reg'!$D$94:$D$109,$D101,'INPUT Reg'!$C$94:$C$109,$C101,'INPUT Reg'!$B$94:$B$109,$B101)</f>
        <v>0</v>
      </c>
      <c r="S101" s="105">
        <f>SUMIFS('INPUT Reg'!AO$94:AO$109,'INPUT Reg'!$D$94:$D$109,$D101,'INPUT Reg'!$C$94:$C$109,$C101,'INPUT Reg'!$B$94:$B$109,$B101)</f>
        <v>0</v>
      </c>
      <c r="T101" s="105">
        <f>SUMIFS('INPUT Reg'!AP$94:AP$109,'INPUT Reg'!$D$94:$D$109,$D101,'INPUT Reg'!$C$94:$C$109,$C101,'INPUT Reg'!$B$94:$B$109,$B101)</f>
        <v>0</v>
      </c>
      <c r="U101" s="105">
        <f>SUMIFS('INPUT Reg'!AQ$94:AQ$109,'INPUT Reg'!$D$94:$D$109,$D101,'INPUT Reg'!$C$94:$C$109,$C101,'INPUT Reg'!$B$94:$B$109,$B101)</f>
        <v>0</v>
      </c>
      <c r="V101" s="105">
        <f>SUMIFS('INPUT Reg'!AR$94:AR$109,'INPUT Reg'!$D$94:$D$109,$D101,'INPUT Reg'!$C$94:$C$109,$C101,'INPUT Reg'!$B$94:$B$109,$B101)</f>
        <v>-7.0264957239180137E-2</v>
      </c>
      <c r="W101" s="105">
        <f>SUMIFS('INPUT Reg'!AS$94:AS$109,'INPUT Reg'!$D$94:$D$109,$D101,'INPUT Reg'!$C$94:$C$109,$C101,'INPUT Reg'!$B$94:$B$109,$B101)</f>
        <v>0</v>
      </c>
      <c r="X101" s="105">
        <f>SUMIFS('INPUT Reg'!AT$94:AT$109,'INPUT Reg'!$D$94:$D$109,$D101,'INPUT Reg'!$C$94:$C$109,$C101,'INPUT Reg'!$B$94:$B$109,$B101)</f>
        <v>0</v>
      </c>
      <c r="Y101" s="105">
        <f>SUMIFS('INPUT Reg'!AU$94:AU$109,'INPUT Reg'!$D$94:$D$109,$D101,'INPUT Reg'!$C$94:$C$109,$C101,'INPUT Reg'!$B$94:$B$109,$B101)</f>
        <v>0</v>
      </c>
      <c r="Z101" s="105">
        <f>SUMIFS('INPUT Reg'!AV$94:AV$109,'INPUT Reg'!$D$94:$D$109,$D101,'INPUT Reg'!$C$94:$C$109,$C101,'INPUT Reg'!$B$94:$B$109,$B101)</f>
        <v>0</v>
      </c>
      <c r="AA101" s="105">
        <f>SUMIFS('INPUT Reg'!AW$94:AW$109,'INPUT Reg'!$D$94:$D$109,$D101,'INPUT Reg'!$C$94:$C$109,$C101,'INPUT Reg'!$B$94:$B$109,$B101)</f>
        <v>0</v>
      </c>
    </row>
    <row r="102" spans="1:27" x14ac:dyDescent="0.25">
      <c r="A102" s="101">
        <v>19</v>
      </c>
      <c r="B102" s="47" t="str">
        <f>B90</f>
        <v>Central</v>
      </c>
      <c r="C102" s="47" t="str">
        <f t="shared" ref="C102:D102" si="27">C90</f>
        <v>R</v>
      </c>
      <c r="D102" s="47" t="str">
        <f t="shared" si="27"/>
        <v>Water</v>
      </c>
      <c r="E102" s="47" t="s">
        <v>669</v>
      </c>
      <c r="F102" s="47" t="s">
        <v>670</v>
      </c>
      <c r="G102" s="108">
        <f>IF(D102=W,CWW_R_W_N,IF(D102=S,CWW_R_S_N,IF(D102=WS,CWW_R_W_N+CWW_R_S_N,CWW_R_R_N)))</f>
        <v>206.4</v>
      </c>
      <c r="H102" s="106">
        <f>G102*(1+$G$14)*(1+H101)</f>
        <v>228.92740944780289</v>
      </c>
      <c r="I102" s="106">
        <f t="shared" ref="I102:AA102" si="28">H102*(1+$G$14)*(1+I101)</f>
        <v>228.92740944780289</v>
      </c>
      <c r="J102" s="106">
        <f t="shared" si="28"/>
        <v>228.92740944780289</v>
      </c>
      <c r="K102" s="106">
        <f t="shared" si="28"/>
        <v>228.92740944780289</v>
      </c>
      <c r="L102" s="106">
        <f t="shared" si="28"/>
        <v>225.76192018000637</v>
      </c>
      <c r="M102" s="106">
        <f t="shared" si="28"/>
        <v>225.76192018000637</v>
      </c>
      <c r="N102" s="106">
        <f t="shared" si="28"/>
        <v>225.76192018000637</v>
      </c>
      <c r="O102" s="106">
        <f t="shared" si="28"/>
        <v>225.76192018000637</v>
      </c>
      <c r="P102" s="106">
        <f t="shared" si="28"/>
        <v>225.76192018000637</v>
      </c>
      <c r="Q102" s="106">
        <f t="shared" si="28"/>
        <v>200.21673225429518</v>
      </c>
      <c r="R102" s="106">
        <f t="shared" si="28"/>
        <v>200.21673225429518</v>
      </c>
      <c r="S102" s="106">
        <f t="shared" si="28"/>
        <v>200.21673225429518</v>
      </c>
      <c r="T102" s="106">
        <f t="shared" si="28"/>
        <v>200.21673225429518</v>
      </c>
      <c r="U102" s="106">
        <f t="shared" si="28"/>
        <v>200.21673225429518</v>
      </c>
      <c r="V102" s="106">
        <f t="shared" si="28"/>
        <v>186.14851212387876</v>
      </c>
      <c r="W102" s="106">
        <f t="shared" si="28"/>
        <v>186.14851212387876</v>
      </c>
      <c r="X102" s="106">
        <f t="shared" si="28"/>
        <v>186.14851212387876</v>
      </c>
      <c r="Y102" s="106">
        <f t="shared" si="28"/>
        <v>186.14851212387876</v>
      </c>
      <c r="Z102" s="106">
        <f t="shared" si="28"/>
        <v>186.14851212387876</v>
      </c>
      <c r="AA102" s="106">
        <f t="shared" si="28"/>
        <v>186.14851212387876</v>
      </c>
    </row>
    <row r="103" spans="1:27" x14ac:dyDescent="0.25">
      <c r="B103" s="47" t="str">
        <f>B90</f>
        <v>Central</v>
      </c>
      <c r="C103" s="47" t="str">
        <f t="shared" ref="C103:D103" si="29">C90</f>
        <v>R</v>
      </c>
      <c r="D103" s="47" t="str">
        <f t="shared" si="29"/>
        <v>Water</v>
      </c>
      <c r="E103" s="47" t="s">
        <v>671</v>
      </c>
      <c r="F103" s="47" t="s">
        <v>672</v>
      </c>
      <c r="G103" s="109">
        <f>IF(OR(D103=W,D103=WS),CWW_T1,IF(D103=RW,CWW_R_R_V,0))</f>
        <v>2.9499</v>
      </c>
      <c r="H103" s="110">
        <f>G103*(1+$G$14)*(1+H101)</f>
        <v>3.2718651411340782</v>
      </c>
      <c r="I103" s="110">
        <f t="shared" ref="I103:AA103" si="30">H103*(1+$G$14)*(1+I101)</f>
        <v>3.2718651411340782</v>
      </c>
      <c r="J103" s="110">
        <f t="shared" si="30"/>
        <v>3.2718651411340782</v>
      </c>
      <c r="K103" s="110">
        <f t="shared" si="30"/>
        <v>3.2718651411340782</v>
      </c>
      <c r="L103" s="110">
        <f t="shared" si="30"/>
        <v>3.2266234900145387</v>
      </c>
      <c r="M103" s="110">
        <f t="shared" si="30"/>
        <v>3.2266234900145387</v>
      </c>
      <c r="N103" s="110">
        <f t="shared" si="30"/>
        <v>3.2266234900145387</v>
      </c>
      <c r="O103" s="110">
        <f t="shared" si="30"/>
        <v>3.2266234900145387</v>
      </c>
      <c r="P103" s="110">
        <f t="shared" si="30"/>
        <v>3.2266234900145387</v>
      </c>
      <c r="Q103" s="110">
        <f t="shared" si="30"/>
        <v>2.861527802698379</v>
      </c>
      <c r="R103" s="110">
        <f t="shared" si="30"/>
        <v>2.861527802698379</v>
      </c>
      <c r="S103" s="110">
        <f t="shared" si="30"/>
        <v>2.861527802698379</v>
      </c>
      <c r="T103" s="110">
        <f t="shared" si="30"/>
        <v>2.861527802698379</v>
      </c>
      <c r="U103" s="110">
        <f t="shared" si="30"/>
        <v>2.861527802698379</v>
      </c>
      <c r="V103" s="110">
        <f t="shared" si="30"/>
        <v>2.6604626740030524</v>
      </c>
      <c r="W103" s="110">
        <f t="shared" si="30"/>
        <v>2.6604626740030524</v>
      </c>
      <c r="X103" s="110">
        <f t="shared" si="30"/>
        <v>2.6604626740030524</v>
      </c>
      <c r="Y103" s="110">
        <f t="shared" si="30"/>
        <v>2.6604626740030524</v>
      </c>
      <c r="Z103" s="110">
        <f t="shared" si="30"/>
        <v>2.6604626740030524</v>
      </c>
      <c r="AA103" s="110">
        <f t="shared" si="30"/>
        <v>2.6604626740030524</v>
      </c>
    </row>
    <row r="104" spans="1:27" x14ac:dyDescent="0.25">
      <c r="B104" s="47" t="str">
        <f>B90</f>
        <v>Central</v>
      </c>
      <c r="C104" s="47" t="str">
        <f t="shared" ref="C104:D104" si="31">C90</f>
        <v>R</v>
      </c>
      <c r="D104" s="47" t="str">
        <f t="shared" si="31"/>
        <v>Water</v>
      </c>
      <c r="E104" s="47" t="s">
        <v>673</v>
      </c>
      <c r="F104" s="47" t="s">
        <v>672</v>
      </c>
      <c r="G104" s="109">
        <f>IF(OR(D104=W,D104=WS),CWW_T2,0)</f>
        <v>3.4722</v>
      </c>
      <c r="H104" s="110">
        <f>G104*(1+$G$14)*(1+H101)</f>
        <v>3.8511712746349862</v>
      </c>
      <c r="I104" s="110">
        <f t="shared" ref="I104:AA104" si="32">H104*(1+$G$14)*(1+I101)</f>
        <v>3.8511712746349862</v>
      </c>
      <c r="J104" s="110">
        <f t="shared" si="32"/>
        <v>3.8511712746349862</v>
      </c>
      <c r="K104" s="110">
        <f t="shared" si="32"/>
        <v>3.8511712746349862</v>
      </c>
      <c r="L104" s="110">
        <f t="shared" si="32"/>
        <v>3.7979192793072585</v>
      </c>
      <c r="M104" s="110">
        <f t="shared" si="32"/>
        <v>3.7979192793072585</v>
      </c>
      <c r="N104" s="110">
        <f t="shared" si="32"/>
        <v>3.7979192793072585</v>
      </c>
      <c r="O104" s="110">
        <f t="shared" si="32"/>
        <v>3.7979192793072585</v>
      </c>
      <c r="P104" s="110">
        <f t="shared" si="32"/>
        <v>3.7979192793072585</v>
      </c>
      <c r="Q104" s="110">
        <f t="shared" si="32"/>
        <v>3.3681808998709486</v>
      </c>
      <c r="R104" s="110">
        <f t="shared" si="32"/>
        <v>3.3681808998709486</v>
      </c>
      <c r="S104" s="110">
        <f t="shared" si="32"/>
        <v>3.3681808998709486</v>
      </c>
      <c r="T104" s="110">
        <f t="shared" si="32"/>
        <v>3.3681808998709486</v>
      </c>
      <c r="U104" s="110">
        <f t="shared" si="32"/>
        <v>3.3681808998709486</v>
      </c>
      <c r="V104" s="110">
        <f t="shared" si="32"/>
        <v>3.131515812967693</v>
      </c>
      <c r="W104" s="110">
        <f t="shared" si="32"/>
        <v>3.131515812967693</v>
      </c>
      <c r="X104" s="110">
        <f t="shared" si="32"/>
        <v>3.131515812967693</v>
      </c>
      <c r="Y104" s="110">
        <f t="shared" si="32"/>
        <v>3.131515812967693</v>
      </c>
      <c r="Z104" s="110">
        <f t="shared" si="32"/>
        <v>3.131515812967693</v>
      </c>
      <c r="AA104" s="110">
        <f t="shared" si="32"/>
        <v>3.131515812967693</v>
      </c>
    </row>
    <row r="105" spans="1:27" x14ac:dyDescent="0.25">
      <c r="B105" s="47" t="str">
        <f>B90</f>
        <v>Central</v>
      </c>
      <c r="C105" s="47" t="str">
        <f t="shared" ref="C105:D105" si="33">C90</f>
        <v>R</v>
      </c>
      <c r="D105" s="47" t="str">
        <f t="shared" si="33"/>
        <v>Water</v>
      </c>
      <c r="E105" s="47" t="s">
        <v>674</v>
      </c>
      <c r="F105" s="47" t="s">
        <v>672</v>
      </c>
      <c r="G105" s="109">
        <f>IF(OR(D105=S,D105=WS),CWW_R_SDC,0)</f>
        <v>0</v>
      </c>
      <c r="H105" s="110">
        <f>G105*(1+$G$14)*(1+H101)</f>
        <v>0</v>
      </c>
      <c r="I105" s="110">
        <f t="shared" ref="I105:AA105" si="34">H105*(1+$G$14)*(1+I101)</f>
        <v>0</v>
      </c>
      <c r="J105" s="110">
        <f t="shared" si="34"/>
        <v>0</v>
      </c>
      <c r="K105" s="110">
        <f t="shared" si="34"/>
        <v>0</v>
      </c>
      <c r="L105" s="110">
        <f t="shared" si="34"/>
        <v>0</v>
      </c>
      <c r="M105" s="110">
        <f t="shared" si="34"/>
        <v>0</v>
      </c>
      <c r="N105" s="110">
        <f t="shared" si="34"/>
        <v>0</v>
      </c>
      <c r="O105" s="110">
        <f t="shared" si="34"/>
        <v>0</v>
      </c>
      <c r="P105" s="110">
        <f t="shared" si="34"/>
        <v>0</v>
      </c>
      <c r="Q105" s="110">
        <f t="shared" si="34"/>
        <v>0</v>
      </c>
      <c r="R105" s="110">
        <f t="shared" si="34"/>
        <v>0</v>
      </c>
      <c r="S105" s="110">
        <f t="shared" si="34"/>
        <v>0</v>
      </c>
      <c r="T105" s="110">
        <f t="shared" si="34"/>
        <v>0</v>
      </c>
      <c r="U105" s="110">
        <f t="shared" si="34"/>
        <v>0</v>
      </c>
      <c r="V105" s="110">
        <f t="shared" si="34"/>
        <v>0</v>
      </c>
      <c r="W105" s="110">
        <f t="shared" si="34"/>
        <v>0</v>
      </c>
      <c r="X105" s="110">
        <f t="shared" si="34"/>
        <v>0</v>
      </c>
      <c r="Y105" s="110">
        <f t="shared" si="34"/>
        <v>0</v>
      </c>
      <c r="Z105" s="110">
        <f t="shared" si="34"/>
        <v>0</v>
      </c>
      <c r="AA105" s="110">
        <f t="shared" si="34"/>
        <v>0</v>
      </c>
    </row>
    <row r="106" spans="1:27" x14ac:dyDescent="0.25">
      <c r="C106" s="100"/>
      <c r="D106" s="100"/>
    </row>
    <row r="107" spans="1:27" x14ac:dyDescent="0.25">
      <c r="C107" s="100"/>
      <c r="D107" s="100"/>
      <c r="E107" s="47" t="s">
        <v>675</v>
      </c>
      <c r="F107" s="47" t="s">
        <v>676</v>
      </c>
      <c r="H107" s="106">
        <f>SUM(H98:H100)/1000</f>
        <v>0</v>
      </c>
      <c r="I107" s="106">
        <f t="shared" ref="I107:AA107" si="35">SUM(I98:I100)/1000</f>
        <v>0</v>
      </c>
      <c r="J107" s="106">
        <f t="shared" si="35"/>
        <v>0</v>
      </c>
      <c r="K107" s="106">
        <f t="shared" si="35"/>
        <v>0</v>
      </c>
      <c r="L107" s="106">
        <f t="shared" si="35"/>
        <v>0</v>
      </c>
      <c r="M107" s="106">
        <f t="shared" si="35"/>
        <v>0</v>
      </c>
      <c r="N107" s="106">
        <f t="shared" si="35"/>
        <v>0</v>
      </c>
      <c r="O107" s="106">
        <f t="shared" si="35"/>
        <v>0</v>
      </c>
      <c r="P107" s="106">
        <f t="shared" si="35"/>
        <v>0</v>
      </c>
      <c r="Q107" s="106">
        <f t="shared" si="35"/>
        <v>0</v>
      </c>
      <c r="R107" s="106">
        <f t="shared" si="35"/>
        <v>0</v>
      </c>
      <c r="S107" s="106">
        <f t="shared" si="35"/>
        <v>0</v>
      </c>
      <c r="T107" s="106">
        <f t="shared" si="35"/>
        <v>0</v>
      </c>
      <c r="U107" s="106">
        <f t="shared" si="35"/>
        <v>0</v>
      </c>
      <c r="V107" s="106">
        <f t="shared" si="35"/>
        <v>0</v>
      </c>
      <c r="W107" s="106">
        <f t="shared" si="35"/>
        <v>0</v>
      </c>
      <c r="X107" s="106">
        <f t="shared" si="35"/>
        <v>0</v>
      </c>
      <c r="Y107" s="106">
        <f t="shared" si="35"/>
        <v>0</v>
      </c>
      <c r="Z107" s="106">
        <f t="shared" si="35"/>
        <v>0</v>
      </c>
      <c r="AA107" s="106">
        <f t="shared" si="35"/>
        <v>0</v>
      </c>
    </row>
    <row r="108" spans="1:27" x14ac:dyDescent="0.25">
      <c r="C108" s="100"/>
      <c r="D108" s="100"/>
      <c r="E108" s="47" t="s">
        <v>677</v>
      </c>
      <c r="F108" s="47" t="s">
        <v>639</v>
      </c>
      <c r="H108" s="106">
        <f>H91*H102+H98*H103+H99*H104+H100*H105</f>
        <v>0</v>
      </c>
      <c r="I108" s="106">
        <f t="shared" ref="I108:AA108" si="36">I91*I102+I98*I103+I99*I104+I100*I105</f>
        <v>0</v>
      </c>
      <c r="J108" s="106">
        <f t="shared" si="36"/>
        <v>0</v>
      </c>
      <c r="K108" s="106">
        <f t="shared" si="36"/>
        <v>0</v>
      </c>
      <c r="L108" s="106">
        <f t="shared" si="36"/>
        <v>0</v>
      </c>
      <c r="M108" s="106">
        <f t="shared" si="36"/>
        <v>0</v>
      </c>
      <c r="N108" s="106">
        <f t="shared" si="36"/>
        <v>0</v>
      </c>
      <c r="O108" s="106">
        <f t="shared" si="36"/>
        <v>0</v>
      </c>
      <c r="P108" s="106">
        <f t="shared" si="36"/>
        <v>0</v>
      </c>
      <c r="Q108" s="106">
        <f t="shared" si="36"/>
        <v>0</v>
      </c>
      <c r="R108" s="106">
        <f t="shared" si="36"/>
        <v>0</v>
      </c>
      <c r="S108" s="106">
        <f t="shared" si="36"/>
        <v>0</v>
      </c>
      <c r="T108" s="106">
        <f t="shared" si="36"/>
        <v>0</v>
      </c>
      <c r="U108" s="106">
        <f t="shared" si="36"/>
        <v>0</v>
      </c>
      <c r="V108" s="106">
        <f t="shared" si="36"/>
        <v>0</v>
      </c>
      <c r="W108" s="106">
        <f t="shared" si="36"/>
        <v>0</v>
      </c>
      <c r="X108" s="106">
        <f t="shared" si="36"/>
        <v>0</v>
      </c>
      <c r="Y108" s="106">
        <f t="shared" si="36"/>
        <v>0</v>
      </c>
      <c r="Z108" s="106">
        <f t="shared" si="36"/>
        <v>0</v>
      </c>
      <c r="AA108" s="106">
        <f t="shared" si="36"/>
        <v>0</v>
      </c>
    </row>
    <row r="109" spans="1:27" x14ac:dyDescent="0.25">
      <c r="C109" s="100"/>
      <c r="D109" s="100"/>
    </row>
    <row r="110" spans="1:27" x14ac:dyDescent="0.25">
      <c r="C110" s="100"/>
      <c r="D110" s="47" t="s">
        <v>678</v>
      </c>
    </row>
    <row r="111" spans="1:27" x14ac:dyDescent="0.25">
      <c r="A111" s="101">
        <v>20</v>
      </c>
      <c r="B111" s="107" t="s">
        <v>262</v>
      </c>
      <c r="C111" s="47" t="s">
        <v>407</v>
      </c>
      <c r="D111" s="100" t="str">
        <f>$G$4</f>
        <v>Water</v>
      </c>
      <c r="E111" s="47" t="s">
        <v>654</v>
      </c>
      <c r="F111" s="47" t="s">
        <v>655</v>
      </c>
      <c r="H111" s="102">
        <f>IF($G$4="Water and sewer",SUMIFS('INPUT Growth'!AD$64:AD$115,'INPUT Growth'!$B$64:$B$115,$A$1,'INPUT Growth'!$F$64:$F$115,$B111,'INPUT Growth'!$E$64:$E$115,$C111),SUMIFS('INPUT Growth'!AD$64:AD$115,'INPUT Growth'!$A$64:$A$115,$A$1,'INPUT Growth'!$F$64:$F$115,$B111,'INPUT Growth'!$E$64:$E$115,$C111))</f>
        <v>0</v>
      </c>
      <c r="I111" s="102">
        <f>IF($G$4="Water and sewer",SUMIFS('INPUT Growth'!AE$64:AE$115,'INPUT Growth'!$B$64:$B$115,$A$1,'INPUT Growth'!$F$64:$F$115,$B111,'INPUT Growth'!$E$64:$E$115,$C111),SUMIFS('INPUT Growth'!AE$64:AE$115,'INPUT Growth'!$A$64:$A$115,$A$1,'INPUT Growth'!$F$64:$F$115,$B111,'INPUT Growth'!$E$64:$E$115,$C111))</f>
        <v>0</v>
      </c>
      <c r="J111" s="102">
        <f>IF($G$4="Water and sewer",SUMIFS('INPUT Growth'!AF$64:AF$115,'INPUT Growth'!$B$64:$B$115,$A$1,'INPUT Growth'!$F$64:$F$115,$B111,'INPUT Growth'!$E$64:$E$115,$C111),SUMIFS('INPUT Growth'!AF$64:AF$115,'INPUT Growth'!$A$64:$A$115,$A$1,'INPUT Growth'!$F$64:$F$115,$B111,'INPUT Growth'!$E$64:$E$115,$C111))</f>
        <v>0</v>
      </c>
      <c r="K111" s="102">
        <f>IF($G$4="Water and sewer",SUMIFS('INPUT Growth'!AG$64:AG$115,'INPUT Growth'!$B$64:$B$115,$A$1,'INPUT Growth'!$F$64:$F$115,$B111,'INPUT Growth'!$E$64:$E$115,$C111),SUMIFS('INPUT Growth'!AG$64:AG$115,'INPUT Growth'!$A$64:$A$115,$A$1,'INPUT Growth'!$F$64:$F$115,$B111,'INPUT Growth'!$E$64:$E$115,$C111))</f>
        <v>0</v>
      </c>
      <c r="L111" s="102">
        <f>IF($G$4="Water and sewer",SUMIFS('INPUT Growth'!AH$64:AH$115,'INPUT Growth'!$B$64:$B$115,$A$1,'INPUT Growth'!$F$64:$F$115,$B111,'INPUT Growth'!$E$64:$E$115,$C111),SUMIFS('INPUT Growth'!AH$64:AH$115,'INPUT Growth'!$A$64:$A$115,$A$1,'INPUT Growth'!$F$64:$F$115,$B111,'INPUT Growth'!$E$64:$E$115,$C111))</f>
        <v>0</v>
      </c>
      <c r="M111" s="102">
        <f>IF($G$4="Water and sewer",SUMIFS('INPUT Growth'!AI$64:AI$115,'INPUT Growth'!$B$64:$B$115,$A$1,'INPUT Growth'!$F$64:$F$115,$B111,'INPUT Growth'!$E$64:$E$115,$C111),SUMIFS('INPUT Growth'!AI$64:AI$115,'INPUT Growth'!$A$64:$A$115,$A$1,'INPUT Growth'!$F$64:$F$115,$B111,'INPUT Growth'!$E$64:$E$115,$C111))</f>
        <v>0</v>
      </c>
      <c r="N111" s="102">
        <f>IF($G$4="Water and sewer",SUMIFS('INPUT Growth'!AJ$64:AJ$115,'INPUT Growth'!$B$64:$B$115,$A$1,'INPUT Growth'!$F$64:$F$115,$B111,'INPUT Growth'!$E$64:$E$115,$C111),SUMIFS('INPUT Growth'!AJ$64:AJ$115,'INPUT Growth'!$A$64:$A$115,$A$1,'INPUT Growth'!$F$64:$F$115,$B111,'INPUT Growth'!$E$64:$E$115,$C111))</f>
        <v>0</v>
      </c>
      <c r="O111" s="102">
        <f>IF($G$4="Water and sewer",SUMIFS('INPUT Growth'!AK$64:AK$115,'INPUT Growth'!$B$64:$B$115,$A$1,'INPUT Growth'!$F$64:$F$115,$B111,'INPUT Growth'!$E$64:$E$115,$C111),SUMIFS('INPUT Growth'!AK$64:AK$115,'INPUT Growth'!$A$64:$A$115,$A$1,'INPUT Growth'!$F$64:$F$115,$B111,'INPUT Growth'!$E$64:$E$115,$C111))</f>
        <v>0</v>
      </c>
      <c r="P111" s="102">
        <f>IF($G$4="Water and sewer",SUMIFS('INPUT Growth'!AL$64:AL$115,'INPUT Growth'!$B$64:$B$115,$A$1,'INPUT Growth'!$F$64:$F$115,$B111,'INPUT Growth'!$E$64:$E$115,$C111),SUMIFS('INPUT Growth'!AL$64:AL$115,'INPUT Growth'!$A$64:$A$115,$A$1,'INPUT Growth'!$F$64:$F$115,$B111,'INPUT Growth'!$E$64:$E$115,$C111))</f>
        <v>0</v>
      </c>
      <c r="Q111" s="102">
        <f>IF($G$4="Water and sewer",SUMIFS('INPUT Growth'!AM$64:AM$115,'INPUT Growth'!$B$64:$B$115,$A$1,'INPUT Growth'!$F$64:$F$115,$B111,'INPUT Growth'!$E$64:$E$115,$C111),SUMIFS('INPUT Growth'!AM$64:AM$115,'INPUT Growth'!$A$64:$A$115,$A$1,'INPUT Growth'!$F$64:$F$115,$B111,'INPUT Growth'!$E$64:$E$115,$C111))</f>
        <v>0</v>
      </c>
      <c r="R111" s="102">
        <f>IF($G$4="Water and sewer",SUMIFS('INPUT Growth'!AN$64:AN$115,'INPUT Growth'!$B$64:$B$115,$A$1,'INPUT Growth'!$F$64:$F$115,$B111,'INPUT Growth'!$E$64:$E$115,$C111),SUMIFS('INPUT Growth'!AN$64:AN$115,'INPUT Growth'!$A$64:$A$115,$A$1,'INPUT Growth'!$F$64:$F$115,$B111,'INPUT Growth'!$E$64:$E$115,$C111))</f>
        <v>0</v>
      </c>
      <c r="S111" s="102">
        <f>IF($G$4="Water and sewer",SUMIFS('INPUT Growth'!AO$64:AO$115,'INPUT Growth'!$B$64:$B$115,$A$1,'INPUT Growth'!$F$64:$F$115,$B111,'INPUT Growth'!$E$64:$E$115,$C111),SUMIFS('INPUT Growth'!AO$64:AO$115,'INPUT Growth'!$A$64:$A$115,$A$1,'INPUT Growth'!$F$64:$F$115,$B111,'INPUT Growth'!$E$64:$E$115,$C111))</f>
        <v>0</v>
      </c>
      <c r="T111" s="102">
        <f>IF($G$4="Water and sewer",SUMIFS('INPUT Growth'!AP$64:AP$115,'INPUT Growth'!$B$64:$B$115,$A$1,'INPUT Growth'!$F$64:$F$115,$B111,'INPUT Growth'!$E$64:$E$115,$C111),SUMIFS('INPUT Growth'!AP$64:AP$115,'INPUT Growth'!$A$64:$A$115,$A$1,'INPUT Growth'!$F$64:$F$115,$B111,'INPUT Growth'!$E$64:$E$115,$C111))</f>
        <v>0</v>
      </c>
      <c r="U111" s="102">
        <f>IF($G$4="Water and sewer",SUMIFS('INPUT Growth'!AQ$64:AQ$115,'INPUT Growth'!$B$64:$B$115,$A$1,'INPUT Growth'!$F$64:$F$115,$B111,'INPUT Growth'!$E$64:$E$115,$C111),SUMIFS('INPUT Growth'!AQ$64:AQ$115,'INPUT Growth'!$A$64:$A$115,$A$1,'INPUT Growth'!$F$64:$F$115,$B111,'INPUT Growth'!$E$64:$E$115,$C111))</f>
        <v>0</v>
      </c>
      <c r="V111" s="102">
        <f>IF($G$4="Water and sewer",SUMIFS('INPUT Growth'!AR$64:AR$115,'INPUT Growth'!$B$64:$B$115,$A$1,'INPUT Growth'!$F$64:$F$115,$B111,'INPUT Growth'!$E$64:$E$115,$C111),SUMIFS('INPUT Growth'!AR$64:AR$115,'INPUT Growth'!$A$64:$A$115,$A$1,'INPUT Growth'!$F$64:$F$115,$B111,'INPUT Growth'!$E$64:$E$115,$C111))</f>
        <v>0</v>
      </c>
      <c r="W111" s="102">
        <f>IF($G$4="Water and sewer",SUMIFS('INPUT Growth'!AS$64:AS$115,'INPUT Growth'!$B$64:$B$115,$A$1,'INPUT Growth'!$F$64:$F$115,$B111,'INPUT Growth'!$E$64:$E$115,$C111),SUMIFS('INPUT Growth'!AS$64:AS$115,'INPUT Growth'!$A$64:$A$115,$A$1,'INPUT Growth'!$F$64:$F$115,$B111,'INPUT Growth'!$E$64:$E$115,$C111))</f>
        <v>0</v>
      </c>
      <c r="X111" s="102">
        <f>IF($G$4="Water and sewer",SUMIFS('INPUT Growth'!AT$64:AT$115,'INPUT Growth'!$B$64:$B$115,$A$1,'INPUT Growth'!$F$64:$F$115,$B111,'INPUT Growth'!$E$64:$E$115,$C111),SUMIFS('INPUT Growth'!AT$64:AT$115,'INPUT Growth'!$A$64:$A$115,$A$1,'INPUT Growth'!$F$64:$F$115,$B111,'INPUT Growth'!$E$64:$E$115,$C111))</f>
        <v>0</v>
      </c>
      <c r="Y111" s="102">
        <f>IF($G$4="Water and sewer",SUMIFS('INPUT Growth'!AU$64:AU$115,'INPUT Growth'!$B$64:$B$115,$A$1,'INPUT Growth'!$F$64:$F$115,$B111,'INPUT Growth'!$E$64:$E$115,$C111),SUMIFS('INPUT Growth'!AU$64:AU$115,'INPUT Growth'!$A$64:$A$115,$A$1,'INPUT Growth'!$F$64:$F$115,$B111,'INPUT Growth'!$E$64:$E$115,$C111))</f>
        <v>0</v>
      </c>
      <c r="Z111" s="102">
        <f>IF($G$4="Water and sewer",SUMIFS('INPUT Growth'!AV$64:AV$115,'INPUT Growth'!$B$64:$B$115,$A$1,'INPUT Growth'!$F$64:$F$115,$B111,'INPUT Growth'!$E$64:$E$115,$C111),SUMIFS('INPUT Growth'!AV$64:AV$115,'INPUT Growth'!$A$64:$A$115,$A$1,'INPUT Growth'!$F$64:$F$115,$B111,'INPUT Growth'!$E$64:$E$115,$C111))</f>
        <v>0</v>
      </c>
      <c r="AA111" s="102">
        <f>IF($G$4="Water and sewer",SUMIFS('INPUT Growth'!AW$64:AW$115,'INPUT Growth'!$B$64:$B$115,$A$1,'INPUT Growth'!$F$64:$F$115,$B111,'INPUT Growth'!$E$64:$E$115,$C111),SUMIFS('INPUT Growth'!AW$64:AW$115,'INPUT Growth'!$A$64:$A$115,$A$1,'INPUT Growth'!$F$64:$F$115,$B111,'INPUT Growth'!$E$64:$E$115,$C111))</f>
        <v>0</v>
      </c>
    </row>
    <row r="112" spans="1:27" x14ac:dyDescent="0.25">
      <c r="C112" s="100"/>
      <c r="D112" s="100"/>
      <c r="E112" s="47" t="s">
        <v>656</v>
      </c>
      <c r="F112" s="47" t="s">
        <v>655</v>
      </c>
      <c r="H112" s="106">
        <f>G112+H111</f>
        <v>0</v>
      </c>
      <c r="I112" s="106">
        <f t="shared" ref="I112:AA112" si="37">H112+I111</f>
        <v>0</v>
      </c>
      <c r="J112" s="106">
        <f t="shared" si="37"/>
        <v>0</v>
      </c>
      <c r="K112" s="106">
        <f t="shared" si="37"/>
        <v>0</v>
      </c>
      <c r="L112" s="106">
        <f t="shared" si="37"/>
        <v>0</v>
      </c>
      <c r="M112" s="106">
        <f t="shared" si="37"/>
        <v>0</v>
      </c>
      <c r="N112" s="106">
        <f t="shared" si="37"/>
        <v>0</v>
      </c>
      <c r="O112" s="106">
        <f t="shared" si="37"/>
        <v>0</v>
      </c>
      <c r="P112" s="106">
        <f t="shared" si="37"/>
        <v>0</v>
      </c>
      <c r="Q112" s="106">
        <f t="shared" si="37"/>
        <v>0</v>
      </c>
      <c r="R112" s="106">
        <f t="shared" si="37"/>
        <v>0</v>
      </c>
      <c r="S112" s="106">
        <f t="shared" si="37"/>
        <v>0</v>
      </c>
      <c r="T112" s="106">
        <f t="shared" si="37"/>
        <v>0</v>
      </c>
      <c r="U112" s="106">
        <f t="shared" si="37"/>
        <v>0</v>
      </c>
      <c r="V112" s="106">
        <f t="shared" si="37"/>
        <v>0</v>
      </c>
      <c r="W112" s="106">
        <f t="shared" si="37"/>
        <v>0</v>
      </c>
      <c r="X112" s="106">
        <f t="shared" si="37"/>
        <v>0</v>
      </c>
      <c r="Y112" s="106">
        <f t="shared" si="37"/>
        <v>0</v>
      </c>
      <c r="Z112" s="106">
        <f t="shared" si="37"/>
        <v>0</v>
      </c>
      <c r="AA112" s="106">
        <f t="shared" si="37"/>
        <v>0</v>
      </c>
    </row>
    <row r="113" spans="1:27" x14ac:dyDescent="0.25">
      <c r="A113" s="101">
        <v>21</v>
      </c>
      <c r="C113" s="100"/>
      <c r="D113" s="100"/>
      <c r="E113" s="47" t="s">
        <v>657</v>
      </c>
      <c r="F113" s="47" t="s">
        <v>655</v>
      </c>
      <c r="G113" s="102">
        <v>2</v>
      </c>
    </row>
    <row r="114" spans="1:27" x14ac:dyDescent="0.25">
      <c r="C114" s="100"/>
      <c r="D114" s="100"/>
      <c r="E114" s="47" t="s">
        <v>658</v>
      </c>
      <c r="F114" s="47" t="s">
        <v>655</v>
      </c>
      <c r="H114" s="47">
        <f>H111*$G113</f>
        <v>0</v>
      </c>
      <c r="I114" s="47">
        <f t="shared" ref="I114:AA114" si="38">I111*$G113</f>
        <v>0</v>
      </c>
      <c r="J114" s="47">
        <f t="shared" si="38"/>
        <v>0</v>
      </c>
      <c r="K114" s="47">
        <f t="shared" si="38"/>
        <v>0</v>
      </c>
      <c r="L114" s="47">
        <f t="shared" si="38"/>
        <v>0</v>
      </c>
      <c r="M114" s="47">
        <f t="shared" si="38"/>
        <v>0</v>
      </c>
      <c r="N114" s="47">
        <f t="shared" si="38"/>
        <v>0</v>
      </c>
      <c r="O114" s="47">
        <f t="shared" si="38"/>
        <v>0</v>
      </c>
      <c r="P114" s="47">
        <f t="shared" si="38"/>
        <v>0</v>
      </c>
      <c r="Q114" s="47">
        <f t="shared" si="38"/>
        <v>0</v>
      </c>
      <c r="R114" s="47">
        <f t="shared" si="38"/>
        <v>0</v>
      </c>
      <c r="S114" s="47">
        <f t="shared" si="38"/>
        <v>0</v>
      </c>
      <c r="T114" s="47">
        <f t="shared" si="38"/>
        <v>0</v>
      </c>
      <c r="U114" s="47">
        <f t="shared" si="38"/>
        <v>0</v>
      </c>
      <c r="V114" s="47">
        <f t="shared" si="38"/>
        <v>0</v>
      </c>
      <c r="W114" s="47">
        <f t="shared" si="38"/>
        <v>0</v>
      </c>
      <c r="X114" s="47">
        <f t="shared" si="38"/>
        <v>0</v>
      </c>
      <c r="Y114" s="47">
        <f t="shared" si="38"/>
        <v>0</v>
      </c>
      <c r="Z114" s="47">
        <f t="shared" si="38"/>
        <v>0</v>
      </c>
      <c r="AA114" s="47">
        <f t="shared" si="38"/>
        <v>0</v>
      </c>
    </row>
    <row r="115" spans="1:27" x14ac:dyDescent="0.25">
      <c r="C115" s="100"/>
      <c r="D115" s="100"/>
      <c r="E115" s="47" t="s">
        <v>659</v>
      </c>
      <c r="F115" s="47" t="s">
        <v>655</v>
      </c>
      <c r="H115" s="47">
        <f>H112*$G113</f>
        <v>0</v>
      </c>
      <c r="I115" s="47">
        <f t="shared" ref="I115:AA115" si="39">I112*$G113</f>
        <v>0</v>
      </c>
      <c r="J115" s="47">
        <f t="shared" si="39"/>
        <v>0</v>
      </c>
      <c r="K115" s="47">
        <f t="shared" si="39"/>
        <v>0</v>
      </c>
      <c r="L115" s="47">
        <f t="shared" si="39"/>
        <v>0</v>
      </c>
      <c r="M115" s="47">
        <f t="shared" si="39"/>
        <v>0</v>
      </c>
      <c r="N115" s="47">
        <f t="shared" si="39"/>
        <v>0</v>
      </c>
      <c r="O115" s="47">
        <f t="shared" si="39"/>
        <v>0</v>
      </c>
      <c r="P115" s="47">
        <f t="shared" si="39"/>
        <v>0</v>
      </c>
      <c r="Q115" s="47">
        <f t="shared" si="39"/>
        <v>0</v>
      </c>
      <c r="R115" s="47">
        <f t="shared" si="39"/>
        <v>0</v>
      </c>
      <c r="S115" s="47">
        <f t="shared" si="39"/>
        <v>0</v>
      </c>
      <c r="T115" s="47">
        <f t="shared" si="39"/>
        <v>0</v>
      </c>
      <c r="U115" s="47">
        <f t="shared" si="39"/>
        <v>0</v>
      </c>
      <c r="V115" s="47">
        <f t="shared" si="39"/>
        <v>0</v>
      </c>
      <c r="W115" s="47">
        <f t="shared" si="39"/>
        <v>0</v>
      </c>
      <c r="X115" s="47">
        <f t="shared" si="39"/>
        <v>0</v>
      </c>
      <c r="Y115" s="47">
        <f t="shared" si="39"/>
        <v>0</v>
      </c>
      <c r="Z115" s="47">
        <f t="shared" si="39"/>
        <v>0</v>
      </c>
      <c r="AA115" s="47">
        <f t="shared" si="39"/>
        <v>0</v>
      </c>
    </row>
    <row r="116" spans="1:27" x14ac:dyDescent="0.25">
      <c r="A116" s="101">
        <v>22</v>
      </c>
      <c r="B116" s="47" t="str">
        <f>B111</f>
        <v>Central</v>
      </c>
      <c r="C116" s="47" t="str">
        <f>C111</f>
        <v>N</v>
      </c>
      <c r="D116" s="47" t="str">
        <f>D111</f>
        <v>Water</v>
      </c>
      <c r="E116" s="47" t="s">
        <v>660</v>
      </c>
      <c r="F116" s="47" t="s">
        <v>661</v>
      </c>
      <c r="H116" s="102">
        <f>IF(OR($D116=W,$D116=WS),'INPUT Reg'!AD$118,IF($D116=RW,'INPUT Reg'!AD$120,0))</f>
        <v>944.75608962439071</v>
      </c>
      <c r="I116" s="102">
        <f>IF(OR($D116=W,$D116=WS),'INPUT Reg'!AE$118,IF($D116=RW,'INPUT Reg'!AE$120,0))</f>
        <v>948.76571570384965</v>
      </c>
      <c r="J116" s="102">
        <f>IF(OR($D116=W,$D116=WS),'INPUT Reg'!AF$118,IF($D116=RW,'INPUT Reg'!AF$120,0))</f>
        <v>936.54922401113686</v>
      </c>
      <c r="K116" s="102">
        <f>IF(OR($D116=W,$D116=WS),'INPUT Reg'!AG$118,IF($D116=RW,'INPUT Reg'!AG$120,0))</f>
        <v>923.17479464394307</v>
      </c>
      <c r="L116" s="102">
        <f>IF(OR($D116=W,$D116=WS),'INPUT Reg'!AH$118,IF($D116=RW,'INPUT Reg'!AH$120,0))</f>
        <v>910.50362986974699</v>
      </c>
      <c r="M116" s="102">
        <f>IF(OR($D116=W,$D116=WS),'INPUT Reg'!AI$118,IF($D116=RW,'INPUT Reg'!AI$120,0))</f>
        <v>898.52528910626188</v>
      </c>
      <c r="N116" s="102">
        <f>IF(OR($D116=W,$D116=WS),'INPUT Reg'!AJ$118,IF($D116=RW,'INPUT Reg'!AJ$120,0))</f>
        <v>886.96688129728079</v>
      </c>
      <c r="O116" s="102">
        <f>IF(OR($D116=W,$D116=WS),'INPUT Reg'!AK$118,IF($D116=RW,'INPUT Reg'!AK$120,0))</f>
        <v>875.6605181395189</v>
      </c>
      <c r="P116" s="102">
        <f>IF(OR($D116=W,$D116=WS),'INPUT Reg'!AL$118,IF($D116=RW,'INPUT Reg'!AL$120,0))</f>
        <v>864.67108778784313</v>
      </c>
      <c r="Q116" s="102">
        <f>IF(OR($D116=W,$D116=WS),'INPUT Reg'!AM$118,IF($D116=RW,'INPUT Reg'!AM$120,0))</f>
        <v>853.91863681816892</v>
      </c>
      <c r="R116" s="102">
        <f>IF(OR($D116=W,$D116=WS),'INPUT Reg'!AN$118,IF($D116=RW,'INPUT Reg'!AN$120,0))</f>
        <v>843.41395758521662</v>
      </c>
      <c r="S116" s="102">
        <f>IF(OR($D116=W,$D116=WS),'INPUT Reg'!AO$118,IF($D116=RW,'INPUT Reg'!AO$120,0))</f>
        <v>833.13687474852838</v>
      </c>
      <c r="T116" s="102">
        <f>IF(OR($D116=W,$D116=WS),'INPUT Reg'!AP$118,IF($D116=RW,'INPUT Reg'!AP$120,0))</f>
        <v>823.07248431484913</v>
      </c>
      <c r="U116" s="102">
        <f>IF(OR($D116=W,$D116=WS),'INPUT Reg'!AQ$118,IF($D116=RW,'INPUT Reg'!AQ$120,0))</f>
        <v>813.29575898270082</v>
      </c>
      <c r="V116" s="102">
        <f>IF(OR($D116=W,$D116=WS),'INPUT Reg'!AR$118,IF($D116=RW,'INPUT Reg'!AR$120,0))</f>
        <v>803.82041674399068</v>
      </c>
      <c r="W116" s="102">
        <f>IF(OR($D116=W,$D116=WS),'INPUT Reg'!AS$118,IF($D116=RW,'INPUT Reg'!AS$120,0))</f>
        <v>794.7099536102487</v>
      </c>
      <c r="X116" s="102">
        <f>IF(OR($D116=W,$D116=WS),'INPUT Reg'!AT$118,IF($D116=RW,'INPUT Reg'!AT$120,0))</f>
        <v>785.88605886926632</v>
      </c>
      <c r="Y116" s="102">
        <f>IF(OR($D116=W,$D116=WS),'INPUT Reg'!AU$118,IF($D116=RW,'INPUT Reg'!AU$120,0))</f>
        <v>777.36656882932596</v>
      </c>
      <c r="Z116" s="102">
        <f>IF(OR($D116=W,$D116=WS),'INPUT Reg'!AV$118,IF($D116=RW,'INPUT Reg'!AV$120,0))</f>
        <v>769.12435845205675</v>
      </c>
      <c r="AA116" s="102">
        <f>IF(OR($D116=W,$D116=WS),'INPUT Reg'!AW$118,IF($D116=RW,'INPUT Reg'!AW$120,0))</f>
        <v>769.12435845205675</v>
      </c>
    </row>
    <row r="117" spans="1:27" x14ac:dyDescent="0.25">
      <c r="B117" s="47" t="str">
        <f>B111</f>
        <v>Central</v>
      </c>
      <c r="C117" s="47" t="str">
        <f t="shared" ref="C117:D117" si="40">C111</f>
        <v>N</v>
      </c>
      <c r="D117" s="47" t="str">
        <f t="shared" si="40"/>
        <v>Water</v>
      </c>
      <c r="E117" s="47" t="s">
        <v>662</v>
      </c>
      <c r="F117" s="47" t="s">
        <v>661</v>
      </c>
      <c r="H117" s="102"/>
      <c r="I117" s="102"/>
      <c r="J117" s="102"/>
      <c r="K117" s="102"/>
      <c r="L117" s="102"/>
      <c r="M117" s="102"/>
      <c r="N117" s="102"/>
      <c r="O117" s="102"/>
      <c r="P117" s="102"/>
      <c r="Q117" s="102"/>
      <c r="R117" s="102"/>
      <c r="S117" s="102"/>
      <c r="T117" s="102"/>
      <c r="U117" s="102"/>
      <c r="V117" s="102"/>
      <c r="W117" s="102"/>
      <c r="X117" s="102"/>
      <c r="Y117" s="102"/>
      <c r="Z117" s="102"/>
      <c r="AA117" s="102"/>
    </row>
    <row r="118" spans="1:27" x14ac:dyDescent="0.25">
      <c r="B118" s="47" t="str">
        <f>B111</f>
        <v>Central</v>
      </c>
      <c r="C118" s="47" t="str">
        <f t="shared" ref="C118:D118" si="41">C111</f>
        <v>N</v>
      </c>
      <c r="D118" s="47" t="str">
        <f t="shared" si="41"/>
        <v>Water</v>
      </c>
      <c r="E118" s="47" t="s">
        <v>663</v>
      </c>
      <c r="F118" s="47" t="s">
        <v>661</v>
      </c>
      <c r="H118" s="102">
        <f>IF(OR($D118=S,$D118=WS),'INPUT Reg'!AD$119,0)</f>
        <v>0</v>
      </c>
      <c r="I118" s="102">
        <f>IF(OR($D118=S,$D118=WS),'INPUT Reg'!AE$119,0)</f>
        <v>0</v>
      </c>
      <c r="J118" s="102">
        <f>IF(OR($D118=S,$D118=WS),'INPUT Reg'!AF$119,0)</f>
        <v>0</v>
      </c>
      <c r="K118" s="102">
        <f>IF(OR($D118=S,$D118=WS),'INPUT Reg'!AG$119,0)</f>
        <v>0</v>
      </c>
      <c r="L118" s="102">
        <f>IF(OR($D118=S,$D118=WS),'INPUT Reg'!AH$119,0)</f>
        <v>0</v>
      </c>
      <c r="M118" s="102">
        <f>IF(OR($D118=S,$D118=WS),'INPUT Reg'!AI$119,0)</f>
        <v>0</v>
      </c>
      <c r="N118" s="102">
        <f>IF(OR($D118=S,$D118=WS),'INPUT Reg'!AJ$119,0)</f>
        <v>0</v>
      </c>
      <c r="O118" s="102">
        <f>IF(OR($D118=S,$D118=WS),'INPUT Reg'!AK$119,0)</f>
        <v>0</v>
      </c>
      <c r="P118" s="102">
        <f>IF(OR($D118=S,$D118=WS),'INPUT Reg'!AL$119,0)</f>
        <v>0</v>
      </c>
      <c r="Q118" s="102">
        <f>IF(OR($D118=S,$D118=WS),'INPUT Reg'!AM$119,0)</f>
        <v>0</v>
      </c>
      <c r="R118" s="102">
        <f>IF(OR($D118=S,$D118=WS),'INPUT Reg'!AN$119,0)</f>
        <v>0</v>
      </c>
      <c r="S118" s="102">
        <f>IF(OR($D118=S,$D118=WS),'INPUT Reg'!AO$119,0)</f>
        <v>0</v>
      </c>
      <c r="T118" s="102">
        <f>IF(OR($D118=S,$D118=WS),'INPUT Reg'!AP$119,0)</f>
        <v>0</v>
      </c>
      <c r="U118" s="102">
        <f>IF(OR($D118=S,$D118=WS),'INPUT Reg'!AQ$119,0)</f>
        <v>0</v>
      </c>
      <c r="V118" s="102">
        <f>IF(OR($D118=S,$D118=WS),'INPUT Reg'!AR$119,0)</f>
        <v>0</v>
      </c>
      <c r="W118" s="102">
        <f>IF(OR($D118=S,$D118=WS),'INPUT Reg'!AS$119,0)</f>
        <v>0</v>
      </c>
      <c r="X118" s="102">
        <f>IF(OR($D118=S,$D118=WS),'INPUT Reg'!AT$119,0)</f>
        <v>0</v>
      </c>
      <c r="Y118" s="102">
        <f>IF(OR($D118=S,$D118=WS),'INPUT Reg'!AU$119,0)</f>
        <v>0</v>
      </c>
      <c r="Z118" s="102">
        <f>IF(OR($D118=S,$D118=WS),'INPUT Reg'!AV$119,0)</f>
        <v>0</v>
      </c>
      <c r="AA118" s="102">
        <f>IF(OR($D118=S,$D118=WS),'INPUT Reg'!AW$119,0)</f>
        <v>0</v>
      </c>
    </row>
    <row r="119" spans="1:27" x14ac:dyDescent="0.25">
      <c r="C119" s="100"/>
      <c r="D119" s="100"/>
      <c r="E119" s="47" t="s">
        <v>664</v>
      </c>
      <c r="F119" s="47" t="s">
        <v>665</v>
      </c>
      <c r="H119" s="106">
        <f>H112*H116</f>
        <v>0</v>
      </c>
      <c r="I119" s="106">
        <f t="shared" ref="I119:AA119" si="42">I112*I116</f>
        <v>0</v>
      </c>
      <c r="J119" s="106">
        <f t="shared" si="42"/>
        <v>0</v>
      </c>
      <c r="K119" s="106">
        <f t="shared" si="42"/>
        <v>0</v>
      </c>
      <c r="L119" s="106">
        <f t="shared" si="42"/>
        <v>0</v>
      </c>
      <c r="M119" s="106">
        <f t="shared" si="42"/>
        <v>0</v>
      </c>
      <c r="N119" s="106">
        <f t="shared" si="42"/>
        <v>0</v>
      </c>
      <c r="O119" s="106">
        <f t="shared" si="42"/>
        <v>0</v>
      </c>
      <c r="P119" s="106">
        <f t="shared" si="42"/>
        <v>0</v>
      </c>
      <c r="Q119" s="106">
        <f t="shared" si="42"/>
        <v>0</v>
      </c>
      <c r="R119" s="106">
        <f t="shared" si="42"/>
        <v>0</v>
      </c>
      <c r="S119" s="106">
        <f t="shared" si="42"/>
        <v>0</v>
      </c>
      <c r="T119" s="106">
        <f t="shared" si="42"/>
        <v>0</v>
      </c>
      <c r="U119" s="106">
        <f t="shared" si="42"/>
        <v>0</v>
      </c>
      <c r="V119" s="106">
        <f t="shared" si="42"/>
        <v>0</v>
      </c>
      <c r="W119" s="106">
        <f t="shared" si="42"/>
        <v>0</v>
      </c>
      <c r="X119" s="106">
        <f t="shared" si="42"/>
        <v>0</v>
      </c>
      <c r="Y119" s="106">
        <f t="shared" si="42"/>
        <v>0</v>
      </c>
      <c r="Z119" s="106">
        <f t="shared" si="42"/>
        <v>0</v>
      </c>
      <c r="AA119" s="106">
        <f t="shared" si="42"/>
        <v>0</v>
      </c>
    </row>
    <row r="120" spans="1:27" x14ac:dyDescent="0.25">
      <c r="C120" s="100"/>
      <c r="D120" s="100"/>
      <c r="E120" s="47" t="s">
        <v>666</v>
      </c>
      <c r="F120" s="47" t="s">
        <v>665</v>
      </c>
      <c r="H120" s="106">
        <f>H112*H117</f>
        <v>0</v>
      </c>
      <c r="I120" s="106">
        <f t="shared" ref="I120:AA120" si="43">I112*I117</f>
        <v>0</v>
      </c>
      <c r="J120" s="106">
        <f t="shared" si="43"/>
        <v>0</v>
      </c>
      <c r="K120" s="106">
        <f t="shared" si="43"/>
        <v>0</v>
      </c>
      <c r="L120" s="106">
        <f t="shared" si="43"/>
        <v>0</v>
      </c>
      <c r="M120" s="106">
        <f t="shared" si="43"/>
        <v>0</v>
      </c>
      <c r="N120" s="106">
        <f t="shared" si="43"/>
        <v>0</v>
      </c>
      <c r="O120" s="106">
        <f t="shared" si="43"/>
        <v>0</v>
      </c>
      <c r="P120" s="106">
        <f t="shared" si="43"/>
        <v>0</v>
      </c>
      <c r="Q120" s="106">
        <f t="shared" si="43"/>
        <v>0</v>
      </c>
      <c r="R120" s="106">
        <f t="shared" si="43"/>
        <v>0</v>
      </c>
      <c r="S120" s="106">
        <f t="shared" si="43"/>
        <v>0</v>
      </c>
      <c r="T120" s="106">
        <f t="shared" si="43"/>
        <v>0</v>
      </c>
      <c r="U120" s="106">
        <f t="shared" si="43"/>
        <v>0</v>
      </c>
      <c r="V120" s="106">
        <f t="shared" si="43"/>
        <v>0</v>
      </c>
      <c r="W120" s="106">
        <f t="shared" si="43"/>
        <v>0</v>
      </c>
      <c r="X120" s="106">
        <f t="shared" si="43"/>
        <v>0</v>
      </c>
      <c r="Y120" s="106">
        <f t="shared" si="43"/>
        <v>0</v>
      </c>
      <c r="Z120" s="106">
        <f t="shared" si="43"/>
        <v>0</v>
      </c>
      <c r="AA120" s="106">
        <f t="shared" si="43"/>
        <v>0</v>
      </c>
    </row>
    <row r="121" spans="1:27" x14ac:dyDescent="0.25">
      <c r="C121" s="100"/>
      <c r="D121" s="100"/>
      <c r="E121" s="47" t="s">
        <v>667</v>
      </c>
      <c r="F121" s="47" t="s">
        <v>665</v>
      </c>
      <c r="H121" s="106">
        <f>H112*H118</f>
        <v>0</v>
      </c>
      <c r="I121" s="106">
        <f t="shared" ref="I121:AA121" si="44">I112*I118</f>
        <v>0</v>
      </c>
      <c r="J121" s="106">
        <f t="shared" si="44"/>
        <v>0</v>
      </c>
      <c r="K121" s="106">
        <f t="shared" si="44"/>
        <v>0</v>
      </c>
      <c r="L121" s="106">
        <f t="shared" si="44"/>
        <v>0</v>
      </c>
      <c r="M121" s="106">
        <f t="shared" si="44"/>
        <v>0</v>
      </c>
      <c r="N121" s="106">
        <f t="shared" si="44"/>
        <v>0</v>
      </c>
      <c r="O121" s="106">
        <f t="shared" si="44"/>
        <v>0</v>
      </c>
      <c r="P121" s="106">
        <f t="shared" si="44"/>
        <v>0</v>
      </c>
      <c r="Q121" s="106">
        <f t="shared" si="44"/>
        <v>0</v>
      </c>
      <c r="R121" s="106">
        <f t="shared" si="44"/>
        <v>0</v>
      </c>
      <c r="S121" s="106">
        <f t="shared" si="44"/>
        <v>0</v>
      </c>
      <c r="T121" s="106">
        <f t="shared" si="44"/>
        <v>0</v>
      </c>
      <c r="U121" s="106">
        <f t="shared" si="44"/>
        <v>0</v>
      </c>
      <c r="V121" s="106">
        <f t="shared" si="44"/>
        <v>0</v>
      </c>
      <c r="W121" s="106">
        <f t="shared" si="44"/>
        <v>0</v>
      </c>
      <c r="X121" s="106">
        <f t="shared" si="44"/>
        <v>0</v>
      </c>
      <c r="Y121" s="106">
        <f t="shared" si="44"/>
        <v>0</v>
      </c>
      <c r="Z121" s="106">
        <f t="shared" si="44"/>
        <v>0</v>
      </c>
      <c r="AA121" s="106">
        <f t="shared" si="44"/>
        <v>0</v>
      </c>
    </row>
    <row r="122" spans="1:27" x14ac:dyDescent="0.25">
      <c r="A122" s="101">
        <v>23</v>
      </c>
      <c r="B122" s="47" t="str">
        <f>B116</f>
        <v>Central</v>
      </c>
      <c r="C122" s="47" t="str">
        <f t="shared" ref="C122:D122" si="45">C116</f>
        <v>N</v>
      </c>
      <c r="D122" s="47" t="str">
        <f t="shared" si="45"/>
        <v>Water</v>
      </c>
      <c r="E122" s="47" t="s">
        <v>668</v>
      </c>
      <c r="F122" s="47" t="s">
        <v>633</v>
      </c>
      <c r="H122" s="105">
        <f>SUMIFS('INPUT Reg'!AD$94:AD$109,'INPUT Reg'!$D$94:$D$109,$D122,'INPUT Reg'!$C$94:$C$109,$C122,'INPUT Reg'!$B$94:$B$109,$B122)</f>
        <v>4.5454238661206681E-3</v>
      </c>
      <c r="I122" s="105">
        <f>SUMIFS('INPUT Reg'!AE$94:AE$109,'INPUT Reg'!$D$94:$D$109,$D122,'INPUT Reg'!$C$94:$C$109,$C122,'INPUT Reg'!$B$94:$B$109,$B122)</f>
        <v>2.0680555934404765E-6</v>
      </c>
      <c r="J122" s="105">
        <f>SUMIFS('INPUT Reg'!AF$94:AF$109,'INPUT Reg'!$D$94:$D$109,$D122,'INPUT Reg'!$C$94:$C$109,$C122,'INPUT Reg'!$B$94:$B$109,$B122)</f>
        <v>8.848651128268159E-6</v>
      </c>
      <c r="K122" s="105">
        <f>SUMIFS('INPUT Reg'!AG$94:AG$109,'INPUT Reg'!$D$94:$D$109,$D122,'INPUT Reg'!$C$94:$C$109,$C122,'INPUT Reg'!$B$94:$B$109,$B122)</f>
        <v>6.2551866268911738E-6</v>
      </c>
      <c r="L122" s="105">
        <f>SUMIFS('INPUT Reg'!AH$94:AH$109,'INPUT Reg'!$D$94:$D$109,$D122,'INPUT Reg'!$C$94:$C$109,$C122,'INPUT Reg'!$B$94:$B$109,$B122)</f>
        <v>-1.3051756733446607E-2</v>
      </c>
      <c r="M122" s="105">
        <f>SUMIFS('INPUT Reg'!AI$94:AI$109,'INPUT Reg'!$D$94:$D$109,$D122,'INPUT Reg'!$C$94:$C$109,$C122,'INPUT Reg'!$B$94:$B$109,$B122)</f>
        <v>7.6238383328597337E-6</v>
      </c>
      <c r="N122" s="105">
        <f>SUMIFS('INPUT Reg'!AJ$94:AJ$109,'INPUT Reg'!$D$94:$D$109,$D122,'INPUT Reg'!$C$94:$C$109,$C122,'INPUT Reg'!$B$94:$B$109,$B122)</f>
        <v>2.4675246539374029E-6</v>
      </c>
      <c r="O122" s="105">
        <f>SUMIFS('INPUT Reg'!AK$94:AK$109,'INPUT Reg'!$D$94:$D$109,$D122,'INPUT Reg'!$C$94:$C$109,$C122,'INPUT Reg'!$B$94:$B$109,$B122)</f>
        <v>4.9581656709207778E-6</v>
      </c>
      <c r="P122" s="105">
        <f>SUMIFS('INPUT Reg'!AL$94:AL$109,'INPUT Reg'!$D$94:$D$109,$D122,'INPUT Reg'!$C$94:$C$109,$C122,'INPUT Reg'!$B$94:$B$109,$B122)</f>
        <v>3.3108836265949293E-6</v>
      </c>
      <c r="Q122" s="105">
        <f>SUMIFS('INPUT Reg'!AM$94:AM$109,'INPUT Reg'!$D$94:$D$109,$D122,'INPUT Reg'!$C$94:$C$109,$C122,'INPUT Reg'!$B$94:$B$109,$B122)</f>
        <v>-0.15570316982708454</v>
      </c>
      <c r="R122" s="105">
        <f>SUMIFS('INPUT Reg'!AN$94:AN$109,'INPUT Reg'!$D$94:$D$109,$D122,'INPUT Reg'!$C$94:$C$109,$C122,'INPUT Reg'!$B$94:$B$109,$B122)</f>
        <v>3.0675017312908892E-6</v>
      </c>
      <c r="S122" s="105">
        <f>SUMIFS('INPUT Reg'!AO$94:AO$109,'INPUT Reg'!$D$94:$D$109,$D122,'INPUT Reg'!$C$94:$C$109,$C122,'INPUT Reg'!$B$94:$B$109,$B122)</f>
        <v>3.2343018576685978E-6</v>
      </c>
      <c r="T122" s="105">
        <f>SUMIFS('INPUT Reg'!AP$94:AP$109,'INPUT Reg'!$D$94:$D$109,$D122,'INPUT Reg'!$C$94:$C$109,$C122,'INPUT Reg'!$B$94:$B$109,$B122)</f>
        <v>1.866704844921685E-6</v>
      </c>
      <c r="U122" s="105">
        <f>SUMIFS('INPUT Reg'!AQ$94:AQ$109,'INPUT Reg'!$D$94:$D$109,$D122,'INPUT Reg'!$C$94:$C$109,$C122,'INPUT Reg'!$B$94:$B$109,$B122)</f>
        <v>2.2263772827546546E-6</v>
      </c>
      <c r="V122" s="105">
        <f>SUMIFS('INPUT Reg'!AR$94:AR$109,'INPUT Reg'!$D$94:$D$109,$D122,'INPUT Reg'!$C$94:$C$109,$C122,'INPUT Reg'!$B$94:$B$109,$B122)</f>
        <v>-9.5560552361957929E-2</v>
      </c>
      <c r="W122" s="105">
        <f>SUMIFS('INPUT Reg'!AS$94:AS$109,'INPUT Reg'!$D$94:$D$109,$D122,'INPUT Reg'!$C$94:$C$109,$C122,'INPUT Reg'!$B$94:$B$109,$B122)</f>
        <v>2.5335813824689524E-6</v>
      </c>
      <c r="X122" s="105">
        <f>SUMIFS('INPUT Reg'!AT$94:AT$109,'INPUT Reg'!$D$94:$D$109,$D122,'INPUT Reg'!$C$94:$C$109,$C122,'INPUT Reg'!$B$94:$B$109,$B122)</f>
        <v>1.9077809212397767E-6</v>
      </c>
      <c r="Y122" s="105">
        <f>SUMIFS('INPUT Reg'!AU$94:AU$109,'INPUT Reg'!$D$94:$D$109,$D122,'INPUT Reg'!$C$94:$C$109,$C122,'INPUT Reg'!$B$94:$B$109,$B122)</f>
        <v>1.9829017385841752E-6</v>
      </c>
      <c r="Z122" s="105">
        <f>SUMIFS('INPUT Reg'!AV$94:AV$109,'INPUT Reg'!$D$94:$D$109,$D122,'INPUT Reg'!$C$94:$C$109,$C122,'INPUT Reg'!$B$94:$B$109,$B122)</f>
        <v>1.7939016760948334E-6</v>
      </c>
      <c r="AA122" s="105">
        <f>SUMIFS('INPUT Reg'!AW$94:AW$109,'INPUT Reg'!$D$94:$D$109,$D122,'INPUT Reg'!$C$94:$C$109,$C122,'INPUT Reg'!$B$94:$B$109,$B122)</f>
        <v>0</v>
      </c>
    </row>
    <row r="123" spans="1:27" x14ac:dyDescent="0.25">
      <c r="A123" s="101">
        <v>24</v>
      </c>
      <c r="B123" s="47" t="str">
        <f>B111</f>
        <v>Central</v>
      </c>
      <c r="C123" s="47" t="str">
        <f t="shared" ref="C123:D123" si="46">C111</f>
        <v>N</v>
      </c>
      <c r="D123" s="47" t="str">
        <f t="shared" si="46"/>
        <v>Water</v>
      </c>
      <c r="E123" s="47" t="s">
        <v>669</v>
      </c>
      <c r="F123" s="47" t="s">
        <v>670</v>
      </c>
      <c r="G123" s="108">
        <f>IF(D123=W,CWW_N_W_N,IF(D123=S,CWW_N_S_N,IF(D123=WS, CWW_N_W_N+CWW_N_S_N,CWW_N_R_F)))</f>
        <v>299.2</v>
      </c>
      <c r="H123" s="106">
        <f>G123*(1+$G$14)*(1+H122)</f>
        <v>300.55999082074328</v>
      </c>
      <c r="I123" s="106">
        <f t="shared" ref="I123:AA123" si="47">H123*(1+$G$14)*(1+I122)</f>
        <v>300.56061239551349</v>
      </c>
      <c r="J123" s="106">
        <f t="shared" si="47"/>
        <v>300.56327195151545</v>
      </c>
      <c r="K123" s="106">
        <f t="shared" si="47"/>
        <v>300.56515203087469</v>
      </c>
      <c r="L123" s="106">
        <f t="shared" si="47"/>
        <v>296.64224878401632</v>
      </c>
      <c r="M123" s="106">
        <f t="shared" si="47"/>
        <v>296.64451033656377</v>
      </c>
      <c r="N123" s="106">
        <f t="shared" si="47"/>
        <v>296.64524231420648</v>
      </c>
      <c r="O123" s="106">
        <f t="shared" si="47"/>
        <v>296.64671313046335</v>
      </c>
      <c r="P123" s="106">
        <f t="shared" si="47"/>
        <v>296.64769529320876</v>
      </c>
      <c r="Q123" s="106">
        <f t="shared" si="47"/>
        <v>250.45870881415703</v>
      </c>
      <c r="R123" s="106">
        <f t="shared" si="47"/>
        <v>250.45947709667993</v>
      </c>
      <c r="S123" s="106">
        <f t="shared" si="47"/>
        <v>250.46028715823198</v>
      </c>
      <c r="T123" s="106">
        <f t="shared" si="47"/>
        <v>250.46075469366349</v>
      </c>
      <c r="U123" s="106">
        <f t="shared" si="47"/>
        <v>250.46131231379795</v>
      </c>
      <c r="V123" s="106">
        <f t="shared" si="47"/>
        <v>226.52709096379056</v>
      </c>
      <c r="W123" s="106">
        <f t="shared" si="47"/>
        <v>226.52766488861084</v>
      </c>
      <c r="X123" s="106">
        <f t="shared" si="47"/>
        <v>226.52809705376805</v>
      </c>
      <c r="Y123" s="106">
        <f t="shared" si="47"/>
        <v>226.52854623672553</v>
      </c>
      <c r="Z123" s="106">
        <f t="shared" si="47"/>
        <v>226.52895260666432</v>
      </c>
      <c r="AA123" s="106">
        <f t="shared" si="47"/>
        <v>226.52895260666432</v>
      </c>
    </row>
    <row r="124" spans="1:27" x14ac:dyDescent="0.25">
      <c r="B124" s="47" t="str">
        <f>B111</f>
        <v>Central</v>
      </c>
      <c r="C124" s="47" t="str">
        <f t="shared" ref="C124:D124" si="48">C111</f>
        <v>N</v>
      </c>
      <c r="D124" s="47" t="str">
        <f t="shared" si="48"/>
        <v>Water</v>
      </c>
      <c r="E124" s="47" t="s">
        <v>671</v>
      </c>
      <c r="F124" s="47" t="s">
        <v>672</v>
      </c>
      <c r="G124" s="109">
        <f>IF(OR(D124=W,D124=WS),CWW_N_W_V,IF(D124=RW,CWW_N_R_V,0))</f>
        <v>3.0762</v>
      </c>
      <c r="H124" s="110">
        <f>G124*(1+$G$14)*(1+H122)</f>
        <v>3.0901826328969606</v>
      </c>
      <c r="I124" s="110">
        <f t="shared" ref="I124:AA124" si="49">H124*(1+$G$14)*(1+I122)</f>
        <v>3.0901890235664391</v>
      </c>
      <c r="J124" s="110">
        <f t="shared" si="49"/>
        <v>3.090216367571029</v>
      </c>
      <c r="K124" s="110">
        <f t="shared" si="49"/>
        <v>3.0902356974511256</v>
      </c>
      <c r="L124" s="110">
        <f t="shared" si="49"/>
        <v>3.0499026928789807</v>
      </c>
      <c r="M124" s="110">
        <f t="shared" si="49"/>
        <v>3.0499259448440421</v>
      </c>
      <c r="N124" s="110">
        <f t="shared" si="49"/>
        <v>3.0499334706115038</v>
      </c>
      <c r="O124" s="110">
        <f t="shared" si="49"/>
        <v>3.0499485926869365</v>
      </c>
      <c r="P124" s="110">
        <f t="shared" si="49"/>
        <v>3.0499586907117942</v>
      </c>
      <c r="Q124" s="110">
        <f t="shared" si="49"/>
        <v>2.5750704547263035</v>
      </c>
      <c r="R124" s="110">
        <f t="shared" si="49"/>
        <v>2.5750783537593813</v>
      </c>
      <c r="S124" s="110">
        <f t="shared" si="49"/>
        <v>2.5750866823400846</v>
      </c>
      <c r="T124" s="110">
        <f t="shared" si="49"/>
        <v>2.5750914892668706</v>
      </c>
      <c r="U124" s="110">
        <f t="shared" si="49"/>
        <v>2.5750972223920634</v>
      </c>
      <c r="V124" s="110">
        <f t="shared" si="49"/>
        <v>2.3290195094345343</v>
      </c>
      <c r="W124" s="110">
        <f t="shared" si="49"/>
        <v>2.329025410195003</v>
      </c>
      <c r="X124" s="110">
        <f t="shared" si="49"/>
        <v>2.3290298534652458</v>
      </c>
      <c r="Y124" s="110">
        <f t="shared" si="49"/>
        <v>2.3290344717025913</v>
      </c>
      <c r="Z124" s="110">
        <f t="shared" si="49"/>
        <v>2.3290386497614337</v>
      </c>
      <c r="AA124" s="110">
        <f t="shared" si="49"/>
        <v>2.3290386497614337</v>
      </c>
    </row>
    <row r="125" spans="1:27" x14ac:dyDescent="0.25">
      <c r="B125" s="47" t="str">
        <f>B111</f>
        <v>Central</v>
      </c>
      <c r="C125" s="47" t="str">
        <f t="shared" ref="C125:D125" si="50">C111</f>
        <v>N</v>
      </c>
      <c r="D125" s="47" t="str">
        <f t="shared" si="50"/>
        <v>Water</v>
      </c>
      <c r="E125" s="47" t="s">
        <v>673</v>
      </c>
      <c r="F125" s="47" t="s">
        <v>672</v>
      </c>
      <c r="G125" s="109"/>
      <c r="H125" s="110">
        <f>G125*(1+$G$14)*(1+H122)</f>
        <v>0</v>
      </c>
      <c r="I125" s="110">
        <f t="shared" ref="I125:AA125" si="51">H125*(1+$G$14)*(1+I122)</f>
        <v>0</v>
      </c>
      <c r="J125" s="110">
        <f t="shared" si="51"/>
        <v>0</v>
      </c>
      <c r="K125" s="110">
        <f t="shared" si="51"/>
        <v>0</v>
      </c>
      <c r="L125" s="110">
        <f t="shared" si="51"/>
        <v>0</v>
      </c>
      <c r="M125" s="110">
        <f t="shared" si="51"/>
        <v>0</v>
      </c>
      <c r="N125" s="110">
        <f t="shared" si="51"/>
        <v>0</v>
      </c>
      <c r="O125" s="110">
        <f t="shared" si="51"/>
        <v>0</v>
      </c>
      <c r="P125" s="110">
        <f t="shared" si="51"/>
        <v>0</v>
      </c>
      <c r="Q125" s="110">
        <f t="shared" si="51"/>
        <v>0</v>
      </c>
      <c r="R125" s="110">
        <f t="shared" si="51"/>
        <v>0</v>
      </c>
      <c r="S125" s="110">
        <f t="shared" si="51"/>
        <v>0</v>
      </c>
      <c r="T125" s="110">
        <f t="shared" si="51"/>
        <v>0</v>
      </c>
      <c r="U125" s="110">
        <f t="shared" si="51"/>
        <v>0</v>
      </c>
      <c r="V125" s="110">
        <f t="shared" si="51"/>
        <v>0</v>
      </c>
      <c r="W125" s="110">
        <f t="shared" si="51"/>
        <v>0</v>
      </c>
      <c r="X125" s="110">
        <f t="shared" si="51"/>
        <v>0</v>
      </c>
      <c r="Y125" s="110">
        <f t="shared" si="51"/>
        <v>0</v>
      </c>
      <c r="Z125" s="110">
        <f t="shared" si="51"/>
        <v>0</v>
      </c>
      <c r="AA125" s="110">
        <f t="shared" si="51"/>
        <v>0</v>
      </c>
    </row>
    <row r="126" spans="1:27" x14ac:dyDescent="0.25">
      <c r="B126" s="47" t="str">
        <f>B111</f>
        <v>Central</v>
      </c>
      <c r="C126" s="47" t="str">
        <f t="shared" ref="C126:D126" si="52">C111</f>
        <v>N</v>
      </c>
      <c r="D126" s="47" t="str">
        <f t="shared" si="52"/>
        <v>Water</v>
      </c>
      <c r="E126" s="47" t="s">
        <v>674</v>
      </c>
      <c r="F126" s="47" t="s">
        <v>672</v>
      </c>
      <c r="G126" s="109">
        <f>IF(OR(D126=S,D126=WS),CWW_N_SDC,0)</f>
        <v>0</v>
      </c>
      <c r="H126" s="110">
        <f>G126*(1+$G$14)*(1+H122)</f>
        <v>0</v>
      </c>
      <c r="I126" s="110">
        <f t="shared" ref="I126:AA126" si="53">H126*(1+$G$14)*(1+I122)</f>
        <v>0</v>
      </c>
      <c r="J126" s="110">
        <f t="shared" si="53"/>
        <v>0</v>
      </c>
      <c r="K126" s="110">
        <f t="shared" si="53"/>
        <v>0</v>
      </c>
      <c r="L126" s="110">
        <f t="shared" si="53"/>
        <v>0</v>
      </c>
      <c r="M126" s="110">
        <f t="shared" si="53"/>
        <v>0</v>
      </c>
      <c r="N126" s="110">
        <f t="shared" si="53"/>
        <v>0</v>
      </c>
      <c r="O126" s="110">
        <f t="shared" si="53"/>
        <v>0</v>
      </c>
      <c r="P126" s="110">
        <f t="shared" si="53"/>
        <v>0</v>
      </c>
      <c r="Q126" s="110">
        <f t="shared" si="53"/>
        <v>0</v>
      </c>
      <c r="R126" s="110">
        <f t="shared" si="53"/>
        <v>0</v>
      </c>
      <c r="S126" s="110">
        <f t="shared" si="53"/>
        <v>0</v>
      </c>
      <c r="T126" s="110">
        <f t="shared" si="53"/>
        <v>0</v>
      </c>
      <c r="U126" s="110">
        <f t="shared" si="53"/>
        <v>0</v>
      </c>
      <c r="V126" s="110">
        <f t="shared" si="53"/>
        <v>0</v>
      </c>
      <c r="W126" s="110">
        <f t="shared" si="53"/>
        <v>0</v>
      </c>
      <c r="X126" s="110">
        <f t="shared" si="53"/>
        <v>0</v>
      </c>
      <c r="Y126" s="110">
        <f t="shared" si="53"/>
        <v>0</v>
      </c>
      <c r="Z126" s="110">
        <f t="shared" si="53"/>
        <v>0</v>
      </c>
      <c r="AA126" s="110">
        <f t="shared" si="53"/>
        <v>0</v>
      </c>
    </row>
    <row r="127" spans="1:27" x14ac:dyDescent="0.25">
      <c r="C127" s="100"/>
      <c r="D127" s="100"/>
    </row>
    <row r="128" spans="1:27" x14ac:dyDescent="0.25">
      <c r="C128" s="100"/>
      <c r="D128" s="100"/>
      <c r="E128" s="47" t="s">
        <v>679</v>
      </c>
      <c r="F128" s="47" t="s">
        <v>676</v>
      </c>
      <c r="H128" s="106">
        <f>SUM(H119:H121)/1000</f>
        <v>0</v>
      </c>
      <c r="I128" s="106">
        <f t="shared" ref="I128:AA128" si="54">SUM(I119:I121)/1000</f>
        <v>0</v>
      </c>
      <c r="J128" s="106">
        <f t="shared" si="54"/>
        <v>0</v>
      </c>
      <c r="K128" s="106">
        <f t="shared" si="54"/>
        <v>0</v>
      </c>
      <c r="L128" s="106">
        <f t="shared" si="54"/>
        <v>0</v>
      </c>
      <c r="M128" s="106">
        <f t="shared" si="54"/>
        <v>0</v>
      </c>
      <c r="N128" s="106">
        <f t="shared" si="54"/>
        <v>0</v>
      </c>
      <c r="O128" s="106">
        <f t="shared" si="54"/>
        <v>0</v>
      </c>
      <c r="P128" s="106">
        <f t="shared" si="54"/>
        <v>0</v>
      </c>
      <c r="Q128" s="106">
        <f t="shared" si="54"/>
        <v>0</v>
      </c>
      <c r="R128" s="106">
        <f t="shared" si="54"/>
        <v>0</v>
      </c>
      <c r="S128" s="106">
        <f t="shared" si="54"/>
        <v>0</v>
      </c>
      <c r="T128" s="106">
        <f t="shared" si="54"/>
        <v>0</v>
      </c>
      <c r="U128" s="106">
        <f t="shared" si="54"/>
        <v>0</v>
      </c>
      <c r="V128" s="106">
        <f t="shared" si="54"/>
        <v>0</v>
      </c>
      <c r="W128" s="106">
        <f t="shared" si="54"/>
        <v>0</v>
      </c>
      <c r="X128" s="106">
        <f t="shared" si="54"/>
        <v>0</v>
      </c>
      <c r="Y128" s="106">
        <f t="shared" si="54"/>
        <v>0</v>
      </c>
      <c r="Z128" s="106">
        <f t="shared" si="54"/>
        <v>0</v>
      </c>
      <c r="AA128" s="106">
        <f t="shared" si="54"/>
        <v>0</v>
      </c>
    </row>
    <row r="129" spans="1:27" x14ac:dyDescent="0.25">
      <c r="C129" s="100"/>
      <c r="D129" s="100"/>
      <c r="E129" s="47" t="s">
        <v>680</v>
      </c>
      <c r="F129" s="47" t="s">
        <v>639</v>
      </c>
      <c r="H129" s="106">
        <f>H112*H123+H119*H124+H120*H125+H121*H126</f>
        <v>0</v>
      </c>
      <c r="I129" s="106">
        <f t="shared" ref="I129:AA129" si="55">I112*I123+I119*I124+I120*I125+I121*I126</f>
        <v>0</v>
      </c>
      <c r="J129" s="106">
        <f t="shared" si="55"/>
        <v>0</v>
      </c>
      <c r="K129" s="106">
        <f t="shared" si="55"/>
        <v>0</v>
      </c>
      <c r="L129" s="106">
        <f t="shared" si="55"/>
        <v>0</v>
      </c>
      <c r="M129" s="106">
        <f t="shared" si="55"/>
        <v>0</v>
      </c>
      <c r="N129" s="106">
        <f t="shared" si="55"/>
        <v>0</v>
      </c>
      <c r="O129" s="106">
        <f t="shared" si="55"/>
        <v>0</v>
      </c>
      <c r="P129" s="106">
        <f t="shared" si="55"/>
        <v>0</v>
      </c>
      <c r="Q129" s="106">
        <f t="shared" si="55"/>
        <v>0</v>
      </c>
      <c r="R129" s="106">
        <f t="shared" si="55"/>
        <v>0</v>
      </c>
      <c r="S129" s="106">
        <f t="shared" si="55"/>
        <v>0</v>
      </c>
      <c r="T129" s="106">
        <f t="shared" si="55"/>
        <v>0</v>
      </c>
      <c r="U129" s="106">
        <f t="shared" si="55"/>
        <v>0</v>
      </c>
      <c r="V129" s="106">
        <f t="shared" si="55"/>
        <v>0</v>
      </c>
      <c r="W129" s="106">
        <f t="shared" si="55"/>
        <v>0</v>
      </c>
      <c r="X129" s="106">
        <f t="shared" si="55"/>
        <v>0</v>
      </c>
      <c r="Y129" s="106">
        <f t="shared" si="55"/>
        <v>0</v>
      </c>
      <c r="Z129" s="106">
        <f t="shared" si="55"/>
        <v>0</v>
      </c>
      <c r="AA129" s="106">
        <f t="shared" si="55"/>
        <v>0</v>
      </c>
    </row>
    <row r="130" spans="1:27" x14ac:dyDescent="0.25">
      <c r="C130" s="100"/>
      <c r="D130" s="100"/>
    </row>
    <row r="131" spans="1:27" x14ac:dyDescent="0.25">
      <c r="C131" s="100"/>
      <c r="D131" s="47" t="s">
        <v>681</v>
      </c>
    </row>
    <row r="132" spans="1:27" x14ac:dyDescent="0.25">
      <c r="A132" s="101">
        <v>25</v>
      </c>
      <c r="B132" s="47" t="s">
        <v>265</v>
      </c>
      <c r="C132" s="100" t="s">
        <v>405</v>
      </c>
      <c r="D132" s="100" t="str">
        <f>$G$4</f>
        <v>Water</v>
      </c>
      <c r="E132" s="47" t="s">
        <v>654</v>
      </c>
      <c r="F132" s="47" t="s">
        <v>655</v>
      </c>
      <c r="H132" s="102">
        <f>IF($G$4="Water and sewer",SUMIFS('INPUT Growth'!AD$64:AD$115,'INPUT Growth'!$B$64:$B$115,$A$1,'INPUT Growth'!$F$64:$F$115,$B132,'INPUT Growth'!$E$64:$E$115,$C132),SUMIFS('INPUT Growth'!AD$64:AD$115,'INPUT Growth'!$A$64:$A$115,$A$1,'INPUT Growth'!$F$64:$F$115,$B132,'INPUT Growth'!$E$64:$E$115,$C132))</f>
        <v>4602.9260210803768</v>
      </c>
      <c r="I132" s="102">
        <f>IF($G$4="Water and sewer",SUMIFS('INPUT Growth'!AE$64:AE$115,'INPUT Growth'!$B$64:$B$115,$A$1,'INPUT Growth'!$F$64:$F$115,$B132,'INPUT Growth'!$E$64:$E$115,$C132),SUMIFS('INPUT Growth'!AE$64:AE$115,'INPUT Growth'!$A$64:$A$115,$A$1,'INPUT Growth'!$F$64:$F$115,$B132,'INPUT Growth'!$E$64:$E$115,$C132))</f>
        <v>4949.5574506523553</v>
      </c>
      <c r="J132" s="102">
        <f>IF($G$4="Water and sewer",SUMIFS('INPUT Growth'!AF$64:AF$115,'INPUT Growth'!$B$64:$B$115,$A$1,'INPUT Growth'!$F$64:$F$115,$B132,'INPUT Growth'!$E$64:$E$115,$C132),SUMIFS('INPUT Growth'!AF$64:AF$115,'INPUT Growth'!$A$64:$A$115,$A$1,'INPUT Growth'!$F$64:$F$115,$B132,'INPUT Growth'!$E$64:$E$115,$C132))</f>
        <v>4207.8417250206694</v>
      </c>
      <c r="K132" s="102">
        <f>IF($G$4="Water and sewer",SUMIFS('INPUT Growth'!AG$64:AG$115,'INPUT Growth'!$B$64:$B$115,$A$1,'INPUT Growth'!$F$64:$F$115,$B132,'INPUT Growth'!$E$64:$E$115,$C132),SUMIFS('INPUT Growth'!AG$64:AG$115,'INPUT Growth'!$A$64:$A$115,$A$1,'INPUT Growth'!$F$64:$F$115,$B132,'INPUT Growth'!$E$64:$E$115,$C132))</f>
        <v>4258.7572641202278</v>
      </c>
      <c r="L132" s="102">
        <f>IF($G$4="Water and sewer",SUMIFS('INPUT Growth'!AH$64:AH$115,'INPUT Growth'!$B$64:$B$115,$A$1,'INPUT Growth'!$F$64:$F$115,$B132,'INPUT Growth'!$E$64:$E$115,$C132),SUMIFS('INPUT Growth'!AH$64:AH$115,'INPUT Growth'!$A$64:$A$115,$A$1,'INPUT Growth'!$F$64:$F$115,$B132,'INPUT Growth'!$E$64:$E$115,$C132))</f>
        <v>4374.2472942754684</v>
      </c>
      <c r="M132" s="102">
        <f>IF($G$4="Water and sewer",SUMIFS('INPUT Growth'!AI$64:AI$115,'INPUT Growth'!$B$64:$B$115,$A$1,'INPUT Growth'!$F$64:$F$115,$B132,'INPUT Growth'!$E$64:$E$115,$C132),SUMIFS('INPUT Growth'!AI$64:AI$115,'INPUT Growth'!$A$64:$A$115,$A$1,'INPUT Growth'!$F$64:$F$115,$B132,'INPUT Growth'!$E$64:$E$115,$C132))</f>
        <v>4621.0642038790247</v>
      </c>
      <c r="N132" s="102">
        <f>IF($G$4="Water and sewer",SUMIFS('INPUT Growth'!AJ$64:AJ$115,'INPUT Growth'!$B$64:$B$115,$A$1,'INPUT Growth'!$F$64:$F$115,$B132,'INPUT Growth'!$E$64:$E$115,$C132),SUMIFS('INPUT Growth'!AJ$64:AJ$115,'INPUT Growth'!$A$64:$A$115,$A$1,'INPUT Growth'!$F$64:$F$115,$B132,'INPUT Growth'!$E$64:$E$115,$C132))</f>
        <v>4509.4619526301831</v>
      </c>
      <c r="O132" s="102">
        <f>IF($G$4="Water and sewer",SUMIFS('INPUT Growth'!AK$64:AK$115,'INPUT Growth'!$B$64:$B$115,$A$1,'INPUT Growth'!$F$64:$F$115,$B132,'INPUT Growth'!$E$64:$E$115,$C132),SUMIFS('INPUT Growth'!AK$64:AK$115,'INPUT Growth'!$A$64:$A$115,$A$1,'INPUT Growth'!$F$64:$F$115,$B132,'INPUT Growth'!$E$64:$E$115,$C132))</f>
        <v>4760.9220637194521</v>
      </c>
      <c r="P132" s="102">
        <f>IF($G$4="Water and sewer",SUMIFS('INPUT Growth'!AL$64:AL$115,'INPUT Growth'!$B$64:$B$115,$A$1,'INPUT Growth'!$F$64:$F$115,$B132,'INPUT Growth'!$E$64:$E$115,$C132),SUMIFS('INPUT Growth'!AL$64:AL$115,'INPUT Growth'!$A$64:$A$115,$A$1,'INPUT Growth'!$F$64:$F$115,$B132,'INPUT Growth'!$E$64:$E$115,$C132))</f>
        <v>4814.1273768488027</v>
      </c>
      <c r="Q132" s="102">
        <f>IF($G$4="Water and sewer",SUMIFS('INPUT Growth'!AM$64:AM$115,'INPUT Growth'!$B$64:$B$115,$A$1,'INPUT Growth'!$F$64:$F$115,$B132,'INPUT Growth'!$E$64:$E$115,$C132),SUMIFS('INPUT Growth'!AM$64:AM$115,'INPUT Growth'!$A$64:$A$115,$A$1,'INPUT Growth'!$F$64:$F$115,$B132,'INPUT Growth'!$E$64:$E$115,$C132))</f>
        <v>4821.1826734862116</v>
      </c>
      <c r="R132" s="102">
        <f>IF($G$4="Water and sewer",SUMIFS('INPUT Growth'!AN$64:AN$115,'INPUT Growth'!$B$64:$B$115,$A$1,'INPUT Growth'!$F$64:$F$115,$B132,'INPUT Growth'!$E$64:$E$115,$C132),SUMIFS('INPUT Growth'!AN$64:AN$115,'INPUT Growth'!$A$64:$A$115,$A$1,'INPUT Growth'!$F$64:$F$115,$B132,'INPUT Growth'!$E$64:$E$115,$C132))</f>
        <v>4826.7300283850927</v>
      </c>
      <c r="S132" s="102">
        <f>IF($G$4="Water and sewer",SUMIFS('INPUT Growth'!AO$64:AO$115,'INPUT Growth'!$B$64:$B$115,$A$1,'INPUT Growth'!$F$64:$F$115,$B132,'INPUT Growth'!$E$64:$E$115,$C132),SUMIFS('INPUT Growth'!AO$64:AO$115,'INPUT Growth'!$A$64:$A$115,$A$1,'INPUT Growth'!$F$64:$F$115,$B132,'INPUT Growth'!$E$64:$E$115,$C132))</f>
        <v>4813.1939179728506</v>
      </c>
      <c r="T132" s="102">
        <f>IF($G$4="Water and sewer",SUMIFS('INPUT Growth'!AP$64:AP$115,'INPUT Growth'!$B$64:$B$115,$A$1,'INPUT Growth'!$F$64:$F$115,$B132,'INPUT Growth'!$E$64:$E$115,$C132),SUMIFS('INPUT Growth'!AP$64:AP$115,'INPUT Growth'!$A$64:$A$115,$A$1,'INPUT Growth'!$F$64:$F$115,$B132,'INPUT Growth'!$E$64:$E$115,$C132))</f>
        <v>4723.4762471698923</v>
      </c>
      <c r="U132" s="102">
        <f>IF($G$4="Water and sewer",SUMIFS('INPUT Growth'!AQ$64:AQ$115,'INPUT Growth'!$B$64:$B$115,$A$1,'INPUT Growth'!$F$64:$F$115,$B132,'INPUT Growth'!$E$64:$E$115,$C132),SUMIFS('INPUT Growth'!AQ$64:AQ$115,'INPUT Growth'!$A$64:$A$115,$A$1,'INPUT Growth'!$F$64:$F$115,$B132,'INPUT Growth'!$E$64:$E$115,$C132))</f>
        <v>4722.9039051669533</v>
      </c>
      <c r="V132" s="102">
        <f>IF($G$4="Water and sewer",SUMIFS('INPUT Growth'!AR$64:AR$115,'INPUT Growth'!$B$64:$B$115,$A$1,'INPUT Growth'!$F$64:$F$115,$B132,'INPUT Growth'!$E$64:$E$115,$C132),SUMIFS('INPUT Growth'!AR$64:AR$115,'INPUT Growth'!$A$64:$A$115,$A$1,'INPUT Growth'!$F$64:$F$115,$B132,'INPUT Growth'!$E$64:$E$115,$C132))</f>
        <v>4695.9940898274363</v>
      </c>
      <c r="W132" s="102">
        <f>IF($G$4="Water and sewer",SUMIFS('INPUT Growth'!AS$64:AS$115,'INPUT Growth'!$B$64:$B$115,$A$1,'INPUT Growth'!$F$64:$F$115,$B132,'INPUT Growth'!$E$64:$E$115,$C132),SUMIFS('INPUT Growth'!AS$64:AS$115,'INPUT Growth'!$A$64:$A$115,$A$1,'INPUT Growth'!$F$64:$F$115,$B132,'INPUT Growth'!$E$64:$E$115,$C132))</f>
        <v>4731.5080395174737</v>
      </c>
      <c r="X132" s="102">
        <f>IF($G$4="Water and sewer",SUMIFS('INPUT Growth'!AT$64:AT$115,'INPUT Growth'!$B$64:$B$115,$A$1,'INPUT Growth'!$F$64:$F$115,$B132,'INPUT Growth'!$E$64:$E$115,$C132),SUMIFS('INPUT Growth'!AT$64:AT$115,'INPUT Growth'!$A$64:$A$115,$A$1,'INPUT Growth'!$F$64:$F$115,$B132,'INPUT Growth'!$E$64:$E$115,$C132))</f>
        <v>4720.6678170256491</v>
      </c>
      <c r="Y132" s="102">
        <f>IF($G$4="Water and sewer",SUMIFS('INPUT Growth'!AU$64:AU$115,'INPUT Growth'!$B$64:$B$115,$A$1,'INPUT Growth'!$F$64:$F$115,$B132,'INPUT Growth'!$E$64:$E$115,$C132),SUMIFS('INPUT Growth'!AU$64:AU$115,'INPUT Growth'!$A$64:$A$115,$A$1,'INPUT Growth'!$F$64:$F$115,$B132,'INPUT Growth'!$E$64:$E$115,$C132))</f>
        <v>4601.8433589577035</v>
      </c>
      <c r="Z132" s="102">
        <f>IF($G$4="Water and sewer",SUMIFS('INPUT Growth'!AV$64:AV$115,'INPUT Growth'!$B$64:$B$115,$A$1,'INPUT Growth'!$F$64:$F$115,$B132,'INPUT Growth'!$E$64:$E$115,$C132),SUMIFS('INPUT Growth'!AV$64:AV$115,'INPUT Growth'!$A$64:$A$115,$A$1,'INPUT Growth'!$F$64:$F$115,$B132,'INPUT Growth'!$E$64:$E$115,$C132))</f>
        <v>4406.4188035159314</v>
      </c>
      <c r="AA132" s="102">
        <f>IF($G$4="Water and sewer",SUMIFS('INPUT Growth'!AW$64:AW$115,'INPUT Growth'!$B$64:$B$115,$A$1,'INPUT Growth'!$F$64:$F$115,$B132,'INPUT Growth'!$E$64:$E$115,$C132),SUMIFS('INPUT Growth'!AW$64:AW$115,'INPUT Growth'!$A$64:$A$115,$A$1,'INPUT Growth'!$F$64:$F$115,$B132,'INPUT Growth'!$E$64:$E$115,$C132))</f>
        <v>4143.5306926617632</v>
      </c>
    </row>
    <row r="133" spans="1:27" x14ac:dyDescent="0.25">
      <c r="C133" s="100"/>
      <c r="D133" s="100"/>
      <c r="E133" s="47" t="s">
        <v>656</v>
      </c>
      <c r="F133" s="47" t="s">
        <v>655</v>
      </c>
      <c r="H133" s="106">
        <f>G133+H132</f>
        <v>4602.9260210803768</v>
      </c>
      <c r="I133" s="106">
        <f t="shared" ref="I133:AA133" si="56">H133+I132</f>
        <v>9552.4834717327321</v>
      </c>
      <c r="J133" s="106">
        <f t="shared" si="56"/>
        <v>13760.325196753402</v>
      </c>
      <c r="K133" s="106">
        <f t="shared" si="56"/>
        <v>18019.082460873629</v>
      </c>
      <c r="L133" s="106">
        <f t="shared" si="56"/>
        <v>22393.329755149098</v>
      </c>
      <c r="M133" s="106">
        <f t="shared" si="56"/>
        <v>27014.393959028122</v>
      </c>
      <c r="N133" s="106">
        <f t="shared" si="56"/>
        <v>31523.855911658306</v>
      </c>
      <c r="O133" s="106">
        <f t="shared" si="56"/>
        <v>36284.777975377758</v>
      </c>
      <c r="P133" s="106">
        <f t="shared" si="56"/>
        <v>41098.90535222656</v>
      </c>
      <c r="Q133" s="106">
        <f t="shared" si="56"/>
        <v>45920.088025712772</v>
      </c>
      <c r="R133" s="106">
        <f t="shared" si="56"/>
        <v>50746.818054097865</v>
      </c>
      <c r="S133" s="106">
        <f t="shared" si="56"/>
        <v>55560.011972070715</v>
      </c>
      <c r="T133" s="106">
        <f t="shared" si="56"/>
        <v>60283.488219240608</v>
      </c>
      <c r="U133" s="106">
        <f t="shared" si="56"/>
        <v>65006.392124407561</v>
      </c>
      <c r="V133" s="106">
        <f t="shared" si="56"/>
        <v>69702.386214234997</v>
      </c>
      <c r="W133" s="106">
        <f t="shared" si="56"/>
        <v>74433.894253752471</v>
      </c>
      <c r="X133" s="106">
        <f t="shared" si="56"/>
        <v>79154.56207077812</v>
      </c>
      <c r="Y133" s="106">
        <f t="shared" si="56"/>
        <v>83756.405429735823</v>
      </c>
      <c r="Z133" s="106">
        <f t="shared" si="56"/>
        <v>88162.824233251755</v>
      </c>
      <c r="AA133" s="106">
        <f t="shared" si="56"/>
        <v>92306.354925913518</v>
      </c>
    </row>
    <row r="134" spans="1:27" x14ac:dyDescent="0.25">
      <c r="A134" s="101">
        <v>26</v>
      </c>
      <c r="C134" s="100"/>
      <c r="D134" s="100"/>
      <c r="E134" s="47" t="s">
        <v>657</v>
      </c>
      <c r="F134" s="47" t="s">
        <v>655</v>
      </c>
      <c r="G134" s="102">
        <v>1</v>
      </c>
    </row>
    <row r="135" spans="1:27" x14ac:dyDescent="0.25">
      <c r="C135" s="100"/>
      <c r="D135" s="100"/>
      <c r="E135" s="47" t="s">
        <v>658</v>
      </c>
      <c r="F135" s="47" t="s">
        <v>655</v>
      </c>
      <c r="H135" s="47">
        <f>H132*$G134</f>
        <v>4602.9260210803768</v>
      </c>
      <c r="I135" s="47">
        <f t="shared" ref="I135:AA135" si="57">I132*$G134</f>
        <v>4949.5574506523553</v>
      </c>
      <c r="J135" s="47">
        <f t="shared" si="57"/>
        <v>4207.8417250206694</v>
      </c>
      <c r="K135" s="47">
        <f t="shared" si="57"/>
        <v>4258.7572641202278</v>
      </c>
      <c r="L135" s="47">
        <f t="shared" si="57"/>
        <v>4374.2472942754684</v>
      </c>
      <c r="M135" s="47">
        <f t="shared" si="57"/>
        <v>4621.0642038790247</v>
      </c>
      <c r="N135" s="47">
        <f t="shared" si="57"/>
        <v>4509.4619526301831</v>
      </c>
      <c r="O135" s="47">
        <f t="shared" si="57"/>
        <v>4760.9220637194521</v>
      </c>
      <c r="P135" s="47">
        <f t="shared" si="57"/>
        <v>4814.1273768488027</v>
      </c>
      <c r="Q135" s="47">
        <f t="shared" si="57"/>
        <v>4821.1826734862116</v>
      </c>
      <c r="R135" s="47">
        <f t="shared" si="57"/>
        <v>4826.7300283850927</v>
      </c>
      <c r="S135" s="47">
        <f t="shared" si="57"/>
        <v>4813.1939179728506</v>
      </c>
      <c r="T135" s="47">
        <f t="shared" si="57"/>
        <v>4723.4762471698923</v>
      </c>
      <c r="U135" s="47">
        <f t="shared" si="57"/>
        <v>4722.9039051669533</v>
      </c>
      <c r="V135" s="47">
        <f t="shared" si="57"/>
        <v>4695.9940898274363</v>
      </c>
      <c r="W135" s="47">
        <f t="shared" si="57"/>
        <v>4731.5080395174737</v>
      </c>
      <c r="X135" s="47">
        <f t="shared" si="57"/>
        <v>4720.6678170256491</v>
      </c>
      <c r="Y135" s="47">
        <f t="shared" si="57"/>
        <v>4601.8433589577035</v>
      </c>
      <c r="Z135" s="47">
        <f t="shared" si="57"/>
        <v>4406.4188035159314</v>
      </c>
      <c r="AA135" s="47">
        <f t="shared" si="57"/>
        <v>4143.5306926617632</v>
      </c>
    </row>
    <row r="136" spans="1:27" x14ac:dyDescent="0.25">
      <c r="C136" s="100"/>
      <c r="D136" s="100"/>
      <c r="E136" s="47" t="s">
        <v>659</v>
      </c>
      <c r="F136" s="47" t="s">
        <v>655</v>
      </c>
      <c r="H136" s="47">
        <f>H133*$G134</f>
        <v>4602.9260210803768</v>
      </c>
      <c r="I136" s="47">
        <f t="shared" ref="I136:AA136" si="58">I133*$G134</f>
        <v>9552.4834717327321</v>
      </c>
      <c r="J136" s="47">
        <f t="shared" si="58"/>
        <v>13760.325196753402</v>
      </c>
      <c r="K136" s="47">
        <f t="shared" si="58"/>
        <v>18019.082460873629</v>
      </c>
      <c r="L136" s="47">
        <f t="shared" si="58"/>
        <v>22393.329755149098</v>
      </c>
      <c r="M136" s="47">
        <f t="shared" si="58"/>
        <v>27014.393959028122</v>
      </c>
      <c r="N136" s="47">
        <f t="shared" si="58"/>
        <v>31523.855911658306</v>
      </c>
      <c r="O136" s="47">
        <f t="shared" si="58"/>
        <v>36284.777975377758</v>
      </c>
      <c r="P136" s="47">
        <f t="shared" si="58"/>
        <v>41098.90535222656</v>
      </c>
      <c r="Q136" s="47">
        <f t="shared" si="58"/>
        <v>45920.088025712772</v>
      </c>
      <c r="R136" s="47">
        <f t="shared" si="58"/>
        <v>50746.818054097865</v>
      </c>
      <c r="S136" s="47">
        <f t="shared" si="58"/>
        <v>55560.011972070715</v>
      </c>
      <c r="T136" s="47">
        <f t="shared" si="58"/>
        <v>60283.488219240608</v>
      </c>
      <c r="U136" s="47">
        <f t="shared" si="58"/>
        <v>65006.392124407561</v>
      </c>
      <c r="V136" s="47">
        <f t="shared" si="58"/>
        <v>69702.386214234997</v>
      </c>
      <c r="W136" s="47">
        <f t="shared" si="58"/>
        <v>74433.894253752471</v>
      </c>
      <c r="X136" s="47">
        <f t="shared" si="58"/>
        <v>79154.56207077812</v>
      </c>
      <c r="Y136" s="47">
        <f t="shared" si="58"/>
        <v>83756.405429735823</v>
      </c>
      <c r="Z136" s="47">
        <f t="shared" si="58"/>
        <v>88162.824233251755</v>
      </c>
      <c r="AA136" s="47">
        <f t="shared" si="58"/>
        <v>92306.354925913518</v>
      </c>
    </row>
    <row r="137" spans="1:27" x14ac:dyDescent="0.25">
      <c r="A137" s="101">
        <v>27</v>
      </c>
      <c r="B137" s="47" t="str">
        <f>B132</f>
        <v>Western</v>
      </c>
      <c r="C137" s="47" t="str">
        <f>C132</f>
        <v>R</v>
      </c>
      <c r="D137" s="47" t="str">
        <f>D132</f>
        <v>Water</v>
      </c>
      <c r="E137" s="47" t="s">
        <v>660</v>
      </c>
      <c r="F137" s="47" t="s">
        <v>661</v>
      </c>
      <c r="H137" s="102">
        <f>IF(OR($D137=W,$D137=WS),'INPUT Reg'!AD121,IF($D137=RW,'INPUT Reg'!AD125,0))</f>
        <v>150.8131004246452</v>
      </c>
      <c r="I137" s="102">
        <f>IF(OR($D137=W,$D137=WS),'INPUT Reg'!AE121,IF($D137=RW,'INPUT Reg'!AE125,0))</f>
        <v>149.27265598558674</v>
      </c>
      <c r="J137" s="102">
        <f>IF(OR($D137=W,$D137=WS),'INPUT Reg'!AF121,IF($D137=RW,'INPUT Reg'!AF125,0))</f>
        <v>148.88853768937167</v>
      </c>
      <c r="K137" s="102">
        <f>IF(OR($D137=W,$D137=WS),'INPUT Reg'!AG121,IF($D137=RW,'INPUT Reg'!AG125,0))</f>
        <v>148.68546175229565</v>
      </c>
      <c r="L137" s="102">
        <f>IF(OR($D137=W,$D137=WS),'INPUT Reg'!AH121,IF($D137=RW,'INPUT Reg'!AH125,0))</f>
        <v>148.00299604443001</v>
      </c>
      <c r="M137" s="102">
        <f>IF(OR($D137=W,$D137=WS),'INPUT Reg'!AI121,IF($D137=RW,'INPUT Reg'!AI125,0))</f>
        <v>147.39044968338055</v>
      </c>
      <c r="N137" s="102">
        <f>IF(OR($D137=W,$D137=WS),'INPUT Reg'!AJ121,IF($D137=RW,'INPUT Reg'!AJ125,0))</f>
        <v>146.65887160420652</v>
      </c>
      <c r="O137" s="102">
        <f>IF(OR($D137=W,$D137=WS),'INPUT Reg'!AK121,IF($D137=RW,'INPUT Reg'!AK125,0))</f>
        <v>146.20875280609891</v>
      </c>
      <c r="P137" s="102">
        <f>IF(OR($D137=W,$D137=WS),'INPUT Reg'!AL121,IF($D137=RW,'INPUT Reg'!AL125,0))</f>
        <v>145.13685322790656</v>
      </c>
      <c r="Q137" s="102">
        <f>IF(OR($D137=W,$D137=WS),'INPUT Reg'!AM121,IF($D137=RW,'INPUT Reg'!AM125,0))</f>
        <v>144.37596094683801</v>
      </c>
      <c r="R137" s="102">
        <f>IF(OR($D137=W,$D137=WS),'INPUT Reg'!AN121,IF($D137=RW,'INPUT Reg'!AN125,0))</f>
        <v>143.63593283603137</v>
      </c>
      <c r="S137" s="102">
        <f>IF(OR($D137=W,$D137=WS),'INPUT Reg'!AO121,IF($D137=RW,'INPUT Reg'!AO125,0))</f>
        <v>143.20256386257466</v>
      </c>
      <c r="T137" s="102">
        <f>IF(OR($D137=W,$D137=WS),'INPUT Reg'!AP121,IF($D137=RW,'INPUT Reg'!AP125,0))</f>
        <v>142.20398195315397</v>
      </c>
      <c r="U137" s="102">
        <f>IF(OR($D137=W,$D137=WS),'INPUT Reg'!AQ121,IF($D137=RW,'INPUT Reg'!AQ125,0))</f>
        <v>141.53353009691222</v>
      </c>
      <c r="V137" s="102">
        <f>IF(OR($D137=W,$D137=WS),'INPUT Reg'!AR121,IF($D137=RW,'INPUT Reg'!AR125,0))</f>
        <v>140.92450771160904</v>
      </c>
      <c r="W137" s="102">
        <f>IF(OR($D137=W,$D137=WS),'INPUT Reg'!AS121,IF($D137=RW,'INPUT Reg'!AS125,0))</f>
        <v>140.65986022385155</v>
      </c>
      <c r="X137" s="102">
        <f>IF(OR($D137=W,$D137=WS),'INPUT Reg'!AT121,IF($D137=RW,'INPUT Reg'!AT125,0))</f>
        <v>139.4281786131647</v>
      </c>
      <c r="Y137" s="102">
        <f>IF(OR($D137=W,$D137=WS),'INPUT Reg'!AU121,IF($D137=RW,'INPUT Reg'!AU125,0))</f>
        <v>138.89159006550341</v>
      </c>
      <c r="Z137" s="102">
        <f>IF(OR($D137=W,$D137=WS),'INPUT Reg'!AV121,IF($D137=RW,'INPUT Reg'!AV125,0))</f>
        <v>138.38242984277764</v>
      </c>
      <c r="AA137" s="102">
        <f>IF(OR($D137=W,$D137=WS),'INPUT Reg'!AW121,IF($D137=RW,'INPUT Reg'!AW125,0))</f>
        <v>138.38242984277764</v>
      </c>
    </row>
    <row r="138" spans="1:27" x14ac:dyDescent="0.25">
      <c r="B138" s="47" t="str">
        <f>B132</f>
        <v>Western</v>
      </c>
      <c r="C138" s="47" t="str">
        <f t="shared" ref="C138:D138" si="59">C132</f>
        <v>R</v>
      </c>
      <c r="D138" s="47" t="str">
        <f t="shared" si="59"/>
        <v>Water</v>
      </c>
      <c r="E138" s="47" t="s">
        <v>662</v>
      </c>
      <c r="F138" s="47" t="s">
        <v>661</v>
      </c>
      <c r="H138" s="102">
        <f>IF(OR($D138=W,$D138=WS),'INPUT Reg'!AD122,0)</f>
        <v>6.9069868847918272</v>
      </c>
      <c r="I138" s="102">
        <f>IF(OR($D138=W,$D138=WS),'INPUT Reg'!AE122,0)</f>
        <v>5.0164414368564536</v>
      </c>
      <c r="J138" s="102">
        <f>IF(OR($D138=W,$D138=WS),'INPUT Reg'!AF122,0)</f>
        <v>4.5450235278652187</v>
      </c>
      <c r="K138" s="102">
        <f>IF(OR($D138=W,$D138=WS),'INPUT Reg'!AG122,0)</f>
        <v>4.2957939687264712</v>
      </c>
      <c r="L138" s="102">
        <f>IF(OR($D138=W,$D138=WS),'INPUT Reg'!AH122,0)</f>
        <v>3.4582224181640981</v>
      </c>
      <c r="M138" s="102">
        <f>IF(OR($D138=W,$D138=WS),'INPUT Reg'!AI122,0)</f>
        <v>2.9561798733522124</v>
      </c>
      <c r="N138" s="102">
        <f>IF(OR($D138=W,$D138=WS),'INPUT Reg'!AJ122,0)</f>
        <v>2.6635486416826026</v>
      </c>
      <c r="O138" s="102">
        <f>IF(OR($D138=W,$D138=WS),'INPUT Reg'!AK122,0)</f>
        <v>2.48350112243957</v>
      </c>
      <c r="P138" s="102">
        <f>IF(OR($D138=W,$D138=WS),'INPUT Reg'!AL122,0)</f>
        <v>2.0547412911626211</v>
      </c>
      <c r="Q138" s="102">
        <f>IF(OR($D138=W,$D138=WS),'INPUT Reg'!AM122,0)</f>
        <v>1.7503843787351911</v>
      </c>
      <c r="R138" s="102">
        <f>IF(OR($D138=W,$D138=WS),'INPUT Reg'!AN122,0)</f>
        <v>1.4543731344125419</v>
      </c>
      <c r="S138" s="102">
        <f>IF(OR($D138=W,$D138=WS),'INPUT Reg'!AO122,0)</f>
        <v>1.2810255450298698</v>
      </c>
      <c r="T138" s="102">
        <f>IF(OR($D138=W,$D138=WS),'INPUT Reg'!AP122,0)</f>
        <v>0.88159278126158824</v>
      </c>
      <c r="U138" s="102">
        <f>IF(OR($D138=W,$D138=WS),'INPUT Reg'!AQ122,0)</f>
        <v>0.61341203876487782</v>
      </c>
      <c r="V138" s="102">
        <f>IF(OR($D138=W,$D138=WS),'INPUT Reg'!AR122,0)</f>
        <v>0.369803084643614</v>
      </c>
      <c r="W138" s="102">
        <f>IF(OR($D138=W,$D138=WS),'INPUT Reg'!AS122,0)</f>
        <v>0.26394408954062243</v>
      </c>
      <c r="X138" s="102">
        <f>IF(OR($D138=W,$D138=WS),'INPUT Reg'!AT122,0)</f>
        <v>0</v>
      </c>
      <c r="Y138" s="102">
        <f>IF(OR($D138=W,$D138=WS),'INPUT Reg'!AU122,0)</f>
        <v>0</v>
      </c>
      <c r="Z138" s="102">
        <f>IF(OR($D138=W,$D138=WS),'INPUT Reg'!AV122,0)</f>
        <v>0</v>
      </c>
      <c r="AA138" s="102">
        <f>IF(OR($D138=W,$D138=WS),'INPUT Reg'!AW122,0)</f>
        <v>0</v>
      </c>
    </row>
    <row r="139" spans="1:27" x14ac:dyDescent="0.25">
      <c r="A139" s="101">
        <v>28</v>
      </c>
      <c r="B139" s="47" t="str">
        <f>B132</f>
        <v>Western</v>
      </c>
      <c r="C139" s="47" t="str">
        <f t="shared" ref="C139:D139" si="60">C132</f>
        <v>R</v>
      </c>
      <c r="D139" s="47" t="str">
        <f t="shared" si="60"/>
        <v>Water</v>
      </c>
      <c r="E139" s="47" t="s">
        <v>663</v>
      </c>
      <c r="F139" s="47" t="s">
        <v>661</v>
      </c>
      <c r="H139" s="102">
        <f>IF(OR($D139=S,$D139=WS),'INPUT Reg'!AD124,0)</f>
        <v>0</v>
      </c>
      <c r="I139" s="102">
        <f>IF(OR($D139=S,$D139=WS),'INPUT Reg'!AE124,0)</f>
        <v>0</v>
      </c>
      <c r="J139" s="102">
        <f>IF(OR($D139=S,$D139=WS),'INPUT Reg'!AF124,0)</f>
        <v>0</v>
      </c>
      <c r="K139" s="102">
        <f>IF(OR($D139=S,$D139=WS),'INPUT Reg'!AG124,0)</f>
        <v>0</v>
      </c>
      <c r="L139" s="102">
        <f>IF(OR($D139=S,$D139=WS),'INPUT Reg'!AH124,0)</f>
        <v>0</v>
      </c>
      <c r="M139" s="102">
        <f>IF(OR($D139=S,$D139=WS),'INPUT Reg'!AI124,0)</f>
        <v>0</v>
      </c>
      <c r="N139" s="102">
        <f>IF(OR($D139=S,$D139=WS),'INPUT Reg'!AJ124,0)</f>
        <v>0</v>
      </c>
      <c r="O139" s="102">
        <f>IF(OR($D139=S,$D139=WS),'INPUT Reg'!AK124,0)</f>
        <v>0</v>
      </c>
      <c r="P139" s="102">
        <f>IF(OR($D139=S,$D139=WS),'INPUT Reg'!AL124,0)</f>
        <v>0</v>
      </c>
      <c r="Q139" s="102">
        <f>IF(OR($D139=S,$D139=WS),'INPUT Reg'!AM124,0)</f>
        <v>0</v>
      </c>
      <c r="R139" s="102">
        <f>IF(OR($D139=S,$D139=WS),'INPUT Reg'!AN124,0)</f>
        <v>0</v>
      </c>
      <c r="S139" s="102">
        <f>IF(OR($D139=S,$D139=WS),'INPUT Reg'!AO124,0)</f>
        <v>0</v>
      </c>
      <c r="T139" s="102">
        <f>IF(OR($D139=S,$D139=WS),'INPUT Reg'!AP124,0)</f>
        <v>0</v>
      </c>
      <c r="U139" s="102">
        <f>IF(OR($D139=S,$D139=WS),'INPUT Reg'!AQ124,0)</f>
        <v>0</v>
      </c>
      <c r="V139" s="102">
        <f>IF(OR($D139=S,$D139=WS),'INPUT Reg'!AR124,0)</f>
        <v>0</v>
      </c>
      <c r="W139" s="102">
        <f>IF(OR($D139=S,$D139=WS),'INPUT Reg'!AS124,0)</f>
        <v>0</v>
      </c>
      <c r="X139" s="102">
        <f>IF(OR($D139=S,$D139=WS),'INPUT Reg'!AT124,0)</f>
        <v>0</v>
      </c>
      <c r="Y139" s="102">
        <f>IF(OR($D139=S,$D139=WS),'INPUT Reg'!AU124,0)</f>
        <v>0</v>
      </c>
      <c r="Z139" s="102">
        <f>IF(OR($D139=S,$D139=WS),'INPUT Reg'!AV124,0)</f>
        <v>0</v>
      </c>
      <c r="AA139" s="102">
        <f>IF(OR($D139=S,$D139=WS),'INPUT Reg'!AW124,0)</f>
        <v>0</v>
      </c>
    </row>
    <row r="140" spans="1:27" x14ac:dyDescent="0.25">
      <c r="C140" s="100"/>
      <c r="D140" s="100"/>
      <c r="E140" s="47" t="s">
        <v>664</v>
      </c>
      <c r="F140" s="47" t="s">
        <v>665</v>
      </c>
      <c r="H140" s="106">
        <f>H133*H137</f>
        <v>694181.54426440736</v>
      </c>
      <c r="I140" s="106">
        <f t="shared" ref="I140:AA140" si="61">I133*I137</f>
        <v>1425924.5790839633</v>
      </c>
      <c r="J140" s="106">
        <f t="shared" si="61"/>
        <v>2048754.6966748296</v>
      </c>
      <c r="K140" s="106">
        <f t="shared" si="61"/>
        <v>2679175.5960476873</v>
      </c>
      <c r="L140" s="106">
        <f t="shared" si="61"/>
        <v>3314279.8951729485</v>
      </c>
      <c r="M140" s="106">
        <f t="shared" si="61"/>
        <v>3981663.6735451538</v>
      </c>
      <c r="N140" s="106">
        <f t="shared" si="61"/>
        <v>4623253.1366174025</v>
      </c>
      <c r="O140" s="106">
        <f t="shared" si="61"/>
        <v>5305152.1336261891</v>
      </c>
      <c r="P140" s="106">
        <f t="shared" si="61"/>
        <v>5964965.7939337296</v>
      </c>
      <c r="Q140" s="106">
        <f t="shared" si="61"/>
        <v>6629756.8354756711</v>
      </c>
      <c r="R140" s="106">
        <f t="shared" si="61"/>
        <v>7289066.549660705</v>
      </c>
      <c r="S140" s="106">
        <f t="shared" si="61"/>
        <v>7956336.1626358693</v>
      </c>
      <c r="T140" s="106">
        <f t="shared" si="61"/>
        <v>8572552.0708020609</v>
      </c>
      <c r="U140" s="106">
        <f t="shared" si="61"/>
        <v>9200584.1562315151</v>
      </c>
      <c r="V140" s="106">
        <f t="shared" si="61"/>
        <v>9822774.4635655116</v>
      </c>
      <c r="W140" s="106">
        <f t="shared" si="61"/>
        <v>10469861.161649769</v>
      </c>
      <c r="X140" s="106">
        <f t="shared" si="61"/>
        <v>11036376.418451283</v>
      </c>
      <c r="Y140" s="106">
        <f t="shared" si="61"/>
        <v>11633060.328306971</v>
      </c>
      <c r="Z140" s="106">
        <f t="shared" si="61"/>
        <v>12200185.839199098</v>
      </c>
      <c r="AA140" s="106">
        <f t="shared" si="61"/>
        <v>12773577.684577759</v>
      </c>
    </row>
    <row r="141" spans="1:27" x14ac:dyDescent="0.25">
      <c r="C141" s="100"/>
      <c r="D141" s="100"/>
      <c r="E141" s="47" t="s">
        <v>666</v>
      </c>
      <c r="F141" s="47" t="s">
        <v>665</v>
      </c>
      <c r="H141" s="106">
        <f>H133*H138</f>
        <v>31792.349659269192</v>
      </c>
      <c r="I141" s="106">
        <f t="shared" ref="I141:AA141" si="62">I133*I138</f>
        <v>47919.473912486472</v>
      </c>
      <c r="J141" s="106">
        <f t="shared" si="62"/>
        <v>62541.001770320807</v>
      </c>
      <c r="K141" s="106">
        <f t="shared" si="62"/>
        <v>77406.265757405883</v>
      </c>
      <c r="L141" s="106">
        <f t="shared" si="62"/>
        <v>77441.114976597761</v>
      </c>
      <c r="M141" s="106">
        <f t="shared" si="62"/>
        <v>79859.407712486529</v>
      </c>
      <c r="N141" s="106">
        <f t="shared" si="62"/>
        <v>83965.323594095564</v>
      </c>
      <c r="O141" s="106">
        <f t="shared" si="62"/>
        <v>90113.286829321252</v>
      </c>
      <c r="P141" s="106">
        <f t="shared" si="62"/>
        <v>84447.617848804366</v>
      </c>
      <c r="Q141" s="106">
        <f t="shared" si="62"/>
        <v>80377.804750352545</v>
      </c>
      <c r="R141" s="106">
        <f t="shared" si="62"/>
        <v>73804.808834801283</v>
      </c>
      <c r="S141" s="106">
        <f t="shared" si="62"/>
        <v>71173.794618387983</v>
      </c>
      <c r="T141" s="106">
        <f t="shared" si="62"/>
        <v>53145.488043350517</v>
      </c>
      <c r="U141" s="106">
        <f t="shared" si="62"/>
        <v>39875.703525781937</v>
      </c>
      <c r="V141" s="106">
        <f t="shared" si="62"/>
        <v>25776.157429044619</v>
      </c>
      <c r="W141" s="106">
        <f t="shared" si="62"/>
        <v>19646.386449769663</v>
      </c>
      <c r="X141" s="106">
        <f t="shared" si="62"/>
        <v>0</v>
      </c>
      <c r="Y141" s="106">
        <f t="shared" si="62"/>
        <v>0</v>
      </c>
      <c r="Z141" s="106">
        <f t="shared" si="62"/>
        <v>0</v>
      </c>
      <c r="AA141" s="106">
        <f t="shared" si="62"/>
        <v>0</v>
      </c>
    </row>
    <row r="142" spans="1:27" x14ac:dyDescent="0.25">
      <c r="C142" s="100"/>
      <c r="D142" s="100"/>
      <c r="E142" s="47" t="s">
        <v>667</v>
      </c>
      <c r="F142" s="47" t="s">
        <v>665</v>
      </c>
      <c r="H142" s="106">
        <f>H133*H139</f>
        <v>0</v>
      </c>
      <c r="I142" s="106">
        <f t="shared" ref="I142:AA142" si="63">I133*I139</f>
        <v>0</v>
      </c>
      <c r="J142" s="106">
        <f t="shared" si="63"/>
        <v>0</v>
      </c>
      <c r="K142" s="106">
        <f t="shared" si="63"/>
        <v>0</v>
      </c>
      <c r="L142" s="106">
        <f t="shared" si="63"/>
        <v>0</v>
      </c>
      <c r="M142" s="106">
        <f t="shared" si="63"/>
        <v>0</v>
      </c>
      <c r="N142" s="106">
        <f t="shared" si="63"/>
        <v>0</v>
      </c>
      <c r="O142" s="106">
        <f t="shared" si="63"/>
        <v>0</v>
      </c>
      <c r="P142" s="106">
        <f t="shared" si="63"/>
        <v>0</v>
      </c>
      <c r="Q142" s="106">
        <f t="shared" si="63"/>
        <v>0</v>
      </c>
      <c r="R142" s="106">
        <f t="shared" si="63"/>
        <v>0</v>
      </c>
      <c r="S142" s="106">
        <f t="shared" si="63"/>
        <v>0</v>
      </c>
      <c r="T142" s="106">
        <f t="shared" si="63"/>
        <v>0</v>
      </c>
      <c r="U142" s="106">
        <f t="shared" si="63"/>
        <v>0</v>
      </c>
      <c r="V142" s="106">
        <f t="shared" si="63"/>
        <v>0</v>
      </c>
      <c r="W142" s="106">
        <f t="shared" si="63"/>
        <v>0</v>
      </c>
      <c r="X142" s="106">
        <f t="shared" si="63"/>
        <v>0</v>
      </c>
      <c r="Y142" s="106">
        <f t="shared" si="63"/>
        <v>0</v>
      </c>
      <c r="Z142" s="106">
        <f t="shared" si="63"/>
        <v>0</v>
      </c>
      <c r="AA142" s="106">
        <f t="shared" si="63"/>
        <v>0</v>
      </c>
    </row>
    <row r="143" spans="1:27" x14ac:dyDescent="0.25">
      <c r="A143" s="101">
        <v>29</v>
      </c>
      <c r="B143" s="47" t="str">
        <f>B137</f>
        <v>Western</v>
      </c>
      <c r="C143" s="47" t="str">
        <f t="shared" ref="C143:D143" si="64">C137</f>
        <v>R</v>
      </c>
      <c r="D143" s="47" t="str">
        <f t="shared" si="64"/>
        <v>Water</v>
      </c>
      <c r="E143" s="47" t="s">
        <v>668</v>
      </c>
      <c r="F143" s="47" t="s">
        <v>633</v>
      </c>
      <c r="H143" s="105">
        <f>SUMIFS('INPUT Reg'!AD$94:AD$109,'INPUT Reg'!$D$94:$D$109,$D143,'INPUT Reg'!$C$94:$C$109,$C143,'INPUT Reg'!$B$94:$B$109,$B143)</f>
        <v>2.2388561062879342E-2</v>
      </c>
      <c r="I143" s="105">
        <f>SUMIFS('INPUT Reg'!AE$94:AE$109,'INPUT Reg'!$D$94:$D$109,$D143,'INPUT Reg'!$C$94:$C$109,$C143,'INPUT Reg'!$B$94:$B$109,$B143)</f>
        <v>1.1472169333581084E-2</v>
      </c>
      <c r="J143" s="105">
        <f>SUMIFS('INPUT Reg'!AF$94:AF$109,'INPUT Reg'!$D$94:$D$109,$D143,'INPUT Reg'!$C$94:$C$109,$C143,'INPUT Reg'!$B$94:$B$109,$B143)</f>
        <v>1.1342051399337638E-2</v>
      </c>
      <c r="K143" s="105">
        <f>SUMIFS('INPUT Reg'!AG$94:AG$109,'INPUT Reg'!$D$94:$D$109,$D143,'INPUT Reg'!$C$94:$C$109,$C143,'INPUT Reg'!$B$94:$B$109,$B143)</f>
        <v>1.1214851971837136E-2</v>
      </c>
      <c r="L143" s="105">
        <f>SUMIFS('INPUT Reg'!AH$94:AH$109,'INPUT Reg'!$D$94:$D$109,$D143,'INPUT Reg'!$C$94:$C$109,$C143,'INPUT Reg'!$B$94:$B$109,$B143)</f>
        <v>1.164834600476583E-2</v>
      </c>
      <c r="M143" s="105">
        <f>SUMIFS('INPUT Reg'!AI$94:AI$109,'INPUT Reg'!$D$94:$D$109,$D143,'INPUT Reg'!$C$94:$C$109,$C143,'INPUT Reg'!$B$94:$B$109,$B143)</f>
        <v>1.1514224335726908E-2</v>
      </c>
      <c r="N143" s="105">
        <f>SUMIFS('INPUT Reg'!AJ$94:AJ$109,'INPUT Reg'!$D$94:$D$109,$D143,'INPUT Reg'!$C$94:$C$109,$C143,'INPUT Reg'!$B$94:$B$109,$B143)</f>
        <v>1.1383156122483751E-2</v>
      </c>
      <c r="O143" s="105">
        <f>SUMIFS('INPUT Reg'!AK$94:AK$109,'INPUT Reg'!$D$94:$D$109,$D143,'INPUT Reg'!$C$94:$C$109,$C143,'INPUT Reg'!$B$94:$B$109,$B143)</f>
        <v>1.1255038264751827E-2</v>
      </c>
      <c r="P143" s="105">
        <f>SUMIFS('INPUT Reg'!AL$94:AL$109,'INPUT Reg'!$D$94:$D$109,$D143,'INPUT Reg'!$C$94:$C$109,$C143,'INPUT Reg'!$B$94:$B$109,$B143)</f>
        <v>1.1129772252175485E-2</v>
      </c>
      <c r="Q143" s="105">
        <f>SUMIFS('INPUT Reg'!AM$94:AM$109,'INPUT Reg'!$D$94:$D$109,$D143,'INPUT Reg'!$C$94:$C$109,$C143,'INPUT Reg'!$B$94:$B$109,$B143)</f>
        <v>1.3115939238830032E-2</v>
      </c>
      <c r="R143" s="105">
        <f>SUMIFS('INPUT Reg'!AN$94:AN$109,'INPUT Reg'!$D$94:$D$109,$D143,'INPUT Reg'!$C$94:$C$109,$C143,'INPUT Reg'!$B$94:$B$109,$B143)</f>
        <v>0</v>
      </c>
      <c r="S143" s="105">
        <f>SUMIFS('INPUT Reg'!AO$94:AO$109,'INPUT Reg'!$D$94:$D$109,$D143,'INPUT Reg'!$C$94:$C$109,$C143,'INPUT Reg'!$B$94:$B$109,$B143)</f>
        <v>0</v>
      </c>
      <c r="T143" s="105">
        <f>SUMIFS('INPUT Reg'!AP$94:AP$109,'INPUT Reg'!$D$94:$D$109,$D143,'INPUT Reg'!$C$94:$C$109,$C143,'INPUT Reg'!$B$94:$B$109,$B143)</f>
        <v>0</v>
      </c>
      <c r="U143" s="105">
        <f>SUMIFS('INPUT Reg'!AQ$94:AQ$109,'INPUT Reg'!$D$94:$D$109,$D143,'INPUT Reg'!$C$94:$C$109,$C143,'INPUT Reg'!$B$94:$B$109,$B143)</f>
        <v>0</v>
      </c>
      <c r="V143" s="105">
        <f>SUMIFS('INPUT Reg'!AR$94:AR$109,'INPUT Reg'!$D$94:$D$109,$D143,'INPUT Reg'!$C$94:$C$109,$C143,'INPUT Reg'!$B$94:$B$109,$B143)</f>
        <v>-7.5007761969994813E-2</v>
      </c>
      <c r="W143" s="105">
        <f>SUMIFS('INPUT Reg'!AS$94:AS$109,'INPUT Reg'!$D$94:$D$109,$D143,'INPUT Reg'!$C$94:$C$109,$C143,'INPUT Reg'!$B$94:$B$109,$B143)</f>
        <v>0</v>
      </c>
      <c r="X143" s="105">
        <f>SUMIFS('INPUT Reg'!AT$94:AT$109,'INPUT Reg'!$D$94:$D$109,$D143,'INPUT Reg'!$C$94:$C$109,$C143,'INPUT Reg'!$B$94:$B$109,$B143)</f>
        <v>0</v>
      </c>
      <c r="Y143" s="105">
        <f>SUMIFS('INPUT Reg'!AU$94:AU$109,'INPUT Reg'!$D$94:$D$109,$D143,'INPUT Reg'!$C$94:$C$109,$C143,'INPUT Reg'!$B$94:$B$109,$B143)</f>
        <v>0</v>
      </c>
      <c r="Z143" s="105">
        <f>SUMIFS('INPUT Reg'!AV$94:AV$109,'INPUT Reg'!$D$94:$D$109,$D143,'INPUT Reg'!$C$94:$C$109,$C143,'INPUT Reg'!$B$94:$B$109,$B143)</f>
        <v>0</v>
      </c>
      <c r="AA143" s="105">
        <f>SUMIFS('INPUT Reg'!AW$94:AW$109,'INPUT Reg'!$D$94:$D$109,$D143,'INPUT Reg'!$C$94:$C$109,$C143,'INPUT Reg'!$B$94:$B$109,$B143)</f>
        <v>0</v>
      </c>
    </row>
    <row r="144" spans="1:27" x14ac:dyDescent="0.25">
      <c r="A144" s="101">
        <v>30</v>
      </c>
      <c r="B144" s="47" t="str">
        <f>B132</f>
        <v>Western</v>
      </c>
      <c r="C144" s="47" t="str">
        <f t="shared" ref="C144:D144" si="65">C132</f>
        <v>R</v>
      </c>
      <c r="D144" s="47" t="str">
        <f t="shared" si="65"/>
        <v>Water</v>
      </c>
      <c r="E144" s="47" t="s">
        <v>669</v>
      </c>
      <c r="F144" s="47" t="s">
        <v>670</v>
      </c>
      <c r="G144" s="108">
        <f>IF(D144=W,WW_R_W_N,IF(D144=S,WW_R_S_N,IF(D144=WS,WW_R_W_N+WW_R_S_N,WW_R_R_N)))</f>
        <v>206.37100000000001</v>
      </c>
      <c r="H144" s="106">
        <f>G144*(1+$G$14)*(1+H143)</f>
        <v>210.99134973510749</v>
      </c>
      <c r="I144" s="106">
        <f t="shared" ref="I144:AA144" si="66">H144*(1+$G$14)*(1+I143)</f>
        <v>213.41187822718948</v>
      </c>
      <c r="J144" s="106">
        <f t="shared" si="66"/>
        <v>215.83240671927143</v>
      </c>
      <c r="K144" s="106">
        <f t="shared" si="66"/>
        <v>218.25293521135342</v>
      </c>
      <c r="L144" s="106">
        <f t="shared" si="66"/>
        <v>220.79522091725102</v>
      </c>
      <c r="M144" s="106">
        <f t="shared" si="66"/>
        <v>223.33750662314861</v>
      </c>
      <c r="N144" s="106">
        <f t="shared" si="66"/>
        <v>225.87979232904615</v>
      </c>
      <c r="O144" s="106">
        <f t="shared" si="66"/>
        <v>228.42207803494375</v>
      </c>
      <c r="P144" s="106">
        <f t="shared" si="66"/>
        <v>230.96436374084132</v>
      </c>
      <c r="Q144" s="106">
        <f t="shared" si="66"/>
        <v>233.99367830200123</v>
      </c>
      <c r="R144" s="106">
        <f t="shared" si="66"/>
        <v>233.99367830200123</v>
      </c>
      <c r="S144" s="106">
        <f t="shared" si="66"/>
        <v>233.99367830200123</v>
      </c>
      <c r="T144" s="106">
        <f t="shared" si="66"/>
        <v>233.99367830200123</v>
      </c>
      <c r="U144" s="106">
        <f t="shared" si="66"/>
        <v>233.99367830200123</v>
      </c>
      <c r="V144" s="106">
        <f t="shared" si="66"/>
        <v>216.44233617744118</v>
      </c>
      <c r="W144" s="106">
        <f t="shared" si="66"/>
        <v>216.44233617744118</v>
      </c>
      <c r="X144" s="106">
        <f t="shared" si="66"/>
        <v>216.44233617744118</v>
      </c>
      <c r="Y144" s="106">
        <f t="shared" si="66"/>
        <v>216.44233617744118</v>
      </c>
      <c r="Z144" s="106">
        <f t="shared" si="66"/>
        <v>216.44233617744118</v>
      </c>
      <c r="AA144" s="106">
        <f t="shared" si="66"/>
        <v>216.44233617744118</v>
      </c>
    </row>
    <row r="145" spans="1:27" x14ac:dyDescent="0.25">
      <c r="B145" s="47" t="str">
        <f>B132</f>
        <v>Western</v>
      </c>
      <c r="C145" s="47" t="str">
        <f t="shared" ref="C145:D145" si="67">C132</f>
        <v>R</v>
      </c>
      <c r="D145" s="47" t="str">
        <f t="shared" si="67"/>
        <v>Water</v>
      </c>
      <c r="E145" s="47" t="s">
        <v>671</v>
      </c>
      <c r="F145" s="47" t="s">
        <v>672</v>
      </c>
      <c r="G145" s="109">
        <f>IF(OR(D145=W,D145=WS),WW_T1,IF(D145=RW,WW_R_R_V,0))</f>
        <v>2.3071000000000002</v>
      </c>
      <c r="H145" s="110">
        <f>G145*(1+$G$14)*(1+H143)</f>
        <v>2.358752649228169</v>
      </c>
      <c r="I145" s="110">
        <f t="shared" ref="I145:AA145" si="68">H145*(1+$G$14)*(1+I143)</f>
        <v>2.3858126590361475</v>
      </c>
      <c r="J145" s="110">
        <f t="shared" si="68"/>
        <v>2.412872668844126</v>
      </c>
      <c r="K145" s="110">
        <f t="shared" si="68"/>
        <v>2.4399326786521045</v>
      </c>
      <c r="L145" s="110">
        <f t="shared" si="68"/>
        <v>2.4683538587213794</v>
      </c>
      <c r="M145" s="110">
        <f t="shared" si="68"/>
        <v>2.4967750387906547</v>
      </c>
      <c r="N145" s="110">
        <f t="shared" si="68"/>
        <v>2.5251962188599291</v>
      </c>
      <c r="O145" s="110">
        <f t="shared" si="68"/>
        <v>2.5536173989292044</v>
      </c>
      <c r="P145" s="110">
        <f t="shared" si="68"/>
        <v>2.5820385789984792</v>
      </c>
      <c r="Q145" s="110">
        <f t="shared" si="68"/>
        <v>2.6159044401129381</v>
      </c>
      <c r="R145" s="110">
        <f t="shared" si="68"/>
        <v>2.6159044401129381</v>
      </c>
      <c r="S145" s="110">
        <f t="shared" si="68"/>
        <v>2.6159044401129381</v>
      </c>
      <c r="T145" s="110">
        <f t="shared" si="68"/>
        <v>2.6159044401129381</v>
      </c>
      <c r="U145" s="110">
        <f t="shared" si="68"/>
        <v>2.6159044401129381</v>
      </c>
      <c r="V145" s="110">
        <f t="shared" si="68"/>
        <v>2.4196913025326943</v>
      </c>
      <c r="W145" s="110">
        <f t="shared" si="68"/>
        <v>2.4196913025326943</v>
      </c>
      <c r="X145" s="110">
        <f t="shared" si="68"/>
        <v>2.4196913025326943</v>
      </c>
      <c r="Y145" s="110">
        <f t="shared" si="68"/>
        <v>2.4196913025326943</v>
      </c>
      <c r="Z145" s="110">
        <f t="shared" si="68"/>
        <v>2.4196913025326943</v>
      </c>
      <c r="AA145" s="110">
        <f t="shared" si="68"/>
        <v>2.4196913025326943</v>
      </c>
    </row>
    <row r="146" spans="1:27" x14ac:dyDescent="0.25">
      <c r="B146" s="47" t="str">
        <f>B132</f>
        <v>Western</v>
      </c>
      <c r="C146" s="47" t="str">
        <f t="shared" ref="C146:D146" si="69">C132</f>
        <v>R</v>
      </c>
      <c r="D146" s="47" t="str">
        <f t="shared" si="69"/>
        <v>Water</v>
      </c>
      <c r="E146" s="47" t="s">
        <v>673</v>
      </c>
      <c r="F146" s="47" t="s">
        <v>672</v>
      </c>
      <c r="G146" s="109">
        <f>IF(OR(D146=W,D146=WS),WW_T2,0)</f>
        <v>3.0611000000000002</v>
      </c>
      <c r="H146" s="110">
        <f>G146*(1+$G$14)*(1+H143)</f>
        <v>3.1296336242695801</v>
      </c>
      <c r="I146" s="110">
        <f t="shared" ref="I146:AA146" si="70">H146*(1+$G$14)*(1+I143)</f>
        <v>3.16553731115927</v>
      </c>
      <c r="J146" s="110">
        <f t="shared" si="70"/>
        <v>3.2014409980489593</v>
      </c>
      <c r="K146" s="110">
        <f t="shared" si="70"/>
        <v>3.2373446849386491</v>
      </c>
      <c r="L146" s="110">
        <f t="shared" si="70"/>
        <v>3.2750543959655043</v>
      </c>
      <c r="M146" s="110">
        <f t="shared" si="70"/>
        <v>3.3127641069923599</v>
      </c>
      <c r="N146" s="110">
        <f t="shared" si="70"/>
        <v>3.3504738180192142</v>
      </c>
      <c r="O146" s="110">
        <f t="shared" si="70"/>
        <v>3.3881835290460698</v>
      </c>
      <c r="P146" s="110">
        <f t="shared" si="70"/>
        <v>3.425893240072925</v>
      </c>
      <c r="Q146" s="110">
        <f t="shared" si="70"/>
        <v>3.4708270476484402</v>
      </c>
      <c r="R146" s="110">
        <f t="shared" si="70"/>
        <v>3.4708270476484402</v>
      </c>
      <c r="S146" s="110">
        <f t="shared" si="70"/>
        <v>3.4708270476484402</v>
      </c>
      <c r="T146" s="110">
        <f t="shared" si="70"/>
        <v>3.4708270476484402</v>
      </c>
      <c r="U146" s="110">
        <f t="shared" si="70"/>
        <v>3.4708270476484402</v>
      </c>
      <c r="V146" s="110">
        <f t="shared" si="70"/>
        <v>3.2104880786194063</v>
      </c>
      <c r="W146" s="110">
        <f t="shared" si="70"/>
        <v>3.2104880786194063</v>
      </c>
      <c r="X146" s="110">
        <f t="shared" si="70"/>
        <v>3.2104880786194063</v>
      </c>
      <c r="Y146" s="110">
        <f t="shared" si="70"/>
        <v>3.2104880786194063</v>
      </c>
      <c r="Z146" s="110">
        <f t="shared" si="70"/>
        <v>3.2104880786194063</v>
      </c>
      <c r="AA146" s="110">
        <f t="shared" si="70"/>
        <v>3.2104880786194063</v>
      </c>
    </row>
    <row r="147" spans="1:27" x14ac:dyDescent="0.25">
      <c r="B147" s="47" t="str">
        <f>B132</f>
        <v>Western</v>
      </c>
      <c r="C147" s="47" t="str">
        <f t="shared" ref="C147:D147" si="71">C132</f>
        <v>R</v>
      </c>
      <c r="D147" s="47" t="str">
        <f t="shared" si="71"/>
        <v>Water</v>
      </c>
      <c r="E147" s="47" t="s">
        <v>674</v>
      </c>
      <c r="F147" s="47" t="s">
        <v>672</v>
      </c>
      <c r="G147" s="109">
        <f>IF(OR(D147=S,D147=WS), WW_R_SDC,0)</f>
        <v>0</v>
      </c>
      <c r="H147" s="110">
        <f>G147*(1+$G$14)*(1+H143)</f>
        <v>0</v>
      </c>
      <c r="I147" s="110">
        <f t="shared" ref="I147:AA147" si="72">H147*(1+$G$14)*(1+I143)</f>
        <v>0</v>
      </c>
      <c r="J147" s="110">
        <f t="shared" si="72"/>
        <v>0</v>
      </c>
      <c r="K147" s="110">
        <f t="shared" si="72"/>
        <v>0</v>
      </c>
      <c r="L147" s="110">
        <f t="shared" si="72"/>
        <v>0</v>
      </c>
      <c r="M147" s="110">
        <f t="shared" si="72"/>
        <v>0</v>
      </c>
      <c r="N147" s="110">
        <f t="shared" si="72"/>
        <v>0</v>
      </c>
      <c r="O147" s="110">
        <f t="shared" si="72"/>
        <v>0</v>
      </c>
      <c r="P147" s="110">
        <f t="shared" si="72"/>
        <v>0</v>
      </c>
      <c r="Q147" s="110">
        <f t="shared" si="72"/>
        <v>0</v>
      </c>
      <c r="R147" s="110">
        <f t="shared" si="72"/>
        <v>0</v>
      </c>
      <c r="S147" s="110">
        <f t="shared" si="72"/>
        <v>0</v>
      </c>
      <c r="T147" s="110">
        <f t="shared" si="72"/>
        <v>0</v>
      </c>
      <c r="U147" s="110">
        <f t="shared" si="72"/>
        <v>0</v>
      </c>
      <c r="V147" s="110">
        <f t="shared" si="72"/>
        <v>0</v>
      </c>
      <c r="W147" s="110">
        <f t="shared" si="72"/>
        <v>0</v>
      </c>
      <c r="X147" s="110">
        <f t="shared" si="72"/>
        <v>0</v>
      </c>
      <c r="Y147" s="110">
        <f t="shared" si="72"/>
        <v>0</v>
      </c>
      <c r="Z147" s="110">
        <f t="shared" si="72"/>
        <v>0</v>
      </c>
      <c r="AA147" s="110">
        <f t="shared" si="72"/>
        <v>0</v>
      </c>
    </row>
    <row r="148" spans="1:27" x14ac:dyDescent="0.25">
      <c r="C148" s="100"/>
      <c r="D148" s="100"/>
    </row>
    <row r="149" spans="1:27" x14ac:dyDescent="0.25">
      <c r="C149" s="100"/>
      <c r="D149" s="100"/>
      <c r="E149" s="47" t="s">
        <v>682</v>
      </c>
      <c r="F149" s="47" t="s">
        <v>676</v>
      </c>
      <c r="H149" s="106">
        <f>SUM(H140:H142)/1000</f>
        <v>725.97389392367654</v>
      </c>
      <c r="I149" s="106">
        <f t="shared" ref="I149:AA149" si="73">SUM(I140:I142)/1000</f>
        <v>1473.8440529964498</v>
      </c>
      <c r="J149" s="106">
        <f t="shared" si="73"/>
        <v>2111.2956984451503</v>
      </c>
      <c r="K149" s="106">
        <f t="shared" si="73"/>
        <v>2756.581861805093</v>
      </c>
      <c r="L149" s="106">
        <f t="shared" si="73"/>
        <v>3391.7210101495466</v>
      </c>
      <c r="M149" s="106">
        <f t="shared" si="73"/>
        <v>4061.5230812576406</v>
      </c>
      <c r="N149" s="106">
        <f t="shared" si="73"/>
        <v>4707.2184602114976</v>
      </c>
      <c r="O149" s="106">
        <f t="shared" si="73"/>
        <v>5395.265420455511</v>
      </c>
      <c r="P149" s="106">
        <f t="shared" si="73"/>
        <v>6049.4134117825342</v>
      </c>
      <c r="Q149" s="106">
        <f t="shared" si="73"/>
        <v>6710.1346402260233</v>
      </c>
      <c r="R149" s="106">
        <f t="shared" si="73"/>
        <v>7362.8713584955067</v>
      </c>
      <c r="S149" s="106">
        <f t="shared" si="73"/>
        <v>8027.5099572542567</v>
      </c>
      <c r="T149" s="106">
        <f t="shared" si="73"/>
        <v>8625.6975588454115</v>
      </c>
      <c r="U149" s="106">
        <f t="shared" si="73"/>
        <v>9240.4598597572967</v>
      </c>
      <c r="V149" s="106">
        <f t="shared" si="73"/>
        <v>9848.5506209945561</v>
      </c>
      <c r="W149" s="106">
        <f t="shared" si="73"/>
        <v>10489.507548099538</v>
      </c>
      <c r="X149" s="106">
        <f t="shared" si="73"/>
        <v>11036.376418451284</v>
      </c>
      <c r="Y149" s="106">
        <f t="shared" si="73"/>
        <v>11633.06032830697</v>
      </c>
      <c r="Z149" s="106">
        <f t="shared" si="73"/>
        <v>12200.185839199097</v>
      </c>
      <c r="AA149" s="106">
        <f t="shared" si="73"/>
        <v>12773.57768457776</v>
      </c>
    </row>
    <row r="150" spans="1:27" x14ac:dyDescent="0.25">
      <c r="C150" s="100"/>
      <c r="D150" s="100"/>
      <c r="E150" s="47" t="s">
        <v>683</v>
      </c>
      <c r="F150" s="47" t="s">
        <v>639</v>
      </c>
      <c r="H150" s="106">
        <f>H133*H144+H140*H145+H141*H146+H142*H147</f>
        <v>2708078.5369857531</v>
      </c>
      <c r="I150" s="106">
        <f t="shared" ref="I150:AA150" si="74">I133*I144+I140*I145+I141*I146+I142*I147</f>
        <v>5592293.2336470746</v>
      </c>
      <c r="J150" s="106">
        <f t="shared" si="74"/>
        <v>8113529.6443544105</v>
      </c>
      <c r="K150" s="106">
        <f t="shared" si="74"/>
        <v>10720316.488575757</v>
      </c>
      <c r="L150" s="106">
        <f t="shared" si="74"/>
        <v>13378779.622526409</v>
      </c>
      <c r="M150" s="106">
        <f t="shared" si="74"/>
        <v>16239201.242187425</v>
      </c>
      <c r="N150" s="106">
        <f t="shared" si="74"/>
        <v>19076546.98447825</v>
      </c>
      <c r="O150" s="106">
        <f t="shared" si="74"/>
        <v>22140893.532749884</v>
      </c>
      <c r="P150" s="106">
        <f t="shared" si="74"/>
        <v>25183462.850593727</v>
      </c>
      <c r="Q150" s="106">
        <f t="shared" si="74"/>
        <v>28366798.106636256</v>
      </c>
      <c r="R150" s="106">
        <f t="shared" si="74"/>
        <v>31198099.896887247</v>
      </c>
      <c r="S150" s="106">
        <f t="shared" si="74"/>
        <v>34060738.594163634</v>
      </c>
      <c r="T150" s="106">
        <f t="shared" si="74"/>
        <v>36715390.971767277</v>
      </c>
      <c r="U150" s="106">
        <f t="shared" si="74"/>
        <v>39417335.422592431</v>
      </c>
      <c r="V150" s="106">
        <f t="shared" si="74"/>
        <v>38937383.291719578</v>
      </c>
      <c r="W150" s="106">
        <f t="shared" si="74"/>
        <v>41507552.444120534</v>
      </c>
      <c r="X150" s="106">
        <f t="shared" si="74"/>
        <v>43837022.364904985</v>
      </c>
      <c r="Y150" s="106">
        <f t="shared" si="74"/>
        <v>46276846.959279448</v>
      </c>
      <c r="Z150" s="106">
        <f t="shared" si="74"/>
        <v>48602851.205438733</v>
      </c>
      <c r="AA150" s="106">
        <f t="shared" si="74"/>
        <v>50887117.929787293</v>
      </c>
    </row>
    <row r="151" spans="1:27" x14ac:dyDescent="0.25">
      <c r="C151" s="100"/>
      <c r="D151" s="100"/>
    </row>
    <row r="152" spans="1:27" x14ac:dyDescent="0.25">
      <c r="C152" s="100"/>
      <c r="D152" s="47" t="s">
        <v>684</v>
      </c>
    </row>
    <row r="153" spans="1:27" x14ac:dyDescent="0.25">
      <c r="A153" s="101">
        <v>31</v>
      </c>
      <c r="B153" s="47" t="s">
        <v>265</v>
      </c>
      <c r="C153" s="100" t="s">
        <v>407</v>
      </c>
      <c r="D153" s="100" t="str">
        <f>$G$4</f>
        <v>Water</v>
      </c>
      <c r="E153" s="47" t="s">
        <v>654</v>
      </c>
      <c r="F153" s="47" t="s">
        <v>655</v>
      </c>
      <c r="H153" s="102">
        <f>IF($G$4="Water and sewer",SUMIFS('INPUT Growth'!AD$64:AD$115,'INPUT Growth'!$B$64:$B$115,$A$1,'INPUT Growth'!$F$64:$F$115,$B153,'INPUT Growth'!$E$64:$E$115,$C153),SUMIFS('INPUT Growth'!AD$64:AD$115,'INPUT Growth'!$A$64:$A$115,$A$1,'INPUT Growth'!$F$64:$F$115,$B153,'INPUT Growth'!$E$64:$E$115,$C153))</f>
        <v>129.22180938446809</v>
      </c>
      <c r="I153" s="102">
        <f>IF($G$4="Water and sewer",SUMIFS('INPUT Growth'!AE$64:AE$115,'INPUT Growth'!$B$64:$B$115,$A$1,'INPUT Growth'!$F$64:$F$115,$B153,'INPUT Growth'!$E$64:$E$115,$C153),SUMIFS('INPUT Growth'!AE$64:AE$115,'INPUT Growth'!$A$64:$A$115,$A$1,'INPUT Growth'!$F$64:$F$115,$B153,'INPUT Growth'!$E$64:$E$115,$C153))</f>
        <v>158.2645771177622</v>
      </c>
      <c r="J153" s="102">
        <f>IF($G$4="Water and sewer",SUMIFS('INPUT Growth'!AF$64:AF$115,'INPUT Growth'!$B$64:$B$115,$A$1,'INPUT Growth'!$F$64:$F$115,$B153,'INPUT Growth'!$E$64:$E$115,$C153),SUMIFS('INPUT Growth'!AF$64:AF$115,'INPUT Growth'!$A$64:$A$115,$A$1,'INPUT Growth'!$F$64:$F$115,$B153,'INPUT Growth'!$E$64:$E$115,$C153))</f>
        <v>171.05670129984446</v>
      </c>
      <c r="K153" s="102">
        <f>IF($G$4="Water and sewer",SUMIFS('INPUT Growth'!AG$64:AG$115,'INPUT Growth'!$B$64:$B$115,$A$1,'INPUT Growth'!$F$64:$F$115,$B153,'INPUT Growth'!$E$64:$E$115,$C153),SUMIFS('INPUT Growth'!AG$64:AG$115,'INPUT Growth'!$A$64:$A$115,$A$1,'INPUT Growth'!$F$64:$F$115,$B153,'INPUT Growth'!$E$64:$E$115,$C153))</f>
        <v>208.7076507288898</v>
      </c>
      <c r="L153" s="102">
        <f>IF($G$4="Water and sewer",SUMIFS('INPUT Growth'!AH$64:AH$115,'INPUT Growth'!$B$64:$B$115,$A$1,'INPUT Growth'!$F$64:$F$115,$B153,'INPUT Growth'!$E$64:$E$115,$C153),SUMIFS('INPUT Growth'!AH$64:AH$115,'INPUT Growth'!$A$64:$A$115,$A$1,'INPUT Growth'!$F$64:$F$115,$B153,'INPUT Growth'!$E$64:$E$115,$C153))</f>
        <v>252.82889249168284</v>
      </c>
      <c r="M153" s="102">
        <f>IF($G$4="Water and sewer",SUMIFS('INPUT Growth'!AI$64:AI$115,'INPUT Growth'!$B$64:$B$115,$A$1,'INPUT Growth'!$F$64:$F$115,$B153,'INPUT Growth'!$E$64:$E$115,$C153),SUMIFS('INPUT Growth'!AI$64:AI$115,'INPUT Growth'!$A$64:$A$115,$A$1,'INPUT Growth'!$F$64:$F$115,$B153,'INPUT Growth'!$E$64:$E$115,$C153))</f>
        <v>303.85647174773794</v>
      </c>
      <c r="N153" s="102">
        <f>IF($G$4="Water and sewer",SUMIFS('INPUT Growth'!AJ$64:AJ$115,'INPUT Growth'!$B$64:$B$115,$A$1,'INPUT Growth'!$F$64:$F$115,$B153,'INPUT Growth'!$E$64:$E$115,$C153),SUMIFS('INPUT Growth'!AJ$64:AJ$115,'INPUT Growth'!$A$64:$A$115,$A$1,'INPUT Growth'!$F$64:$F$115,$B153,'INPUT Growth'!$E$64:$E$115,$C153))</f>
        <v>319.71487516270417</v>
      </c>
      <c r="O153" s="102">
        <f>IF($G$4="Water and sewer",SUMIFS('INPUT Growth'!AK$64:AK$115,'INPUT Growth'!$B$64:$B$115,$A$1,'INPUT Growth'!$F$64:$F$115,$B153,'INPUT Growth'!$E$64:$E$115,$C153),SUMIFS('INPUT Growth'!AK$64:AK$115,'INPUT Growth'!$A$64:$A$115,$A$1,'INPUT Growth'!$F$64:$F$115,$B153,'INPUT Growth'!$E$64:$E$115,$C153))</f>
        <v>361.20884015559659</v>
      </c>
      <c r="P153" s="102">
        <f>IF($G$4="Water and sewer",SUMIFS('INPUT Growth'!AL$64:AL$115,'INPUT Growth'!$B$64:$B$115,$A$1,'INPUT Growth'!$F$64:$F$115,$B153,'INPUT Growth'!$E$64:$E$115,$C153),SUMIFS('INPUT Growth'!AL$64:AL$115,'INPUT Growth'!$A$64:$A$115,$A$1,'INPUT Growth'!$F$64:$F$115,$B153,'INPUT Growth'!$E$64:$E$115,$C153))</f>
        <v>383.32864420185433</v>
      </c>
      <c r="Q153" s="102">
        <f>IF($G$4="Water and sewer",SUMIFS('INPUT Growth'!AM$64:AM$115,'INPUT Growth'!$B$64:$B$115,$A$1,'INPUT Growth'!$F$64:$F$115,$B153,'INPUT Growth'!$E$64:$E$115,$C153),SUMIFS('INPUT Growth'!AM$64:AM$115,'INPUT Growth'!$A$64:$A$115,$A$1,'INPUT Growth'!$F$64:$F$115,$B153,'INPUT Growth'!$E$64:$E$115,$C153))</f>
        <v>396.38074403571045</v>
      </c>
      <c r="R153" s="102">
        <f>IF($G$4="Water and sewer",SUMIFS('INPUT Growth'!AN$64:AN$115,'INPUT Growth'!$B$64:$B$115,$A$1,'INPUT Growth'!$F$64:$F$115,$B153,'INPUT Growth'!$E$64:$E$115,$C153),SUMIFS('INPUT Growth'!AN$64:AN$115,'INPUT Growth'!$A$64:$A$115,$A$1,'INPUT Growth'!$F$64:$F$115,$B153,'INPUT Growth'!$E$64:$E$115,$C153))</f>
        <v>392.69467837158754</v>
      </c>
      <c r="S153" s="102">
        <f>IF($G$4="Water and sewer",SUMIFS('INPUT Growth'!AO$64:AO$115,'INPUT Growth'!$B$64:$B$115,$A$1,'INPUT Growth'!$F$64:$F$115,$B153,'INPUT Growth'!$E$64:$E$115,$C153),SUMIFS('INPUT Growth'!AO$64:AO$115,'INPUT Growth'!$A$64:$A$115,$A$1,'INPUT Growth'!$F$64:$F$115,$B153,'INPUT Growth'!$E$64:$E$115,$C153))</f>
        <v>378.30382165532592</v>
      </c>
      <c r="T153" s="102">
        <f>IF($G$4="Water and sewer",SUMIFS('INPUT Growth'!AP$64:AP$115,'INPUT Growth'!$B$64:$B$115,$A$1,'INPUT Growth'!$F$64:$F$115,$B153,'INPUT Growth'!$E$64:$E$115,$C153),SUMIFS('INPUT Growth'!AP$64:AP$115,'INPUT Growth'!$A$64:$A$115,$A$1,'INPUT Growth'!$F$64:$F$115,$B153,'INPUT Growth'!$E$64:$E$115,$C153))</f>
        <v>365.97166327740888</v>
      </c>
      <c r="U153" s="102">
        <f>IF($G$4="Water and sewer",SUMIFS('INPUT Growth'!AQ$64:AQ$115,'INPUT Growth'!$B$64:$B$115,$A$1,'INPUT Growth'!$F$64:$F$115,$B153,'INPUT Growth'!$E$64:$E$115,$C153),SUMIFS('INPUT Growth'!AQ$64:AQ$115,'INPUT Growth'!$A$64:$A$115,$A$1,'INPUT Growth'!$F$64:$F$115,$B153,'INPUT Growth'!$E$64:$E$115,$C153))</f>
        <v>355.20049509683849</v>
      </c>
      <c r="V153" s="102">
        <f>IF($G$4="Water and sewer",SUMIFS('INPUT Growth'!AR$64:AR$115,'INPUT Growth'!$B$64:$B$115,$A$1,'INPUT Growth'!$F$64:$F$115,$B153,'INPUT Growth'!$E$64:$E$115,$C153),SUMIFS('INPUT Growth'!AR$64:AR$115,'INPUT Growth'!$A$64:$A$115,$A$1,'INPUT Growth'!$F$64:$F$115,$B153,'INPUT Growth'!$E$64:$E$115,$C153))</f>
        <v>341.91163539585705</v>
      </c>
      <c r="W153" s="102">
        <f>IF($G$4="Water and sewer",SUMIFS('INPUT Growth'!AS$64:AS$115,'INPUT Growth'!$B$64:$B$115,$A$1,'INPUT Growth'!$F$64:$F$115,$B153,'INPUT Growth'!$E$64:$E$115,$C153),SUMIFS('INPUT Growth'!AS$64:AS$115,'INPUT Growth'!$A$64:$A$115,$A$1,'INPUT Growth'!$F$64:$F$115,$B153,'INPUT Growth'!$E$64:$E$115,$C153))</f>
        <v>292.81900703740939</v>
      </c>
      <c r="X153" s="102">
        <f>IF($G$4="Water and sewer",SUMIFS('INPUT Growth'!AT$64:AT$115,'INPUT Growth'!$B$64:$B$115,$A$1,'INPUT Growth'!$F$64:$F$115,$B153,'INPUT Growth'!$E$64:$E$115,$C153),SUMIFS('INPUT Growth'!AT$64:AT$115,'INPUT Growth'!$A$64:$A$115,$A$1,'INPUT Growth'!$F$64:$F$115,$B153,'INPUT Growth'!$E$64:$E$115,$C153))</f>
        <v>252.12516688118285</v>
      </c>
      <c r="Y153" s="102">
        <f>IF($G$4="Water and sewer",SUMIFS('INPUT Growth'!AU$64:AU$115,'INPUT Growth'!$B$64:$B$115,$A$1,'INPUT Growth'!$F$64:$F$115,$B153,'INPUT Growth'!$E$64:$E$115,$C153),SUMIFS('INPUT Growth'!AU$64:AU$115,'INPUT Growth'!$A$64:$A$115,$A$1,'INPUT Growth'!$F$64:$F$115,$B153,'INPUT Growth'!$E$64:$E$115,$C153))</f>
        <v>200.05501644230844</v>
      </c>
      <c r="Z153" s="102">
        <f>IF($G$4="Water and sewer",SUMIFS('INPUT Growth'!AV$64:AV$115,'INPUT Growth'!$B$64:$B$115,$A$1,'INPUT Growth'!$F$64:$F$115,$B153,'INPUT Growth'!$E$64:$E$115,$C153),SUMIFS('INPUT Growth'!AV$64:AV$115,'INPUT Growth'!$A$64:$A$115,$A$1,'INPUT Growth'!$F$64:$F$115,$B153,'INPUT Growth'!$E$64:$E$115,$C153))</f>
        <v>165.26836680623455</v>
      </c>
      <c r="AA153" s="102">
        <f>IF($G$4="Water and sewer",SUMIFS('INPUT Growth'!AW$64:AW$115,'INPUT Growth'!$B$64:$B$115,$A$1,'INPUT Growth'!$F$64:$F$115,$B153,'INPUT Growth'!$E$64:$E$115,$C153),SUMIFS('INPUT Growth'!AW$64:AW$115,'INPUT Growth'!$A$64:$A$115,$A$1,'INPUT Growth'!$F$64:$F$115,$B153,'INPUT Growth'!$E$64:$E$115,$C153))</f>
        <v>169.53257451816444</v>
      </c>
    </row>
    <row r="154" spans="1:27" x14ac:dyDescent="0.25">
      <c r="C154" s="100"/>
      <c r="D154" s="100"/>
      <c r="E154" s="47" t="s">
        <v>656</v>
      </c>
      <c r="F154" s="47" t="s">
        <v>655</v>
      </c>
      <c r="H154" s="106">
        <f>G154+H153</f>
        <v>129.22180938446809</v>
      </c>
      <c r="I154" s="106">
        <f t="shared" ref="I154:AA154" si="75">H154+I153</f>
        <v>287.48638650223029</v>
      </c>
      <c r="J154" s="106">
        <f t="shared" si="75"/>
        <v>458.54308780207475</v>
      </c>
      <c r="K154" s="106">
        <f t="shared" si="75"/>
        <v>667.25073853096455</v>
      </c>
      <c r="L154" s="106">
        <f t="shared" si="75"/>
        <v>920.07963102264739</v>
      </c>
      <c r="M154" s="106">
        <f t="shared" si="75"/>
        <v>1223.9361027703853</v>
      </c>
      <c r="N154" s="106">
        <f t="shared" si="75"/>
        <v>1543.6509779330895</v>
      </c>
      <c r="O154" s="106">
        <f t="shared" si="75"/>
        <v>1904.8598180886861</v>
      </c>
      <c r="P154" s="106">
        <f t="shared" si="75"/>
        <v>2288.1884622905404</v>
      </c>
      <c r="Q154" s="106">
        <f t="shared" si="75"/>
        <v>2684.5692063262509</v>
      </c>
      <c r="R154" s="106">
        <f t="shared" si="75"/>
        <v>3077.2638846978384</v>
      </c>
      <c r="S154" s="106">
        <f t="shared" si="75"/>
        <v>3455.5677063531643</v>
      </c>
      <c r="T154" s="106">
        <f t="shared" si="75"/>
        <v>3821.5393696305732</v>
      </c>
      <c r="U154" s="106">
        <f t="shared" si="75"/>
        <v>4176.7398647274113</v>
      </c>
      <c r="V154" s="106">
        <f t="shared" si="75"/>
        <v>4518.6515001232683</v>
      </c>
      <c r="W154" s="106">
        <f t="shared" si="75"/>
        <v>4811.4705071606777</v>
      </c>
      <c r="X154" s="106">
        <f t="shared" si="75"/>
        <v>5063.5956740418605</v>
      </c>
      <c r="Y154" s="106">
        <f t="shared" si="75"/>
        <v>5263.650690484169</v>
      </c>
      <c r="Z154" s="106">
        <f t="shared" si="75"/>
        <v>5428.9190572904035</v>
      </c>
      <c r="AA154" s="106">
        <f t="shared" si="75"/>
        <v>5598.451631808568</v>
      </c>
    </row>
    <row r="155" spans="1:27" x14ac:dyDescent="0.25">
      <c r="A155" s="101">
        <v>32</v>
      </c>
      <c r="C155" s="100"/>
      <c r="D155" s="100"/>
      <c r="E155" s="47" t="s">
        <v>657</v>
      </c>
      <c r="F155" s="47" t="s">
        <v>655</v>
      </c>
      <c r="G155" s="102">
        <v>2</v>
      </c>
    </row>
    <row r="156" spans="1:27" x14ac:dyDescent="0.25">
      <c r="C156" s="100"/>
      <c r="D156" s="100"/>
      <c r="E156" s="47" t="s">
        <v>658</v>
      </c>
      <c r="F156" s="47" t="s">
        <v>655</v>
      </c>
      <c r="H156" s="47">
        <f>H153*$G155</f>
        <v>258.44361876893618</v>
      </c>
      <c r="I156" s="47">
        <f t="shared" ref="I156:AA156" si="76">I153*$G155</f>
        <v>316.5291542355244</v>
      </c>
      <c r="J156" s="47">
        <f t="shared" si="76"/>
        <v>342.11340259968892</v>
      </c>
      <c r="K156" s="47">
        <f t="shared" si="76"/>
        <v>417.41530145777961</v>
      </c>
      <c r="L156" s="47">
        <f t="shared" si="76"/>
        <v>505.65778498336567</v>
      </c>
      <c r="M156" s="47">
        <f t="shared" si="76"/>
        <v>607.71294349547588</v>
      </c>
      <c r="N156" s="47">
        <f t="shared" si="76"/>
        <v>639.42975032540835</v>
      </c>
      <c r="O156" s="47">
        <f t="shared" si="76"/>
        <v>722.41768031119318</v>
      </c>
      <c r="P156" s="47">
        <f t="shared" si="76"/>
        <v>766.65728840370866</v>
      </c>
      <c r="Q156" s="47">
        <f t="shared" si="76"/>
        <v>792.7614880714209</v>
      </c>
      <c r="R156" s="47">
        <f t="shared" si="76"/>
        <v>785.38935674317509</v>
      </c>
      <c r="S156" s="47">
        <f t="shared" si="76"/>
        <v>756.60764331065184</v>
      </c>
      <c r="T156" s="47">
        <f t="shared" si="76"/>
        <v>731.94332655481776</v>
      </c>
      <c r="U156" s="47">
        <f t="shared" si="76"/>
        <v>710.40099019367699</v>
      </c>
      <c r="V156" s="47">
        <f t="shared" si="76"/>
        <v>683.82327079171409</v>
      </c>
      <c r="W156" s="47">
        <f t="shared" si="76"/>
        <v>585.63801407481878</v>
      </c>
      <c r="X156" s="47">
        <f t="shared" si="76"/>
        <v>504.2503337623657</v>
      </c>
      <c r="Y156" s="47">
        <f t="shared" si="76"/>
        <v>400.11003288461688</v>
      </c>
      <c r="Z156" s="47">
        <f t="shared" si="76"/>
        <v>330.53673361246911</v>
      </c>
      <c r="AA156" s="47">
        <f t="shared" si="76"/>
        <v>339.06514903632888</v>
      </c>
    </row>
    <row r="157" spans="1:27" x14ac:dyDescent="0.25">
      <c r="C157" s="100"/>
      <c r="D157" s="100"/>
      <c r="E157" s="47" t="s">
        <v>659</v>
      </c>
      <c r="F157" s="47" t="s">
        <v>655</v>
      </c>
      <c r="H157" s="47">
        <f>H154*$G155</f>
        <v>258.44361876893618</v>
      </c>
      <c r="I157" s="47">
        <f t="shared" ref="I157:AA157" si="77">I154*$G155</f>
        <v>574.97277300446058</v>
      </c>
      <c r="J157" s="47">
        <f t="shared" si="77"/>
        <v>917.0861756041495</v>
      </c>
      <c r="K157" s="47">
        <f t="shared" si="77"/>
        <v>1334.5014770619291</v>
      </c>
      <c r="L157" s="47">
        <f t="shared" si="77"/>
        <v>1840.1592620452948</v>
      </c>
      <c r="M157" s="47">
        <f t="shared" si="77"/>
        <v>2447.8722055407707</v>
      </c>
      <c r="N157" s="47">
        <f t="shared" si="77"/>
        <v>3087.301955866179</v>
      </c>
      <c r="O157" s="47">
        <f t="shared" si="77"/>
        <v>3809.7196361773722</v>
      </c>
      <c r="P157" s="47">
        <f t="shared" si="77"/>
        <v>4576.3769245810809</v>
      </c>
      <c r="Q157" s="47">
        <f t="shared" si="77"/>
        <v>5369.1384126525018</v>
      </c>
      <c r="R157" s="47">
        <f t="shared" si="77"/>
        <v>6154.5277693956768</v>
      </c>
      <c r="S157" s="47">
        <f t="shared" si="77"/>
        <v>6911.1354127063287</v>
      </c>
      <c r="T157" s="47">
        <f t="shared" si="77"/>
        <v>7643.0787392611464</v>
      </c>
      <c r="U157" s="47">
        <f t="shared" si="77"/>
        <v>8353.4797294548225</v>
      </c>
      <c r="V157" s="47">
        <f t="shared" si="77"/>
        <v>9037.3030002465366</v>
      </c>
      <c r="W157" s="47">
        <f t="shared" si="77"/>
        <v>9622.9410143213554</v>
      </c>
      <c r="X157" s="47">
        <f t="shared" si="77"/>
        <v>10127.191348083721</v>
      </c>
      <c r="Y157" s="47">
        <f t="shared" si="77"/>
        <v>10527.301380968338</v>
      </c>
      <c r="Z157" s="47">
        <f t="shared" si="77"/>
        <v>10857.838114580807</v>
      </c>
      <c r="AA157" s="47">
        <f t="shared" si="77"/>
        <v>11196.903263617136</v>
      </c>
    </row>
    <row r="158" spans="1:27" x14ac:dyDescent="0.25">
      <c r="A158" s="101">
        <v>33</v>
      </c>
      <c r="B158" s="47" t="str">
        <f>B153</f>
        <v>Western</v>
      </c>
      <c r="C158" s="47" t="str">
        <f>C153</f>
        <v>N</v>
      </c>
      <c r="D158" s="47" t="str">
        <f>D153</f>
        <v>Water</v>
      </c>
      <c r="E158" s="47" t="s">
        <v>660</v>
      </c>
      <c r="F158" s="47" t="s">
        <v>661</v>
      </c>
      <c r="H158" s="102">
        <f>IF(OR($D158=W,$D158=WS),'INPUT Reg'!AD126,IF($D158=RW,'INPUT Reg'!AD128,0))</f>
        <v>725.26314061491541</v>
      </c>
      <c r="I158" s="102">
        <f>IF(OR($D158=W,$D158=WS),'INPUT Reg'!AE126,IF($D158=RW,'INPUT Reg'!AE128,0))</f>
        <v>720.38675976632203</v>
      </c>
      <c r="J158" s="102">
        <f>IF(OR($D158=W,$D158=WS),'INPUT Reg'!AF126,IF($D158=RW,'INPUT Reg'!AF128,0))</f>
        <v>722.38717380811977</v>
      </c>
      <c r="K158" s="102">
        <f>IF(OR($D158=W,$D158=WS),'INPUT Reg'!AG126,IF($D158=RW,'INPUT Reg'!AG128,0))</f>
        <v>722.97270777527478</v>
      </c>
      <c r="L158" s="102">
        <f>IF(OR($D158=W,$D158=WS),'INPUT Reg'!AH126,IF($D158=RW,'INPUT Reg'!AH128,0))</f>
        <v>715.12355392202323</v>
      </c>
      <c r="M158" s="102">
        <f>IF(OR($D158=W,$D158=WS),'INPUT Reg'!AI126,IF($D158=RW,'INPUT Reg'!AI128,0))</f>
        <v>707.10324870306999</v>
      </c>
      <c r="N158" s="102">
        <f>IF(OR($D158=W,$D158=WS),'INPUT Reg'!AJ126,IF($D158=RW,'INPUT Reg'!AJ128,0))</f>
        <v>700.62391442557316</v>
      </c>
      <c r="O158" s="102">
        <f>IF(OR($D158=W,$D158=WS),'INPUT Reg'!AK126,IF($D158=RW,'INPUT Reg'!AK128,0))</f>
        <v>696.12019036745801</v>
      </c>
      <c r="P158" s="102">
        <f>IF(OR($D158=W,$D158=WS),'INPUT Reg'!AL126,IF($D158=RW,'INPUT Reg'!AL128,0))</f>
        <v>687.87815145965703</v>
      </c>
      <c r="Q158" s="102">
        <f>IF(OR($D158=W,$D158=WS),'INPUT Reg'!AM126,IF($D158=RW,'INPUT Reg'!AM128,0))</f>
        <v>681.73049016159177</v>
      </c>
      <c r="R158" s="102">
        <f>IF(OR($D158=W,$D158=WS),'INPUT Reg'!AN126,IF($D158=RW,'INPUT Reg'!AN128,0))</f>
        <v>676.6414581467385</v>
      </c>
      <c r="S158" s="102">
        <f>IF(OR($D158=W,$D158=WS),'INPUT Reg'!AO126,IF($D158=RW,'INPUT Reg'!AO128,0))</f>
        <v>674.73844482879599</v>
      </c>
      <c r="T158" s="102">
        <f>IF(OR($D158=W,$D158=WS),'INPUT Reg'!AP126,IF($D158=RW,'INPUT Reg'!AP128,0))</f>
        <v>669.50819507426456</v>
      </c>
      <c r="U158" s="102">
        <f>IF(OR($D158=W,$D158=WS),'INPUT Reg'!AQ126,IF($D158=RW,'INPUT Reg'!AQ128,0))</f>
        <v>666.40240091028261</v>
      </c>
      <c r="V158" s="102">
        <f>IF(OR($D158=W,$D158=WS),'INPUT Reg'!AR126,IF($D158=RW,'INPUT Reg'!AR128,0))</f>
        <v>663.10981119008693</v>
      </c>
      <c r="W158" s="102">
        <f>IF(OR($D158=W,$D158=WS),'INPUT Reg'!AS126,IF($D158=RW,'INPUT Reg'!AS128,0))</f>
        <v>662.73126309413988</v>
      </c>
      <c r="X158" s="102">
        <f>IF(OR($D158=W,$D158=WS),'INPUT Reg'!AT126,IF($D158=RW,'INPUT Reg'!AT128,0))</f>
        <v>659.53219841068676</v>
      </c>
      <c r="Y158" s="102">
        <f>IF(OR($D158=W,$D158=WS),'INPUT Reg'!AU126,IF($D158=RW,'INPUT Reg'!AU128,0))</f>
        <v>658.85039903993788</v>
      </c>
      <c r="Z158" s="102">
        <f>IF(OR($D158=W,$D158=WS),'INPUT Reg'!AV126,IF($D158=RW,'INPUT Reg'!AV128,0))</f>
        <v>659.25179707460791</v>
      </c>
      <c r="AA158" s="102">
        <f>IF(OR($D158=W,$D158=WS),'INPUT Reg'!AW126,IF($D158=RW,'INPUT Reg'!AW128,0))</f>
        <v>659.25179707460791</v>
      </c>
    </row>
    <row r="159" spans="1:27" x14ac:dyDescent="0.25">
      <c r="B159" s="47" t="str">
        <f>B153</f>
        <v>Western</v>
      </c>
      <c r="C159" s="47" t="str">
        <f t="shared" ref="C159:D159" si="78">C153</f>
        <v>N</v>
      </c>
      <c r="D159" s="47" t="str">
        <f t="shared" si="78"/>
        <v>Water</v>
      </c>
      <c r="E159" s="47" t="s">
        <v>662</v>
      </c>
      <c r="F159" s="47" t="s">
        <v>661</v>
      </c>
      <c r="H159" s="102"/>
      <c r="I159" s="102"/>
      <c r="J159" s="102"/>
      <c r="K159" s="102"/>
      <c r="L159" s="102"/>
      <c r="M159" s="102"/>
      <c r="N159" s="102"/>
      <c r="O159" s="102"/>
      <c r="P159" s="102"/>
      <c r="Q159" s="102"/>
      <c r="R159" s="102"/>
      <c r="S159" s="102"/>
      <c r="T159" s="102"/>
      <c r="U159" s="102"/>
      <c r="V159" s="102"/>
      <c r="W159" s="102"/>
      <c r="X159" s="102"/>
      <c r="Y159" s="102"/>
      <c r="Z159" s="102"/>
      <c r="AA159" s="102"/>
    </row>
    <row r="160" spans="1:27" x14ac:dyDescent="0.25">
      <c r="A160" s="101">
        <v>34</v>
      </c>
      <c r="B160" s="47" t="str">
        <f>B153</f>
        <v>Western</v>
      </c>
      <c r="C160" s="47" t="str">
        <f t="shared" ref="C160:D160" si="79">C153</f>
        <v>N</v>
      </c>
      <c r="D160" s="47" t="str">
        <f t="shared" si="79"/>
        <v>Water</v>
      </c>
      <c r="E160" s="47" t="s">
        <v>663</v>
      </c>
      <c r="F160" s="47" t="s">
        <v>661</v>
      </c>
      <c r="H160" s="102">
        <f>IF(OR($D160=S,$D160=WS),'INPUT Reg'!AD127,0)</f>
        <v>0</v>
      </c>
      <c r="I160" s="102">
        <f>IF(OR($D160=S,$D160=WS),'INPUT Reg'!AE127,0)</f>
        <v>0</v>
      </c>
      <c r="J160" s="102">
        <f>IF(OR($D160=S,$D160=WS),'INPUT Reg'!AF127,0)</f>
        <v>0</v>
      </c>
      <c r="K160" s="102">
        <f>IF(OR($D160=S,$D160=WS),'INPUT Reg'!AG127,0)</f>
        <v>0</v>
      </c>
      <c r="L160" s="102">
        <f>IF(OR($D160=S,$D160=WS),'INPUT Reg'!AH127,0)</f>
        <v>0</v>
      </c>
      <c r="M160" s="102">
        <f>IF(OR($D160=S,$D160=WS),'INPUT Reg'!AI127,0)</f>
        <v>0</v>
      </c>
      <c r="N160" s="102">
        <f>IF(OR($D160=S,$D160=WS),'INPUT Reg'!AJ127,0)</f>
        <v>0</v>
      </c>
      <c r="O160" s="102">
        <f>IF(OR($D160=S,$D160=WS),'INPUT Reg'!AK127,0)</f>
        <v>0</v>
      </c>
      <c r="P160" s="102">
        <f>IF(OR($D160=S,$D160=WS),'INPUT Reg'!AL127,0)</f>
        <v>0</v>
      </c>
      <c r="Q160" s="102">
        <f>IF(OR($D160=S,$D160=WS),'INPUT Reg'!AM127,0)</f>
        <v>0</v>
      </c>
      <c r="R160" s="102">
        <f>IF(OR($D160=S,$D160=WS),'INPUT Reg'!AN127,0)</f>
        <v>0</v>
      </c>
      <c r="S160" s="102">
        <f>IF(OR($D160=S,$D160=WS),'INPUT Reg'!AO127,0)</f>
        <v>0</v>
      </c>
      <c r="T160" s="102">
        <f>IF(OR($D160=S,$D160=WS),'INPUT Reg'!AP127,0)</f>
        <v>0</v>
      </c>
      <c r="U160" s="102">
        <f>IF(OR($D160=S,$D160=WS),'INPUT Reg'!AQ127,0)</f>
        <v>0</v>
      </c>
      <c r="V160" s="102">
        <f>IF(OR($D160=S,$D160=WS),'INPUT Reg'!AR127,0)</f>
        <v>0</v>
      </c>
      <c r="W160" s="102">
        <f>IF(OR($D160=S,$D160=WS),'INPUT Reg'!AS127,0)</f>
        <v>0</v>
      </c>
      <c r="X160" s="102">
        <f>IF(OR($D160=S,$D160=WS),'INPUT Reg'!AT127,0)</f>
        <v>0</v>
      </c>
      <c r="Y160" s="102">
        <f>IF(OR($D160=S,$D160=WS),'INPUT Reg'!AU127,0)</f>
        <v>0</v>
      </c>
      <c r="Z160" s="102">
        <f>IF(OR($D160=S,$D160=WS),'INPUT Reg'!AV127,0)</f>
        <v>0</v>
      </c>
      <c r="AA160" s="102">
        <f>IF(OR($D160=S,$D160=WS),'INPUT Reg'!AW127,0)</f>
        <v>0</v>
      </c>
    </row>
    <row r="161" spans="1:27" x14ac:dyDescent="0.25">
      <c r="C161" s="100"/>
      <c r="D161" s="100"/>
      <c r="E161" s="47" t="s">
        <v>664</v>
      </c>
      <c r="F161" s="47" t="s">
        <v>665</v>
      </c>
      <c r="H161" s="106">
        <f>H154*H158</f>
        <v>93719.815310121281</v>
      </c>
      <c r="I161" s="106">
        <f t="shared" ref="I161:AA161" si="80">I154*I158</f>
        <v>207101.38644927018</v>
      </c>
      <c r="J161" s="106">
        <f t="shared" si="80"/>
        <v>331245.6452665893</v>
      </c>
      <c r="K161" s="106">
        <f t="shared" si="80"/>
        <v>482404.07320078334</v>
      </c>
      <c r="L161" s="106">
        <f t="shared" si="80"/>
        <v>657970.6156281794</v>
      </c>
      <c r="M161" s="106">
        <f t="shared" si="80"/>
        <v>865449.19447391399</v>
      </c>
      <c r="N161" s="106">
        <f t="shared" si="80"/>
        <v>1081518.7906663453</v>
      </c>
      <c r="O161" s="106">
        <f t="shared" si="80"/>
        <v>1326011.3791912177</v>
      </c>
      <c r="P161" s="106">
        <f t="shared" si="80"/>
        <v>1573994.8496317321</v>
      </c>
      <c r="Q161" s="106">
        <f t="shared" si="80"/>
        <v>1830152.6809015104</v>
      </c>
      <c r="R161" s="106">
        <f t="shared" si="80"/>
        <v>2082204.3220442424</v>
      </c>
      <c r="S161" s="106">
        <f t="shared" si="80"/>
        <v>2331604.3801853438</v>
      </c>
      <c r="T161" s="106">
        <f t="shared" si="80"/>
        <v>2558551.9257666077</v>
      </c>
      <c r="U161" s="106">
        <f t="shared" si="80"/>
        <v>2783389.4738320359</v>
      </c>
      <c r="V161" s="106">
        <f t="shared" si="80"/>
        <v>2996362.1430805437</v>
      </c>
      <c r="W161" s="106">
        <f t="shared" si="80"/>
        <v>3188711.9265507977</v>
      </c>
      <c r="X161" s="106">
        <f t="shared" si="80"/>
        <v>3339604.3867636714</v>
      </c>
      <c r="Y161" s="106">
        <f t="shared" si="80"/>
        <v>3467958.3578323391</v>
      </c>
      <c r="Z161" s="106">
        <f t="shared" si="80"/>
        <v>3579024.6446912847</v>
      </c>
      <c r="AA161" s="106">
        <f t="shared" si="80"/>
        <v>3690789.2991050696</v>
      </c>
    </row>
    <row r="162" spans="1:27" x14ac:dyDescent="0.25">
      <c r="C162" s="100"/>
      <c r="D162" s="100"/>
      <c r="E162" s="47" t="s">
        <v>666</v>
      </c>
      <c r="F162" s="47" t="s">
        <v>665</v>
      </c>
      <c r="H162" s="106">
        <f>H154*H159</f>
        <v>0</v>
      </c>
      <c r="I162" s="106">
        <f t="shared" ref="I162:AA162" si="81">I154*I159</f>
        <v>0</v>
      </c>
      <c r="J162" s="106">
        <f t="shared" si="81"/>
        <v>0</v>
      </c>
      <c r="K162" s="106">
        <f t="shared" si="81"/>
        <v>0</v>
      </c>
      <c r="L162" s="106">
        <f t="shared" si="81"/>
        <v>0</v>
      </c>
      <c r="M162" s="106">
        <f t="shared" si="81"/>
        <v>0</v>
      </c>
      <c r="N162" s="106">
        <f t="shared" si="81"/>
        <v>0</v>
      </c>
      <c r="O162" s="106">
        <f t="shared" si="81"/>
        <v>0</v>
      </c>
      <c r="P162" s="106">
        <f t="shared" si="81"/>
        <v>0</v>
      </c>
      <c r="Q162" s="106">
        <f t="shared" si="81"/>
        <v>0</v>
      </c>
      <c r="R162" s="106">
        <f t="shared" si="81"/>
        <v>0</v>
      </c>
      <c r="S162" s="106">
        <f t="shared" si="81"/>
        <v>0</v>
      </c>
      <c r="T162" s="106">
        <f t="shared" si="81"/>
        <v>0</v>
      </c>
      <c r="U162" s="106">
        <f t="shared" si="81"/>
        <v>0</v>
      </c>
      <c r="V162" s="106">
        <f t="shared" si="81"/>
        <v>0</v>
      </c>
      <c r="W162" s="106">
        <f t="shared" si="81"/>
        <v>0</v>
      </c>
      <c r="X162" s="106">
        <f t="shared" si="81"/>
        <v>0</v>
      </c>
      <c r="Y162" s="106">
        <f t="shared" si="81"/>
        <v>0</v>
      </c>
      <c r="Z162" s="106">
        <f t="shared" si="81"/>
        <v>0</v>
      </c>
      <c r="AA162" s="106">
        <f t="shared" si="81"/>
        <v>0</v>
      </c>
    </row>
    <row r="163" spans="1:27" x14ac:dyDescent="0.25">
      <c r="C163" s="100"/>
      <c r="D163" s="100"/>
      <c r="E163" s="47" t="s">
        <v>667</v>
      </c>
      <c r="F163" s="47" t="s">
        <v>665</v>
      </c>
      <c r="H163" s="106">
        <f>H154*H160</f>
        <v>0</v>
      </c>
      <c r="I163" s="106">
        <f t="shared" ref="I163:AA163" si="82">I154*I160</f>
        <v>0</v>
      </c>
      <c r="J163" s="106">
        <f t="shared" si="82"/>
        <v>0</v>
      </c>
      <c r="K163" s="106">
        <f t="shared" si="82"/>
        <v>0</v>
      </c>
      <c r="L163" s="106">
        <f t="shared" si="82"/>
        <v>0</v>
      </c>
      <c r="M163" s="106">
        <f t="shared" si="82"/>
        <v>0</v>
      </c>
      <c r="N163" s="106">
        <f t="shared" si="82"/>
        <v>0</v>
      </c>
      <c r="O163" s="106">
        <f t="shared" si="82"/>
        <v>0</v>
      </c>
      <c r="P163" s="106">
        <f t="shared" si="82"/>
        <v>0</v>
      </c>
      <c r="Q163" s="106">
        <f t="shared" si="82"/>
        <v>0</v>
      </c>
      <c r="R163" s="106">
        <f t="shared" si="82"/>
        <v>0</v>
      </c>
      <c r="S163" s="106">
        <f t="shared" si="82"/>
        <v>0</v>
      </c>
      <c r="T163" s="106">
        <f t="shared" si="82"/>
        <v>0</v>
      </c>
      <c r="U163" s="106">
        <f t="shared" si="82"/>
        <v>0</v>
      </c>
      <c r="V163" s="106">
        <f t="shared" si="82"/>
        <v>0</v>
      </c>
      <c r="W163" s="106">
        <f t="shared" si="82"/>
        <v>0</v>
      </c>
      <c r="X163" s="106">
        <f t="shared" si="82"/>
        <v>0</v>
      </c>
      <c r="Y163" s="106">
        <f t="shared" si="82"/>
        <v>0</v>
      </c>
      <c r="Z163" s="106">
        <f t="shared" si="82"/>
        <v>0</v>
      </c>
      <c r="AA163" s="106">
        <f t="shared" si="82"/>
        <v>0</v>
      </c>
    </row>
    <row r="164" spans="1:27" x14ac:dyDescent="0.25">
      <c r="A164" s="101">
        <v>35</v>
      </c>
      <c r="B164" s="47" t="str">
        <f>B158</f>
        <v>Western</v>
      </c>
      <c r="C164" s="47" t="str">
        <f t="shared" ref="C164:D164" si="83">C158</f>
        <v>N</v>
      </c>
      <c r="D164" s="47" t="str">
        <f t="shared" si="83"/>
        <v>Water</v>
      </c>
      <c r="E164" s="47" t="s">
        <v>668</v>
      </c>
      <c r="F164" s="47" t="s">
        <v>633</v>
      </c>
      <c r="H164" s="105">
        <f>SUMIFS('INPUT Reg'!AD$94:AD$109,'INPUT Reg'!$D$94:$D$109,$D164,'INPUT Reg'!$C$94:$C$109,$C164,'INPUT Reg'!$B$94:$B$109,$B164)</f>
        <v>3.0446328262496714E-3</v>
      </c>
      <c r="I164" s="105">
        <f>SUMIFS('INPUT Reg'!AE$94:AE$109,'INPUT Reg'!$D$94:$D$109,$D164,'INPUT Reg'!$C$94:$C$109,$C164,'INPUT Reg'!$B$94:$B$109,$B164)</f>
        <v>1.9890298224023439E-6</v>
      </c>
      <c r="J164" s="105">
        <f>SUMIFS('INPUT Reg'!AF$94:AF$109,'INPUT Reg'!$D$94:$D$109,$D164,'INPUT Reg'!$C$94:$C$109,$C164,'INPUT Reg'!$B$94:$B$109,$B164)</f>
        <v>8.5105218776693192E-6</v>
      </c>
      <c r="K164" s="105">
        <f>SUMIFS('INPUT Reg'!AG$94:AG$109,'INPUT Reg'!$D$94:$D$109,$D164,'INPUT Reg'!$C$94:$C$109,$C164,'INPUT Reg'!$B$94:$B$109,$B164)</f>
        <v>6.0161622221777122E-6</v>
      </c>
      <c r="L164" s="105">
        <f>SUMIFS('INPUT Reg'!AH$94:AH$109,'INPUT Reg'!$D$94:$D$109,$D164,'INPUT Reg'!$C$94:$C$109,$C164,'INPUT Reg'!$B$94:$B$109,$B164)</f>
        <v>-1.2553023474354608E-2</v>
      </c>
      <c r="M164" s="105">
        <f>SUMIFS('INPUT Reg'!AI$94:AI$109,'INPUT Reg'!$D$94:$D$109,$D164,'INPUT Reg'!$C$94:$C$109,$C164,'INPUT Reg'!$B$94:$B$109,$B164)</f>
        <v>7.3288130368887039E-6</v>
      </c>
      <c r="N164" s="105">
        <f>SUMIFS('INPUT Reg'!AJ$94:AJ$109,'INPUT Reg'!$D$94:$D$109,$D164,'INPUT Reg'!$C$94:$C$109,$C164,'INPUT Reg'!$B$94:$B$109,$B164)</f>
        <v>2.3720377317903996E-6</v>
      </c>
      <c r="O164" s="105">
        <f>SUMIFS('INPUT Reg'!AK$94:AK$109,'INPUT Reg'!$D$94:$D$109,$D164,'INPUT Reg'!$C$94:$C$109,$C164,'INPUT Reg'!$B$94:$B$109,$B164)</f>
        <v>4.766297737823777E-6</v>
      </c>
      <c r="P164" s="105">
        <f>SUMIFS('INPUT Reg'!AL$94:AL$109,'INPUT Reg'!$D$94:$D$109,$D164,'INPUT Reg'!$C$94:$C$109,$C164,'INPUT Reg'!$B$94:$B$109,$B164)</f>
        <v>3.1827617739121905E-6</v>
      </c>
      <c r="Q164" s="105">
        <f>SUMIFS('INPUT Reg'!AM$94:AM$109,'INPUT Reg'!$D$94:$D$109,$D164,'INPUT Reg'!$C$94:$C$109,$C164,'INPUT Reg'!$B$94:$B$109,$B164)</f>
        <v>-0.14967791575421019</v>
      </c>
      <c r="R164" s="105">
        <f>SUMIFS('INPUT Reg'!AN$94:AN$109,'INPUT Reg'!$D$94:$D$109,$D164,'INPUT Reg'!$C$94:$C$109,$C164,'INPUT Reg'!$B$94:$B$109,$B164)</f>
        <v>2.9279037079277259E-6</v>
      </c>
      <c r="S164" s="105">
        <f>SUMIFS('INPUT Reg'!AO$94:AO$109,'INPUT Reg'!$D$94:$D$109,$D164,'INPUT Reg'!$C$94:$C$109,$C164,'INPUT Reg'!$B$94:$B$109,$B164)</f>
        <v>3.087113408239972E-6</v>
      </c>
      <c r="T164" s="105">
        <f>SUMIFS('INPUT Reg'!AP$94:AP$109,'INPUT Reg'!$D$94:$D$109,$D164,'INPUT Reg'!$C$94:$C$109,$C164,'INPUT Reg'!$B$94:$B$109,$B164)</f>
        <v>1.7817540407527588E-6</v>
      </c>
      <c r="U164" s="105">
        <f>SUMIFS('INPUT Reg'!AQ$94:AQ$109,'INPUT Reg'!$D$94:$D$109,$D164,'INPUT Reg'!$C$94:$C$109,$C164,'INPUT Reg'!$B$94:$B$109,$B164)</f>
        <v>2.1250585315879533E-6</v>
      </c>
      <c r="V164" s="105">
        <f>SUMIFS('INPUT Reg'!AR$94:AR$109,'INPUT Reg'!$D$94:$D$109,$D164,'INPUT Reg'!$C$94:$C$109,$C164,'INPUT Reg'!$B$94:$B$109,$B164)</f>
        <v>-9.1211758773769636E-2</v>
      </c>
      <c r="W164" s="105">
        <f>SUMIFS('INPUT Reg'!AS$94:AS$109,'INPUT Reg'!$D$94:$D$109,$D164,'INPUT Reg'!$C$94:$C$109,$C164,'INPUT Reg'!$B$94:$B$109,$B164)</f>
        <v>2.4067103998604011E-6</v>
      </c>
      <c r="X164" s="105">
        <f>SUMIFS('INPUT Reg'!AT$94:AT$109,'INPUT Reg'!$D$94:$D$109,$D164,'INPUT Reg'!$C$94:$C$109,$C164,'INPUT Reg'!$B$94:$B$109,$B164)</f>
        <v>1.8122475946569239E-6</v>
      </c>
      <c r="Y164" s="105">
        <f>SUMIFS('INPUT Reg'!AU$94:AU$109,'INPUT Reg'!$D$94:$D$109,$D164,'INPUT Reg'!$C$94:$C$109,$C164,'INPUT Reg'!$B$94:$B$109,$B164)</f>
        <v>1.8836068700345265E-6</v>
      </c>
      <c r="Z164" s="105">
        <f>SUMIFS('INPUT Reg'!AV$94:AV$109,'INPUT Reg'!$D$94:$D$109,$D164,'INPUT Reg'!$C$94:$C$109,$C164,'INPUT Reg'!$B$94:$B$109,$B164)</f>
        <v>1.7040712561033899E-6</v>
      </c>
      <c r="AA164" s="105">
        <f>SUMIFS('INPUT Reg'!AW$94:AW$109,'INPUT Reg'!$D$94:$D$109,$D164,'INPUT Reg'!$C$94:$C$109,$C164,'INPUT Reg'!$B$94:$B$109,$B164)</f>
        <v>0</v>
      </c>
    </row>
    <row r="165" spans="1:27" x14ac:dyDescent="0.25">
      <c r="A165" s="101">
        <v>36</v>
      </c>
      <c r="B165" s="47" t="str">
        <f>B153</f>
        <v>Western</v>
      </c>
      <c r="C165" s="47" t="str">
        <f t="shared" ref="C165:D165" si="84">C153</f>
        <v>N</v>
      </c>
      <c r="D165" s="47" t="str">
        <f t="shared" si="84"/>
        <v>Water</v>
      </c>
      <c r="E165" s="47" t="s">
        <v>669</v>
      </c>
      <c r="F165" s="47" t="s">
        <v>670</v>
      </c>
      <c r="G165" s="108">
        <f>IF(D165=W,WW_N_W_N,IF(D165=S,WW_N_S_N,IF(D165=WS,WW_N_W_N+WW_N_S_N,WW_N_R_N)))</f>
        <v>340.18</v>
      </c>
      <c r="H165" s="106">
        <f>G165*(1+$G$14)*(1+H164)</f>
        <v>341.21572319483363</v>
      </c>
      <c r="I165" s="106">
        <f t="shared" ref="I165:AA165" si="85">H165*(1+$G$14)*(1+I164)</f>
        <v>341.21640188308294</v>
      </c>
      <c r="J165" s="106">
        <f t="shared" si="85"/>
        <v>341.2193058127362</v>
      </c>
      <c r="K165" s="106">
        <f t="shared" si="85"/>
        <v>341.22135864343329</v>
      </c>
      <c r="L165" s="106">
        <f t="shared" si="85"/>
        <v>336.93799891843111</v>
      </c>
      <c r="M165" s="106">
        <f t="shared" si="85"/>
        <v>336.9404682740302</v>
      </c>
      <c r="N165" s="106">
        <f t="shared" si="85"/>
        <v>336.94126750953433</v>
      </c>
      <c r="O165" s="106">
        <f t="shared" si="85"/>
        <v>336.94287347193546</v>
      </c>
      <c r="P165" s="106">
        <f t="shared" si="85"/>
        <v>336.94394588083316</v>
      </c>
      <c r="Q165" s="106">
        <f t="shared" si="85"/>
        <v>286.51087833539066</v>
      </c>
      <c r="R165" s="106">
        <f t="shared" si="85"/>
        <v>286.51171721165372</v>
      </c>
      <c r="S165" s="106">
        <f t="shared" si="85"/>
        <v>286.51260170581753</v>
      </c>
      <c r="T165" s="106">
        <f t="shared" si="85"/>
        <v>286.51311220080333</v>
      </c>
      <c r="U165" s="106">
        <f t="shared" si="85"/>
        <v>286.51372105793683</v>
      </c>
      <c r="V165" s="106">
        <f t="shared" si="85"/>
        <v>260.3803006474252</v>
      </c>
      <c r="W165" s="106">
        <f t="shared" si="85"/>
        <v>260.38092730740271</v>
      </c>
      <c r="X165" s="106">
        <f t="shared" si="85"/>
        <v>260.38139918211192</v>
      </c>
      <c r="Y165" s="106">
        <f t="shared" si="85"/>
        <v>260.38188963830424</v>
      </c>
      <c r="Z165" s="106">
        <f t="shared" si="85"/>
        <v>260.38233334759798</v>
      </c>
      <c r="AA165" s="106">
        <f t="shared" si="85"/>
        <v>260.38233334759798</v>
      </c>
    </row>
    <row r="166" spans="1:27" x14ac:dyDescent="0.25">
      <c r="B166" s="47" t="str">
        <f>B153</f>
        <v>Western</v>
      </c>
      <c r="C166" s="47" t="str">
        <f t="shared" ref="C166:D166" si="86">C153</f>
        <v>N</v>
      </c>
      <c r="D166" s="47" t="str">
        <f t="shared" si="86"/>
        <v>Water</v>
      </c>
      <c r="E166" s="47" t="s">
        <v>671</v>
      </c>
      <c r="F166" s="47" t="s">
        <v>672</v>
      </c>
      <c r="G166" s="109">
        <f>IF(OR(D166=W,D166=WS),WW_N_W_V,IF(D166=RW,WW_N_R_V,0))</f>
        <v>3.0611000000000002</v>
      </c>
      <c r="H166" s="110">
        <f>G166*(1+$G$14)*(1+H164)</f>
        <v>3.0704199255444329</v>
      </c>
      <c r="I166" s="110">
        <f t="shared" ref="I166:AA166" si="87">H166*(1+$G$14)*(1+I164)</f>
        <v>3.0704260327012323</v>
      </c>
      <c r="J166" s="110">
        <f t="shared" si="87"/>
        <v>3.0704521636291573</v>
      </c>
      <c r="K166" s="110">
        <f t="shared" si="87"/>
        <v>3.0704706359674692</v>
      </c>
      <c r="L166" s="110">
        <f t="shared" si="87"/>
        <v>3.0319269459968532</v>
      </c>
      <c r="M166" s="110">
        <f t="shared" si="87"/>
        <v>3.0319491664225819</v>
      </c>
      <c r="N166" s="110">
        <f t="shared" si="87"/>
        <v>3.0319563583204054</v>
      </c>
      <c r="O166" s="110">
        <f t="shared" si="87"/>
        <v>3.0319708095271372</v>
      </c>
      <c r="P166" s="110">
        <f t="shared" si="87"/>
        <v>3.0319804595679294</v>
      </c>
      <c r="Q166" s="110">
        <f t="shared" si="87"/>
        <v>2.5781599437723095</v>
      </c>
      <c r="R166" s="110">
        <f t="shared" si="87"/>
        <v>2.5781674923763687</v>
      </c>
      <c r="S166" s="110">
        <f t="shared" si="87"/>
        <v>2.5781754514718029</v>
      </c>
      <c r="T166" s="110">
        <f t="shared" si="87"/>
        <v>2.5781800451463313</v>
      </c>
      <c r="U166" s="110">
        <f t="shared" si="87"/>
        <v>2.5781855239298324</v>
      </c>
      <c r="V166" s="110">
        <f t="shared" si="87"/>
        <v>2.3430246878471195</v>
      </c>
      <c r="W166" s="110">
        <f t="shared" si="87"/>
        <v>2.3430303268290027</v>
      </c>
      <c r="X166" s="110">
        <f t="shared" si="87"/>
        <v>2.3430345729800766</v>
      </c>
      <c r="Y166" s="110">
        <f t="shared" si="87"/>
        <v>2.343038986336095</v>
      </c>
      <c r="Z166" s="110">
        <f t="shared" si="87"/>
        <v>2.3430429790414835</v>
      </c>
      <c r="AA166" s="110">
        <f t="shared" si="87"/>
        <v>2.3430429790414835</v>
      </c>
    </row>
    <row r="167" spans="1:27" x14ac:dyDescent="0.25">
      <c r="B167" s="47" t="str">
        <f>B153</f>
        <v>Western</v>
      </c>
      <c r="C167" s="47" t="str">
        <f t="shared" ref="C167:D167" si="88">C153</f>
        <v>N</v>
      </c>
      <c r="D167" s="47" t="str">
        <f t="shared" si="88"/>
        <v>Water</v>
      </c>
      <c r="E167" s="47" t="s">
        <v>673</v>
      </c>
      <c r="F167" s="47" t="s">
        <v>672</v>
      </c>
      <c r="G167" s="109"/>
      <c r="H167" s="110">
        <f>G167*(1+$G$14)*(1+H164)</f>
        <v>0</v>
      </c>
      <c r="I167" s="110">
        <f t="shared" ref="I167:AA167" si="89">H167*(1+$G$14)*(1+I164)</f>
        <v>0</v>
      </c>
      <c r="J167" s="110">
        <f t="shared" si="89"/>
        <v>0</v>
      </c>
      <c r="K167" s="110">
        <f t="shared" si="89"/>
        <v>0</v>
      </c>
      <c r="L167" s="110">
        <f t="shared" si="89"/>
        <v>0</v>
      </c>
      <c r="M167" s="110">
        <f t="shared" si="89"/>
        <v>0</v>
      </c>
      <c r="N167" s="110">
        <f t="shared" si="89"/>
        <v>0</v>
      </c>
      <c r="O167" s="110">
        <f t="shared" si="89"/>
        <v>0</v>
      </c>
      <c r="P167" s="110">
        <f t="shared" si="89"/>
        <v>0</v>
      </c>
      <c r="Q167" s="110">
        <f t="shared" si="89"/>
        <v>0</v>
      </c>
      <c r="R167" s="110">
        <f t="shared" si="89"/>
        <v>0</v>
      </c>
      <c r="S167" s="110">
        <f t="shared" si="89"/>
        <v>0</v>
      </c>
      <c r="T167" s="110">
        <f t="shared" si="89"/>
        <v>0</v>
      </c>
      <c r="U167" s="110">
        <f t="shared" si="89"/>
        <v>0</v>
      </c>
      <c r="V167" s="110">
        <f t="shared" si="89"/>
        <v>0</v>
      </c>
      <c r="W167" s="110">
        <f t="shared" si="89"/>
        <v>0</v>
      </c>
      <c r="X167" s="110">
        <f t="shared" si="89"/>
        <v>0</v>
      </c>
      <c r="Y167" s="110">
        <f t="shared" si="89"/>
        <v>0</v>
      </c>
      <c r="Z167" s="110">
        <f t="shared" si="89"/>
        <v>0</v>
      </c>
      <c r="AA167" s="110">
        <f t="shared" si="89"/>
        <v>0</v>
      </c>
    </row>
    <row r="168" spans="1:27" x14ac:dyDescent="0.25">
      <c r="B168" s="47" t="str">
        <f>B153</f>
        <v>Western</v>
      </c>
      <c r="C168" s="47" t="str">
        <f t="shared" ref="C168:D168" si="90">C153</f>
        <v>N</v>
      </c>
      <c r="D168" s="47" t="str">
        <f t="shared" si="90"/>
        <v>Water</v>
      </c>
      <c r="E168" s="47" t="s">
        <v>674</v>
      </c>
      <c r="F168" s="47" t="s">
        <v>672</v>
      </c>
      <c r="G168" s="109">
        <f>IF(OR(D168=S,D168=WS),WW_N_SDC,0)</f>
        <v>0</v>
      </c>
      <c r="H168" s="110">
        <f>G168*(1+$G$14)*(1+H164)</f>
        <v>0</v>
      </c>
      <c r="I168" s="110">
        <f t="shared" ref="I168:AA168" si="91">H168*(1+$G$14)*(1+I164)</f>
        <v>0</v>
      </c>
      <c r="J168" s="110">
        <f t="shared" si="91"/>
        <v>0</v>
      </c>
      <c r="K168" s="110">
        <f t="shared" si="91"/>
        <v>0</v>
      </c>
      <c r="L168" s="110">
        <f t="shared" si="91"/>
        <v>0</v>
      </c>
      <c r="M168" s="110">
        <f t="shared" si="91"/>
        <v>0</v>
      </c>
      <c r="N168" s="110">
        <f t="shared" si="91"/>
        <v>0</v>
      </c>
      <c r="O168" s="110">
        <f t="shared" si="91"/>
        <v>0</v>
      </c>
      <c r="P168" s="110">
        <f t="shared" si="91"/>
        <v>0</v>
      </c>
      <c r="Q168" s="110">
        <f t="shared" si="91"/>
        <v>0</v>
      </c>
      <c r="R168" s="110">
        <f t="shared" si="91"/>
        <v>0</v>
      </c>
      <c r="S168" s="110">
        <f t="shared" si="91"/>
        <v>0</v>
      </c>
      <c r="T168" s="110">
        <f t="shared" si="91"/>
        <v>0</v>
      </c>
      <c r="U168" s="110">
        <f t="shared" si="91"/>
        <v>0</v>
      </c>
      <c r="V168" s="110">
        <f t="shared" si="91"/>
        <v>0</v>
      </c>
      <c r="W168" s="110">
        <f t="shared" si="91"/>
        <v>0</v>
      </c>
      <c r="X168" s="110">
        <f t="shared" si="91"/>
        <v>0</v>
      </c>
      <c r="Y168" s="110">
        <f t="shared" si="91"/>
        <v>0</v>
      </c>
      <c r="Z168" s="110">
        <f t="shared" si="91"/>
        <v>0</v>
      </c>
      <c r="AA168" s="110">
        <f t="shared" si="91"/>
        <v>0</v>
      </c>
    </row>
    <row r="169" spans="1:27" x14ac:dyDescent="0.25">
      <c r="C169" s="100"/>
      <c r="D169" s="100"/>
    </row>
    <row r="170" spans="1:27" x14ac:dyDescent="0.25">
      <c r="C170" s="100"/>
      <c r="D170" s="100"/>
      <c r="E170" s="47" t="s">
        <v>685</v>
      </c>
      <c r="F170" s="47" t="s">
        <v>676</v>
      </c>
      <c r="H170" s="106">
        <f>SUM(H161:H163)/1000</f>
        <v>93.719815310121277</v>
      </c>
      <c r="I170" s="106">
        <f t="shared" ref="I170:AA170" si="92">SUM(I161:I163)/1000</f>
        <v>207.10138644927019</v>
      </c>
      <c r="J170" s="106">
        <f t="shared" si="92"/>
        <v>331.24564526658929</v>
      </c>
      <c r="K170" s="106">
        <f t="shared" si="92"/>
        <v>482.40407320078333</v>
      </c>
      <c r="L170" s="106">
        <f t="shared" si="92"/>
        <v>657.97061562817942</v>
      </c>
      <c r="M170" s="106">
        <f t="shared" si="92"/>
        <v>865.44919447391396</v>
      </c>
      <c r="N170" s="106">
        <f t="shared" si="92"/>
        <v>1081.5187906663452</v>
      </c>
      <c r="O170" s="106">
        <f t="shared" si="92"/>
        <v>1326.0113791912177</v>
      </c>
      <c r="P170" s="106">
        <f t="shared" si="92"/>
        <v>1573.994849631732</v>
      </c>
      <c r="Q170" s="106">
        <f t="shared" si="92"/>
        <v>1830.1526809015104</v>
      </c>
      <c r="R170" s="106">
        <f t="shared" si="92"/>
        <v>2082.2043220442424</v>
      </c>
      <c r="S170" s="106">
        <f t="shared" si="92"/>
        <v>2331.6043801853439</v>
      </c>
      <c r="T170" s="106">
        <f t="shared" si="92"/>
        <v>2558.5519257666078</v>
      </c>
      <c r="U170" s="106">
        <f t="shared" si="92"/>
        <v>2783.3894738320359</v>
      </c>
      <c r="V170" s="106">
        <f t="shared" si="92"/>
        <v>2996.3621430805438</v>
      </c>
      <c r="W170" s="106">
        <f t="shared" si="92"/>
        <v>3188.7119265507977</v>
      </c>
      <c r="X170" s="106">
        <f t="shared" si="92"/>
        <v>3339.6043867636713</v>
      </c>
      <c r="Y170" s="106">
        <f t="shared" si="92"/>
        <v>3467.9583578323391</v>
      </c>
      <c r="Z170" s="106">
        <f t="shared" si="92"/>
        <v>3579.0246446912847</v>
      </c>
      <c r="AA170" s="106">
        <f t="shared" si="92"/>
        <v>3690.7892991050694</v>
      </c>
    </row>
    <row r="171" spans="1:27" x14ac:dyDescent="0.25">
      <c r="C171" s="100"/>
      <c r="D171" s="100"/>
      <c r="E171" s="47" t="s">
        <v>686</v>
      </c>
      <c r="F171" s="47" t="s">
        <v>639</v>
      </c>
      <c r="H171" s="106">
        <f>H154*H165+H161*H166+H162*H167+H163*H168</f>
        <v>331851.70148820686</v>
      </c>
      <c r="I171" s="106">
        <f t="shared" ref="I171:AA171" si="93">I154*I165+I161*I166+I162*I167+I163*I168</f>
        <v>733984.5587550177</v>
      </c>
      <c r="J171" s="106">
        <f t="shared" si="93"/>
        <v>1173537.6623065879</v>
      </c>
      <c r="K171" s="106">
        <f t="shared" si="93"/>
        <v>1708887.7449914769</v>
      </c>
      <c r="L171" s="106">
        <f t="shared" si="93"/>
        <v>2304928.6289195945</v>
      </c>
      <c r="M171" s="106">
        <f t="shared" si="93"/>
        <v>3036391.5673712241</v>
      </c>
      <c r="N171" s="106">
        <f t="shared" si="93"/>
        <v>3799237.4911009283</v>
      </c>
      <c r="O171" s="106">
        <f t="shared" si="93"/>
        <v>4662256.7354766224</v>
      </c>
      <c r="P171" s="106">
        <f t="shared" si="93"/>
        <v>5543312.8769471431</v>
      </c>
      <c r="Q171" s="106">
        <f t="shared" si="93"/>
        <v>5487584.6141444566</v>
      </c>
      <c r="R171" s="106">
        <f t="shared" si="93"/>
        <v>6249943.6554982234</v>
      </c>
      <c r="S171" s="106">
        <f t="shared" si="93"/>
        <v>7001348.8694558311</v>
      </c>
      <c r="T171" s="106">
        <f t="shared" si="93"/>
        <v>7691328.657672937</v>
      </c>
      <c r="U171" s="106">
        <f t="shared" si="93"/>
        <v>8372787.7294265023</v>
      </c>
      <c r="V171" s="106">
        <f t="shared" si="93"/>
        <v>8197118.3110912526</v>
      </c>
      <c r="W171" s="106">
        <f t="shared" si="93"/>
        <v>8724063.8997965716</v>
      </c>
      <c r="X171" s="106">
        <f t="shared" si="93"/>
        <v>9143274.6647627186</v>
      </c>
      <c r="Y171" s="106">
        <f t="shared" si="93"/>
        <v>9496120.948575506</v>
      </c>
      <c r="Z171" s="106">
        <f t="shared" si="93"/>
        <v>9799403.1772528719</v>
      </c>
      <c r="AA171" s="106">
        <f t="shared" si="93"/>
        <v>10105415.853413552</v>
      </c>
    </row>
    <row r="172" spans="1:27" x14ac:dyDescent="0.25">
      <c r="C172" s="100"/>
      <c r="D172" s="100"/>
    </row>
    <row r="173" spans="1:27" x14ac:dyDescent="0.25">
      <c r="C173" s="100"/>
      <c r="D173" s="47" t="s">
        <v>687</v>
      </c>
    </row>
    <row r="174" spans="1:27" x14ac:dyDescent="0.25">
      <c r="C174" s="100"/>
      <c r="E174" s="47" t="s">
        <v>688</v>
      </c>
      <c r="F174" s="47" t="s">
        <v>655</v>
      </c>
      <c r="H174" s="47">
        <f t="shared" ref="H174:AA175" si="94">SUM(H93,H114,H135,H156)</f>
        <v>4861.369639849313</v>
      </c>
      <c r="I174" s="47">
        <f t="shared" si="94"/>
        <v>5266.0866048878797</v>
      </c>
      <c r="J174" s="47">
        <f t="shared" si="94"/>
        <v>4549.9551276203583</v>
      </c>
      <c r="K174" s="47">
        <f t="shared" si="94"/>
        <v>4676.1725655780074</v>
      </c>
      <c r="L174" s="47">
        <f t="shared" si="94"/>
        <v>4879.9050792588341</v>
      </c>
      <c r="M174" s="47">
        <f t="shared" si="94"/>
        <v>5228.7771473745006</v>
      </c>
      <c r="N174" s="47">
        <f t="shared" si="94"/>
        <v>5148.8917029555914</v>
      </c>
      <c r="O174" s="47">
        <f t="shared" si="94"/>
        <v>5483.3397440306453</v>
      </c>
      <c r="P174" s="47">
        <f t="shared" si="94"/>
        <v>5580.7846652525113</v>
      </c>
      <c r="Q174" s="47">
        <f t="shared" si="94"/>
        <v>5613.9441615576325</v>
      </c>
      <c r="R174" s="47">
        <f t="shared" si="94"/>
        <v>5612.1193851282678</v>
      </c>
      <c r="S174" s="47">
        <f t="shared" si="94"/>
        <v>5569.8015612835025</v>
      </c>
      <c r="T174" s="47">
        <f t="shared" si="94"/>
        <v>5455.4195737247101</v>
      </c>
      <c r="U174" s="47">
        <f t="shared" si="94"/>
        <v>5433.3048953606303</v>
      </c>
      <c r="V174" s="47">
        <f t="shared" si="94"/>
        <v>5379.8173606191503</v>
      </c>
      <c r="W174" s="47">
        <f t="shared" si="94"/>
        <v>5317.1460535922924</v>
      </c>
      <c r="X174" s="47">
        <f t="shared" si="94"/>
        <v>5224.9181507880148</v>
      </c>
      <c r="Y174" s="47">
        <f t="shared" si="94"/>
        <v>5001.9533918423203</v>
      </c>
      <c r="Z174" s="47">
        <f t="shared" si="94"/>
        <v>4736.9555371284005</v>
      </c>
      <c r="AA174" s="47">
        <f t="shared" si="94"/>
        <v>4482.595841698092</v>
      </c>
    </row>
    <row r="175" spans="1:27" x14ac:dyDescent="0.25">
      <c r="C175" s="100"/>
      <c r="D175" s="100"/>
      <c r="E175" s="47" t="s">
        <v>689</v>
      </c>
      <c r="F175" s="47" t="s">
        <v>655</v>
      </c>
      <c r="H175" s="47">
        <f t="shared" si="94"/>
        <v>4861.369639849313</v>
      </c>
      <c r="I175" s="47">
        <f t="shared" si="94"/>
        <v>10127.456244737194</v>
      </c>
      <c r="J175" s="47">
        <f t="shared" si="94"/>
        <v>14677.41137235755</v>
      </c>
      <c r="K175" s="47">
        <f t="shared" si="94"/>
        <v>19353.58393793556</v>
      </c>
      <c r="L175" s="47">
        <f t="shared" si="94"/>
        <v>24233.489017194392</v>
      </c>
      <c r="M175" s="47">
        <f t="shared" si="94"/>
        <v>29462.266164568893</v>
      </c>
      <c r="N175" s="47">
        <f t="shared" si="94"/>
        <v>34611.157867524482</v>
      </c>
      <c r="O175" s="47">
        <f t="shared" si="94"/>
        <v>40094.497611555133</v>
      </c>
      <c r="P175" s="47">
        <f t="shared" si="94"/>
        <v>45675.282276807644</v>
      </c>
      <c r="Q175" s="47">
        <f t="shared" si="94"/>
        <v>51289.226438365273</v>
      </c>
      <c r="R175" s="47">
        <f t="shared" si="94"/>
        <v>56901.345823493539</v>
      </c>
      <c r="S175" s="47">
        <f t="shared" si="94"/>
        <v>62471.147384777047</v>
      </c>
      <c r="T175" s="47">
        <f t="shared" si="94"/>
        <v>67926.56695850176</v>
      </c>
      <c r="U175" s="47">
        <f t="shared" si="94"/>
        <v>73359.87185386238</v>
      </c>
      <c r="V175" s="47">
        <f t="shared" si="94"/>
        <v>78739.689214481536</v>
      </c>
      <c r="W175" s="47">
        <f t="shared" si="94"/>
        <v>84056.835268073832</v>
      </c>
      <c r="X175" s="47">
        <f t="shared" si="94"/>
        <v>89281.753418861845</v>
      </c>
      <c r="Y175" s="47">
        <f t="shared" si="94"/>
        <v>94283.706810704156</v>
      </c>
      <c r="Z175" s="47">
        <f t="shared" si="94"/>
        <v>99020.662347832564</v>
      </c>
      <c r="AA175" s="47">
        <f t="shared" si="94"/>
        <v>103503.25818953065</v>
      </c>
    </row>
    <row r="176" spans="1:27" x14ac:dyDescent="0.25">
      <c r="C176" s="100"/>
      <c r="D176" s="100"/>
      <c r="E176" s="47" t="s">
        <v>690</v>
      </c>
      <c r="F176" s="47" t="s">
        <v>676</v>
      </c>
      <c r="H176" s="106">
        <f t="shared" ref="H176:AA177" si="95">SUM(H107,H128,H149,H170)</f>
        <v>819.69370923379779</v>
      </c>
      <c r="I176" s="106">
        <f t="shared" si="95"/>
        <v>1680.94543944572</v>
      </c>
      <c r="J176" s="106">
        <f t="shared" si="95"/>
        <v>2442.5413437117395</v>
      </c>
      <c r="K176" s="106">
        <f t="shared" si="95"/>
        <v>3238.9859350058764</v>
      </c>
      <c r="L176" s="106">
        <f t="shared" si="95"/>
        <v>4049.6916257777261</v>
      </c>
      <c r="M176" s="106">
        <f t="shared" si="95"/>
        <v>4926.9722757315549</v>
      </c>
      <c r="N176" s="106">
        <f t="shared" si="95"/>
        <v>5788.7372508778426</v>
      </c>
      <c r="O176" s="106">
        <f t="shared" si="95"/>
        <v>6721.2767996467283</v>
      </c>
      <c r="P176" s="106">
        <f t="shared" si="95"/>
        <v>7623.4082614142662</v>
      </c>
      <c r="Q176" s="106">
        <f t="shared" si="95"/>
        <v>8540.2873211275328</v>
      </c>
      <c r="R176" s="106">
        <f t="shared" si="95"/>
        <v>9445.0756805397486</v>
      </c>
      <c r="S176" s="106">
        <f t="shared" si="95"/>
        <v>10359.114337439602</v>
      </c>
      <c r="T176" s="106">
        <f t="shared" si="95"/>
        <v>11184.249484612019</v>
      </c>
      <c r="U176" s="106">
        <f t="shared" si="95"/>
        <v>12023.849333589333</v>
      </c>
      <c r="V176" s="106">
        <f t="shared" si="95"/>
        <v>12844.912764075099</v>
      </c>
      <c r="W176" s="106">
        <f t="shared" si="95"/>
        <v>13678.219474650336</v>
      </c>
      <c r="X176" s="106">
        <f t="shared" si="95"/>
        <v>14375.980805214955</v>
      </c>
      <c r="Y176" s="106">
        <f t="shared" si="95"/>
        <v>15101.018686139309</v>
      </c>
      <c r="Z176" s="106">
        <f t="shared" si="95"/>
        <v>15779.210483890382</v>
      </c>
      <c r="AA176" s="106">
        <f t="shared" si="95"/>
        <v>16464.36698368283</v>
      </c>
    </row>
    <row r="177" spans="1:27" x14ac:dyDescent="0.25">
      <c r="C177" s="100"/>
      <c r="D177" s="100"/>
      <c r="E177" s="47" t="s">
        <v>691</v>
      </c>
      <c r="F177" s="47" t="s">
        <v>639</v>
      </c>
      <c r="H177" s="106">
        <f t="shared" si="95"/>
        <v>3039930.2384739602</v>
      </c>
      <c r="I177" s="106">
        <f t="shared" si="95"/>
        <v>6326277.7924020924</v>
      </c>
      <c r="J177" s="106">
        <f t="shared" si="95"/>
        <v>9287067.3066609986</v>
      </c>
      <c r="K177" s="106">
        <f t="shared" si="95"/>
        <v>12429204.233567234</v>
      </c>
      <c r="L177" s="106">
        <f t="shared" si="95"/>
        <v>15683708.251446003</v>
      </c>
      <c r="M177" s="106">
        <f t="shared" si="95"/>
        <v>19275592.809558649</v>
      </c>
      <c r="N177" s="106">
        <f t="shared" si="95"/>
        <v>22875784.47557918</v>
      </c>
      <c r="O177" s="106">
        <f t="shared" si="95"/>
        <v>26803150.268226504</v>
      </c>
      <c r="P177" s="106">
        <f t="shared" si="95"/>
        <v>30726775.727540869</v>
      </c>
      <c r="Q177" s="106">
        <f t="shared" si="95"/>
        <v>33854382.720780715</v>
      </c>
      <c r="R177" s="106">
        <f t="shared" si="95"/>
        <v>37448043.552385472</v>
      </c>
      <c r="S177" s="106">
        <f t="shared" si="95"/>
        <v>41062087.463619463</v>
      </c>
      <c r="T177" s="106">
        <f t="shared" si="95"/>
        <v>44406719.629440211</v>
      </c>
      <c r="U177" s="106">
        <f t="shared" si="95"/>
        <v>47790123.152018934</v>
      </c>
      <c r="V177" s="106">
        <f t="shared" si="95"/>
        <v>47134501.60281083</v>
      </c>
      <c r="W177" s="106">
        <f t="shared" si="95"/>
        <v>50231616.343917102</v>
      </c>
      <c r="X177" s="106">
        <f t="shared" si="95"/>
        <v>52980297.029667705</v>
      </c>
      <c r="Y177" s="106">
        <f t="shared" si="95"/>
        <v>55772967.907854952</v>
      </c>
      <c r="Z177" s="106">
        <f t="shared" si="95"/>
        <v>58402254.382691607</v>
      </c>
      <c r="AA177" s="106">
        <f t="shared" si="95"/>
        <v>60992533.783200845</v>
      </c>
    </row>
    <row r="178" spans="1:27" x14ac:dyDescent="0.25">
      <c r="C178" s="100"/>
      <c r="D178" s="100"/>
    </row>
    <row r="179" spans="1:27" x14ac:dyDescent="0.25">
      <c r="C179" s="100"/>
      <c r="D179" s="100"/>
      <c r="E179" s="111" t="s">
        <v>692</v>
      </c>
      <c r="F179" s="111" t="s">
        <v>693</v>
      </c>
      <c r="G179" s="111"/>
      <c r="H179" s="112">
        <f>H176*1000/H175</f>
        <v>168.61373850584332</v>
      </c>
      <c r="I179" s="112">
        <f t="shared" ref="I179:AA179" si="96">I176*1000/I175</f>
        <v>165.97903746256475</v>
      </c>
      <c r="J179" s="112">
        <f t="shared" si="96"/>
        <v>166.41499524308881</v>
      </c>
      <c r="K179" s="112">
        <f t="shared" si="96"/>
        <v>167.35845646950378</v>
      </c>
      <c r="L179" s="112">
        <f t="shared" si="96"/>
        <v>167.11137314582922</v>
      </c>
      <c r="M179" s="112">
        <f t="shared" si="96"/>
        <v>167.22991531644962</v>
      </c>
      <c r="N179" s="112">
        <f t="shared" si="96"/>
        <v>167.25060955875713</v>
      </c>
      <c r="O179" s="112">
        <f t="shared" si="96"/>
        <v>167.63589021027349</v>
      </c>
      <c r="P179" s="112">
        <f t="shared" si="96"/>
        <v>166.90445863506298</v>
      </c>
      <c r="Q179" s="112">
        <f t="shared" si="96"/>
        <v>166.5123051015494</v>
      </c>
      <c r="R179" s="112">
        <f t="shared" si="96"/>
        <v>165.99037410886771</v>
      </c>
      <c r="S179" s="112">
        <f t="shared" si="96"/>
        <v>165.82237994821764</v>
      </c>
      <c r="T179" s="112">
        <f t="shared" si="96"/>
        <v>164.65206450731995</v>
      </c>
      <c r="U179" s="112">
        <f t="shared" si="96"/>
        <v>163.90226740774057</v>
      </c>
      <c r="V179" s="112">
        <f t="shared" si="96"/>
        <v>163.13136224206363</v>
      </c>
      <c r="W179" s="112">
        <f t="shared" si="96"/>
        <v>162.72584413900185</v>
      </c>
      <c r="X179" s="112">
        <f t="shared" si="96"/>
        <v>161.01812805770743</v>
      </c>
      <c r="Y179" s="112">
        <f t="shared" si="96"/>
        <v>160.16572955132125</v>
      </c>
      <c r="Z179" s="112">
        <f t="shared" si="96"/>
        <v>159.35270588740681</v>
      </c>
      <c r="AA179" s="112">
        <f t="shared" si="96"/>
        <v>159.07100193439322</v>
      </c>
    </row>
    <row r="180" spans="1:27" x14ac:dyDescent="0.25">
      <c r="C180" s="100"/>
      <c r="D180" s="100"/>
      <c r="E180" s="111" t="s">
        <v>694</v>
      </c>
      <c r="F180" s="111" t="s">
        <v>695</v>
      </c>
      <c r="G180" s="111"/>
      <c r="H180" s="112">
        <f>H177/H175</f>
        <v>625.32382099794177</v>
      </c>
      <c r="I180" s="112">
        <f t="shared" ref="I180:AA180" si="97">I177/I175</f>
        <v>624.6660207186369</v>
      </c>
      <c r="J180" s="112">
        <f t="shared" si="97"/>
        <v>632.74558919508365</v>
      </c>
      <c r="K180" s="112">
        <f t="shared" si="97"/>
        <v>642.21718692651882</v>
      </c>
      <c r="L180" s="112">
        <f t="shared" si="97"/>
        <v>647.19150594938844</v>
      </c>
      <c r="M180" s="112">
        <f t="shared" si="97"/>
        <v>654.24678135381646</v>
      </c>
      <c r="N180" s="112">
        <f t="shared" si="97"/>
        <v>660.93670033048625</v>
      </c>
      <c r="O180" s="112">
        <f t="shared" si="97"/>
        <v>668.49946663259607</v>
      </c>
      <c r="P180" s="112">
        <f t="shared" si="97"/>
        <v>672.72218573989812</v>
      </c>
      <c r="Q180" s="112">
        <f t="shared" si="97"/>
        <v>660.0681092639179</v>
      </c>
      <c r="R180" s="112">
        <f t="shared" si="97"/>
        <v>658.12228182701176</v>
      </c>
      <c r="S180" s="112">
        <f t="shared" si="97"/>
        <v>657.29683514065664</v>
      </c>
      <c r="T180" s="112">
        <f t="shared" si="97"/>
        <v>653.74597330333972</v>
      </c>
      <c r="U180" s="112">
        <f t="shared" si="97"/>
        <v>651.44774580877072</v>
      </c>
      <c r="V180" s="112">
        <f t="shared" si="97"/>
        <v>598.61173028534142</v>
      </c>
      <c r="W180" s="112">
        <f t="shared" si="97"/>
        <v>597.5910963542533</v>
      </c>
      <c r="X180" s="112">
        <f t="shared" si="97"/>
        <v>593.40565122094677</v>
      </c>
      <c r="Y180" s="112">
        <f t="shared" si="97"/>
        <v>591.54407261301026</v>
      </c>
      <c r="Z180" s="112">
        <f t="shared" si="97"/>
        <v>589.79866421757936</v>
      </c>
      <c r="AA180" s="112">
        <f t="shared" si="97"/>
        <v>589.28129268659325</v>
      </c>
    </row>
    <row r="181" spans="1:27" x14ac:dyDescent="0.25">
      <c r="C181" s="100"/>
      <c r="D181" s="100"/>
      <c r="E181" s="111" t="s">
        <v>696</v>
      </c>
      <c r="F181" s="111" t="s">
        <v>697</v>
      </c>
      <c r="G181" s="111"/>
      <c r="H181" s="112">
        <f>H177/H176</f>
        <v>3708.6172606051973</v>
      </c>
      <c r="I181" s="112">
        <f t="shared" ref="I181:AA181" si="98">I177/I176</f>
        <v>3763.5235766415703</v>
      </c>
      <c r="J181" s="112">
        <f t="shared" si="98"/>
        <v>3802.2149883236643</v>
      </c>
      <c r="K181" s="112">
        <f t="shared" si="98"/>
        <v>3837.3751794463055</v>
      </c>
      <c r="L181" s="112">
        <f t="shared" si="98"/>
        <v>3872.8154389864226</v>
      </c>
      <c r="M181" s="112">
        <f t="shared" si="98"/>
        <v>3912.2592397166709</v>
      </c>
      <c r="N181" s="112">
        <f t="shared" si="98"/>
        <v>3951.7745380670272</v>
      </c>
      <c r="O181" s="112">
        <f t="shared" si="98"/>
        <v>3987.8063450139834</v>
      </c>
      <c r="P181" s="112">
        <f t="shared" si="98"/>
        <v>4030.5824735983051</v>
      </c>
      <c r="Q181" s="112">
        <f t="shared" si="98"/>
        <v>3964.0800652021958</v>
      </c>
      <c r="R181" s="112">
        <f t="shared" si="98"/>
        <v>3964.8219685038525</v>
      </c>
      <c r="S181" s="112">
        <f t="shared" si="98"/>
        <v>3963.8608211142232</v>
      </c>
      <c r="T181" s="112">
        <f t="shared" si="98"/>
        <v>3970.4693364125787</v>
      </c>
      <c r="U181" s="112">
        <f t="shared" si="98"/>
        <v>3974.6109441436865</v>
      </c>
      <c r="V181" s="112">
        <f t="shared" si="98"/>
        <v>3669.5073348133214</v>
      </c>
      <c r="W181" s="112">
        <f t="shared" si="98"/>
        <v>3672.3797594424259</v>
      </c>
      <c r="X181" s="112">
        <f t="shared" si="98"/>
        <v>3685.3344302218916</v>
      </c>
      <c r="Y181" s="112">
        <f t="shared" si="98"/>
        <v>3693.3248721191894</v>
      </c>
      <c r="Z181" s="112">
        <f t="shared" si="98"/>
        <v>3701.2152440907466</v>
      </c>
      <c r="AA181" s="112">
        <f t="shared" si="98"/>
        <v>3704.5173885912582</v>
      </c>
    </row>
    <row r="182" spans="1:27" x14ac:dyDescent="0.25">
      <c r="C182" s="100"/>
      <c r="D182" s="100"/>
    </row>
    <row r="183" spans="1:27" x14ac:dyDescent="0.25">
      <c r="C183" s="100" t="str">
        <f>"Incremental "&amp;VLOOKUP(G4,E320:F323,2,FALSE)&amp;" Charges"</f>
        <v>Incremental Bulk Water Charges</v>
      </c>
      <c r="H183" s="106"/>
      <c r="I183" s="106"/>
      <c r="J183" s="106"/>
      <c r="K183" s="106"/>
      <c r="L183" s="106"/>
      <c r="M183" s="106"/>
      <c r="N183" s="106"/>
      <c r="O183" s="106"/>
      <c r="P183" s="106"/>
      <c r="Q183" s="106"/>
      <c r="R183" s="106"/>
      <c r="S183" s="106"/>
      <c r="T183" s="106"/>
      <c r="U183" s="106"/>
      <c r="V183" s="106"/>
      <c r="W183" s="106"/>
      <c r="X183" s="106"/>
      <c r="Y183" s="106"/>
      <c r="Z183" s="106"/>
      <c r="AA183" s="106"/>
    </row>
    <row r="184" spans="1:27" x14ac:dyDescent="0.25">
      <c r="A184" s="101">
        <v>37</v>
      </c>
      <c r="E184" s="47" t="s">
        <v>698</v>
      </c>
      <c r="F184" s="47" t="s">
        <v>633</v>
      </c>
      <c r="H184" s="113">
        <f>IFERROR(SUMIFS('INPUT Opex'!AD$63:AD$72,'INPUT Opex'!$A$63:$A$72,$A$1)/SUMIFS('INPUT Opex'!AC$63:AC$72,'INPUT Opex'!$A$63:$A$72,$A$1)-1,0)</f>
        <v>6.8768910935264049E-3</v>
      </c>
      <c r="I184" s="113">
        <f>IFERROR(SUMIFS('INPUT Opex'!AE$63:AE$72,'INPUT Opex'!$A$63:$A$72,$A$1)/SUMIFS('INPUT Opex'!AD$63:AD$72,'INPUT Opex'!$A$63:$A$72,$A$1)-1,0)</f>
        <v>3.1926871099470233E-3</v>
      </c>
      <c r="J184" s="113">
        <f>IFERROR(SUMIFS('INPUT Opex'!AF$63:AF$72,'INPUT Opex'!$A$63:$A$72,$A$1)/SUMIFS('INPUT Opex'!AE$63:AE$72,'INPUT Opex'!$A$63:$A$72,$A$1)-1,0)</f>
        <v>1.3992162195061608E-2</v>
      </c>
      <c r="K184" s="113">
        <f>IFERROR(SUMIFS('INPUT Opex'!AG$63:AG$72,'INPUT Opex'!$A$63:$A$72,$A$1)/SUMIFS('INPUT Opex'!AF$63:AF$72,'INPUT Opex'!$A$63:$A$72,$A$1)-1,0)</f>
        <v>-4.3224380296185139E-3</v>
      </c>
      <c r="L184" s="113">
        <f>IFERROR(SUMIFS('INPUT Opex'!AH$63:AH$72,'INPUT Opex'!$A$63:$A$72,$A$1)/SUMIFS('INPUT Opex'!AG$63:AG$72,'INPUT Opex'!$A$63:$A$72,$A$1)-1,0)</f>
        <v>-3.7794056639656182E-3</v>
      </c>
      <c r="M184" s="113">
        <f>IFERROR(SUMIFS('INPUT Opex'!AI$63:AI$72,'INPUT Opex'!$A$63:$A$72,$A$1)/SUMIFS('INPUT Opex'!AH$63:AH$72,'INPUT Opex'!$A$63:$A$72,$A$1)-1,0)</f>
        <v>-4.1072086591843471E-3</v>
      </c>
      <c r="N184" s="113">
        <f>IFERROR(SUMIFS('INPUT Opex'!AJ$63:AJ$72,'INPUT Opex'!$A$63:$A$72,$A$1)/SUMIFS('INPUT Opex'!AI$63:AI$72,'INPUT Opex'!$A$63:$A$72,$A$1)-1,0)</f>
        <v>-3.6322355551021701E-3</v>
      </c>
      <c r="O184" s="113">
        <f>IFERROR(SUMIFS('INPUT Opex'!AK$63:AK$72,'INPUT Opex'!$A$63:$A$72,$A$1)/SUMIFS('INPUT Opex'!AJ$63:AJ$72,'INPUT Opex'!$A$63:$A$72,$A$1)-1,0)</f>
        <v>-2.7694108164314502E-3</v>
      </c>
      <c r="P184" s="113">
        <f>IFERROR(SUMIFS('INPUT Opex'!AL$63:AL$72,'INPUT Opex'!$A$63:$A$72,$A$1)/SUMIFS('INPUT Opex'!AK$63:AK$72,'INPUT Opex'!$A$63:$A$72,$A$1)-1,0)</f>
        <v>-2.8480121597856956E-3</v>
      </c>
      <c r="Q184" s="113">
        <f>IFERROR(SUMIFS('INPUT Opex'!AM$63:AM$72,'INPUT Opex'!$A$63:$A$72,$A$1)/SUMIFS('INPUT Opex'!AL$63:AL$72,'INPUT Opex'!$A$63:$A$72,$A$1)-1,0)</f>
        <v>-2.9896422106211462E-3</v>
      </c>
      <c r="R184" s="113">
        <f>IFERROR(SUMIFS('INPUT Opex'!AN$63:AN$72,'INPUT Opex'!$A$63:$A$72,$A$1)/SUMIFS('INPUT Opex'!AM$63:AM$72,'INPUT Opex'!$A$63:$A$72,$A$1)-1,0)</f>
        <v>-5.4047871050338925E-3</v>
      </c>
      <c r="S184" s="113">
        <f>IFERROR(SUMIFS('INPUT Opex'!AO$63:AO$72,'INPUT Opex'!$A$63:$A$72,$A$1)/SUMIFS('INPUT Opex'!AN$63:AN$72,'INPUT Opex'!$A$63:$A$72,$A$1)-1,0)</f>
        <v>-6.0279024366933776E-3</v>
      </c>
      <c r="T184" s="113">
        <f>IFERROR(SUMIFS('INPUT Opex'!AP$63:AP$72,'INPUT Opex'!$A$63:$A$72,$A$1)/SUMIFS('INPUT Opex'!AO$63:AO$72,'INPUT Opex'!$A$63:$A$72,$A$1)-1,0)</f>
        <v>-6.334194096298984E-3</v>
      </c>
      <c r="U184" s="113">
        <f>IFERROR(SUMIFS('INPUT Opex'!AQ$63:AQ$72,'INPUT Opex'!$A$63:$A$72,$A$1)/SUMIFS('INPUT Opex'!AP$63:AP$72,'INPUT Opex'!$A$63:$A$72,$A$1)-1,0)</f>
        <v>-6.5818558098561519E-3</v>
      </c>
      <c r="V184" s="113">
        <f>IFERROR(SUMIFS('INPUT Opex'!AR$63:AR$72,'INPUT Opex'!$A$63:$A$72,$A$1)/SUMIFS('INPUT Opex'!AQ$63:AQ$72,'INPUT Opex'!$A$63:$A$72,$A$1)-1,0)</f>
        <v>-6.9608785280507179E-3</v>
      </c>
      <c r="W184" s="113">
        <f>IFERROR(SUMIFS('INPUT Opex'!AS$63:AS$72,'INPUT Opex'!$A$63:$A$72,$A$1)/SUMIFS('INPUT Opex'!AR$63:AR$72,'INPUT Opex'!$A$63:$A$72,$A$1)-1,0)</f>
        <v>-7.3175024640516062E-3</v>
      </c>
      <c r="X184" s="113">
        <f>IFERROR(SUMIFS('INPUT Opex'!AT$63:AT$72,'INPUT Opex'!$A$63:$A$72,$A$1)/SUMIFS('INPUT Opex'!AS$63:AS$72,'INPUT Opex'!$A$63:$A$72,$A$1)-1,0)</f>
        <v>2.1006882993643838E-3</v>
      </c>
      <c r="Y184" s="113">
        <f>IFERROR(SUMIFS('INPUT Opex'!AU$63:AU$72,'INPUT Opex'!$A$63:$A$72,$A$1)/SUMIFS('INPUT Opex'!AT$63:AT$72,'INPUT Opex'!$A$63:$A$72,$A$1)-1,0)</f>
        <v>-4.0784281030639136E-3</v>
      </c>
      <c r="Z184" s="113">
        <f>IFERROR(SUMIFS('INPUT Opex'!AV$63:AV$72,'INPUT Opex'!$A$63:$A$72,$A$1)/SUMIFS('INPUT Opex'!AU$63:AU$72,'INPUT Opex'!$A$63:$A$72,$A$1)-1,0)</f>
        <v>-4.249855597616925E-3</v>
      </c>
      <c r="AA184" s="113">
        <f>IFERROR(SUMIFS('INPUT Opex'!AW$63:AW$72,'INPUT Opex'!$A$63:$A$72,$A$1)/SUMIFS('INPUT Opex'!AV$63:AV$72,'INPUT Opex'!$A$63:$A$72,$A$1)-1,0)</f>
        <v>-4.0339976538164013E-3</v>
      </c>
    </row>
    <row r="185" spans="1:27" x14ac:dyDescent="0.25">
      <c r="A185" s="101">
        <v>38</v>
      </c>
      <c r="E185" s="47" t="s">
        <v>699</v>
      </c>
      <c r="F185" s="47" t="s">
        <v>697</v>
      </c>
      <c r="G185" s="102">
        <f>SUMIFS('INPUT Opex'!AC$75:AC$80,'INPUT Opex'!$A$75:$A$80,$A$1)</f>
        <v>202.17546548888029</v>
      </c>
      <c r="H185" s="106">
        <f t="shared" ref="H185:AA185" si="99">G185*(1+$G$14)*(1+H184)</f>
        <v>203.56580414683032</v>
      </c>
      <c r="I185" s="106">
        <f t="shared" si="99"/>
        <v>204.21572606575592</v>
      </c>
      <c r="J185" s="106">
        <f t="shared" si="99"/>
        <v>207.07314562765023</v>
      </c>
      <c r="K185" s="106">
        <f t="shared" si="99"/>
        <v>206.17808478807655</v>
      </c>
      <c r="L185" s="106">
        <f t="shared" si="99"/>
        <v>205.39885416664291</v>
      </c>
      <c r="M185" s="106">
        <f t="shared" si="99"/>
        <v>204.55523821422312</v>
      </c>
      <c r="N185" s="106">
        <f t="shared" si="99"/>
        <v>203.81224540499903</v>
      </c>
      <c r="O185" s="106">
        <f t="shared" si="99"/>
        <v>203.24780556805325</v>
      </c>
      <c r="P185" s="106">
        <f t="shared" si="99"/>
        <v>202.66895334634569</v>
      </c>
      <c r="Q185" s="106">
        <f t="shared" si="99"/>
        <v>202.06304568863905</v>
      </c>
      <c r="R185" s="106">
        <f t="shared" si="99"/>
        <v>200.97093794489723</v>
      </c>
      <c r="S185" s="106">
        <f t="shared" si="99"/>
        <v>199.75950473835462</v>
      </c>
      <c r="T185" s="106">
        <f t="shared" si="99"/>
        <v>198.49418926276132</v>
      </c>
      <c r="U185" s="106">
        <f t="shared" si="99"/>
        <v>197.18772912993953</v>
      </c>
      <c r="V185" s="106">
        <f t="shared" si="99"/>
        <v>195.81512930024385</v>
      </c>
      <c r="W185" s="106">
        <f t="shared" si="99"/>
        <v>194.38225160909073</v>
      </c>
      <c r="X185" s="106">
        <f t="shared" si="99"/>
        <v>194.79058813065006</v>
      </c>
      <c r="Y185" s="106">
        <f t="shared" si="99"/>
        <v>193.99614872180567</v>
      </c>
      <c r="Z185" s="106">
        <f t="shared" si="99"/>
        <v>193.17169310324417</v>
      </c>
      <c r="AA185" s="106">
        <f t="shared" si="99"/>
        <v>192.39243894648195</v>
      </c>
    </row>
    <row r="186" spans="1:27" x14ac:dyDescent="0.25">
      <c r="A186" s="101">
        <v>39</v>
      </c>
      <c r="E186" s="47" t="s">
        <v>700</v>
      </c>
      <c r="F186" s="47" t="s">
        <v>639</v>
      </c>
      <c r="G186" s="106"/>
      <c r="H186" s="102">
        <f>SUMIFS('INPUT Opex'!AD$44:AD$53,'INPUT Opex'!$A$44:$A$53,$A$1)</f>
        <v>1116216.9899632428</v>
      </c>
      <c r="I186" s="102">
        <f>SUMIFS('INPUT Opex'!AE$44:AE$53,'INPUT Opex'!$A$44:$A$53,$A$1)</f>
        <v>2182315.538786456</v>
      </c>
      <c r="J186" s="102">
        <f>SUMIFS('INPUT Opex'!AF$44:AF$53,'INPUT Opex'!$A$44:$A$53,$A$1)</f>
        <v>3296388.8873571283</v>
      </c>
      <c r="K186" s="102">
        <f>SUMIFS('INPUT Opex'!AG$44:AG$53,'INPUT Opex'!$A$44:$A$53,$A$1)</f>
        <v>4130654.6682217778</v>
      </c>
      <c r="L186" s="102">
        <f>SUMIFS('INPUT Opex'!AH$44:AH$53,'INPUT Opex'!$A$44:$A$53,$A$1)</f>
        <v>4961613.1654872783</v>
      </c>
      <c r="M186" s="102">
        <f>SUMIFS('INPUT Opex'!AI$44:AI$53,'INPUT Opex'!$A$44:$A$53,$A$1)</f>
        <v>5805757.8047961714</v>
      </c>
      <c r="N186" s="102">
        <f>SUMIFS('INPUT Opex'!AJ$44:AJ$53,'INPUT Opex'!$A$44:$A$53,$A$1)</f>
        <v>6595407.7657588217</v>
      </c>
      <c r="O186" s="102">
        <f>SUMIFS('INPUT Opex'!AK$44:AK$53,'INPUT Opex'!$A$44:$A$53,$A$1)</f>
        <v>7413055.9294391461</v>
      </c>
      <c r="P186" s="102">
        <f>SUMIFS('INPUT Opex'!AL$44:AL$53,'INPUT Opex'!$A$44:$A$53,$A$1)</f>
        <v>8200896.2058651168</v>
      </c>
      <c r="Q186" s="102">
        <f>SUMIFS('INPUT Opex'!AM$44:AM$53,'INPUT Opex'!$A$44:$A$53,$A$1)</f>
        <v>8948027.5092728287</v>
      </c>
      <c r="R186" s="102">
        <f>SUMIFS('INPUT Opex'!AN$44:AN$53,'INPUT Opex'!$A$44:$A$53,$A$1)</f>
        <v>9611537.6076311767</v>
      </c>
      <c r="S186" s="102">
        <f>SUMIFS('INPUT Opex'!AO$44:AO$53,'INPUT Opex'!$A$44:$A$53,$A$1)</f>
        <v>10219531.818226123</v>
      </c>
      <c r="T186" s="102">
        <f>SUMIFS('INPUT Opex'!AP$44:AP$53,'INPUT Opex'!$A$44:$A$53,$A$1)</f>
        <v>10767727.154659638</v>
      </c>
      <c r="U186" s="102">
        <f>SUMIFS('INPUT Opex'!AQ$44:AQ$53,'INPUT Opex'!$A$44:$A$53,$A$1)</f>
        <v>11276447.739052648</v>
      </c>
      <c r="V186" s="102">
        <f>SUMIFS('INPUT Opex'!AR$44:AR$53,'INPUT Opex'!$A$44:$A$53,$A$1)</f>
        <v>11740371.339107985</v>
      </c>
      <c r="W186" s="102">
        <f>SUMIFS('INPUT Opex'!AS$44:AS$53,'INPUT Opex'!$A$44:$A$53,$A$1)</f>
        <v>12167215.519477339</v>
      </c>
      <c r="X186" s="102">
        <f>SUMIFS('INPUT Opex'!AT$44:AT$53,'INPUT Opex'!$A$44:$A$53,$A$1)</f>
        <v>12746595.942705905</v>
      </c>
      <c r="Y186" s="102">
        <f>SUMIFS('INPUT Opex'!AU$44:AU$53,'INPUT Opex'!$A$44:$A$53,$A$1)</f>
        <v>13159479.071702356</v>
      </c>
      <c r="Z186" s="102">
        <f>SUMIFS('INPUT Opex'!AV$44:AV$53,'INPUT Opex'!$A$44:$A$53,$A$1)</f>
        <v>13516366.532358466</v>
      </c>
      <c r="AA186" s="102">
        <f>SUMIFS('INPUT Opex'!AW$44:AW$53,'INPUT Opex'!$A$44:$A$53,$A$1)</f>
        <v>13823613.793674022</v>
      </c>
    </row>
    <row r="187" spans="1:27" x14ac:dyDescent="0.25">
      <c r="E187" s="47" t="s">
        <v>701</v>
      </c>
      <c r="F187" s="47" t="s">
        <v>639</v>
      </c>
      <c r="H187" s="106">
        <f>H185*H176+H186</f>
        <v>1283078.599037519</v>
      </c>
      <c r="I187" s="106">
        <f t="shared" ref="I187:AA187" si="100">I185*I176+I186</f>
        <v>2525591.032179785</v>
      </c>
      <c r="J187" s="106">
        <f t="shared" si="100"/>
        <v>3802173.606725106</v>
      </c>
      <c r="K187" s="106">
        <f t="shared" si="100"/>
        <v>4798462.5849568071</v>
      </c>
      <c r="L187" s="106">
        <f t="shared" si="100"/>
        <v>5793415.1851502722</v>
      </c>
      <c r="M187" s="106">
        <f t="shared" si="100"/>
        <v>6813595.7923333123</v>
      </c>
      <c r="N187" s="106">
        <f t="shared" si="100"/>
        <v>7775223.3029197957</v>
      </c>
      <c r="O187" s="106">
        <f t="shared" si="100"/>
        <v>8779140.6895828117</v>
      </c>
      <c r="P187" s="106">
        <f t="shared" si="100"/>
        <v>9745924.3791378308</v>
      </c>
      <c r="Q187" s="106">
        <f t="shared" si="100"/>
        <v>10673703.976435926</v>
      </c>
      <c r="R187" s="106">
        <f t="shared" si="100"/>
        <v>11509723.326109789</v>
      </c>
      <c r="S187" s="106">
        <f t="shared" si="100"/>
        <v>12288863.367801046</v>
      </c>
      <c r="T187" s="106">
        <f t="shared" si="100"/>
        <v>12987735.688620158</v>
      </c>
      <c r="U187" s="106">
        <f t="shared" si="100"/>
        <v>13647403.284543665</v>
      </c>
      <c r="V187" s="106">
        <f t="shared" si="100"/>
        <v>14255599.592855703</v>
      </c>
      <c r="W187" s="106">
        <f t="shared" si="100"/>
        <v>14826018.618963186</v>
      </c>
      <c r="X187" s="106">
        <f t="shared" si="100"/>
        <v>15546901.698708663</v>
      </c>
      <c r="Y187" s="106">
        <f t="shared" si="100"/>
        <v>16089018.538589403</v>
      </c>
      <c r="Z187" s="106">
        <f t="shared" si="100"/>
        <v>16564463.337364031</v>
      </c>
      <c r="AA187" s="106">
        <f t="shared" si="100"/>
        <v>16991233.513374694</v>
      </c>
    </row>
    <row r="188" spans="1:27" x14ac:dyDescent="0.25">
      <c r="H188" s="106"/>
      <c r="I188" s="106"/>
      <c r="J188" s="106"/>
      <c r="K188" s="106"/>
      <c r="L188" s="106"/>
      <c r="M188" s="106"/>
      <c r="N188" s="106"/>
      <c r="O188" s="106"/>
      <c r="P188" s="106"/>
      <c r="Q188" s="106"/>
      <c r="R188" s="106"/>
      <c r="S188" s="106"/>
      <c r="T188" s="106"/>
      <c r="U188" s="106"/>
      <c r="V188" s="106"/>
      <c r="W188" s="106"/>
      <c r="X188" s="106"/>
      <c r="Y188" s="106"/>
      <c r="Z188" s="106"/>
      <c r="AA188" s="106"/>
    </row>
    <row r="189" spans="1:27" x14ac:dyDescent="0.25">
      <c r="C189" s="100" t="s">
        <v>702</v>
      </c>
      <c r="G189" s="106"/>
    </row>
    <row r="190" spans="1:27" x14ac:dyDescent="0.25">
      <c r="C190" s="100"/>
      <c r="D190" s="47" t="s">
        <v>703</v>
      </c>
      <c r="G190" s="106"/>
    </row>
    <row r="191" spans="1:27" x14ac:dyDescent="0.25">
      <c r="A191" s="101">
        <v>40</v>
      </c>
      <c r="C191" s="100"/>
      <c r="E191" s="47" t="s">
        <v>704</v>
      </c>
      <c r="G191" s="106"/>
      <c r="H191" s="105">
        <f>SUMIFS('INPUT Opex'!AD$97:AD$100,'INPUT Opex'!$C$97:$C$100,$G$4)</f>
        <v>-1.9057359833210552E-2</v>
      </c>
      <c r="I191" s="105">
        <f>SUMIFS('INPUT Opex'!AE$97:AE$100,'INPUT Opex'!$C$97:$C$100,$G$4)</f>
        <v>-2.9278761105415385E-2</v>
      </c>
      <c r="J191" s="105">
        <f>SUMIFS('INPUT Opex'!AF$97:AF$100,'INPUT Opex'!$C$97:$C$100,$G$4)</f>
        <v>-2.5036762703973814E-2</v>
      </c>
      <c r="K191" s="105">
        <f>SUMIFS('INPUT Opex'!AG$97:AG$100,'INPUT Opex'!$C$97:$C$100,$G$4)</f>
        <v>-1.7460758340258731E-2</v>
      </c>
      <c r="L191" s="105">
        <f>SUMIFS('INPUT Opex'!AH$97:AH$100,'INPUT Opex'!$C$97:$C$100,$G$4)</f>
        <v>-1.4449368353551373E-2</v>
      </c>
      <c r="M191" s="105">
        <f>SUMIFS('INPUT Opex'!AI$97:AI$100,'INPUT Opex'!$C$97:$C$100,$G$4)</f>
        <v>-1.4414924226396675E-2</v>
      </c>
      <c r="N191" s="105">
        <f>SUMIFS('INPUT Opex'!AJ$97:AJ$100,'INPUT Opex'!$C$97:$C$100,$G$4)</f>
        <v>-1.4371220590543077E-2</v>
      </c>
      <c r="O191" s="105">
        <f>SUMIFS('INPUT Opex'!AK$97:AK$100,'INPUT Opex'!$C$97:$C$100,$G$4)</f>
        <v>-1.4368035038630489E-2</v>
      </c>
      <c r="P191" s="105">
        <f>SUMIFS('INPUT Opex'!AL$97:AL$100,'INPUT Opex'!$C$97:$C$100,$G$4)</f>
        <v>-1.4350252639717898E-2</v>
      </c>
      <c r="Q191" s="105">
        <f>SUMIFS('INPUT Opex'!AM$97:AM$100,'INPUT Opex'!$C$97:$C$100,$G$4)</f>
        <v>0</v>
      </c>
      <c r="R191" s="105">
        <f>SUMIFS('INPUT Opex'!AN$97:AN$100,'INPUT Opex'!$C$97:$C$100,$G$4)</f>
        <v>0</v>
      </c>
      <c r="S191" s="105">
        <f>SUMIFS('INPUT Opex'!AO$97:AO$100,'INPUT Opex'!$C$97:$C$100,$G$4)</f>
        <v>0</v>
      </c>
      <c r="T191" s="105">
        <f>SUMIFS('INPUT Opex'!AP$97:AP$100,'INPUT Opex'!$C$97:$C$100,$G$4)</f>
        <v>0</v>
      </c>
      <c r="U191" s="105">
        <f>SUMIFS('INPUT Opex'!AQ$97:AQ$100,'INPUT Opex'!$C$97:$C$100,$G$4)</f>
        <v>0</v>
      </c>
      <c r="V191" s="105">
        <f>SUMIFS('INPUT Opex'!AR$97:AR$100,'INPUT Opex'!$C$97:$C$100,$G$4)</f>
        <v>0</v>
      </c>
      <c r="W191" s="105">
        <f>SUMIFS('INPUT Opex'!AS$97:AS$100,'INPUT Opex'!$C$97:$C$100,$G$4)</f>
        <v>0</v>
      </c>
      <c r="X191" s="105">
        <f>SUMIFS('INPUT Opex'!AT$97:AT$100,'INPUT Opex'!$C$97:$C$100,$G$4)</f>
        <v>0</v>
      </c>
      <c r="Y191" s="105">
        <f>SUMIFS('INPUT Opex'!AU$97:AU$100,'INPUT Opex'!$C$97:$C$100,$G$4)</f>
        <v>0</v>
      </c>
      <c r="Z191" s="105">
        <f>SUMIFS('INPUT Opex'!AV$97:AV$100,'INPUT Opex'!$C$97:$C$100,$G$4)</f>
        <v>0</v>
      </c>
      <c r="AA191" s="105">
        <f>SUMIFS('INPUT Opex'!AW$97:AW$100,'INPUT Opex'!$C$97:$C$100,$G$4)</f>
        <v>0</v>
      </c>
    </row>
    <row r="192" spans="1:27" x14ac:dyDescent="0.25">
      <c r="A192" s="101">
        <v>41</v>
      </c>
      <c r="E192" s="47" t="s">
        <v>705</v>
      </c>
      <c r="F192" s="47" t="s">
        <v>695</v>
      </c>
      <c r="G192" s="114">
        <f>SUMIFS('INPUT Opex'!AC$97:AC$100,'INPUT Opex'!$C$97:$C$100,$G$4)</f>
        <v>144.27171521903412</v>
      </c>
      <c r="H192" s="106">
        <f t="shared" ref="H192:W193" si="101">G192*(1+$G$14)*(1+H$191)</f>
        <v>141.5222772283505</v>
      </c>
      <c r="I192" s="106">
        <f t="shared" si="101"/>
        <v>137.37868028228726</v>
      </c>
      <c r="J192" s="106">
        <f t="shared" si="101"/>
        <v>133.93916286347456</v>
      </c>
      <c r="K192" s="106">
        <f t="shared" si="101"/>
        <v>131.60048350841888</v>
      </c>
      <c r="L192" s="106">
        <f t="shared" si="101"/>
        <v>129.69893964670027</v>
      </c>
      <c r="M192" s="106">
        <f t="shared" si="101"/>
        <v>127.82933925944909</v>
      </c>
      <c r="N192" s="106">
        <f t="shared" si="101"/>
        <v>125.99227562700817</v>
      </c>
      <c r="O192" s="106">
        <f t="shared" si="101"/>
        <v>124.18201419620253</v>
      </c>
      <c r="P192" s="106">
        <f t="shared" si="101"/>
        <v>122.39997091917799</v>
      </c>
      <c r="Q192" s="106">
        <f t="shared" si="101"/>
        <v>122.39997091917799</v>
      </c>
      <c r="R192" s="106">
        <f t="shared" si="101"/>
        <v>122.39997091917799</v>
      </c>
      <c r="S192" s="106">
        <f t="shared" si="101"/>
        <v>122.39997091917799</v>
      </c>
      <c r="T192" s="106">
        <f t="shared" si="101"/>
        <v>122.39997091917799</v>
      </c>
      <c r="U192" s="106">
        <f t="shared" si="101"/>
        <v>122.39997091917799</v>
      </c>
      <c r="V192" s="106">
        <f t="shared" si="101"/>
        <v>122.39997091917799</v>
      </c>
      <c r="W192" s="106">
        <f t="shared" si="101"/>
        <v>122.39997091917799</v>
      </c>
      <c r="X192" s="106">
        <f t="shared" ref="X192:AA193" si="102">W192*(1+$G$14)*(1+X$191)</f>
        <v>122.39997091917799</v>
      </c>
      <c r="Y192" s="106">
        <f t="shared" si="102"/>
        <v>122.39997091917799</v>
      </c>
      <c r="Z192" s="106">
        <f t="shared" si="102"/>
        <v>122.39997091917799</v>
      </c>
      <c r="AA192" s="106">
        <f t="shared" si="102"/>
        <v>122.39997091917799</v>
      </c>
    </row>
    <row r="193" spans="1:29" x14ac:dyDescent="0.25">
      <c r="A193" s="101">
        <v>42</v>
      </c>
      <c r="E193" s="47" t="s">
        <v>706</v>
      </c>
      <c r="F193" s="47" t="s">
        <v>697</v>
      </c>
      <c r="G193" s="102"/>
      <c r="H193" s="106">
        <f>G193*(1+$G$14)*(1+H$191)</f>
        <v>0</v>
      </c>
      <c r="I193" s="106">
        <f t="shared" si="101"/>
        <v>0</v>
      </c>
      <c r="J193" s="106">
        <f t="shared" si="101"/>
        <v>0</v>
      </c>
      <c r="K193" s="106">
        <f t="shared" si="101"/>
        <v>0</v>
      </c>
      <c r="L193" s="106">
        <f t="shared" si="101"/>
        <v>0</v>
      </c>
      <c r="M193" s="106">
        <f t="shared" si="101"/>
        <v>0</v>
      </c>
      <c r="N193" s="106">
        <f t="shared" si="101"/>
        <v>0</v>
      </c>
      <c r="O193" s="106">
        <f t="shared" si="101"/>
        <v>0</v>
      </c>
      <c r="P193" s="106">
        <f t="shared" si="101"/>
        <v>0</v>
      </c>
      <c r="Q193" s="106">
        <f t="shared" si="101"/>
        <v>0</v>
      </c>
      <c r="R193" s="106">
        <f t="shared" si="101"/>
        <v>0</v>
      </c>
      <c r="S193" s="106">
        <f t="shared" si="101"/>
        <v>0</v>
      </c>
      <c r="T193" s="106">
        <f t="shared" si="101"/>
        <v>0</v>
      </c>
      <c r="U193" s="106">
        <f t="shared" si="101"/>
        <v>0</v>
      </c>
      <c r="V193" s="106">
        <f t="shared" si="101"/>
        <v>0</v>
      </c>
      <c r="W193" s="106">
        <f t="shared" si="101"/>
        <v>0</v>
      </c>
      <c r="X193" s="106">
        <f t="shared" si="102"/>
        <v>0</v>
      </c>
      <c r="Y193" s="106">
        <f t="shared" si="102"/>
        <v>0</v>
      </c>
      <c r="Z193" s="106">
        <f t="shared" si="102"/>
        <v>0</v>
      </c>
      <c r="AA193" s="106">
        <f t="shared" si="102"/>
        <v>0</v>
      </c>
    </row>
    <row r="194" spans="1:29" x14ac:dyDescent="0.25">
      <c r="A194" s="101">
        <v>43</v>
      </c>
      <c r="E194" s="47" t="s">
        <v>707</v>
      </c>
      <c r="F194" s="47" t="s">
        <v>639</v>
      </c>
      <c r="G194" s="106"/>
      <c r="H194" s="102"/>
      <c r="I194" s="102"/>
      <c r="J194" s="102"/>
      <c r="K194" s="102"/>
      <c r="L194" s="102"/>
      <c r="M194" s="102"/>
      <c r="N194" s="102"/>
      <c r="O194" s="102"/>
      <c r="P194" s="102"/>
      <c r="Q194" s="102"/>
      <c r="R194" s="102"/>
      <c r="S194" s="102"/>
      <c r="T194" s="102"/>
      <c r="U194" s="102"/>
      <c r="V194" s="102"/>
      <c r="W194" s="102"/>
      <c r="X194" s="102"/>
      <c r="Y194" s="102"/>
      <c r="Z194" s="102"/>
      <c r="AA194" s="102"/>
    </row>
    <row r="195" spans="1:29" x14ac:dyDescent="0.25">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row>
    <row r="196" spans="1:29" x14ac:dyDescent="0.25">
      <c r="D196" s="47" t="s">
        <v>708</v>
      </c>
      <c r="G196" s="101"/>
      <c r="H196" s="101"/>
      <c r="I196" s="101"/>
      <c r="J196" s="101"/>
      <c r="K196" s="101"/>
      <c r="L196" s="101"/>
      <c r="M196" s="101"/>
      <c r="N196" s="101"/>
      <c r="O196" s="101"/>
      <c r="P196" s="101"/>
      <c r="Q196" s="101"/>
      <c r="R196" s="101"/>
      <c r="S196" s="101"/>
      <c r="T196" s="101"/>
      <c r="U196" s="101"/>
      <c r="V196" s="101"/>
      <c r="W196" s="101"/>
      <c r="X196" s="101"/>
      <c r="Y196" s="101"/>
      <c r="Z196" s="101"/>
      <c r="AA196" s="101"/>
    </row>
    <row r="197" spans="1:29" x14ac:dyDescent="0.25">
      <c r="A197" s="101">
        <v>44</v>
      </c>
      <c r="E197" s="47" t="s">
        <v>706</v>
      </c>
      <c r="F197" s="47" t="s">
        <v>697</v>
      </c>
      <c r="G197" s="101"/>
      <c r="H197" s="102"/>
      <c r="I197" s="102"/>
      <c r="J197" s="102"/>
      <c r="K197" s="102"/>
      <c r="L197" s="102"/>
      <c r="M197" s="102"/>
      <c r="N197" s="102"/>
      <c r="O197" s="102"/>
      <c r="P197" s="102"/>
      <c r="Q197" s="102"/>
      <c r="R197" s="102"/>
      <c r="S197" s="102"/>
      <c r="T197" s="102"/>
      <c r="U197" s="102"/>
      <c r="V197" s="102"/>
      <c r="W197" s="102"/>
      <c r="X197" s="102"/>
      <c r="Y197" s="102"/>
      <c r="Z197" s="102"/>
      <c r="AA197" s="102"/>
    </row>
    <row r="198" spans="1:29" x14ac:dyDescent="0.25">
      <c r="A198" s="101">
        <v>45</v>
      </c>
      <c r="E198" s="47" t="s">
        <v>707</v>
      </c>
      <c r="F198" s="47" t="s">
        <v>639</v>
      </c>
      <c r="G198" s="106"/>
      <c r="H198" s="102"/>
      <c r="I198" s="102"/>
      <c r="J198" s="102"/>
      <c r="K198" s="102"/>
      <c r="L198" s="102"/>
      <c r="M198" s="102"/>
      <c r="N198" s="102"/>
      <c r="O198" s="102"/>
      <c r="P198" s="102"/>
      <c r="Q198" s="102"/>
      <c r="R198" s="102"/>
      <c r="S198" s="102"/>
      <c r="T198" s="102"/>
      <c r="U198" s="102"/>
      <c r="V198" s="102"/>
      <c r="W198" s="102"/>
      <c r="X198" s="102"/>
      <c r="Y198" s="102"/>
      <c r="Z198" s="102"/>
      <c r="AA198" s="102"/>
    </row>
    <row r="199" spans="1:29" x14ac:dyDescent="0.25">
      <c r="G199" s="106"/>
    </row>
    <row r="200" spans="1:29" x14ac:dyDescent="0.25">
      <c r="E200" s="47" t="s">
        <v>702</v>
      </c>
      <c r="F200" s="47" t="s">
        <v>639</v>
      </c>
      <c r="G200" s="106"/>
      <c r="H200" s="106">
        <f>H192*H175+(H193+H197)*H176+H194+H198</f>
        <v>687992.10188024095</v>
      </c>
      <c r="I200" s="106">
        <f t="shared" ref="I200:AA200" si="103">I192*I175+(I193+I197)*I176+I194+I198</f>
        <v>1391296.5735186045</v>
      </c>
      <c r="J200" s="106">
        <f t="shared" si="103"/>
        <v>1965880.1922164117</v>
      </c>
      <c r="K200" s="106">
        <f t="shared" si="103"/>
        <v>2546941.0038530892</v>
      </c>
      <c r="L200" s="106">
        <f t="shared" si="103"/>
        <v>3143057.8294700691</v>
      </c>
      <c r="M200" s="106">
        <f t="shared" si="103"/>
        <v>3766142.0169028649</v>
      </c>
      <c r="N200" s="106">
        <f t="shared" si="103"/>
        <v>4360738.5418150369</v>
      </c>
      <c r="O200" s="106">
        <f t="shared" si="103"/>
        <v>4979015.4715877483</v>
      </c>
      <c r="P200" s="106">
        <f t="shared" si="103"/>
        <v>5590653.222406501</v>
      </c>
      <c r="Q200" s="106">
        <f t="shared" si="103"/>
        <v>6277799.8245230438</v>
      </c>
      <c r="R200" s="106">
        <f t="shared" si="103"/>
        <v>6964723.0740576992</v>
      </c>
      <c r="S200" s="106">
        <f t="shared" si="103"/>
        <v>7646466.6231843922</v>
      </c>
      <c r="T200" s="106">
        <f t="shared" si="103"/>
        <v>8314209.8203602117</v>
      </c>
      <c r="U200" s="106">
        <f t="shared" si="103"/>
        <v>8979246.1815473791</v>
      </c>
      <c r="V200" s="106">
        <f t="shared" si="103"/>
        <v>9637735.6700376533</v>
      </c>
      <c r="W200" s="106">
        <f t="shared" si="103"/>
        <v>10288554.192370372</v>
      </c>
      <c r="X200" s="106">
        <f t="shared" si="103"/>
        <v>10928084.02208191</v>
      </c>
      <c r="Y200" s="106">
        <f t="shared" si="103"/>
        <v>11540322.971782492</v>
      </c>
      <c r="Z200" s="106">
        <f t="shared" si="103"/>
        <v>12120126.191772448</v>
      </c>
      <c r="AA200" s="106">
        <f t="shared" si="103"/>
        <v>12668795.792438723</v>
      </c>
    </row>
    <row r="201" spans="1:29" x14ac:dyDescent="0.25">
      <c r="G201" s="106"/>
      <c r="H201" s="106"/>
      <c r="I201" s="106"/>
      <c r="J201" s="106"/>
      <c r="K201" s="106"/>
      <c r="L201" s="106"/>
      <c r="M201" s="106"/>
      <c r="N201" s="106"/>
      <c r="O201" s="106"/>
      <c r="P201" s="106"/>
      <c r="Q201" s="106"/>
      <c r="R201" s="106"/>
      <c r="S201" s="106"/>
      <c r="T201" s="106"/>
      <c r="U201" s="106"/>
      <c r="V201" s="106"/>
      <c r="W201" s="106"/>
      <c r="X201" s="106"/>
      <c r="Y201" s="106"/>
      <c r="Z201" s="106"/>
      <c r="AA201" s="106"/>
    </row>
    <row r="202" spans="1:29" x14ac:dyDescent="0.25">
      <c r="C202" s="100" t="s">
        <v>709</v>
      </c>
      <c r="G202" s="106"/>
      <c r="H202" s="106"/>
      <c r="I202" s="106"/>
      <c r="J202" s="106"/>
      <c r="K202" s="106"/>
      <c r="L202" s="106"/>
      <c r="M202" s="106"/>
      <c r="N202" s="106"/>
      <c r="O202" s="106"/>
      <c r="P202" s="106"/>
      <c r="Q202" s="106"/>
      <c r="R202" s="106"/>
      <c r="S202" s="106"/>
      <c r="T202" s="106"/>
      <c r="U202" s="106"/>
      <c r="V202" s="106"/>
      <c r="W202" s="106"/>
      <c r="X202" s="106"/>
      <c r="Y202" s="106"/>
      <c r="Z202" s="106"/>
      <c r="AA202" s="106"/>
    </row>
    <row r="203" spans="1:29" x14ac:dyDescent="0.25">
      <c r="A203" s="101">
        <v>46</v>
      </c>
      <c r="E203" s="102" t="s">
        <v>710</v>
      </c>
      <c r="F203" s="47" t="s">
        <v>639</v>
      </c>
      <c r="G203" s="106"/>
      <c r="H203" s="102"/>
      <c r="I203" s="102"/>
      <c r="J203" s="102"/>
      <c r="K203" s="102"/>
      <c r="L203" s="102"/>
      <c r="M203" s="102"/>
      <c r="N203" s="102"/>
      <c r="O203" s="102"/>
      <c r="P203" s="102"/>
      <c r="Q203" s="102"/>
      <c r="R203" s="102"/>
      <c r="S203" s="102"/>
      <c r="T203" s="102"/>
      <c r="U203" s="102"/>
      <c r="V203" s="102"/>
      <c r="W203" s="102"/>
      <c r="X203" s="102"/>
      <c r="Y203" s="102"/>
      <c r="Z203" s="102"/>
      <c r="AA203" s="102"/>
    </row>
    <row r="204" spans="1:29" x14ac:dyDescent="0.25">
      <c r="A204" s="101">
        <v>47</v>
      </c>
      <c r="E204" s="102" t="s">
        <v>711</v>
      </c>
      <c r="F204" s="47" t="s">
        <v>639</v>
      </c>
      <c r="G204" s="106"/>
      <c r="H204" s="102"/>
      <c r="I204" s="102"/>
      <c r="J204" s="102"/>
      <c r="K204" s="102"/>
      <c r="L204" s="102"/>
      <c r="M204" s="102"/>
      <c r="N204" s="102"/>
      <c r="O204" s="102"/>
      <c r="P204" s="102"/>
      <c r="Q204" s="102"/>
      <c r="R204" s="102"/>
      <c r="S204" s="102"/>
      <c r="T204" s="102"/>
      <c r="U204" s="102"/>
      <c r="V204" s="102"/>
      <c r="W204" s="102"/>
      <c r="X204" s="102"/>
      <c r="Y204" s="102"/>
      <c r="Z204" s="102"/>
      <c r="AA204" s="102"/>
    </row>
    <row r="205" spans="1:29" x14ac:dyDescent="0.25">
      <c r="A205" s="101">
        <v>48</v>
      </c>
      <c r="E205" s="102" t="s">
        <v>712</v>
      </c>
      <c r="F205" s="47" t="s">
        <v>639</v>
      </c>
      <c r="G205" s="106"/>
      <c r="H205" s="102"/>
      <c r="I205" s="102"/>
      <c r="J205" s="102"/>
      <c r="K205" s="102"/>
      <c r="L205" s="102"/>
      <c r="M205" s="102"/>
      <c r="N205" s="102"/>
      <c r="O205" s="102"/>
      <c r="P205" s="102"/>
      <c r="Q205" s="102"/>
      <c r="R205" s="102"/>
      <c r="S205" s="102"/>
      <c r="T205" s="102"/>
      <c r="U205" s="102"/>
      <c r="V205" s="102"/>
      <c r="W205" s="102"/>
      <c r="X205" s="102"/>
      <c r="Y205" s="102"/>
      <c r="Z205" s="102"/>
      <c r="AA205" s="102"/>
    </row>
    <row r="206" spans="1:29" x14ac:dyDescent="0.25">
      <c r="A206" s="101">
        <v>49</v>
      </c>
      <c r="E206" s="102" t="s">
        <v>713</v>
      </c>
      <c r="F206" s="47" t="s">
        <v>639</v>
      </c>
      <c r="G206" s="106"/>
      <c r="H206" s="102"/>
      <c r="I206" s="102"/>
      <c r="J206" s="102"/>
      <c r="K206" s="102"/>
      <c r="L206" s="102"/>
      <c r="M206" s="102"/>
      <c r="N206" s="102"/>
      <c r="O206" s="102"/>
      <c r="P206" s="102"/>
      <c r="Q206" s="102"/>
      <c r="R206" s="102"/>
      <c r="S206" s="102"/>
      <c r="T206" s="102"/>
      <c r="U206" s="102"/>
      <c r="V206" s="102"/>
      <c r="W206" s="102"/>
      <c r="X206" s="102"/>
      <c r="Y206" s="102"/>
      <c r="Z206" s="102"/>
      <c r="AA206" s="102"/>
    </row>
    <row r="207" spans="1:29" x14ac:dyDescent="0.25">
      <c r="E207" s="47" t="s">
        <v>44</v>
      </c>
      <c r="G207" s="106"/>
      <c r="H207" s="106">
        <f>SUM(H203:H206)</f>
        <v>0</v>
      </c>
      <c r="I207" s="106">
        <f t="shared" ref="I207:AA207" si="104">SUM(I203:I206)</f>
        <v>0</v>
      </c>
      <c r="J207" s="106">
        <f t="shared" si="104"/>
        <v>0</v>
      </c>
      <c r="K207" s="106">
        <f t="shared" si="104"/>
        <v>0</v>
      </c>
      <c r="L207" s="106">
        <f t="shared" si="104"/>
        <v>0</v>
      </c>
      <c r="M207" s="106">
        <f t="shared" si="104"/>
        <v>0</v>
      </c>
      <c r="N207" s="106">
        <f t="shared" si="104"/>
        <v>0</v>
      </c>
      <c r="O207" s="106">
        <f t="shared" si="104"/>
        <v>0</v>
      </c>
      <c r="P207" s="106">
        <f t="shared" si="104"/>
        <v>0</v>
      </c>
      <c r="Q207" s="106">
        <f t="shared" si="104"/>
        <v>0</v>
      </c>
      <c r="R207" s="106">
        <f t="shared" si="104"/>
        <v>0</v>
      </c>
      <c r="S207" s="106">
        <f t="shared" si="104"/>
        <v>0</v>
      </c>
      <c r="T207" s="106">
        <f t="shared" si="104"/>
        <v>0</v>
      </c>
      <c r="U207" s="106">
        <f t="shared" si="104"/>
        <v>0</v>
      </c>
      <c r="V207" s="106">
        <f t="shared" si="104"/>
        <v>0</v>
      </c>
      <c r="W207" s="106">
        <f t="shared" si="104"/>
        <v>0</v>
      </c>
      <c r="X207" s="106">
        <f t="shared" si="104"/>
        <v>0</v>
      </c>
      <c r="Y207" s="106">
        <f t="shared" si="104"/>
        <v>0</v>
      </c>
      <c r="Z207" s="106">
        <f t="shared" si="104"/>
        <v>0</v>
      </c>
      <c r="AA207" s="106">
        <f t="shared" si="104"/>
        <v>0</v>
      </c>
    </row>
    <row r="208" spans="1:29" x14ac:dyDescent="0.25">
      <c r="G208" s="106"/>
      <c r="H208" s="106"/>
      <c r="I208" s="106"/>
      <c r="J208" s="106"/>
      <c r="K208" s="106"/>
      <c r="L208" s="106"/>
      <c r="M208" s="106"/>
      <c r="N208" s="106"/>
      <c r="O208" s="106"/>
      <c r="P208" s="106"/>
      <c r="Q208" s="106"/>
      <c r="R208" s="106"/>
      <c r="S208" s="106"/>
      <c r="T208" s="106"/>
      <c r="U208" s="106"/>
      <c r="V208" s="106"/>
      <c r="W208" s="106"/>
      <c r="X208" s="106"/>
      <c r="Y208" s="106"/>
      <c r="Z208" s="106"/>
      <c r="AA208" s="106"/>
    </row>
    <row r="209" spans="1:27" x14ac:dyDescent="0.25">
      <c r="C209" s="100" t="s">
        <v>714</v>
      </c>
      <c r="G209" s="106"/>
      <c r="H209" s="106"/>
      <c r="I209" s="106"/>
      <c r="J209" s="106"/>
      <c r="K209" s="106"/>
      <c r="L209" s="106"/>
      <c r="M209" s="106"/>
      <c r="N209" s="106"/>
      <c r="O209" s="106"/>
      <c r="P209" s="106"/>
      <c r="Q209" s="106"/>
      <c r="R209" s="106"/>
      <c r="S209" s="106"/>
      <c r="T209" s="106"/>
      <c r="U209" s="106"/>
      <c r="V209" s="106"/>
      <c r="W209" s="106"/>
      <c r="X209" s="106"/>
      <c r="Y209" s="106"/>
      <c r="Z209" s="106"/>
      <c r="AA209" s="106"/>
    </row>
    <row r="210" spans="1:27" x14ac:dyDescent="0.25">
      <c r="A210" s="101">
        <v>50</v>
      </c>
      <c r="E210" s="102" t="s">
        <v>715</v>
      </c>
      <c r="F210" s="47" t="s">
        <v>639</v>
      </c>
      <c r="G210" s="106"/>
      <c r="H210" s="102"/>
      <c r="I210" s="102"/>
      <c r="J210" s="102"/>
      <c r="K210" s="102"/>
      <c r="L210" s="102"/>
      <c r="M210" s="102"/>
      <c r="N210" s="102"/>
      <c r="O210" s="102"/>
      <c r="P210" s="102"/>
      <c r="Q210" s="102"/>
      <c r="R210" s="102"/>
      <c r="S210" s="102"/>
      <c r="T210" s="102"/>
      <c r="U210" s="102"/>
      <c r="V210" s="102"/>
      <c r="W210" s="102"/>
      <c r="X210" s="102"/>
      <c r="Y210" s="102"/>
      <c r="Z210" s="102"/>
      <c r="AA210" s="102"/>
    </row>
    <row r="211" spans="1:27" x14ac:dyDescent="0.25">
      <c r="A211" s="101">
        <v>51</v>
      </c>
      <c r="E211" s="102" t="s">
        <v>716</v>
      </c>
      <c r="F211" s="47" t="s">
        <v>639</v>
      </c>
      <c r="G211" s="106"/>
      <c r="H211" s="102"/>
      <c r="I211" s="102"/>
      <c r="J211" s="102"/>
      <c r="K211" s="102"/>
      <c r="L211" s="102"/>
      <c r="M211" s="102"/>
      <c r="N211" s="102"/>
      <c r="O211" s="102"/>
      <c r="P211" s="102"/>
      <c r="Q211" s="102"/>
      <c r="R211" s="102"/>
      <c r="S211" s="102"/>
      <c r="T211" s="102"/>
      <c r="U211" s="102"/>
      <c r="V211" s="102"/>
      <c r="W211" s="102"/>
      <c r="X211" s="102"/>
      <c r="Y211" s="102"/>
      <c r="Z211" s="102"/>
      <c r="AA211" s="102"/>
    </row>
    <row r="212" spans="1:27" x14ac:dyDescent="0.25">
      <c r="A212" s="101">
        <v>52</v>
      </c>
      <c r="E212" s="102" t="s">
        <v>717</v>
      </c>
      <c r="F212" s="47" t="s">
        <v>639</v>
      </c>
      <c r="G212" s="106"/>
      <c r="H212" s="102"/>
      <c r="I212" s="102"/>
      <c r="J212" s="102"/>
      <c r="K212" s="102"/>
      <c r="L212" s="102"/>
      <c r="M212" s="102"/>
      <c r="N212" s="102"/>
      <c r="O212" s="102"/>
      <c r="P212" s="102"/>
      <c r="Q212" s="102"/>
      <c r="R212" s="102"/>
      <c r="S212" s="102"/>
      <c r="T212" s="102"/>
      <c r="U212" s="102"/>
      <c r="V212" s="102"/>
      <c r="W212" s="102"/>
      <c r="X212" s="102"/>
      <c r="Y212" s="102"/>
      <c r="Z212" s="102"/>
      <c r="AA212" s="102"/>
    </row>
    <row r="213" spans="1:27" x14ac:dyDescent="0.25">
      <c r="A213" s="101">
        <v>53</v>
      </c>
      <c r="E213" s="102" t="s">
        <v>718</v>
      </c>
      <c r="F213" s="47" t="s">
        <v>639</v>
      </c>
      <c r="G213" s="106"/>
      <c r="H213" s="102"/>
      <c r="I213" s="102"/>
      <c r="J213" s="102"/>
      <c r="K213" s="102"/>
      <c r="L213" s="102"/>
      <c r="M213" s="102"/>
      <c r="N213" s="102"/>
      <c r="O213" s="102"/>
      <c r="P213" s="102"/>
      <c r="Q213" s="102"/>
      <c r="R213" s="102"/>
      <c r="S213" s="102"/>
      <c r="T213" s="102"/>
      <c r="U213" s="102"/>
      <c r="V213" s="102"/>
      <c r="W213" s="102"/>
      <c r="X213" s="102"/>
      <c r="Y213" s="102"/>
      <c r="Z213" s="102"/>
      <c r="AA213" s="102"/>
    </row>
    <row r="214" spans="1:27" x14ac:dyDescent="0.25">
      <c r="E214" s="47" t="s">
        <v>44</v>
      </c>
      <c r="G214" s="106"/>
      <c r="H214" s="106">
        <f>SUM(H210:H213)</f>
        <v>0</v>
      </c>
      <c r="I214" s="106">
        <f t="shared" ref="I214:AA214" si="105">SUM(I210:I213)</f>
        <v>0</v>
      </c>
      <c r="J214" s="106">
        <f t="shared" si="105"/>
        <v>0</v>
      </c>
      <c r="K214" s="106">
        <f t="shared" si="105"/>
        <v>0</v>
      </c>
      <c r="L214" s="106">
        <f t="shared" si="105"/>
        <v>0</v>
      </c>
      <c r="M214" s="106">
        <f t="shared" si="105"/>
        <v>0</v>
      </c>
      <c r="N214" s="106">
        <f t="shared" si="105"/>
        <v>0</v>
      </c>
      <c r="O214" s="106">
        <f t="shared" si="105"/>
        <v>0</v>
      </c>
      <c r="P214" s="106">
        <f t="shared" si="105"/>
        <v>0</v>
      </c>
      <c r="Q214" s="106">
        <f t="shared" si="105"/>
        <v>0</v>
      </c>
      <c r="R214" s="106">
        <f t="shared" si="105"/>
        <v>0</v>
      </c>
      <c r="S214" s="106">
        <f t="shared" si="105"/>
        <v>0</v>
      </c>
      <c r="T214" s="106">
        <f t="shared" si="105"/>
        <v>0</v>
      </c>
      <c r="U214" s="106">
        <f t="shared" si="105"/>
        <v>0</v>
      </c>
      <c r="V214" s="106">
        <f t="shared" si="105"/>
        <v>0</v>
      </c>
      <c r="W214" s="106">
        <f t="shared" si="105"/>
        <v>0</v>
      </c>
      <c r="X214" s="106">
        <f t="shared" si="105"/>
        <v>0</v>
      </c>
      <c r="Y214" s="106">
        <f t="shared" si="105"/>
        <v>0</v>
      </c>
      <c r="Z214" s="106">
        <f t="shared" si="105"/>
        <v>0</v>
      </c>
      <c r="AA214" s="106">
        <f t="shared" si="105"/>
        <v>0</v>
      </c>
    </row>
    <row r="215" spans="1:27" x14ac:dyDescent="0.25">
      <c r="G215" s="106"/>
      <c r="H215" s="106"/>
      <c r="I215" s="106"/>
      <c r="J215" s="106"/>
      <c r="K215" s="106"/>
      <c r="L215" s="106"/>
      <c r="M215" s="106"/>
      <c r="N215" s="106"/>
      <c r="O215" s="106"/>
      <c r="P215" s="106"/>
      <c r="Q215" s="106"/>
      <c r="R215" s="106"/>
      <c r="S215" s="106"/>
      <c r="T215" s="106"/>
      <c r="U215" s="106"/>
      <c r="V215" s="106"/>
      <c r="W215" s="106"/>
      <c r="X215" s="106"/>
      <c r="Y215" s="106"/>
      <c r="Z215" s="106"/>
      <c r="AA215" s="106"/>
    </row>
    <row r="216" spans="1:27" x14ac:dyDescent="0.25">
      <c r="C216" s="100" t="s">
        <v>719</v>
      </c>
      <c r="G216" s="106"/>
      <c r="H216" s="106"/>
      <c r="I216" s="106"/>
      <c r="J216" s="106"/>
      <c r="K216" s="106"/>
      <c r="L216" s="106"/>
      <c r="M216" s="106"/>
      <c r="N216" s="106"/>
      <c r="O216" s="106"/>
      <c r="P216" s="106"/>
      <c r="Q216" s="106"/>
      <c r="R216" s="106"/>
      <c r="S216" s="106"/>
      <c r="T216" s="106"/>
      <c r="U216" s="106"/>
      <c r="V216" s="106"/>
      <c r="W216" s="106"/>
      <c r="X216" s="106"/>
      <c r="Y216" s="106"/>
      <c r="Z216" s="106"/>
      <c r="AA216" s="106"/>
    </row>
    <row r="217" spans="1:27" x14ac:dyDescent="0.25">
      <c r="C217" s="100"/>
      <c r="D217" s="100"/>
      <c r="E217" s="47" t="s">
        <v>404</v>
      </c>
      <c r="F217" s="47" t="s">
        <v>655</v>
      </c>
      <c r="G217" s="106"/>
      <c r="H217" s="106">
        <f t="shared" ref="H217:AA217" si="106">H174</f>
        <v>4861.369639849313</v>
      </c>
      <c r="I217" s="106">
        <f t="shared" si="106"/>
        <v>5266.0866048878797</v>
      </c>
      <c r="J217" s="106">
        <f t="shared" si="106"/>
        <v>4549.9551276203583</v>
      </c>
      <c r="K217" s="106">
        <f t="shared" si="106"/>
        <v>4676.1725655780074</v>
      </c>
      <c r="L217" s="106">
        <f t="shared" si="106"/>
        <v>4879.9050792588341</v>
      </c>
      <c r="M217" s="106">
        <f t="shared" si="106"/>
        <v>5228.7771473745006</v>
      </c>
      <c r="N217" s="106">
        <f t="shared" si="106"/>
        <v>5148.8917029555914</v>
      </c>
      <c r="O217" s="106">
        <f t="shared" si="106"/>
        <v>5483.3397440306453</v>
      </c>
      <c r="P217" s="106">
        <f t="shared" si="106"/>
        <v>5580.7846652525113</v>
      </c>
      <c r="Q217" s="106">
        <f t="shared" si="106"/>
        <v>5613.9441615576325</v>
      </c>
      <c r="R217" s="106">
        <f t="shared" si="106"/>
        <v>5612.1193851282678</v>
      </c>
      <c r="S217" s="106">
        <f t="shared" si="106"/>
        <v>5569.8015612835025</v>
      </c>
      <c r="T217" s="106">
        <f t="shared" si="106"/>
        <v>5455.4195737247101</v>
      </c>
      <c r="U217" s="106">
        <f t="shared" si="106"/>
        <v>5433.3048953606303</v>
      </c>
      <c r="V217" s="106">
        <f t="shared" si="106"/>
        <v>5379.8173606191503</v>
      </c>
      <c r="W217" s="106">
        <f t="shared" si="106"/>
        <v>5317.1460535922924</v>
      </c>
      <c r="X217" s="106">
        <f t="shared" si="106"/>
        <v>5224.9181507880148</v>
      </c>
      <c r="Y217" s="106">
        <f t="shared" si="106"/>
        <v>5001.9533918423203</v>
      </c>
      <c r="Z217" s="106">
        <f t="shared" si="106"/>
        <v>4736.9555371284005</v>
      </c>
      <c r="AA217" s="106">
        <f t="shared" si="106"/>
        <v>4482.595841698092</v>
      </c>
    </row>
    <row r="218" spans="1:27" x14ac:dyDescent="0.25">
      <c r="E218" s="47" t="s">
        <v>720</v>
      </c>
      <c r="F218" s="47" t="s">
        <v>695</v>
      </c>
      <c r="G218" s="115">
        <f>MAX(0,-G245/(NPV($G$16,H217:AP217)))</f>
        <v>6371.6368966240443</v>
      </c>
      <c r="H218" s="106">
        <f t="shared" ref="H218:AA218" si="107">G218*(1+$G$14)</f>
        <v>6371.6368966240443</v>
      </c>
      <c r="I218" s="106">
        <f t="shared" si="107"/>
        <v>6371.6368966240443</v>
      </c>
      <c r="J218" s="106">
        <f t="shared" si="107"/>
        <v>6371.6368966240443</v>
      </c>
      <c r="K218" s="106">
        <f t="shared" si="107"/>
        <v>6371.6368966240443</v>
      </c>
      <c r="L218" s="106">
        <f t="shared" si="107"/>
        <v>6371.6368966240443</v>
      </c>
      <c r="M218" s="106">
        <f t="shared" si="107"/>
        <v>6371.6368966240443</v>
      </c>
      <c r="N218" s="106">
        <f t="shared" si="107"/>
        <v>6371.6368966240443</v>
      </c>
      <c r="O218" s="106">
        <f t="shared" si="107"/>
        <v>6371.6368966240443</v>
      </c>
      <c r="P218" s="106">
        <f t="shared" si="107"/>
        <v>6371.6368966240443</v>
      </c>
      <c r="Q218" s="106">
        <f t="shared" si="107"/>
        <v>6371.6368966240443</v>
      </c>
      <c r="R218" s="106">
        <f t="shared" si="107"/>
        <v>6371.6368966240443</v>
      </c>
      <c r="S218" s="106">
        <f t="shared" si="107"/>
        <v>6371.6368966240443</v>
      </c>
      <c r="T218" s="106">
        <f t="shared" si="107"/>
        <v>6371.6368966240443</v>
      </c>
      <c r="U218" s="106">
        <f t="shared" si="107"/>
        <v>6371.6368966240443</v>
      </c>
      <c r="V218" s="106">
        <f t="shared" si="107"/>
        <v>6371.6368966240443</v>
      </c>
      <c r="W218" s="106">
        <f t="shared" si="107"/>
        <v>6371.6368966240443</v>
      </c>
      <c r="X218" s="106">
        <f t="shared" si="107"/>
        <v>6371.6368966240443</v>
      </c>
      <c r="Y218" s="106">
        <f t="shared" si="107"/>
        <v>6371.6368966240443</v>
      </c>
      <c r="Z218" s="106">
        <f t="shared" si="107"/>
        <v>6371.6368966240443</v>
      </c>
      <c r="AA218" s="106">
        <f t="shared" si="107"/>
        <v>6371.6368966240443</v>
      </c>
    </row>
    <row r="219" spans="1:27" x14ac:dyDescent="0.25">
      <c r="E219" s="47" t="s">
        <v>721</v>
      </c>
      <c r="F219" s="47" t="s">
        <v>639</v>
      </c>
      <c r="H219" s="106">
        <f>H218*H217</f>
        <v>30974882.165391825</v>
      </c>
      <c r="I219" s="106">
        <f t="shared" ref="I219:AA219" si="108">I218*I217</f>
        <v>33553591.712521259</v>
      </c>
      <c r="J219" s="106">
        <f t="shared" si="108"/>
        <v>28990661.969129637</v>
      </c>
      <c r="K219" s="106">
        <f t="shared" si="108"/>
        <v>29794873.653817952</v>
      </c>
      <c r="L219" s="106">
        <f t="shared" si="108"/>
        <v>31092983.255028669</v>
      </c>
      <c r="M219" s="106">
        <f t="shared" si="108"/>
        <v>33315869.396435987</v>
      </c>
      <c r="N219" s="106">
        <f t="shared" si="108"/>
        <v>32806868.351273254</v>
      </c>
      <c r="O219" s="106">
        <f t="shared" si="108"/>
        <v>34937849.829790704</v>
      </c>
      <c r="P219" s="106">
        <f t="shared" si="108"/>
        <v>35558733.48523657</v>
      </c>
      <c r="Q219" s="106">
        <f t="shared" si="108"/>
        <v>35770013.755367748</v>
      </c>
      <c r="R219" s="106">
        <f t="shared" si="108"/>
        <v>35758386.942542315</v>
      </c>
      <c r="S219" s="106">
        <f t="shared" si="108"/>
        <v>35488753.134748176</v>
      </c>
      <c r="T219" s="106">
        <f t="shared" si="108"/>
        <v>34759952.642509378</v>
      </c>
      <c r="U219" s="106">
        <f t="shared" si="108"/>
        <v>34619045.941887833</v>
      </c>
      <c r="V219" s="106">
        <f t="shared" si="108"/>
        <v>34278242.792019561</v>
      </c>
      <c r="W219" s="106">
        <f t="shared" si="108"/>
        <v>33878923.979807578</v>
      </c>
      <c r="X219" s="106">
        <f t="shared" si="108"/>
        <v>33291281.271401588</v>
      </c>
      <c r="Y219" s="106">
        <f t="shared" si="108"/>
        <v>31870630.786656313</v>
      </c>
      <c r="Z219" s="106">
        <f t="shared" si="108"/>
        <v>30182160.678034883</v>
      </c>
      <c r="AA219" s="106">
        <f t="shared" si="108"/>
        <v>28561473.057617076</v>
      </c>
    </row>
    <row r="221" spans="1:27" x14ac:dyDescent="0.25">
      <c r="D221" s="47" t="s">
        <v>722</v>
      </c>
    </row>
    <row r="222" spans="1:27" x14ac:dyDescent="0.25">
      <c r="E222" s="47" t="s">
        <v>573</v>
      </c>
      <c r="F222" s="47" t="s">
        <v>639</v>
      </c>
      <c r="G222" s="106">
        <f t="shared" ref="G222:AA222" si="109">G42</f>
        <v>0</v>
      </c>
      <c r="H222" s="106">
        <f t="shared" si="109"/>
        <v>12731911.420267019</v>
      </c>
      <c r="I222" s="106">
        <f t="shared" si="109"/>
        <v>13148526.32611936</v>
      </c>
      <c r="J222" s="106">
        <f t="shared" si="109"/>
        <v>13009894.395617187</v>
      </c>
      <c r="K222" s="106">
        <f t="shared" si="109"/>
        <v>13409361.454437556</v>
      </c>
      <c r="L222" s="106">
        <f t="shared" si="109"/>
        <v>12951956.441241918</v>
      </c>
      <c r="M222" s="106">
        <f t="shared" si="109"/>
        <v>13785672.742911229</v>
      </c>
      <c r="N222" s="106">
        <f t="shared" si="109"/>
        <v>13517669.775895538</v>
      </c>
      <c r="O222" s="106">
        <f t="shared" si="109"/>
        <v>14337696.998172905</v>
      </c>
      <c r="P222" s="106">
        <f t="shared" si="109"/>
        <v>14548544.539300503</v>
      </c>
      <c r="Q222" s="106">
        <f t="shared" si="109"/>
        <v>14604828.488976413</v>
      </c>
      <c r="R222" s="106">
        <f t="shared" si="109"/>
        <v>14610038.547363196</v>
      </c>
      <c r="S222" s="106">
        <f t="shared" si="109"/>
        <v>14531866.317820311</v>
      </c>
      <c r="T222" s="106">
        <f t="shared" si="109"/>
        <v>14246211.859359719</v>
      </c>
      <c r="U222" s="106">
        <f t="shared" si="109"/>
        <v>14214459.486185538</v>
      </c>
      <c r="V222" s="106">
        <f t="shared" si="109"/>
        <v>14101936.703524388</v>
      </c>
      <c r="W222" s="106">
        <f t="shared" si="109"/>
        <v>14063927.72170865</v>
      </c>
      <c r="X222" s="106">
        <f t="shared" si="109"/>
        <v>13919675.302315457</v>
      </c>
      <c r="Y222" s="106">
        <f t="shared" si="109"/>
        <v>13441312.847045427</v>
      </c>
      <c r="Z222" s="106">
        <f t="shared" si="109"/>
        <v>12796913.36449934</v>
      </c>
      <c r="AA222" s="106">
        <f t="shared" si="109"/>
        <v>12072982.010669051</v>
      </c>
    </row>
    <row r="223" spans="1:27" x14ac:dyDescent="0.25">
      <c r="E223" s="47" t="s">
        <v>723</v>
      </c>
      <c r="F223" s="47" t="s">
        <v>639</v>
      </c>
      <c r="G223" s="106">
        <f t="shared" ref="G223:AA223" si="110">G177</f>
        <v>0</v>
      </c>
      <c r="H223" s="106">
        <f t="shared" si="110"/>
        <v>3039930.2384739602</v>
      </c>
      <c r="I223" s="106">
        <f t="shared" si="110"/>
        <v>6326277.7924020924</v>
      </c>
      <c r="J223" s="106">
        <f t="shared" si="110"/>
        <v>9287067.3066609986</v>
      </c>
      <c r="K223" s="106">
        <f t="shared" si="110"/>
        <v>12429204.233567234</v>
      </c>
      <c r="L223" s="106">
        <f t="shared" si="110"/>
        <v>15683708.251446003</v>
      </c>
      <c r="M223" s="106">
        <f t="shared" si="110"/>
        <v>19275592.809558649</v>
      </c>
      <c r="N223" s="106">
        <f t="shared" si="110"/>
        <v>22875784.47557918</v>
      </c>
      <c r="O223" s="106">
        <f t="shared" si="110"/>
        <v>26803150.268226504</v>
      </c>
      <c r="P223" s="106">
        <f t="shared" si="110"/>
        <v>30726775.727540869</v>
      </c>
      <c r="Q223" s="106">
        <f t="shared" si="110"/>
        <v>33854382.720780715</v>
      </c>
      <c r="R223" s="106">
        <f t="shared" si="110"/>
        <v>37448043.552385472</v>
      </c>
      <c r="S223" s="106">
        <f t="shared" si="110"/>
        <v>41062087.463619463</v>
      </c>
      <c r="T223" s="106">
        <f t="shared" si="110"/>
        <v>44406719.629440211</v>
      </c>
      <c r="U223" s="106">
        <f t="shared" si="110"/>
        <v>47790123.152018934</v>
      </c>
      <c r="V223" s="106">
        <f t="shared" si="110"/>
        <v>47134501.60281083</v>
      </c>
      <c r="W223" s="106">
        <f t="shared" si="110"/>
        <v>50231616.343917102</v>
      </c>
      <c r="X223" s="106">
        <f t="shared" si="110"/>
        <v>52980297.029667705</v>
      </c>
      <c r="Y223" s="106">
        <f t="shared" si="110"/>
        <v>55772967.907854952</v>
      </c>
      <c r="Z223" s="106">
        <f t="shared" si="110"/>
        <v>58402254.382691607</v>
      </c>
      <c r="AA223" s="106">
        <f t="shared" si="110"/>
        <v>60992533.783200845</v>
      </c>
    </row>
    <row r="224" spans="1:27" x14ac:dyDescent="0.25">
      <c r="E224" s="47" t="s">
        <v>701</v>
      </c>
      <c r="F224" s="47" t="s">
        <v>639</v>
      </c>
      <c r="G224" s="106">
        <f t="shared" ref="G224:AA224" si="111">-G187</f>
        <v>0</v>
      </c>
      <c r="H224" s="106">
        <f t="shared" si="111"/>
        <v>-1283078.599037519</v>
      </c>
      <c r="I224" s="106">
        <f t="shared" si="111"/>
        <v>-2525591.032179785</v>
      </c>
      <c r="J224" s="106">
        <f t="shared" si="111"/>
        <v>-3802173.606725106</v>
      </c>
      <c r="K224" s="106">
        <f t="shared" si="111"/>
        <v>-4798462.5849568071</v>
      </c>
      <c r="L224" s="106">
        <f t="shared" si="111"/>
        <v>-5793415.1851502722</v>
      </c>
      <c r="M224" s="106">
        <f t="shared" si="111"/>
        <v>-6813595.7923333123</v>
      </c>
      <c r="N224" s="106">
        <f t="shared" si="111"/>
        <v>-7775223.3029197957</v>
      </c>
      <c r="O224" s="106">
        <f t="shared" si="111"/>
        <v>-8779140.6895828117</v>
      </c>
      <c r="P224" s="106">
        <f t="shared" si="111"/>
        <v>-9745924.3791378308</v>
      </c>
      <c r="Q224" s="106">
        <f t="shared" si="111"/>
        <v>-10673703.976435926</v>
      </c>
      <c r="R224" s="106">
        <f t="shared" si="111"/>
        <v>-11509723.326109789</v>
      </c>
      <c r="S224" s="106">
        <f t="shared" si="111"/>
        <v>-12288863.367801046</v>
      </c>
      <c r="T224" s="106">
        <f t="shared" si="111"/>
        <v>-12987735.688620158</v>
      </c>
      <c r="U224" s="106">
        <f t="shared" si="111"/>
        <v>-13647403.284543665</v>
      </c>
      <c r="V224" s="106">
        <f t="shared" si="111"/>
        <v>-14255599.592855703</v>
      </c>
      <c r="W224" s="106">
        <f t="shared" si="111"/>
        <v>-14826018.618963186</v>
      </c>
      <c r="X224" s="106">
        <f t="shared" si="111"/>
        <v>-15546901.698708663</v>
      </c>
      <c r="Y224" s="106">
        <f t="shared" si="111"/>
        <v>-16089018.538589403</v>
      </c>
      <c r="Z224" s="106">
        <f t="shared" si="111"/>
        <v>-16564463.337364031</v>
      </c>
      <c r="AA224" s="106">
        <f t="shared" si="111"/>
        <v>-16991233.513374694</v>
      </c>
    </row>
    <row r="225" spans="4:28" x14ac:dyDescent="0.25">
      <c r="E225" s="47" t="s">
        <v>702</v>
      </c>
      <c r="F225" s="47" t="s">
        <v>639</v>
      </c>
      <c r="G225" s="106">
        <f t="shared" ref="G225:AA225" si="112">-G200</f>
        <v>0</v>
      </c>
      <c r="H225" s="106">
        <f t="shared" si="112"/>
        <v>-687992.10188024095</v>
      </c>
      <c r="I225" s="106">
        <f t="shared" si="112"/>
        <v>-1391296.5735186045</v>
      </c>
      <c r="J225" s="106">
        <f t="shared" si="112"/>
        <v>-1965880.1922164117</v>
      </c>
      <c r="K225" s="106">
        <f t="shared" si="112"/>
        <v>-2546941.0038530892</v>
      </c>
      <c r="L225" s="106">
        <f t="shared" si="112"/>
        <v>-3143057.8294700691</v>
      </c>
      <c r="M225" s="106">
        <f t="shared" si="112"/>
        <v>-3766142.0169028649</v>
      </c>
      <c r="N225" s="106">
        <f t="shared" si="112"/>
        <v>-4360738.5418150369</v>
      </c>
      <c r="O225" s="106">
        <f t="shared" si="112"/>
        <v>-4979015.4715877483</v>
      </c>
      <c r="P225" s="106">
        <f t="shared" si="112"/>
        <v>-5590653.222406501</v>
      </c>
      <c r="Q225" s="106">
        <f t="shared" si="112"/>
        <v>-6277799.8245230438</v>
      </c>
      <c r="R225" s="106">
        <f t="shared" si="112"/>
        <v>-6964723.0740576992</v>
      </c>
      <c r="S225" s="106">
        <f t="shared" si="112"/>
        <v>-7646466.6231843922</v>
      </c>
      <c r="T225" s="106">
        <f t="shared" si="112"/>
        <v>-8314209.8203602117</v>
      </c>
      <c r="U225" s="106">
        <f t="shared" si="112"/>
        <v>-8979246.1815473791</v>
      </c>
      <c r="V225" s="106">
        <f t="shared" si="112"/>
        <v>-9637735.6700376533</v>
      </c>
      <c r="W225" s="106">
        <f t="shared" si="112"/>
        <v>-10288554.192370372</v>
      </c>
      <c r="X225" s="106">
        <f t="shared" si="112"/>
        <v>-10928084.02208191</v>
      </c>
      <c r="Y225" s="106">
        <f t="shared" si="112"/>
        <v>-11540322.971782492</v>
      </c>
      <c r="Z225" s="106">
        <f t="shared" si="112"/>
        <v>-12120126.191772448</v>
      </c>
      <c r="AA225" s="106">
        <f t="shared" si="112"/>
        <v>-12668795.792438723</v>
      </c>
    </row>
    <row r="226" spans="4:28" x14ac:dyDescent="0.25">
      <c r="E226" s="47" t="s">
        <v>724</v>
      </c>
      <c r="F226" s="47" t="s">
        <v>639</v>
      </c>
      <c r="G226" s="106">
        <f t="shared" ref="G226:AA226" si="113">-G34-G50-G85</f>
        <v>0</v>
      </c>
      <c r="H226" s="106">
        <f t="shared" si="113"/>
        <v>-913613.35099545307</v>
      </c>
      <c r="I226" s="106">
        <f t="shared" si="113"/>
        <v>-1870753.8918162049</v>
      </c>
      <c r="J226" s="106">
        <f t="shared" si="113"/>
        <v>-3072451.7113696137</v>
      </c>
      <c r="K226" s="106">
        <f t="shared" si="113"/>
        <v>-3693370.6704549664</v>
      </c>
      <c r="L226" s="106">
        <f t="shared" si="113"/>
        <v>-4293668.4813134894</v>
      </c>
      <c r="M226" s="106">
        <f t="shared" si="113"/>
        <v>-4927582.2515546568</v>
      </c>
      <c r="N226" s="106">
        <f t="shared" si="113"/>
        <v>-5603211.0102259479</v>
      </c>
      <c r="O226" s="106">
        <f t="shared" si="113"/>
        <v>-6107824.213660568</v>
      </c>
      <c r="P226" s="106">
        <f t="shared" si="113"/>
        <v>-6604606.9826568784</v>
      </c>
      <c r="Q226" s="106">
        <f t="shared" si="113"/>
        <v>-7195482.2494247276</v>
      </c>
      <c r="R226" s="106">
        <f t="shared" si="113"/>
        <v>-7786415.4057302075</v>
      </c>
      <c r="S226" s="106">
        <f t="shared" si="113"/>
        <v>-8376479.9817074332</v>
      </c>
      <c r="T226" s="106">
        <f t="shared" si="113"/>
        <v>-8963370.6192573197</v>
      </c>
      <c r="U226" s="106">
        <f t="shared" si="113"/>
        <v>-9549908.4526608251</v>
      </c>
      <c r="V226" s="106">
        <f t="shared" si="113"/>
        <v>-10135196.032923654</v>
      </c>
      <c r="W226" s="106">
        <f t="shared" si="113"/>
        <v>-10720061.291166306</v>
      </c>
      <c r="X226" s="106">
        <f t="shared" si="113"/>
        <v>-11303323.744749038</v>
      </c>
      <c r="Y226" s="106">
        <f t="shared" si="113"/>
        <v>-11881271.05993988</v>
      </c>
      <c r="Z226" s="106">
        <f t="shared" si="113"/>
        <v>-12452058.380880207</v>
      </c>
      <c r="AA226" s="106">
        <f t="shared" si="113"/>
        <v>-13014802.020111311</v>
      </c>
    </row>
    <row r="227" spans="4:28" x14ac:dyDescent="0.25">
      <c r="E227" s="47" t="s">
        <v>709</v>
      </c>
      <c r="F227" s="47" t="s">
        <v>639</v>
      </c>
      <c r="G227" s="106">
        <f t="shared" ref="G227:AA227" si="114">G207</f>
        <v>0</v>
      </c>
      <c r="H227" s="106">
        <f t="shared" si="114"/>
        <v>0</v>
      </c>
      <c r="I227" s="106">
        <f t="shared" si="114"/>
        <v>0</v>
      </c>
      <c r="J227" s="106">
        <f t="shared" si="114"/>
        <v>0</v>
      </c>
      <c r="K227" s="106">
        <f t="shared" si="114"/>
        <v>0</v>
      </c>
      <c r="L227" s="106">
        <f t="shared" si="114"/>
        <v>0</v>
      </c>
      <c r="M227" s="106">
        <f t="shared" si="114"/>
        <v>0</v>
      </c>
      <c r="N227" s="106">
        <f t="shared" si="114"/>
        <v>0</v>
      </c>
      <c r="O227" s="106">
        <f t="shared" si="114"/>
        <v>0</v>
      </c>
      <c r="P227" s="106">
        <f t="shared" si="114"/>
        <v>0</v>
      </c>
      <c r="Q227" s="106">
        <f t="shared" si="114"/>
        <v>0</v>
      </c>
      <c r="R227" s="106">
        <f t="shared" si="114"/>
        <v>0</v>
      </c>
      <c r="S227" s="106">
        <f t="shared" si="114"/>
        <v>0</v>
      </c>
      <c r="T227" s="106">
        <f t="shared" si="114"/>
        <v>0</v>
      </c>
      <c r="U227" s="106">
        <f t="shared" si="114"/>
        <v>0</v>
      </c>
      <c r="V227" s="106">
        <f t="shared" si="114"/>
        <v>0</v>
      </c>
      <c r="W227" s="106">
        <f t="shared" si="114"/>
        <v>0</v>
      </c>
      <c r="X227" s="106">
        <f t="shared" si="114"/>
        <v>0</v>
      </c>
      <c r="Y227" s="106">
        <f t="shared" si="114"/>
        <v>0</v>
      </c>
      <c r="Z227" s="106">
        <f t="shared" si="114"/>
        <v>0</v>
      </c>
      <c r="AA227" s="106">
        <f t="shared" si="114"/>
        <v>0</v>
      </c>
    </row>
    <row r="228" spans="4:28" x14ac:dyDescent="0.25">
      <c r="E228" s="47" t="s">
        <v>725</v>
      </c>
      <c r="F228" s="47" t="s">
        <v>639</v>
      </c>
      <c r="H228" s="106">
        <f t="shared" ref="H228:AA228" si="115">H219</f>
        <v>30974882.165391825</v>
      </c>
      <c r="I228" s="106">
        <f t="shared" si="115"/>
        <v>33553591.712521259</v>
      </c>
      <c r="J228" s="106">
        <f t="shared" si="115"/>
        <v>28990661.969129637</v>
      </c>
      <c r="K228" s="106">
        <f t="shared" si="115"/>
        <v>29794873.653817952</v>
      </c>
      <c r="L228" s="106">
        <f t="shared" si="115"/>
        <v>31092983.255028669</v>
      </c>
      <c r="M228" s="106">
        <f t="shared" si="115"/>
        <v>33315869.396435987</v>
      </c>
      <c r="N228" s="106">
        <f t="shared" si="115"/>
        <v>32806868.351273254</v>
      </c>
      <c r="O228" s="106">
        <f t="shared" si="115"/>
        <v>34937849.829790704</v>
      </c>
      <c r="P228" s="106">
        <f t="shared" si="115"/>
        <v>35558733.48523657</v>
      </c>
      <c r="Q228" s="106">
        <f t="shared" si="115"/>
        <v>35770013.755367748</v>
      </c>
      <c r="R228" s="106">
        <f t="shared" si="115"/>
        <v>35758386.942542315</v>
      </c>
      <c r="S228" s="106">
        <f t="shared" si="115"/>
        <v>35488753.134748176</v>
      </c>
      <c r="T228" s="106">
        <f t="shared" si="115"/>
        <v>34759952.642509378</v>
      </c>
      <c r="U228" s="106">
        <f t="shared" si="115"/>
        <v>34619045.941887833</v>
      </c>
      <c r="V228" s="106">
        <f t="shared" si="115"/>
        <v>34278242.792019561</v>
      </c>
      <c r="W228" s="106">
        <f t="shared" si="115"/>
        <v>33878923.979807578</v>
      </c>
      <c r="X228" s="106">
        <f t="shared" si="115"/>
        <v>33291281.271401588</v>
      </c>
      <c r="Y228" s="106">
        <f t="shared" si="115"/>
        <v>31870630.786656313</v>
      </c>
      <c r="Z228" s="106">
        <f t="shared" si="115"/>
        <v>30182160.678034883</v>
      </c>
      <c r="AA228" s="106">
        <f t="shared" si="115"/>
        <v>28561473.057617076</v>
      </c>
    </row>
    <row r="230" spans="4:28" x14ac:dyDescent="0.25">
      <c r="E230" s="47" t="s">
        <v>726</v>
      </c>
      <c r="F230" s="47" t="s">
        <v>639</v>
      </c>
      <c r="G230" s="106">
        <f t="shared" ref="G230:AA230" si="116">SUM(G222:G228)</f>
        <v>0</v>
      </c>
      <c r="H230" s="106">
        <f t="shared" si="116"/>
        <v>43862039.772219591</v>
      </c>
      <c r="I230" s="106">
        <f t="shared" si="116"/>
        <v>47240754.333528116</v>
      </c>
      <c r="J230" s="106">
        <f t="shared" si="116"/>
        <v>42447118.161096692</v>
      </c>
      <c r="K230" s="106">
        <f t="shared" si="116"/>
        <v>44594665.082557879</v>
      </c>
      <c r="L230" s="106">
        <f t="shared" si="116"/>
        <v>46498506.451782763</v>
      </c>
      <c r="M230" s="106">
        <f t="shared" si="116"/>
        <v>50869814.888115034</v>
      </c>
      <c r="N230" s="106">
        <f t="shared" si="116"/>
        <v>51461149.747787192</v>
      </c>
      <c r="O230" s="106">
        <f t="shared" si="116"/>
        <v>56212716.721358992</v>
      </c>
      <c r="P230" s="106">
        <f t="shared" si="116"/>
        <v>58892869.167876735</v>
      </c>
      <c r="Q230" s="106">
        <f t="shared" si="116"/>
        <v>60082238.914741181</v>
      </c>
      <c r="R230" s="106">
        <f t="shared" si="116"/>
        <v>61555607.236393288</v>
      </c>
      <c r="S230" s="106">
        <f t="shared" si="116"/>
        <v>62770896.94349508</v>
      </c>
      <c r="T230" s="106">
        <f t="shared" si="116"/>
        <v>63147568.003071621</v>
      </c>
      <c r="U230" s="106">
        <f t="shared" si="116"/>
        <v>64447070.66134043</v>
      </c>
      <c r="V230" s="106">
        <f t="shared" si="116"/>
        <v>61486149.802537769</v>
      </c>
      <c r="W230" s="106">
        <f t="shared" si="116"/>
        <v>62339833.942933463</v>
      </c>
      <c r="X230" s="106">
        <f t="shared" si="116"/>
        <v>62412944.137845144</v>
      </c>
      <c r="Y230" s="106">
        <f t="shared" si="116"/>
        <v>61574298.971244916</v>
      </c>
      <c r="Z230" s="106">
        <f t="shared" si="116"/>
        <v>60244680.515209153</v>
      </c>
      <c r="AA230" s="106">
        <f t="shared" si="116"/>
        <v>58952157.525562242</v>
      </c>
    </row>
    <row r="231" spans="4:28" x14ac:dyDescent="0.25">
      <c r="E231" s="47" t="s">
        <v>727</v>
      </c>
      <c r="F231" s="47" t="s">
        <v>639</v>
      </c>
      <c r="G231" s="106">
        <f>-G230*G$18</f>
        <v>0</v>
      </c>
      <c r="H231" s="106">
        <f t="shared" ref="H231:AA231" si="117">-H230*H$18</f>
        <v>-13158611.931665877</v>
      </c>
      <c r="I231" s="106">
        <f t="shared" si="117"/>
        <v>-14172226.300058434</v>
      </c>
      <c r="J231" s="106">
        <f t="shared" si="117"/>
        <v>-12734135.448329007</v>
      </c>
      <c r="K231" s="106">
        <f t="shared" si="117"/>
        <v>-13378399.524767363</v>
      </c>
      <c r="L231" s="106">
        <f t="shared" si="117"/>
        <v>-13949551.935534829</v>
      </c>
      <c r="M231" s="106">
        <f t="shared" si="117"/>
        <v>-15260944.466434509</v>
      </c>
      <c r="N231" s="106">
        <f t="shared" si="117"/>
        <v>-15438344.924336158</v>
      </c>
      <c r="O231" s="106">
        <f t="shared" si="117"/>
        <v>-16863815.016407698</v>
      </c>
      <c r="P231" s="106">
        <f t="shared" si="117"/>
        <v>-17667860.750363018</v>
      </c>
      <c r="Q231" s="106">
        <f t="shared" si="117"/>
        <v>-18024671.674422354</v>
      </c>
      <c r="R231" s="106">
        <f t="shared" si="117"/>
        <v>-18466682.170917984</v>
      </c>
      <c r="S231" s="106">
        <f t="shared" si="117"/>
        <v>-18831269.083048522</v>
      </c>
      <c r="T231" s="106">
        <f t="shared" si="117"/>
        <v>-18944270.400921486</v>
      </c>
      <c r="U231" s="106">
        <f t="shared" si="117"/>
        <v>-19334121.198402129</v>
      </c>
      <c r="V231" s="106">
        <f t="shared" si="117"/>
        <v>-18445844.940761331</v>
      </c>
      <c r="W231" s="106">
        <f t="shared" si="117"/>
        <v>-18701950.182880037</v>
      </c>
      <c r="X231" s="106">
        <f t="shared" si="117"/>
        <v>-18723883.241353542</v>
      </c>
      <c r="Y231" s="106">
        <f t="shared" si="117"/>
        <v>-18472289.691373475</v>
      </c>
      <c r="Z231" s="106">
        <f t="shared" si="117"/>
        <v>-18073404.154562745</v>
      </c>
      <c r="AA231" s="106">
        <f t="shared" si="117"/>
        <v>-17685647.25766867</v>
      </c>
    </row>
    <row r="233" spans="4:28" x14ac:dyDescent="0.25">
      <c r="D233" s="47" t="s">
        <v>728</v>
      </c>
    </row>
    <row r="234" spans="4:28" x14ac:dyDescent="0.25">
      <c r="E234" s="47" t="s">
        <v>638</v>
      </c>
      <c r="F234" s="47" t="s">
        <v>639</v>
      </c>
      <c r="G234" s="106">
        <f t="shared" ref="G234:AA234" si="118">-G26</f>
        <v>0</v>
      </c>
      <c r="H234" s="106">
        <f t="shared" si="118"/>
        <v>-56307357.150059603</v>
      </c>
      <c r="I234" s="106">
        <f t="shared" si="118"/>
        <v>-51482589.02854725</v>
      </c>
      <c r="J234" s="106">
        <f t="shared" si="118"/>
        <v>-58111451.044771515</v>
      </c>
      <c r="K234" s="106">
        <f t="shared" si="118"/>
        <v>-24299082.086636819</v>
      </c>
      <c r="L234" s="106">
        <f t="shared" si="118"/>
        <v>-40187664.961007938</v>
      </c>
      <c r="M234" s="106">
        <f t="shared" si="118"/>
        <v>-42062534.441270642</v>
      </c>
      <c r="N234" s="106">
        <f t="shared" si="118"/>
        <v>-46084886.366997331</v>
      </c>
      <c r="O234" s="106">
        <f t="shared" si="118"/>
        <v>-30507160.298431948</v>
      </c>
      <c r="P234" s="106">
        <f t="shared" si="118"/>
        <v>-29591573.65785639</v>
      </c>
      <c r="Q234" s="106">
        <f t="shared" si="118"/>
        <v>-37686763.945112847</v>
      </c>
      <c r="R234" s="106">
        <f>-R26</f>
        <v>-37686763.945112847</v>
      </c>
      <c r="S234" s="106">
        <f t="shared" si="118"/>
        <v>-37686763.945112847</v>
      </c>
      <c r="T234" s="106">
        <f t="shared" si="118"/>
        <v>-37686763.945112847</v>
      </c>
      <c r="U234" s="106">
        <f t="shared" si="118"/>
        <v>-37686763.945112847</v>
      </c>
      <c r="V234" s="106">
        <f t="shared" si="118"/>
        <v>-37686763.945112847</v>
      </c>
      <c r="W234" s="106">
        <f t="shared" si="118"/>
        <v>-37686763.945112847</v>
      </c>
      <c r="X234" s="106">
        <f t="shared" si="118"/>
        <v>-37686763.945112847</v>
      </c>
      <c r="Y234" s="106">
        <f t="shared" si="118"/>
        <v>-37686763.945112847</v>
      </c>
      <c r="Z234" s="106">
        <f t="shared" si="118"/>
        <v>-37686763.945112847</v>
      </c>
      <c r="AA234" s="106">
        <f t="shared" si="118"/>
        <v>-37686763.945112847</v>
      </c>
    </row>
    <row r="235" spans="4:28" x14ac:dyDescent="0.25">
      <c r="E235" s="47" t="s">
        <v>729</v>
      </c>
      <c r="F235" s="47" t="s">
        <v>639</v>
      </c>
      <c r="G235" s="106">
        <f t="shared" ref="G235:AA235" si="119">G84</f>
        <v>0</v>
      </c>
      <c r="H235" s="106">
        <f t="shared" si="119"/>
        <v>0</v>
      </c>
      <c r="I235" s="106">
        <f t="shared" si="119"/>
        <v>0</v>
      </c>
      <c r="J235" s="106">
        <f t="shared" si="119"/>
        <v>0</v>
      </c>
      <c r="K235" s="106">
        <f t="shared" si="119"/>
        <v>0</v>
      </c>
      <c r="L235" s="106">
        <f t="shared" si="119"/>
        <v>0</v>
      </c>
      <c r="M235" s="106">
        <f t="shared" si="119"/>
        <v>0</v>
      </c>
      <c r="N235" s="106">
        <f t="shared" si="119"/>
        <v>0</v>
      </c>
      <c r="O235" s="106">
        <f t="shared" si="119"/>
        <v>0</v>
      </c>
      <c r="P235" s="106">
        <f t="shared" si="119"/>
        <v>0</v>
      </c>
      <c r="Q235" s="106">
        <f t="shared" si="119"/>
        <v>0</v>
      </c>
      <c r="R235" s="106">
        <f t="shared" si="119"/>
        <v>0</v>
      </c>
      <c r="S235" s="106">
        <f t="shared" si="119"/>
        <v>0</v>
      </c>
      <c r="T235" s="106">
        <f t="shared" si="119"/>
        <v>0</v>
      </c>
      <c r="U235" s="106">
        <f t="shared" si="119"/>
        <v>0</v>
      </c>
      <c r="V235" s="106">
        <f t="shared" si="119"/>
        <v>0</v>
      </c>
      <c r="W235" s="106">
        <f t="shared" si="119"/>
        <v>0</v>
      </c>
      <c r="X235" s="106">
        <f t="shared" si="119"/>
        <v>0</v>
      </c>
      <c r="Y235" s="106">
        <f t="shared" si="119"/>
        <v>0</v>
      </c>
      <c r="Z235" s="106">
        <f t="shared" si="119"/>
        <v>0</v>
      </c>
      <c r="AA235" s="106">
        <f t="shared" si="119"/>
        <v>0</v>
      </c>
    </row>
    <row r="236" spans="4:28" x14ac:dyDescent="0.25">
      <c r="E236" s="47" t="s">
        <v>645</v>
      </c>
      <c r="F236" s="47" t="s">
        <v>639</v>
      </c>
      <c r="G236" s="106">
        <f t="shared" ref="G236:AA236" si="120">G53</f>
        <v>0</v>
      </c>
      <c r="H236" s="106">
        <f t="shared" si="120"/>
        <v>0</v>
      </c>
      <c r="I236" s="106">
        <f t="shared" si="120"/>
        <v>0</v>
      </c>
      <c r="J236" s="106">
        <f t="shared" si="120"/>
        <v>0</v>
      </c>
      <c r="K236" s="106">
        <f t="shared" si="120"/>
        <v>0</v>
      </c>
      <c r="L236" s="106">
        <f t="shared" si="120"/>
        <v>0</v>
      </c>
      <c r="M236" s="106">
        <f t="shared" si="120"/>
        <v>0</v>
      </c>
      <c r="N236" s="106">
        <f t="shared" si="120"/>
        <v>0</v>
      </c>
      <c r="O236" s="106">
        <f t="shared" si="120"/>
        <v>0</v>
      </c>
      <c r="P236" s="106">
        <f t="shared" si="120"/>
        <v>0</v>
      </c>
      <c r="Q236" s="106">
        <f t="shared" si="120"/>
        <v>0</v>
      </c>
      <c r="R236" s="106">
        <f t="shared" si="120"/>
        <v>0</v>
      </c>
      <c r="S236" s="106">
        <f t="shared" si="120"/>
        <v>0</v>
      </c>
      <c r="T236" s="106">
        <f t="shared" si="120"/>
        <v>0</v>
      </c>
      <c r="U236" s="106">
        <f t="shared" si="120"/>
        <v>0</v>
      </c>
      <c r="V236" s="106">
        <f t="shared" si="120"/>
        <v>0</v>
      </c>
      <c r="W236" s="106">
        <f t="shared" si="120"/>
        <v>0</v>
      </c>
      <c r="X236" s="106">
        <f t="shared" si="120"/>
        <v>0</v>
      </c>
      <c r="Y236" s="106">
        <f t="shared" si="120"/>
        <v>0</v>
      </c>
      <c r="Z236" s="106">
        <f t="shared" si="120"/>
        <v>0</v>
      </c>
      <c r="AA236" s="106">
        <f t="shared" si="120"/>
        <v>0</v>
      </c>
    </row>
    <row r="237" spans="4:28" x14ac:dyDescent="0.25">
      <c r="E237" s="47" t="s">
        <v>723</v>
      </c>
      <c r="F237" s="47" t="s">
        <v>639</v>
      </c>
      <c r="G237" s="106">
        <f t="shared" ref="G237:AA237" si="121">G177</f>
        <v>0</v>
      </c>
      <c r="H237" s="106">
        <f t="shared" si="121"/>
        <v>3039930.2384739602</v>
      </c>
      <c r="I237" s="106">
        <f t="shared" si="121"/>
        <v>6326277.7924020924</v>
      </c>
      <c r="J237" s="106">
        <f t="shared" si="121"/>
        <v>9287067.3066609986</v>
      </c>
      <c r="K237" s="106">
        <f t="shared" si="121"/>
        <v>12429204.233567234</v>
      </c>
      <c r="L237" s="106">
        <f t="shared" si="121"/>
        <v>15683708.251446003</v>
      </c>
      <c r="M237" s="106">
        <f t="shared" si="121"/>
        <v>19275592.809558649</v>
      </c>
      <c r="N237" s="106">
        <f t="shared" si="121"/>
        <v>22875784.47557918</v>
      </c>
      <c r="O237" s="106">
        <f t="shared" si="121"/>
        <v>26803150.268226504</v>
      </c>
      <c r="P237" s="106">
        <f t="shared" si="121"/>
        <v>30726775.727540869</v>
      </c>
      <c r="Q237" s="106">
        <f t="shared" si="121"/>
        <v>33854382.720780715</v>
      </c>
      <c r="R237" s="106">
        <f t="shared" si="121"/>
        <v>37448043.552385472</v>
      </c>
      <c r="S237" s="106">
        <f t="shared" si="121"/>
        <v>41062087.463619463</v>
      </c>
      <c r="T237" s="106">
        <f t="shared" si="121"/>
        <v>44406719.629440211</v>
      </c>
      <c r="U237" s="106">
        <f t="shared" si="121"/>
        <v>47790123.152018934</v>
      </c>
      <c r="V237" s="106">
        <f t="shared" si="121"/>
        <v>47134501.60281083</v>
      </c>
      <c r="W237" s="106">
        <f t="shared" si="121"/>
        <v>50231616.343917102</v>
      </c>
      <c r="X237" s="106">
        <f t="shared" si="121"/>
        <v>52980297.029667705</v>
      </c>
      <c r="Y237" s="106">
        <f t="shared" si="121"/>
        <v>55772967.907854952</v>
      </c>
      <c r="Z237" s="106">
        <f t="shared" si="121"/>
        <v>58402254.382691607</v>
      </c>
      <c r="AA237" s="106">
        <f t="shared" si="121"/>
        <v>60992533.783200845</v>
      </c>
      <c r="AB237" s="106">
        <f t="shared" ref="AB237:AB241" si="122">IF(V237=0,0,IF($G$15&gt;(AA237/V237)^(1/5)-1+2%,AA237*(AA237/V237)^(1/5)/($G$15-((AA237/V237)^(1/5)-1)),AA237*(1+$G$14)/$G$16))</f>
        <v>2530810530.4232707</v>
      </c>
    </row>
    <row r="238" spans="4:28" x14ac:dyDescent="0.25">
      <c r="E238" s="47" t="s">
        <v>701</v>
      </c>
      <c r="F238" s="47" t="s">
        <v>639</v>
      </c>
      <c r="G238" s="106">
        <f t="shared" ref="G238:AA238" si="123">G224</f>
        <v>0</v>
      </c>
      <c r="H238" s="106">
        <f t="shared" si="123"/>
        <v>-1283078.599037519</v>
      </c>
      <c r="I238" s="106">
        <f t="shared" si="123"/>
        <v>-2525591.032179785</v>
      </c>
      <c r="J238" s="106">
        <f t="shared" si="123"/>
        <v>-3802173.606725106</v>
      </c>
      <c r="K238" s="106">
        <f t="shared" si="123"/>
        <v>-4798462.5849568071</v>
      </c>
      <c r="L238" s="106">
        <f t="shared" si="123"/>
        <v>-5793415.1851502722</v>
      </c>
      <c r="M238" s="106">
        <f t="shared" si="123"/>
        <v>-6813595.7923333123</v>
      </c>
      <c r="N238" s="106">
        <f t="shared" si="123"/>
        <v>-7775223.3029197957</v>
      </c>
      <c r="O238" s="106">
        <f t="shared" si="123"/>
        <v>-8779140.6895828117</v>
      </c>
      <c r="P238" s="106">
        <f t="shared" si="123"/>
        <v>-9745924.3791378308</v>
      </c>
      <c r="Q238" s="106">
        <f t="shared" si="123"/>
        <v>-10673703.976435926</v>
      </c>
      <c r="R238" s="106">
        <f t="shared" si="123"/>
        <v>-11509723.326109789</v>
      </c>
      <c r="S238" s="106">
        <f t="shared" si="123"/>
        <v>-12288863.367801046</v>
      </c>
      <c r="T238" s="106">
        <f t="shared" si="123"/>
        <v>-12987735.688620158</v>
      </c>
      <c r="U238" s="106">
        <f t="shared" si="123"/>
        <v>-13647403.284543665</v>
      </c>
      <c r="V238" s="106">
        <f t="shared" si="123"/>
        <v>-14255599.592855703</v>
      </c>
      <c r="W238" s="106">
        <f t="shared" si="123"/>
        <v>-14826018.618963186</v>
      </c>
      <c r="X238" s="106">
        <f t="shared" si="123"/>
        <v>-15546901.698708663</v>
      </c>
      <c r="Y238" s="106">
        <f t="shared" si="123"/>
        <v>-16089018.538589403</v>
      </c>
      <c r="Z238" s="106">
        <f t="shared" si="123"/>
        <v>-16564463.337364031</v>
      </c>
      <c r="AA238" s="106">
        <f t="shared" si="123"/>
        <v>-16991233.513374694</v>
      </c>
      <c r="AB238" s="106">
        <f t="shared" si="122"/>
        <v>-705030436.23961353</v>
      </c>
    </row>
    <row r="239" spans="4:28" x14ac:dyDescent="0.25">
      <c r="E239" s="47" t="s">
        <v>702</v>
      </c>
      <c r="F239" s="47" t="s">
        <v>639</v>
      </c>
      <c r="G239" s="106">
        <f t="shared" ref="G239:AA239" si="124">-G200</f>
        <v>0</v>
      </c>
      <c r="H239" s="106">
        <f t="shared" si="124"/>
        <v>-687992.10188024095</v>
      </c>
      <c r="I239" s="106">
        <f t="shared" si="124"/>
        <v>-1391296.5735186045</v>
      </c>
      <c r="J239" s="106">
        <f t="shared" si="124"/>
        <v>-1965880.1922164117</v>
      </c>
      <c r="K239" s="106">
        <f t="shared" si="124"/>
        <v>-2546941.0038530892</v>
      </c>
      <c r="L239" s="106">
        <f t="shared" si="124"/>
        <v>-3143057.8294700691</v>
      </c>
      <c r="M239" s="106">
        <f t="shared" si="124"/>
        <v>-3766142.0169028649</v>
      </c>
      <c r="N239" s="106">
        <f t="shared" si="124"/>
        <v>-4360738.5418150369</v>
      </c>
      <c r="O239" s="106">
        <f t="shared" si="124"/>
        <v>-4979015.4715877483</v>
      </c>
      <c r="P239" s="106">
        <f t="shared" si="124"/>
        <v>-5590653.222406501</v>
      </c>
      <c r="Q239" s="106">
        <f t="shared" si="124"/>
        <v>-6277799.8245230438</v>
      </c>
      <c r="R239" s="106">
        <f t="shared" si="124"/>
        <v>-6964723.0740576992</v>
      </c>
      <c r="S239" s="106">
        <f t="shared" si="124"/>
        <v>-7646466.6231843922</v>
      </c>
      <c r="T239" s="106">
        <f t="shared" si="124"/>
        <v>-8314209.8203602117</v>
      </c>
      <c r="U239" s="106">
        <f t="shared" si="124"/>
        <v>-8979246.1815473791</v>
      </c>
      <c r="V239" s="106">
        <f t="shared" si="124"/>
        <v>-9637735.6700376533</v>
      </c>
      <c r="W239" s="106">
        <f t="shared" si="124"/>
        <v>-10288554.192370372</v>
      </c>
      <c r="X239" s="106">
        <f t="shared" si="124"/>
        <v>-10928084.02208191</v>
      </c>
      <c r="Y239" s="106">
        <f t="shared" si="124"/>
        <v>-11540322.971782492</v>
      </c>
      <c r="Z239" s="106">
        <f t="shared" si="124"/>
        <v>-12120126.191772448</v>
      </c>
      <c r="AA239" s="106">
        <f t="shared" si="124"/>
        <v>-12668795.792438723</v>
      </c>
      <c r="AB239" s="106">
        <f t="shared" si="122"/>
        <v>-525676173.96011275</v>
      </c>
    </row>
    <row r="240" spans="4:28" x14ac:dyDescent="0.25">
      <c r="E240" s="47" t="s">
        <v>709</v>
      </c>
      <c r="F240" s="47" t="s">
        <v>639</v>
      </c>
      <c r="G240" s="106">
        <f t="shared" ref="G240:AA240" si="125">G207</f>
        <v>0</v>
      </c>
      <c r="H240" s="106">
        <f t="shared" si="125"/>
        <v>0</v>
      </c>
      <c r="I240" s="106">
        <f t="shared" si="125"/>
        <v>0</v>
      </c>
      <c r="J240" s="106">
        <f t="shared" si="125"/>
        <v>0</v>
      </c>
      <c r="K240" s="106">
        <f t="shared" si="125"/>
        <v>0</v>
      </c>
      <c r="L240" s="106">
        <f t="shared" si="125"/>
        <v>0</v>
      </c>
      <c r="M240" s="106">
        <f t="shared" si="125"/>
        <v>0</v>
      </c>
      <c r="N240" s="106">
        <f t="shared" si="125"/>
        <v>0</v>
      </c>
      <c r="O240" s="106">
        <f t="shared" si="125"/>
        <v>0</v>
      </c>
      <c r="P240" s="106">
        <f t="shared" si="125"/>
        <v>0</v>
      </c>
      <c r="Q240" s="106">
        <f t="shared" si="125"/>
        <v>0</v>
      </c>
      <c r="R240" s="106">
        <f t="shared" si="125"/>
        <v>0</v>
      </c>
      <c r="S240" s="106">
        <f t="shared" si="125"/>
        <v>0</v>
      </c>
      <c r="T240" s="106">
        <f t="shared" si="125"/>
        <v>0</v>
      </c>
      <c r="U240" s="106">
        <f t="shared" si="125"/>
        <v>0</v>
      </c>
      <c r="V240" s="106">
        <f t="shared" si="125"/>
        <v>0</v>
      </c>
      <c r="W240" s="106">
        <f t="shared" si="125"/>
        <v>0</v>
      </c>
      <c r="X240" s="106">
        <f t="shared" si="125"/>
        <v>0</v>
      </c>
      <c r="Y240" s="106">
        <f t="shared" si="125"/>
        <v>0</v>
      </c>
      <c r="Z240" s="106">
        <f t="shared" si="125"/>
        <v>0</v>
      </c>
      <c r="AA240" s="106">
        <f t="shared" si="125"/>
        <v>0</v>
      </c>
      <c r="AB240" s="106">
        <f t="shared" si="122"/>
        <v>0</v>
      </c>
    </row>
    <row r="241" spans="3:40" x14ac:dyDescent="0.25">
      <c r="E241" s="47" t="s">
        <v>714</v>
      </c>
      <c r="F241" s="47" t="s">
        <v>639</v>
      </c>
      <c r="G241" s="106">
        <f t="shared" ref="G241:AA241" si="126">G214</f>
        <v>0</v>
      </c>
      <c r="H241" s="106">
        <f t="shared" si="126"/>
        <v>0</v>
      </c>
      <c r="I241" s="106">
        <f t="shared" si="126"/>
        <v>0</v>
      </c>
      <c r="J241" s="106">
        <f t="shared" si="126"/>
        <v>0</v>
      </c>
      <c r="K241" s="106">
        <f t="shared" si="126"/>
        <v>0</v>
      </c>
      <c r="L241" s="106">
        <f t="shared" si="126"/>
        <v>0</v>
      </c>
      <c r="M241" s="106">
        <f t="shared" si="126"/>
        <v>0</v>
      </c>
      <c r="N241" s="106">
        <f t="shared" si="126"/>
        <v>0</v>
      </c>
      <c r="O241" s="106">
        <f t="shared" si="126"/>
        <v>0</v>
      </c>
      <c r="P241" s="106">
        <f t="shared" si="126"/>
        <v>0</v>
      </c>
      <c r="Q241" s="106">
        <f t="shared" si="126"/>
        <v>0</v>
      </c>
      <c r="R241" s="106">
        <f t="shared" si="126"/>
        <v>0</v>
      </c>
      <c r="S241" s="106">
        <f t="shared" si="126"/>
        <v>0</v>
      </c>
      <c r="T241" s="106">
        <f t="shared" si="126"/>
        <v>0</v>
      </c>
      <c r="U241" s="106">
        <f t="shared" si="126"/>
        <v>0</v>
      </c>
      <c r="V241" s="106">
        <f t="shared" si="126"/>
        <v>0</v>
      </c>
      <c r="W241" s="106">
        <f t="shared" si="126"/>
        <v>0</v>
      </c>
      <c r="X241" s="106">
        <f t="shared" si="126"/>
        <v>0</v>
      </c>
      <c r="Y241" s="106">
        <f t="shared" si="126"/>
        <v>0</v>
      </c>
      <c r="Z241" s="106">
        <f t="shared" si="126"/>
        <v>0</v>
      </c>
      <c r="AA241" s="106">
        <f t="shared" si="126"/>
        <v>0</v>
      </c>
      <c r="AB241" s="106">
        <f t="shared" si="122"/>
        <v>0</v>
      </c>
    </row>
    <row r="242" spans="3:40" x14ac:dyDescent="0.25">
      <c r="E242" s="47" t="s">
        <v>458</v>
      </c>
      <c r="F242" s="47" t="s">
        <v>639</v>
      </c>
      <c r="G242" s="106">
        <f t="shared" ref="G242:AA242" si="127">G231</f>
        <v>0</v>
      </c>
      <c r="H242" s="106">
        <f t="shared" si="127"/>
        <v>-13158611.931665877</v>
      </c>
      <c r="I242" s="106">
        <f t="shared" si="127"/>
        <v>-14172226.300058434</v>
      </c>
      <c r="J242" s="106">
        <f t="shared" si="127"/>
        <v>-12734135.448329007</v>
      </c>
      <c r="K242" s="106">
        <f t="shared" si="127"/>
        <v>-13378399.524767363</v>
      </c>
      <c r="L242" s="106">
        <f t="shared" si="127"/>
        <v>-13949551.935534829</v>
      </c>
      <c r="M242" s="106">
        <f t="shared" si="127"/>
        <v>-15260944.466434509</v>
      </c>
      <c r="N242" s="106">
        <f t="shared" si="127"/>
        <v>-15438344.924336158</v>
      </c>
      <c r="O242" s="106">
        <f t="shared" si="127"/>
        <v>-16863815.016407698</v>
      </c>
      <c r="P242" s="106">
        <f t="shared" si="127"/>
        <v>-17667860.750363018</v>
      </c>
      <c r="Q242" s="106">
        <f t="shared" si="127"/>
        <v>-18024671.674422354</v>
      </c>
      <c r="R242" s="106">
        <f t="shared" si="127"/>
        <v>-18466682.170917984</v>
      </c>
      <c r="S242" s="106">
        <f t="shared" si="127"/>
        <v>-18831269.083048522</v>
      </c>
      <c r="T242" s="106">
        <f t="shared" si="127"/>
        <v>-18944270.400921486</v>
      </c>
      <c r="U242" s="106">
        <f t="shared" si="127"/>
        <v>-19334121.198402129</v>
      </c>
      <c r="V242" s="106">
        <f t="shared" si="127"/>
        <v>-18445844.940761331</v>
      </c>
      <c r="W242" s="106">
        <f t="shared" si="127"/>
        <v>-18701950.182880037</v>
      </c>
      <c r="X242" s="106">
        <f t="shared" si="127"/>
        <v>-18723883.241353542</v>
      </c>
      <c r="Y242" s="106">
        <f t="shared" si="127"/>
        <v>-18472289.691373475</v>
      </c>
      <c r="Z242" s="106">
        <f t="shared" si="127"/>
        <v>-18073404.154562745</v>
      </c>
      <c r="AA242" s="106">
        <f t="shared" si="127"/>
        <v>-17685647.25766867</v>
      </c>
      <c r="AB242" s="106">
        <f>IF(V242=0,0,IF($G$15&gt;(AA242/V242)^(1/5)-1+2%,AA242*(AA242/V242)^(1/5)/($G$15-((AA242/V242)^(1/5)-1)),AA242*(1+$G$14)/$G$16))</f>
        <v>-539914640.68560576</v>
      </c>
      <c r="AN242" s="104"/>
    </row>
    <row r="243" spans="3:40" x14ac:dyDescent="0.25">
      <c r="E243" s="47" t="s">
        <v>730</v>
      </c>
      <c r="F243" s="47" t="s">
        <v>639</v>
      </c>
      <c r="G243" s="106">
        <f>-$G$17*G242</f>
        <v>0</v>
      </c>
      <c r="H243" s="106">
        <f t="shared" ref="H243:AA243" si="128">-$G$17*H242</f>
        <v>6579305.9658329384</v>
      </c>
      <c r="I243" s="106">
        <f t="shared" si="128"/>
        <v>7086113.1500292169</v>
      </c>
      <c r="J243" s="106">
        <f t="shared" si="128"/>
        <v>6367067.7241645036</v>
      </c>
      <c r="K243" s="106">
        <f t="shared" si="128"/>
        <v>6689199.7623836817</v>
      </c>
      <c r="L243" s="106">
        <f t="shared" si="128"/>
        <v>6974775.9677674146</v>
      </c>
      <c r="M243" s="106">
        <f t="shared" si="128"/>
        <v>7630472.2332172543</v>
      </c>
      <c r="N243" s="106">
        <f t="shared" si="128"/>
        <v>7719172.4621680789</v>
      </c>
      <c r="O243" s="106">
        <f t="shared" si="128"/>
        <v>8431907.5082038492</v>
      </c>
      <c r="P243" s="106">
        <f t="shared" si="128"/>
        <v>8833930.3751815092</v>
      </c>
      <c r="Q243" s="106">
        <f t="shared" si="128"/>
        <v>9012335.8372111768</v>
      </c>
      <c r="R243" s="106">
        <f t="shared" si="128"/>
        <v>9233341.085458992</v>
      </c>
      <c r="S243" s="106">
        <f t="shared" si="128"/>
        <v>9415634.5415242612</v>
      </c>
      <c r="T243" s="106">
        <f t="shared" si="128"/>
        <v>9472135.2004607432</v>
      </c>
      <c r="U243" s="106">
        <f t="shared" si="128"/>
        <v>9667060.5992010646</v>
      </c>
      <c r="V243" s="106">
        <f t="shared" si="128"/>
        <v>9222922.4703806657</v>
      </c>
      <c r="W243" s="106">
        <f t="shared" si="128"/>
        <v>9350975.0914400183</v>
      </c>
      <c r="X243" s="106">
        <f t="shared" si="128"/>
        <v>9361941.6206767708</v>
      </c>
      <c r="Y243" s="106">
        <f t="shared" si="128"/>
        <v>9236144.8456867374</v>
      </c>
      <c r="Z243" s="106">
        <f t="shared" si="128"/>
        <v>9036702.0772813726</v>
      </c>
      <c r="AA243" s="106">
        <f t="shared" si="128"/>
        <v>8842823.6288343351</v>
      </c>
      <c r="AB243" s="106">
        <f t="shared" ref="AB243" si="129">IF(V243=0,0,IF($G$15&gt;(AA243/V243)^(1/5)-1+2%,AA243*(AA243/V243)^(1/5)/($G$15-((AA243/V243)^(1/5)-1)),AA243*(1+$G$14)/$G$16))</f>
        <v>269957320.34280288</v>
      </c>
    </row>
    <row r="244" spans="3:40" x14ac:dyDescent="0.25">
      <c r="E244" s="47" t="s">
        <v>731</v>
      </c>
      <c r="F244" s="47" t="s">
        <v>639</v>
      </c>
      <c r="G244" s="116">
        <f>SUM(G234:G243)</f>
        <v>0</v>
      </c>
      <c r="H244" s="116">
        <f t="shared" ref="H244:AA244" si="130">SUM(H234:H243)</f>
        <v>-61817803.578336336</v>
      </c>
      <c r="I244" s="116">
        <f t="shared" si="130"/>
        <v>-56159311.991872758</v>
      </c>
      <c r="J244" s="116">
        <f t="shared" si="130"/>
        <v>-60959505.261216536</v>
      </c>
      <c r="K244" s="116">
        <f t="shared" si="130"/>
        <v>-25904481.204263162</v>
      </c>
      <c r="L244" s="116">
        <f t="shared" si="130"/>
        <v>-40415205.691949688</v>
      </c>
      <c r="M244" s="116">
        <f t="shared" si="130"/>
        <v>-40997151.674165428</v>
      </c>
      <c r="N244" s="116">
        <f t="shared" si="130"/>
        <v>-43064236.198321059</v>
      </c>
      <c r="O244" s="116">
        <f t="shared" si="130"/>
        <v>-25894073.69957985</v>
      </c>
      <c r="P244" s="116">
        <f t="shared" si="130"/>
        <v>-23035305.907041363</v>
      </c>
      <c r="Q244" s="116">
        <f t="shared" si="130"/>
        <v>-29796220.862502277</v>
      </c>
      <c r="R244" s="116">
        <f t="shared" si="130"/>
        <v>-27946507.878353849</v>
      </c>
      <c r="S244" s="116">
        <f t="shared" si="130"/>
        <v>-25975641.014003083</v>
      </c>
      <c r="T244" s="116">
        <f t="shared" si="130"/>
        <v>-24054125.02511375</v>
      </c>
      <c r="U244" s="116">
        <f t="shared" si="130"/>
        <v>-22190350.858386021</v>
      </c>
      <c r="V244" s="116">
        <f t="shared" si="130"/>
        <v>-23668520.075576037</v>
      </c>
      <c r="W244" s="116">
        <f t="shared" si="130"/>
        <v>-21920695.503969323</v>
      </c>
      <c r="X244" s="116">
        <f t="shared" si="130"/>
        <v>-20543394.256912485</v>
      </c>
      <c r="Y244" s="116">
        <f t="shared" si="130"/>
        <v>-18779282.393316526</v>
      </c>
      <c r="Z244" s="116">
        <f t="shared" si="130"/>
        <v>-17005801.16883909</v>
      </c>
      <c r="AA244" s="116">
        <f t="shared" si="130"/>
        <v>-15197083.096559754</v>
      </c>
      <c r="AB244" s="116">
        <f>SUM(AB234:AB243)</f>
        <v>1030146599.8807415</v>
      </c>
    </row>
    <row r="245" spans="3:40" x14ac:dyDescent="0.25">
      <c r="E245" s="47" t="s">
        <v>732</v>
      </c>
      <c r="F245" s="47" t="s">
        <v>639</v>
      </c>
      <c r="G245" s="116">
        <f>NPV($G$15,H244:AA244)+G244</f>
        <v>-517862473.09591091</v>
      </c>
      <c r="H245" s="48"/>
      <c r="I245" s="48"/>
      <c r="J245" s="48"/>
      <c r="K245" s="48"/>
      <c r="L245" s="48"/>
      <c r="M245" s="48"/>
      <c r="N245" s="48"/>
      <c r="O245" s="48"/>
      <c r="P245" s="48"/>
      <c r="Q245" s="48"/>
      <c r="R245" s="48"/>
      <c r="S245" s="48"/>
      <c r="T245" s="48"/>
      <c r="U245" s="48"/>
      <c r="V245" s="48"/>
      <c r="W245" s="48"/>
      <c r="X245" s="48"/>
      <c r="Y245" s="48"/>
      <c r="Z245" s="48"/>
      <c r="AA245" s="48"/>
      <c r="AB245" s="48"/>
    </row>
    <row r="246" spans="3:40" x14ac:dyDescent="0.25">
      <c r="G246" s="48"/>
      <c r="H246" s="48"/>
      <c r="I246" s="48"/>
      <c r="J246" s="48"/>
      <c r="K246" s="48"/>
      <c r="L246" s="48"/>
      <c r="M246" s="48"/>
      <c r="N246" s="48"/>
      <c r="O246" s="48"/>
      <c r="P246" s="48"/>
      <c r="Q246" s="48"/>
      <c r="R246" s="48"/>
      <c r="S246" s="48"/>
      <c r="T246" s="48"/>
      <c r="U246" s="48"/>
      <c r="V246" s="48"/>
      <c r="W246" s="48"/>
      <c r="X246" s="48"/>
      <c r="Y246" s="48"/>
      <c r="Z246" s="48"/>
      <c r="AA246" s="48"/>
      <c r="AB246" s="48"/>
    </row>
    <row r="247" spans="3:40" x14ac:dyDescent="0.25">
      <c r="E247" s="47" t="s">
        <v>725</v>
      </c>
      <c r="F247" s="47" t="s">
        <v>639</v>
      </c>
      <c r="G247" s="48"/>
      <c r="H247" s="116">
        <f t="shared" ref="H247:AA247" si="131">H219</f>
        <v>30974882.165391825</v>
      </c>
      <c r="I247" s="116">
        <f t="shared" si="131"/>
        <v>33553591.712521259</v>
      </c>
      <c r="J247" s="116">
        <f t="shared" si="131"/>
        <v>28990661.969129637</v>
      </c>
      <c r="K247" s="116">
        <f t="shared" si="131"/>
        <v>29794873.653817952</v>
      </c>
      <c r="L247" s="116">
        <f t="shared" si="131"/>
        <v>31092983.255028669</v>
      </c>
      <c r="M247" s="116">
        <f t="shared" si="131"/>
        <v>33315869.396435987</v>
      </c>
      <c r="N247" s="116">
        <f t="shared" si="131"/>
        <v>32806868.351273254</v>
      </c>
      <c r="O247" s="116">
        <f t="shared" si="131"/>
        <v>34937849.829790704</v>
      </c>
      <c r="P247" s="116">
        <f t="shared" si="131"/>
        <v>35558733.48523657</v>
      </c>
      <c r="Q247" s="116">
        <f t="shared" si="131"/>
        <v>35770013.755367748</v>
      </c>
      <c r="R247" s="116">
        <f t="shared" si="131"/>
        <v>35758386.942542315</v>
      </c>
      <c r="S247" s="116">
        <f t="shared" si="131"/>
        <v>35488753.134748176</v>
      </c>
      <c r="T247" s="116">
        <f t="shared" si="131"/>
        <v>34759952.642509378</v>
      </c>
      <c r="U247" s="116">
        <f t="shared" si="131"/>
        <v>34619045.941887833</v>
      </c>
      <c r="V247" s="116">
        <f t="shared" si="131"/>
        <v>34278242.792019561</v>
      </c>
      <c r="W247" s="116">
        <f t="shared" si="131"/>
        <v>33878923.979807578</v>
      </c>
      <c r="X247" s="116">
        <f t="shared" si="131"/>
        <v>33291281.271401588</v>
      </c>
      <c r="Y247" s="116">
        <f t="shared" si="131"/>
        <v>31870630.786656313</v>
      </c>
      <c r="Z247" s="116">
        <f t="shared" si="131"/>
        <v>30182160.678034883</v>
      </c>
      <c r="AA247" s="116">
        <f t="shared" si="131"/>
        <v>28561473.057617076</v>
      </c>
      <c r="AB247" s="48"/>
    </row>
    <row r="248" spans="3:40" x14ac:dyDescent="0.25">
      <c r="E248" s="47" t="s">
        <v>733</v>
      </c>
      <c r="F248" s="47" t="s">
        <v>639</v>
      </c>
      <c r="G248" s="117">
        <f>NPV($G$15,H247:AA247)+G247</f>
        <v>517862473.09591073</v>
      </c>
      <c r="H248" s="48"/>
      <c r="I248" s="48"/>
      <c r="J248" s="48"/>
      <c r="K248" s="48"/>
      <c r="L248" s="48"/>
      <c r="M248" s="48"/>
      <c r="N248" s="48"/>
      <c r="O248" s="48"/>
      <c r="P248" s="48"/>
      <c r="Q248" s="48"/>
      <c r="R248" s="48"/>
      <c r="S248" s="48"/>
      <c r="T248" s="48"/>
      <c r="U248" s="48"/>
      <c r="V248" s="48"/>
      <c r="W248" s="48"/>
      <c r="X248" s="48"/>
      <c r="Y248" s="48"/>
      <c r="Z248" s="48"/>
      <c r="AA248" s="48"/>
      <c r="AB248" s="48"/>
    </row>
    <row r="249" spans="3:40" x14ac:dyDescent="0.25">
      <c r="E249" s="111" t="s">
        <v>734</v>
      </c>
      <c r="F249" s="111"/>
      <c r="G249" s="118" t="str">
        <f>IF(G245&gt;0,"N/A",IF(ABS(G245+G248)&gt;1,"Error","OK"))</f>
        <v>OK</v>
      </c>
    </row>
    <row r="251" spans="3:40" hidden="1" x14ac:dyDescent="0.25">
      <c r="C251" s="100" t="s">
        <v>735</v>
      </c>
      <c r="D251" s="100"/>
    </row>
    <row r="252" spans="3:40" hidden="1" x14ac:dyDescent="0.25">
      <c r="C252" s="100"/>
      <c r="D252" s="100"/>
    </row>
    <row r="253" spans="3:40" hidden="1" x14ac:dyDescent="0.25">
      <c r="C253" s="100"/>
      <c r="D253" s="47" t="s">
        <v>735</v>
      </c>
      <c r="F253" s="47" t="s">
        <v>639</v>
      </c>
      <c r="G253" s="115" t="e">
        <f>MAX(0,-G279)</f>
        <v>#REF!</v>
      </c>
    </row>
    <row r="254" spans="3:40" hidden="1" x14ac:dyDescent="0.25"/>
    <row r="255" spans="3:40" hidden="1" x14ac:dyDescent="0.25">
      <c r="D255" s="47" t="s">
        <v>722</v>
      </c>
    </row>
    <row r="256" spans="3:40" hidden="1" x14ac:dyDescent="0.25">
      <c r="E256" s="47" t="s">
        <v>573</v>
      </c>
      <c r="F256" s="47" t="s">
        <v>639</v>
      </c>
      <c r="G256" s="106">
        <f t="shared" ref="G256:AA261" si="132">G222</f>
        <v>0</v>
      </c>
      <c r="H256" s="106">
        <f t="shared" si="132"/>
        <v>12731911.420267019</v>
      </c>
      <c r="I256" s="106">
        <f t="shared" si="132"/>
        <v>13148526.32611936</v>
      </c>
      <c r="J256" s="106">
        <f t="shared" si="132"/>
        <v>13009894.395617187</v>
      </c>
      <c r="K256" s="106">
        <f t="shared" si="132"/>
        <v>13409361.454437556</v>
      </c>
      <c r="L256" s="106">
        <f t="shared" si="132"/>
        <v>12951956.441241918</v>
      </c>
      <c r="M256" s="106">
        <f t="shared" si="132"/>
        <v>13785672.742911229</v>
      </c>
      <c r="N256" s="106">
        <f t="shared" si="132"/>
        <v>13517669.775895538</v>
      </c>
      <c r="O256" s="106">
        <f t="shared" si="132"/>
        <v>14337696.998172905</v>
      </c>
      <c r="P256" s="106">
        <f t="shared" si="132"/>
        <v>14548544.539300503</v>
      </c>
      <c r="Q256" s="106">
        <f t="shared" si="132"/>
        <v>14604828.488976413</v>
      </c>
      <c r="R256" s="106">
        <f t="shared" si="132"/>
        <v>14610038.547363196</v>
      </c>
      <c r="S256" s="106">
        <f t="shared" si="132"/>
        <v>14531866.317820311</v>
      </c>
      <c r="T256" s="106">
        <f t="shared" si="132"/>
        <v>14246211.859359719</v>
      </c>
      <c r="U256" s="106">
        <f t="shared" si="132"/>
        <v>14214459.486185538</v>
      </c>
      <c r="V256" s="106">
        <f t="shared" si="132"/>
        <v>14101936.703524388</v>
      </c>
      <c r="W256" s="106">
        <f t="shared" si="132"/>
        <v>14063927.72170865</v>
      </c>
      <c r="X256" s="106">
        <f t="shared" si="132"/>
        <v>13919675.302315457</v>
      </c>
      <c r="Y256" s="106">
        <f t="shared" si="132"/>
        <v>13441312.847045427</v>
      </c>
      <c r="Z256" s="106">
        <f t="shared" si="132"/>
        <v>12796913.36449934</v>
      </c>
      <c r="AA256" s="106">
        <f t="shared" si="132"/>
        <v>12072982.010669051</v>
      </c>
    </row>
    <row r="257" spans="4:28" hidden="1" x14ac:dyDescent="0.25">
      <c r="E257" s="47" t="s">
        <v>723</v>
      </c>
      <c r="F257" s="47" t="s">
        <v>639</v>
      </c>
      <c r="G257" s="106">
        <f t="shared" si="132"/>
        <v>0</v>
      </c>
      <c r="H257" s="106">
        <f t="shared" si="132"/>
        <v>3039930.2384739602</v>
      </c>
      <c r="I257" s="106">
        <f t="shared" si="132"/>
        <v>6326277.7924020924</v>
      </c>
      <c r="J257" s="106">
        <f t="shared" si="132"/>
        <v>9287067.3066609986</v>
      </c>
      <c r="K257" s="106">
        <f t="shared" si="132"/>
        <v>12429204.233567234</v>
      </c>
      <c r="L257" s="106">
        <f t="shared" si="132"/>
        <v>15683708.251446003</v>
      </c>
      <c r="M257" s="106">
        <f t="shared" si="132"/>
        <v>19275592.809558649</v>
      </c>
      <c r="N257" s="106">
        <f t="shared" si="132"/>
        <v>22875784.47557918</v>
      </c>
      <c r="O257" s="106">
        <f t="shared" si="132"/>
        <v>26803150.268226504</v>
      </c>
      <c r="P257" s="106">
        <f t="shared" si="132"/>
        <v>30726775.727540869</v>
      </c>
      <c r="Q257" s="106">
        <f t="shared" si="132"/>
        <v>33854382.720780715</v>
      </c>
      <c r="R257" s="106">
        <f t="shared" si="132"/>
        <v>37448043.552385472</v>
      </c>
      <c r="S257" s="106">
        <f t="shared" si="132"/>
        <v>41062087.463619463</v>
      </c>
      <c r="T257" s="106">
        <f t="shared" si="132"/>
        <v>44406719.629440211</v>
      </c>
      <c r="U257" s="106">
        <f t="shared" si="132"/>
        <v>47790123.152018934</v>
      </c>
      <c r="V257" s="106">
        <f t="shared" si="132"/>
        <v>47134501.60281083</v>
      </c>
      <c r="W257" s="106">
        <f t="shared" si="132"/>
        <v>50231616.343917102</v>
      </c>
      <c r="X257" s="106">
        <f t="shared" si="132"/>
        <v>52980297.029667705</v>
      </c>
      <c r="Y257" s="106">
        <f t="shared" si="132"/>
        <v>55772967.907854952</v>
      </c>
      <c r="Z257" s="106">
        <f t="shared" si="132"/>
        <v>58402254.382691607</v>
      </c>
      <c r="AA257" s="106">
        <f t="shared" si="132"/>
        <v>60992533.783200845</v>
      </c>
    </row>
    <row r="258" spans="4:28" hidden="1" x14ac:dyDescent="0.25">
      <c r="E258" s="47" t="s">
        <v>701</v>
      </c>
      <c r="F258" s="47" t="s">
        <v>639</v>
      </c>
      <c r="G258" s="106">
        <f t="shared" si="132"/>
        <v>0</v>
      </c>
      <c r="H258" s="106">
        <f t="shared" si="132"/>
        <v>-1283078.599037519</v>
      </c>
      <c r="I258" s="106">
        <f t="shared" si="132"/>
        <v>-2525591.032179785</v>
      </c>
      <c r="J258" s="106">
        <f t="shared" si="132"/>
        <v>-3802173.606725106</v>
      </c>
      <c r="K258" s="106">
        <f t="shared" si="132"/>
        <v>-4798462.5849568071</v>
      </c>
      <c r="L258" s="106">
        <f t="shared" si="132"/>
        <v>-5793415.1851502722</v>
      </c>
      <c r="M258" s="106">
        <f t="shared" si="132"/>
        <v>-6813595.7923333123</v>
      </c>
      <c r="N258" s="106">
        <f t="shared" si="132"/>
        <v>-7775223.3029197957</v>
      </c>
      <c r="O258" s="106">
        <f t="shared" si="132"/>
        <v>-8779140.6895828117</v>
      </c>
      <c r="P258" s="106">
        <f t="shared" si="132"/>
        <v>-9745924.3791378308</v>
      </c>
      <c r="Q258" s="106">
        <f t="shared" si="132"/>
        <v>-10673703.976435926</v>
      </c>
      <c r="R258" s="106">
        <f t="shared" si="132"/>
        <v>-11509723.326109789</v>
      </c>
      <c r="S258" s="106">
        <f t="shared" si="132"/>
        <v>-12288863.367801046</v>
      </c>
      <c r="T258" s="106">
        <f t="shared" si="132"/>
        <v>-12987735.688620158</v>
      </c>
      <c r="U258" s="106">
        <f t="shared" si="132"/>
        <v>-13647403.284543665</v>
      </c>
      <c r="V258" s="106">
        <f t="shared" si="132"/>
        <v>-14255599.592855703</v>
      </c>
      <c r="W258" s="106">
        <f t="shared" si="132"/>
        <v>-14826018.618963186</v>
      </c>
      <c r="X258" s="106">
        <f t="shared" si="132"/>
        <v>-15546901.698708663</v>
      </c>
      <c r="Y258" s="106">
        <f t="shared" si="132"/>
        <v>-16089018.538589403</v>
      </c>
      <c r="Z258" s="106">
        <f t="shared" si="132"/>
        <v>-16564463.337364031</v>
      </c>
      <c r="AA258" s="106">
        <f t="shared" si="132"/>
        <v>-16991233.513374694</v>
      </c>
    </row>
    <row r="259" spans="4:28" hidden="1" x14ac:dyDescent="0.25">
      <c r="E259" s="47" t="s">
        <v>702</v>
      </c>
      <c r="F259" s="47" t="s">
        <v>639</v>
      </c>
      <c r="G259" s="106">
        <f t="shared" si="132"/>
        <v>0</v>
      </c>
      <c r="H259" s="106">
        <f t="shared" si="132"/>
        <v>-687992.10188024095</v>
      </c>
      <c r="I259" s="106">
        <f t="shared" si="132"/>
        <v>-1391296.5735186045</v>
      </c>
      <c r="J259" s="106">
        <f t="shared" si="132"/>
        <v>-1965880.1922164117</v>
      </c>
      <c r="K259" s="106">
        <f t="shared" si="132"/>
        <v>-2546941.0038530892</v>
      </c>
      <c r="L259" s="106">
        <f t="shared" si="132"/>
        <v>-3143057.8294700691</v>
      </c>
      <c r="M259" s="106">
        <f t="shared" si="132"/>
        <v>-3766142.0169028649</v>
      </c>
      <c r="N259" s="106">
        <f t="shared" si="132"/>
        <v>-4360738.5418150369</v>
      </c>
      <c r="O259" s="106">
        <f t="shared" si="132"/>
        <v>-4979015.4715877483</v>
      </c>
      <c r="P259" s="106">
        <f t="shared" si="132"/>
        <v>-5590653.222406501</v>
      </c>
      <c r="Q259" s="106">
        <f t="shared" si="132"/>
        <v>-6277799.8245230438</v>
      </c>
      <c r="R259" s="106">
        <f t="shared" si="132"/>
        <v>-6964723.0740576992</v>
      </c>
      <c r="S259" s="106">
        <f t="shared" si="132"/>
        <v>-7646466.6231843922</v>
      </c>
      <c r="T259" s="106">
        <f t="shared" si="132"/>
        <v>-8314209.8203602117</v>
      </c>
      <c r="U259" s="106">
        <f t="shared" si="132"/>
        <v>-8979246.1815473791</v>
      </c>
      <c r="V259" s="106">
        <f t="shared" si="132"/>
        <v>-9637735.6700376533</v>
      </c>
      <c r="W259" s="106">
        <f t="shared" si="132"/>
        <v>-10288554.192370372</v>
      </c>
      <c r="X259" s="106">
        <f t="shared" si="132"/>
        <v>-10928084.02208191</v>
      </c>
      <c r="Y259" s="106">
        <f t="shared" si="132"/>
        <v>-11540322.971782492</v>
      </c>
      <c r="Z259" s="106">
        <f t="shared" si="132"/>
        <v>-12120126.191772448</v>
      </c>
      <c r="AA259" s="106">
        <f t="shared" si="132"/>
        <v>-12668795.792438723</v>
      </c>
    </row>
    <row r="260" spans="4:28" hidden="1" x14ac:dyDescent="0.25">
      <c r="E260" s="47" t="s">
        <v>724</v>
      </c>
      <c r="F260" s="47" t="s">
        <v>639</v>
      </c>
      <c r="G260" s="106">
        <f t="shared" si="132"/>
        <v>0</v>
      </c>
      <c r="H260" s="106">
        <f t="shared" si="132"/>
        <v>-913613.35099545307</v>
      </c>
      <c r="I260" s="106">
        <f t="shared" si="132"/>
        <v>-1870753.8918162049</v>
      </c>
      <c r="J260" s="106">
        <f t="shared" si="132"/>
        <v>-3072451.7113696137</v>
      </c>
      <c r="K260" s="106">
        <f t="shared" si="132"/>
        <v>-3693370.6704549664</v>
      </c>
      <c r="L260" s="106">
        <f t="shared" si="132"/>
        <v>-4293668.4813134894</v>
      </c>
      <c r="M260" s="106">
        <f t="shared" si="132"/>
        <v>-4927582.2515546568</v>
      </c>
      <c r="N260" s="106">
        <f t="shared" si="132"/>
        <v>-5603211.0102259479</v>
      </c>
      <c r="O260" s="106">
        <f t="shared" si="132"/>
        <v>-6107824.213660568</v>
      </c>
      <c r="P260" s="106">
        <f t="shared" si="132"/>
        <v>-6604606.9826568784</v>
      </c>
      <c r="Q260" s="106">
        <f t="shared" si="132"/>
        <v>-7195482.2494247276</v>
      </c>
      <c r="R260" s="106">
        <f t="shared" si="132"/>
        <v>-7786415.4057302075</v>
      </c>
      <c r="S260" s="106">
        <f t="shared" si="132"/>
        <v>-8376479.9817074332</v>
      </c>
      <c r="T260" s="106">
        <f t="shared" si="132"/>
        <v>-8963370.6192573197</v>
      </c>
      <c r="U260" s="106">
        <f t="shared" si="132"/>
        <v>-9549908.4526608251</v>
      </c>
      <c r="V260" s="106">
        <f t="shared" si="132"/>
        <v>-10135196.032923654</v>
      </c>
      <c r="W260" s="106">
        <f t="shared" si="132"/>
        <v>-10720061.291166306</v>
      </c>
      <c r="X260" s="106">
        <f t="shared" si="132"/>
        <v>-11303323.744749038</v>
      </c>
      <c r="Y260" s="106">
        <f t="shared" si="132"/>
        <v>-11881271.05993988</v>
      </c>
      <c r="Z260" s="106">
        <f t="shared" si="132"/>
        <v>-12452058.380880207</v>
      </c>
      <c r="AA260" s="106">
        <f t="shared" si="132"/>
        <v>-13014802.020111311</v>
      </c>
    </row>
    <row r="261" spans="4:28" hidden="1" x14ac:dyDescent="0.25">
      <c r="E261" s="47" t="s">
        <v>709</v>
      </c>
      <c r="F261" s="47" t="s">
        <v>639</v>
      </c>
      <c r="G261" s="106">
        <f t="shared" si="132"/>
        <v>0</v>
      </c>
      <c r="H261" s="106">
        <f t="shared" si="132"/>
        <v>0</v>
      </c>
      <c r="I261" s="106">
        <f t="shared" si="132"/>
        <v>0</v>
      </c>
      <c r="J261" s="106">
        <f t="shared" si="132"/>
        <v>0</v>
      </c>
      <c r="K261" s="106">
        <f t="shared" si="132"/>
        <v>0</v>
      </c>
      <c r="L261" s="106">
        <f t="shared" si="132"/>
        <v>0</v>
      </c>
      <c r="M261" s="106">
        <f t="shared" si="132"/>
        <v>0</v>
      </c>
      <c r="N261" s="106">
        <f t="shared" si="132"/>
        <v>0</v>
      </c>
      <c r="O261" s="106">
        <f t="shared" si="132"/>
        <v>0</v>
      </c>
      <c r="P261" s="106">
        <f t="shared" si="132"/>
        <v>0</v>
      </c>
      <c r="Q261" s="106">
        <f t="shared" si="132"/>
        <v>0</v>
      </c>
      <c r="R261" s="106">
        <f t="shared" si="132"/>
        <v>0</v>
      </c>
      <c r="S261" s="106">
        <f t="shared" si="132"/>
        <v>0</v>
      </c>
      <c r="T261" s="106">
        <f t="shared" si="132"/>
        <v>0</v>
      </c>
      <c r="U261" s="106">
        <f t="shared" si="132"/>
        <v>0</v>
      </c>
      <c r="V261" s="106">
        <f t="shared" si="132"/>
        <v>0</v>
      </c>
      <c r="W261" s="106">
        <f t="shared" si="132"/>
        <v>0</v>
      </c>
      <c r="X261" s="106">
        <f t="shared" si="132"/>
        <v>0</v>
      </c>
      <c r="Y261" s="106">
        <f t="shared" si="132"/>
        <v>0</v>
      </c>
      <c r="Z261" s="106">
        <f t="shared" si="132"/>
        <v>0</v>
      </c>
      <c r="AA261" s="106">
        <f t="shared" si="132"/>
        <v>0</v>
      </c>
    </row>
    <row r="262" spans="4:28" hidden="1" x14ac:dyDescent="0.25">
      <c r="E262" s="47" t="s">
        <v>725</v>
      </c>
      <c r="F262" s="47" t="s">
        <v>639</v>
      </c>
      <c r="G262" s="106" t="e">
        <f>G253</f>
        <v>#REF!</v>
      </c>
      <c r="H262" s="106"/>
      <c r="I262" s="106"/>
      <c r="J262" s="106"/>
      <c r="K262" s="106"/>
      <c r="L262" s="106"/>
      <c r="M262" s="106"/>
      <c r="N262" s="106"/>
      <c r="O262" s="106"/>
      <c r="P262" s="106"/>
      <c r="Q262" s="106"/>
      <c r="R262" s="106"/>
      <c r="S262" s="106"/>
      <c r="T262" s="106"/>
      <c r="U262" s="106"/>
      <c r="V262" s="106"/>
      <c r="W262" s="106"/>
      <c r="X262" s="106"/>
      <c r="Y262" s="106"/>
      <c r="Z262" s="106"/>
      <c r="AA262" s="106"/>
    </row>
    <row r="263" spans="4:28" hidden="1" x14ac:dyDescent="0.25"/>
    <row r="264" spans="4:28" hidden="1" x14ac:dyDescent="0.25">
      <c r="E264" s="47" t="s">
        <v>726</v>
      </c>
      <c r="F264" s="47" t="s">
        <v>639</v>
      </c>
      <c r="G264" s="106" t="e">
        <f t="shared" ref="G264:AA264" si="133">SUM(G256:G262)</f>
        <v>#REF!</v>
      </c>
      <c r="H264" s="106">
        <f t="shared" si="133"/>
        <v>12887157.606827766</v>
      </c>
      <c r="I264" s="106">
        <f t="shared" si="133"/>
        <v>13687162.621006859</v>
      </c>
      <c r="J264" s="106">
        <f t="shared" si="133"/>
        <v>13456456.191967053</v>
      </c>
      <c r="K264" s="106">
        <f t="shared" si="133"/>
        <v>14799791.42873993</v>
      </c>
      <c r="L264" s="106">
        <f t="shared" si="133"/>
        <v>15405523.19675409</v>
      </c>
      <c r="M264" s="106">
        <f t="shared" si="133"/>
        <v>17553945.491679046</v>
      </c>
      <c r="N264" s="106">
        <f t="shared" si="133"/>
        <v>18654281.396513935</v>
      </c>
      <c r="O264" s="106">
        <f t="shared" si="133"/>
        <v>21274866.891568288</v>
      </c>
      <c r="P264" s="106">
        <f t="shared" si="133"/>
        <v>23334135.682640169</v>
      </c>
      <c r="Q264" s="106">
        <f t="shared" si="133"/>
        <v>24312225.159373432</v>
      </c>
      <c r="R264" s="106">
        <f t="shared" si="133"/>
        <v>25797220.293850977</v>
      </c>
      <c r="S264" s="106">
        <f t="shared" si="133"/>
        <v>27282143.808746904</v>
      </c>
      <c r="T264" s="106">
        <f t="shared" si="133"/>
        <v>28387615.360562239</v>
      </c>
      <c r="U264" s="106">
        <f t="shared" si="133"/>
        <v>29828024.719452601</v>
      </c>
      <c r="V264" s="106">
        <f t="shared" si="133"/>
        <v>27207907.010518208</v>
      </c>
      <c r="W264" s="106">
        <f t="shared" si="133"/>
        <v>28460909.963125885</v>
      </c>
      <c r="X264" s="106">
        <f t="shared" si="133"/>
        <v>29121662.866443552</v>
      </c>
      <c r="Y264" s="106">
        <f t="shared" si="133"/>
        <v>29703668.184588607</v>
      </c>
      <c r="Z264" s="106">
        <f t="shared" si="133"/>
        <v>30062519.837174267</v>
      </c>
      <c r="AA264" s="106">
        <f t="shared" si="133"/>
        <v>30390684.46794517</v>
      </c>
    </row>
    <row r="265" spans="4:28" hidden="1" x14ac:dyDescent="0.25">
      <c r="E265" s="47" t="s">
        <v>727</v>
      </c>
      <c r="F265" s="47" t="s">
        <v>639</v>
      </c>
      <c r="G265" s="106" t="e">
        <f>-G264*G$18</f>
        <v>#REF!</v>
      </c>
      <c r="H265" s="106">
        <f t="shared" ref="H265:AA265" si="134">-H264*H$18</f>
        <v>-3866147.2820483297</v>
      </c>
      <c r="I265" s="106">
        <f t="shared" si="134"/>
        <v>-4106148.7863020576</v>
      </c>
      <c r="J265" s="106">
        <f t="shared" si="134"/>
        <v>-4036936.8575901156</v>
      </c>
      <c r="K265" s="106">
        <f t="shared" si="134"/>
        <v>-4439937.4286219785</v>
      </c>
      <c r="L265" s="106">
        <f t="shared" si="134"/>
        <v>-4621656.9590262268</v>
      </c>
      <c r="M265" s="106">
        <f t="shared" si="134"/>
        <v>-5266183.6475037141</v>
      </c>
      <c r="N265" s="106">
        <f t="shared" si="134"/>
        <v>-5596284.4189541806</v>
      </c>
      <c r="O265" s="106">
        <f t="shared" si="134"/>
        <v>-6382460.0674704863</v>
      </c>
      <c r="P265" s="106">
        <f t="shared" si="134"/>
        <v>-7000240.7047920506</v>
      </c>
      <c r="Q265" s="106">
        <f t="shared" si="134"/>
        <v>-7293667.5478120297</v>
      </c>
      <c r="R265" s="106">
        <f t="shared" si="134"/>
        <v>-7739166.0881552929</v>
      </c>
      <c r="S265" s="106">
        <f t="shared" si="134"/>
        <v>-8184643.1426240709</v>
      </c>
      <c r="T265" s="106">
        <f t="shared" si="134"/>
        <v>-8516284.6081686709</v>
      </c>
      <c r="U265" s="106">
        <f t="shared" si="134"/>
        <v>-8948407.4158357792</v>
      </c>
      <c r="V265" s="106">
        <f t="shared" si="134"/>
        <v>-8162372.1031554621</v>
      </c>
      <c r="W265" s="106">
        <f t="shared" si="134"/>
        <v>-8538272.9889377654</v>
      </c>
      <c r="X265" s="106">
        <f t="shared" si="134"/>
        <v>-8736498.8599330653</v>
      </c>
      <c r="Y265" s="106">
        <f t="shared" si="134"/>
        <v>-8911100.4553765822</v>
      </c>
      <c r="Z265" s="106">
        <f t="shared" si="134"/>
        <v>-9018755.95115228</v>
      </c>
      <c r="AA265" s="106">
        <f t="shared" si="134"/>
        <v>-9117205.3403835502</v>
      </c>
    </row>
    <row r="266" spans="4:28" hidden="1" x14ac:dyDescent="0.25"/>
    <row r="267" spans="4:28" hidden="1" x14ac:dyDescent="0.25">
      <c r="D267" s="47" t="s">
        <v>728</v>
      </c>
    </row>
    <row r="268" spans="4:28" hidden="1" x14ac:dyDescent="0.25">
      <c r="E268" s="47" t="s">
        <v>638</v>
      </c>
      <c r="F268" s="47" t="s">
        <v>639</v>
      </c>
      <c r="G268" s="106">
        <f t="shared" ref="G268:AA275" si="135">G234</f>
        <v>0</v>
      </c>
      <c r="H268" s="106">
        <f t="shared" si="135"/>
        <v>-56307357.150059603</v>
      </c>
      <c r="I268" s="106">
        <f t="shared" si="135"/>
        <v>-51482589.02854725</v>
      </c>
      <c r="J268" s="106">
        <f t="shared" si="135"/>
        <v>-58111451.044771515</v>
      </c>
      <c r="K268" s="106">
        <f t="shared" si="135"/>
        <v>-24299082.086636819</v>
      </c>
      <c r="L268" s="106">
        <f t="shared" si="135"/>
        <v>-40187664.961007938</v>
      </c>
      <c r="M268" s="106">
        <f t="shared" si="135"/>
        <v>-42062534.441270642</v>
      </c>
      <c r="N268" s="106">
        <f t="shared" si="135"/>
        <v>-46084886.366997331</v>
      </c>
      <c r="O268" s="106">
        <f t="shared" si="135"/>
        <v>-30507160.298431948</v>
      </c>
      <c r="P268" s="106">
        <f t="shared" si="135"/>
        <v>-29591573.65785639</v>
      </c>
      <c r="Q268" s="106">
        <f t="shared" si="135"/>
        <v>-37686763.945112847</v>
      </c>
      <c r="R268" s="106">
        <f t="shared" si="135"/>
        <v>-37686763.945112847</v>
      </c>
      <c r="S268" s="106">
        <f t="shared" si="135"/>
        <v>-37686763.945112847</v>
      </c>
      <c r="T268" s="106">
        <f t="shared" si="135"/>
        <v>-37686763.945112847</v>
      </c>
      <c r="U268" s="106">
        <f t="shared" si="135"/>
        <v>-37686763.945112847</v>
      </c>
      <c r="V268" s="106">
        <f t="shared" si="135"/>
        <v>-37686763.945112847</v>
      </c>
      <c r="W268" s="106">
        <f t="shared" si="135"/>
        <v>-37686763.945112847</v>
      </c>
      <c r="X268" s="106">
        <f t="shared" si="135"/>
        <v>-37686763.945112847</v>
      </c>
      <c r="Y268" s="106">
        <f t="shared" si="135"/>
        <v>-37686763.945112847</v>
      </c>
      <c r="Z268" s="106">
        <f t="shared" si="135"/>
        <v>-37686763.945112847</v>
      </c>
      <c r="AA268" s="106">
        <f t="shared" si="135"/>
        <v>-37686763.945112847</v>
      </c>
    </row>
    <row r="269" spans="4:28" hidden="1" x14ac:dyDescent="0.25">
      <c r="E269" s="47" t="s">
        <v>729</v>
      </c>
      <c r="F269" s="47" t="s">
        <v>639</v>
      </c>
      <c r="G269" s="106">
        <f t="shared" si="135"/>
        <v>0</v>
      </c>
      <c r="H269" s="106">
        <f t="shared" si="135"/>
        <v>0</v>
      </c>
      <c r="I269" s="106">
        <f t="shared" si="135"/>
        <v>0</v>
      </c>
      <c r="J269" s="106">
        <f t="shared" si="135"/>
        <v>0</v>
      </c>
      <c r="K269" s="106">
        <f t="shared" si="135"/>
        <v>0</v>
      </c>
      <c r="L269" s="106">
        <f t="shared" si="135"/>
        <v>0</v>
      </c>
      <c r="M269" s="106">
        <f t="shared" si="135"/>
        <v>0</v>
      </c>
      <c r="N269" s="106">
        <f t="shared" si="135"/>
        <v>0</v>
      </c>
      <c r="O269" s="106">
        <f t="shared" si="135"/>
        <v>0</v>
      </c>
      <c r="P269" s="106">
        <f t="shared" si="135"/>
        <v>0</v>
      </c>
      <c r="Q269" s="106">
        <f t="shared" si="135"/>
        <v>0</v>
      </c>
      <c r="R269" s="106">
        <f t="shared" si="135"/>
        <v>0</v>
      </c>
      <c r="S269" s="106">
        <f t="shared" si="135"/>
        <v>0</v>
      </c>
      <c r="T269" s="106">
        <f t="shared" si="135"/>
        <v>0</v>
      </c>
      <c r="U269" s="106">
        <f t="shared" si="135"/>
        <v>0</v>
      </c>
      <c r="V269" s="106">
        <f t="shared" si="135"/>
        <v>0</v>
      </c>
      <c r="W269" s="106">
        <f t="shared" si="135"/>
        <v>0</v>
      </c>
      <c r="X269" s="106">
        <f t="shared" si="135"/>
        <v>0</v>
      </c>
      <c r="Y269" s="106">
        <f t="shared" si="135"/>
        <v>0</v>
      </c>
      <c r="Z269" s="106">
        <f t="shared" si="135"/>
        <v>0</v>
      </c>
      <c r="AA269" s="106">
        <f t="shared" si="135"/>
        <v>0</v>
      </c>
    </row>
    <row r="270" spans="4:28" hidden="1" x14ac:dyDescent="0.25">
      <c r="E270" s="47" t="s">
        <v>645</v>
      </c>
      <c r="F270" s="47" t="s">
        <v>639</v>
      </c>
      <c r="G270" s="106">
        <f t="shared" si="135"/>
        <v>0</v>
      </c>
      <c r="H270" s="106">
        <f t="shared" si="135"/>
        <v>0</v>
      </c>
      <c r="I270" s="106">
        <f t="shared" si="135"/>
        <v>0</v>
      </c>
      <c r="J270" s="106">
        <f t="shared" si="135"/>
        <v>0</v>
      </c>
      <c r="K270" s="106">
        <f t="shared" si="135"/>
        <v>0</v>
      </c>
      <c r="L270" s="106">
        <f t="shared" si="135"/>
        <v>0</v>
      </c>
      <c r="M270" s="106">
        <f t="shared" si="135"/>
        <v>0</v>
      </c>
      <c r="N270" s="106">
        <f t="shared" si="135"/>
        <v>0</v>
      </c>
      <c r="O270" s="106">
        <f t="shared" si="135"/>
        <v>0</v>
      </c>
      <c r="P270" s="106">
        <f t="shared" si="135"/>
        <v>0</v>
      </c>
      <c r="Q270" s="106">
        <f t="shared" si="135"/>
        <v>0</v>
      </c>
      <c r="R270" s="106">
        <f t="shared" si="135"/>
        <v>0</v>
      </c>
      <c r="S270" s="106">
        <f t="shared" si="135"/>
        <v>0</v>
      </c>
      <c r="T270" s="106">
        <f t="shared" si="135"/>
        <v>0</v>
      </c>
      <c r="U270" s="106">
        <f t="shared" si="135"/>
        <v>0</v>
      </c>
      <c r="V270" s="106">
        <f t="shared" si="135"/>
        <v>0</v>
      </c>
      <c r="W270" s="106">
        <f t="shared" si="135"/>
        <v>0</v>
      </c>
      <c r="X270" s="106">
        <f t="shared" si="135"/>
        <v>0</v>
      </c>
      <c r="Y270" s="106">
        <f t="shared" si="135"/>
        <v>0</v>
      </c>
      <c r="Z270" s="106">
        <f t="shared" si="135"/>
        <v>0</v>
      </c>
      <c r="AA270" s="106">
        <f t="shared" si="135"/>
        <v>0</v>
      </c>
    </row>
    <row r="271" spans="4:28" hidden="1" x14ac:dyDescent="0.25">
      <c r="E271" s="47" t="s">
        <v>723</v>
      </c>
      <c r="F271" s="47" t="s">
        <v>639</v>
      </c>
      <c r="G271" s="106">
        <f t="shared" si="135"/>
        <v>0</v>
      </c>
      <c r="H271" s="106">
        <f t="shared" si="135"/>
        <v>3039930.2384739602</v>
      </c>
      <c r="I271" s="106">
        <f t="shared" si="135"/>
        <v>6326277.7924020924</v>
      </c>
      <c r="J271" s="106">
        <f t="shared" si="135"/>
        <v>9287067.3066609986</v>
      </c>
      <c r="K271" s="106">
        <f t="shared" si="135"/>
        <v>12429204.233567234</v>
      </c>
      <c r="L271" s="106">
        <f t="shared" si="135"/>
        <v>15683708.251446003</v>
      </c>
      <c r="M271" s="106">
        <f t="shared" si="135"/>
        <v>19275592.809558649</v>
      </c>
      <c r="N271" s="106">
        <f t="shared" si="135"/>
        <v>22875784.47557918</v>
      </c>
      <c r="O271" s="106">
        <f t="shared" si="135"/>
        <v>26803150.268226504</v>
      </c>
      <c r="P271" s="106">
        <f t="shared" si="135"/>
        <v>30726775.727540869</v>
      </c>
      <c r="Q271" s="106">
        <f t="shared" si="135"/>
        <v>33854382.720780715</v>
      </c>
      <c r="R271" s="106">
        <f t="shared" si="135"/>
        <v>37448043.552385472</v>
      </c>
      <c r="S271" s="106">
        <f t="shared" si="135"/>
        <v>41062087.463619463</v>
      </c>
      <c r="T271" s="106">
        <f t="shared" si="135"/>
        <v>44406719.629440211</v>
      </c>
      <c r="U271" s="106">
        <f t="shared" si="135"/>
        <v>47790123.152018934</v>
      </c>
      <c r="V271" s="106">
        <f t="shared" si="135"/>
        <v>47134501.60281083</v>
      </c>
      <c r="W271" s="106">
        <f t="shared" si="135"/>
        <v>50231616.343917102</v>
      </c>
      <c r="X271" s="106">
        <f t="shared" si="135"/>
        <v>52980297.029667705</v>
      </c>
      <c r="Y271" s="106">
        <f t="shared" si="135"/>
        <v>55772967.907854952</v>
      </c>
      <c r="Z271" s="106">
        <f t="shared" si="135"/>
        <v>58402254.382691607</v>
      </c>
      <c r="AA271" s="106">
        <f t="shared" si="135"/>
        <v>60992533.783200845</v>
      </c>
      <c r="AB271" s="106">
        <f t="shared" ref="AB271:AB275" si="136">IF(V271=0,0,IF($G$15&gt;(AA271/V271)^(1/5)-1+2%,AA271*(AA271/V271)^(1/5)/($G$15-((AA271/V271)^(1/5)-1)),AA271*(1+$G$14)/$G$16))</f>
        <v>2530810530.4232707</v>
      </c>
    </row>
    <row r="272" spans="4:28" hidden="1" x14ac:dyDescent="0.25">
      <c r="E272" s="47" t="s">
        <v>701</v>
      </c>
      <c r="F272" s="47" t="s">
        <v>639</v>
      </c>
      <c r="G272" s="106">
        <f t="shared" si="135"/>
        <v>0</v>
      </c>
      <c r="H272" s="106">
        <f t="shared" si="135"/>
        <v>-1283078.599037519</v>
      </c>
      <c r="I272" s="106">
        <f t="shared" si="135"/>
        <v>-2525591.032179785</v>
      </c>
      <c r="J272" s="106">
        <f t="shared" si="135"/>
        <v>-3802173.606725106</v>
      </c>
      <c r="K272" s="106">
        <f t="shared" si="135"/>
        <v>-4798462.5849568071</v>
      </c>
      <c r="L272" s="106">
        <f t="shared" si="135"/>
        <v>-5793415.1851502722</v>
      </c>
      <c r="M272" s="106">
        <f t="shared" si="135"/>
        <v>-6813595.7923333123</v>
      </c>
      <c r="N272" s="106">
        <f t="shared" si="135"/>
        <v>-7775223.3029197957</v>
      </c>
      <c r="O272" s="106">
        <f t="shared" si="135"/>
        <v>-8779140.6895828117</v>
      </c>
      <c r="P272" s="106">
        <f t="shared" si="135"/>
        <v>-9745924.3791378308</v>
      </c>
      <c r="Q272" s="106">
        <f t="shared" si="135"/>
        <v>-10673703.976435926</v>
      </c>
      <c r="R272" s="106">
        <f t="shared" si="135"/>
        <v>-11509723.326109789</v>
      </c>
      <c r="S272" s="106">
        <f t="shared" si="135"/>
        <v>-12288863.367801046</v>
      </c>
      <c r="T272" s="106">
        <f t="shared" si="135"/>
        <v>-12987735.688620158</v>
      </c>
      <c r="U272" s="106">
        <f t="shared" si="135"/>
        <v>-13647403.284543665</v>
      </c>
      <c r="V272" s="106">
        <f t="shared" si="135"/>
        <v>-14255599.592855703</v>
      </c>
      <c r="W272" s="106">
        <f t="shared" si="135"/>
        <v>-14826018.618963186</v>
      </c>
      <c r="X272" s="106">
        <f t="shared" si="135"/>
        <v>-15546901.698708663</v>
      </c>
      <c r="Y272" s="106">
        <f t="shared" si="135"/>
        <v>-16089018.538589403</v>
      </c>
      <c r="Z272" s="106">
        <f t="shared" si="135"/>
        <v>-16564463.337364031</v>
      </c>
      <c r="AA272" s="106">
        <f t="shared" si="135"/>
        <v>-16991233.513374694</v>
      </c>
      <c r="AB272" s="106">
        <f t="shared" si="136"/>
        <v>-705030436.23961353</v>
      </c>
    </row>
    <row r="273" spans="1:28" hidden="1" x14ac:dyDescent="0.25">
      <c r="E273" s="47" t="s">
        <v>702</v>
      </c>
      <c r="F273" s="47" t="s">
        <v>639</v>
      </c>
      <c r="G273" s="106">
        <f t="shared" si="135"/>
        <v>0</v>
      </c>
      <c r="H273" s="106">
        <f t="shared" si="135"/>
        <v>-687992.10188024095</v>
      </c>
      <c r="I273" s="106">
        <f t="shared" si="135"/>
        <v>-1391296.5735186045</v>
      </c>
      <c r="J273" s="106">
        <f t="shared" si="135"/>
        <v>-1965880.1922164117</v>
      </c>
      <c r="K273" s="106">
        <f t="shared" si="135"/>
        <v>-2546941.0038530892</v>
      </c>
      <c r="L273" s="106">
        <f t="shared" si="135"/>
        <v>-3143057.8294700691</v>
      </c>
      <c r="M273" s="106">
        <f t="shared" si="135"/>
        <v>-3766142.0169028649</v>
      </c>
      <c r="N273" s="106">
        <f t="shared" si="135"/>
        <v>-4360738.5418150369</v>
      </c>
      <c r="O273" s="106">
        <f t="shared" si="135"/>
        <v>-4979015.4715877483</v>
      </c>
      <c r="P273" s="106">
        <f t="shared" si="135"/>
        <v>-5590653.222406501</v>
      </c>
      <c r="Q273" s="106">
        <f t="shared" si="135"/>
        <v>-6277799.8245230438</v>
      </c>
      <c r="R273" s="106">
        <f t="shared" si="135"/>
        <v>-6964723.0740576992</v>
      </c>
      <c r="S273" s="106">
        <f t="shared" si="135"/>
        <v>-7646466.6231843922</v>
      </c>
      <c r="T273" s="106">
        <f t="shared" si="135"/>
        <v>-8314209.8203602117</v>
      </c>
      <c r="U273" s="106">
        <f t="shared" si="135"/>
        <v>-8979246.1815473791</v>
      </c>
      <c r="V273" s="106">
        <f t="shared" si="135"/>
        <v>-9637735.6700376533</v>
      </c>
      <c r="W273" s="106">
        <f t="shared" si="135"/>
        <v>-10288554.192370372</v>
      </c>
      <c r="X273" s="106">
        <f t="shared" si="135"/>
        <v>-10928084.02208191</v>
      </c>
      <c r="Y273" s="106">
        <f t="shared" si="135"/>
        <v>-11540322.971782492</v>
      </c>
      <c r="Z273" s="106">
        <f t="shared" si="135"/>
        <v>-12120126.191772448</v>
      </c>
      <c r="AA273" s="106">
        <f t="shared" si="135"/>
        <v>-12668795.792438723</v>
      </c>
      <c r="AB273" s="106">
        <f t="shared" si="136"/>
        <v>-525676173.96011275</v>
      </c>
    </row>
    <row r="274" spans="1:28" hidden="1" x14ac:dyDescent="0.25">
      <c r="E274" s="47" t="s">
        <v>709</v>
      </c>
      <c r="F274" s="47" t="s">
        <v>639</v>
      </c>
      <c r="G274" s="106">
        <f t="shared" si="135"/>
        <v>0</v>
      </c>
      <c r="H274" s="106">
        <f t="shared" si="135"/>
        <v>0</v>
      </c>
      <c r="I274" s="106">
        <f t="shared" si="135"/>
        <v>0</v>
      </c>
      <c r="J274" s="106">
        <f t="shared" si="135"/>
        <v>0</v>
      </c>
      <c r="K274" s="106">
        <f t="shared" si="135"/>
        <v>0</v>
      </c>
      <c r="L274" s="106">
        <f t="shared" si="135"/>
        <v>0</v>
      </c>
      <c r="M274" s="106">
        <f t="shared" si="135"/>
        <v>0</v>
      </c>
      <c r="N274" s="106">
        <f t="shared" si="135"/>
        <v>0</v>
      </c>
      <c r="O274" s="106">
        <f t="shared" si="135"/>
        <v>0</v>
      </c>
      <c r="P274" s="106">
        <f t="shared" si="135"/>
        <v>0</v>
      </c>
      <c r="Q274" s="106">
        <f t="shared" si="135"/>
        <v>0</v>
      </c>
      <c r="R274" s="106">
        <f t="shared" si="135"/>
        <v>0</v>
      </c>
      <c r="S274" s="106">
        <f t="shared" si="135"/>
        <v>0</v>
      </c>
      <c r="T274" s="106">
        <f t="shared" si="135"/>
        <v>0</v>
      </c>
      <c r="U274" s="106">
        <f t="shared" si="135"/>
        <v>0</v>
      </c>
      <c r="V274" s="106">
        <f t="shared" si="135"/>
        <v>0</v>
      </c>
      <c r="W274" s="106">
        <f t="shared" si="135"/>
        <v>0</v>
      </c>
      <c r="X274" s="106">
        <f t="shared" si="135"/>
        <v>0</v>
      </c>
      <c r="Y274" s="106">
        <f t="shared" si="135"/>
        <v>0</v>
      </c>
      <c r="Z274" s="106">
        <f t="shared" si="135"/>
        <v>0</v>
      </c>
      <c r="AA274" s="106">
        <f t="shared" si="135"/>
        <v>0</v>
      </c>
      <c r="AB274" s="106">
        <f t="shared" si="136"/>
        <v>0</v>
      </c>
    </row>
    <row r="275" spans="1:28" hidden="1" x14ac:dyDescent="0.25">
      <c r="E275" s="47" t="s">
        <v>714</v>
      </c>
      <c r="F275" s="47" t="s">
        <v>639</v>
      </c>
      <c r="G275" s="106">
        <f t="shared" si="135"/>
        <v>0</v>
      </c>
      <c r="H275" s="106">
        <f t="shared" si="135"/>
        <v>0</v>
      </c>
      <c r="I275" s="106">
        <f t="shared" si="135"/>
        <v>0</v>
      </c>
      <c r="J275" s="106">
        <f t="shared" si="135"/>
        <v>0</v>
      </c>
      <c r="K275" s="106">
        <f t="shared" si="135"/>
        <v>0</v>
      </c>
      <c r="L275" s="106">
        <f t="shared" si="135"/>
        <v>0</v>
      </c>
      <c r="M275" s="106">
        <f t="shared" si="135"/>
        <v>0</v>
      </c>
      <c r="N275" s="106">
        <f t="shared" si="135"/>
        <v>0</v>
      </c>
      <c r="O275" s="106">
        <f t="shared" si="135"/>
        <v>0</v>
      </c>
      <c r="P275" s="106">
        <f t="shared" si="135"/>
        <v>0</v>
      </c>
      <c r="Q275" s="106">
        <f t="shared" si="135"/>
        <v>0</v>
      </c>
      <c r="R275" s="106">
        <f t="shared" si="135"/>
        <v>0</v>
      </c>
      <c r="S275" s="106">
        <f t="shared" si="135"/>
        <v>0</v>
      </c>
      <c r="T275" s="106">
        <f t="shared" si="135"/>
        <v>0</v>
      </c>
      <c r="U275" s="106">
        <f t="shared" si="135"/>
        <v>0</v>
      </c>
      <c r="V275" s="106">
        <f t="shared" si="135"/>
        <v>0</v>
      </c>
      <c r="W275" s="106">
        <f t="shared" si="135"/>
        <v>0</v>
      </c>
      <c r="X275" s="106">
        <f t="shared" si="135"/>
        <v>0</v>
      </c>
      <c r="Y275" s="106">
        <f t="shared" si="135"/>
        <v>0</v>
      </c>
      <c r="Z275" s="106">
        <f t="shared" si="135"/>
        <v>0</v>
      </c>
      <c r="AA275" s="106">
        <f t="shared" si="135"/>
        <v>0</v>
      </c>
      <c r="AB275" s="106">
        <f t="shared" si="136"/>
        <v>0</v>
      </c>
    </row>
    <row r="276" spans="1:28" hidden="1" x14ac:dyDescent="0.25">
      <c r="E276" s="47" t="s">
        <v>458</v>
      </c>
      <c r="F276" s="47" t="s">
        <v>639</v>
      </c>
      <c r="G276" s="106" t="e">
        <f t="shared" ref="G276:AA276" si="137">G265</f>
        <v>#REF!</v>
      </c>
      <c r="H276" s="106">
        <f t="shared" si="137"/>
        <v>-3866147.2820483297</v>
      </c>
      <c r="I276" s="106">
        <f t="shared" si="137"/>
        <v>-4106148.7863020576</v>
      </c>
      <c r="J276" s="106">
        <f t="shared" si="137"/>
        <v>-4036936.8575901156</v>
      </c>
      <c r="K276" s="106">
        <f t="shared" si="137"/>
        <v>-4439937.4286219785</v>
      </c>
      <c r="L276" s="106">
        <f t="shared" si="137"/>
        <v>-4621656.9590262268</v>
      </c>
      <c r="M276" s="106">
        <f t="shared" si="137"/>
        <v>-5266183.6475037141</v>
      </c>
      <c r="N276" s="106">
        <f t="shared" si="137"/>
        <v>-5596284.4189541806</v>
      </c>
      <c r="O276" s="106">
        <f t="shared" si="137"/>
        <v>-6382460.0674704863</v>
      </c>
      <c r="P276" s="106">
        <f t="shared" si="137"/>
        <v>-7000240.7047920506</v>
      </c>
      <c r="Q276" s="106">
        <f t="shared" si="137"/>
        <v>-7293667.5478120297</v>
      </c>
      <c r="R276" s="106">
        <f t="shared" si="137"/>
        <v>-7739166.0881552929</v>
      </c>
      <c r="S276" s="106">
        <f t="shared" si="137"/>
        <v>-8184643.1426240709</v>
      </c>
      <c r="T276" s="106">
        <f t="shared" si="137"/>
        <v>-8516284.6081686709</v>
      </c>
      <c r="U276" s="106">
        <f t="shared" si="137"/>
        <v>-8948407.4158357792</v>
      </c>
      <c r="V276" s="106">
        <f t="shared" si="137"/>
        <v>-8162372.1031554621</v>
      </c>
      <c r="W276" s="106">
        <f t="shared" si="137"/>
        <v>-8538272.9889377654</v>
      </c>
      <c r="X276" s="106">
        <f t="shared" si="137"/>
        <v>-8736498.8599330653</v>
      </c>
      <c r="Y276" s="106">
        <f t="shared" si="137"/>
        <v>-8911100.4553765822</v>
      </c>
      <c r="Z276" s="106">
        <f t="shared" si="137"/>
        <v>-9018755.95115228</v>
      </c>
      <c r="AA276" s="106">
        <f t="shared" si="137"/>
        <v>-9117205.3403835502</v>
      </c>
      <c r="AB276" s="106">
        <f>IF(V276=0,0,IF($G$15&gt;(AA276/V276)^(1/5)-1+2%,AA276*(AA276/V276)^(1/5)/($G$15-((AA276/V276)^(1/5)-1)),AA276*(1+$G$14)/$G$16))</f>
        <v>-378307275.53458697</v>
      </c>
    </row>
    <row r="277" spans="1:28" hidden="1" x14ac:dyDescent="0.25">
      <c r="E277" s="47" t="s">
        <v>730</v>
      </c>
      <c r="F277" s="47" t="s">
        <v>639</v>
      </c>
      <c r="G277" s="106" t="e">
        <f>-$G$17*G276</f>
        <v>#REF!</v>
      </c>
      <c r="H277" s="106">
        <f t="shared" ref="H277:AA277" si="138">-$G$17*H276</f>
        <v>1933073.6410241649</v>
      </c>
      <c r="I277" s="106">
        <f t="shared" si="138"/>
        <v>2053074.3931510288</v>
      </c>
      <c r="J277" s="106">
        <f t="shared" si="138"/>
        <v>2018468.4287950578</v>
      </c>
      <c r="K277" s="106">
        <f t="shared" si="138"/>
        <v>2219968.7143109892</v>
      </c>
      <c r="L277" s="106">
        <f t="shared" si="138"/>
        <v>2310828.4795131134</v>
      </c>
      <c r="M277" s="106">
        <f t="shared" si="138"/>
        <v>2633091.823751857</v>
      </c>
      <c r="N277" s="106">
        <f t="shared" si="138"/>
        <v>2798142.2094770903</v>
      </c>
      <c r="O277" s="106">
        <f t="shared" si="138"/>
        <v>3191230.0337352431</v>
      </c>
      <c r="P277" s="106">
        <f t="shared" si="138"/>
        <v>3500120.3523960253</v>
      </c>
      <c r="Q277" s="106">
        <f t="shared" si="138"/>
        <v>3646833.7739060149</v>
      </c>
      <c r="R277" s="106">
        <f t="shared" si="138"/>
        <v>3869583.0440776465</v>
      </c>
      <c r="S277" s="106">
        <f t="shared" si="138"/>
        <v>4092321.5713120354</v>
      </c>
      <c r="T277" s="106">
        <f t="shared" si="138"/>
        <v>4258142.3040843355</v>
      </c>
      <c r="U277" s="106">
        <f t="shared" si="138"/>
        <v>4474203.7079178896</v>
      </c>
      <c r="V277" s="106">
        <f t="shared" si="138"/>
        <v>4081186.051577731</v>
      </c>
      <c r="W277" s="106">
        <f t="shared" si="138"/>
        <v>4269136.4944688827</v>
      </c>
      <c r="X277" s="106">
        <f t="shared" si="138"/>
        <v>4368249.4299665326</v>
      </c>
      <c r="Y277" s="106">
        <f t="shared" si="138"/>
        <v>4455550.2276882911</v>
      </c>
      <c r="Z277" s="106">
        <f t="shared" si="138"/>
        <v>4509377.97557614</v>
      </c>
      <c r="AA277" s="106">
        <f t="shared" si="138"/>
        <v>4558602.6701917751</v>
      </c>
      <c r="AB277" s="106">
        <f t="shared" ref="AB277" si="139">IF(V277=0,0,IF($G$15&gt;(AA277/V277)^(1/5)-1+2%,AA277*(AA277/V277)^(1/5)/($G$15-((AA277/V277)^(1/5)-1)),AA277*(1+$G$14)/$G$16))</f>
        <v>189153637.76729348</v>
      </c>
    </row>
    <row r="278" spans="1:28" hidden="1" x14ac:dyDescent="0.25">
      <c r="E278" s="47" t="s">
        <v>731</v>
      </c>
      <c r="F278" s="47" t="s">
        <v>639</v>
      </c>
      <c r="G278" s="106" t="e">
        <f t="shared" ref="G278:AA278" si="140">SUM(G268:G277)</f>
        <v>#REF!</v>
      </c>
      <c r="H278" s="106">
        <f t="shared" si="140"/>
        <v>-57171571.253527567</v>
      </c>
      <c r="I278" s="106">
        <f t="shared" si="140"/>
        <v>-51126273.234994575</v>
      </c>
      <c r="J278" s="106">
        <f t="shared" si="140"/>
        <v>-56610905.96584709</v>
      </c>
      <c r="K278" s="106">
        <f t="shared" si="140"/>
        <v>-21435250.15619047</v>
      </c>
      <c r="L278" s="106">
        <f t="shared" si="140"/>
        <v>-35751258.203695387</v>
      </c>
      <c r="M278" s="106">
        <f t="shared" si="140"/>
        <v>-35999771.264700025</v>
      </c>
      <c r="N278" s="106">
        <f t="shared" si="140"/>
        <v>-38143205.945630074</v>
      </c>
      <c r="O278" s="106">
        <f t="shared" si="140"/>
        <v>-20653396.22511125</v>
      </c>
      <c r="P278" s="106">
        <f t="shared" si="140"/>
        <v>-17701495.884255879</v>
      </c>
      <c r="Q278" s="106">
        <f t="shared" si="140"/>
        <v>-24430718.799197115</v>
      </c>
      <c r="R278" s="106">
        <f t="shared" si="140"/>
        <v>-22582749.836972509</v>
      </c>
      <c r="S278" s="106">
        <f t="shared" si="140"/>
        <v>-20652328.043790858</v>
      </c>
      <c r="T278" s="106">
        <f t="shared" si="140"/>
        <v>-18840132.128737342</v>
      </c>
      <c r="U278" s="106">
        <f t="shared" si="140"/>
        <v>-16997493.967102848</v>
      </c>
      <c r="V278" s="106">
        <f t="shared" si="140"/>
        <v>-18526783.656773105</v>
      </c>
      <c r="W278" s="106">
        <f t="shared" si="140"/>
        <v>-16838856.906998187</v>
      </c>
      <c r="X278" s="106">
        <f t="shared" si="140"/>
        <v>-15549702.066202246</v>
      </c>
      <c r="Y278" s="106">
        <f t="shared" si="140"/>
        <v>-13998687.775318082</v>
      </c>
      <c r="Z278" s="106">
        <f t="shared" si="140"/>
        <v>-12478477.067133859</v>
      </c>
      <c r="AA278" s="106">
        <f t="shared" si="140"/>
        <v>-10912862.137917195</v>
      </c>
      <c r="AB278" s="106" t="e">
        <f>SUM(AB268:AB277)*IF(DASH!#REF!="yes",1,0)</f>
        <v>#REF!</v>
      </c>
    </row>
    <row r="279" spans="1:28" hidden="1" x14ac:dyDescent="0.25">
      <c r="E279" s="47" t="s">
        <v>732</v>
      </c>
      <c r="F279" s="47" t="s">
        <v>639</v>
      </c>
      <c r="G279" s="106" t="e">
        <f>NPV($G$15,H278:AQ278)+G278</f>
        <v>#REF!</v>
      </c>
    </row>
    <row r="280" spans="1:28" hidden="1" x14ac:dyDescent="0.25">
      <c r="E280" s="111" t="s">
        <v>734</v>
      </c>
      <c r="F280" s="111"/>
      <c r="G280" s="118" t="e">
        <f>IF(G279&gt;0,"N/A",IF(ABS(G279+G253)&gt;1,"Error","OK"))</f>
        <v>#REF!</v>
      </c>
    </row>
    <row r="281" spans="1:28" hidden="1" x14ac:dyDescent="0.25"/>
    <row r="282" spans="1:28" hidden="1" x14ac:dyDescent="0.25">
      <c r="C282" s="100" t="s">
        <v>736</v>
      </c>
      <c r="D282" s="100"/>
    </row>
    <row r="283" spans="1:28" hidden="1" x14ac:dyDescent="0.25">
      <c r="A283" s="101">
        <v>54</v>
      </c>
      <c r="C283" s="100"/>
      <c r="D283" s="100"/>
      <c r="E283" s="47" t="s">
        <v>737</v>
      </c>
      <c r="F283" s="47" t="s">
        <v>655</v>
      </c>
      <c r="G283" s="102">
        <v>1</v>
      </c>
      <c r="H283" s="102">
        <v>1</v>
      </c>
      <c r="I283" s="102">
        <v>1</v>
      </c>
      <c r="J283" s="102">
        <v>1</v>
      </c>
      <c r="K283" s="102">
        <v>1</v>
      </c>
      <c r="L283" s="102">
        <v>1</v>
      </c>
      <c r="M283" s="102">
        <v>0</v>
      </c>
      <c r="N283" s="102">
        <v>0</v>
      </c>
      <c r="O283" s="102">
        <v>0</v>
      </c>
      <c r="P283" s="102">
        <v>0</v>
      </c>
      <c r="Q283" s="102">
        <v>0</v>
      </c>
      <c r="R283" s="102">
        <v>0</v>
      </c>
      <c r="S283" s="102">
        <v>0</v>
      </c>
      <c r="T283" s="102">
        <v>0</v>
      </c>
      <c r="U283" s="102">
        <v>0</v>
      </c>
      <c r="V283" s="102">
        <v>0</v>
      </c>
      <c r="W283" s="102">
        <v>0</v>
      </c>
      <c r="X283" s="102">
        <v>0</v>
      </c>
      <c r="Y283" s="102">
        <v>0</v>
      </c>
      <c r="Z283" s="102">
        <v>0</v>
      </c>
      <c r="AA283" s="102">
        <v>0</v>
      </c>
    </row>
    <row r="284" spans="1:28" hidden="1" x14ac:dyDescent="0.25">
      <c r="E284" s="47" t="s">
        <v>738</v>
      </c>
      <c r="F284" s="47" t="s">
        <v>739</v>
      </c>
      <c r="G284" s="115" t="e">
        <f>MAX(0,-G311/(NPV($G$16,H283:AA283)+G283))</f>
        <v>#VALUE!</v>
      </c>
      <c r="H284" s="106" t="e">
        <f t="shared" ref="H284:AA284" si="141">G284*(1+$G$14)</f>
        <v>#VALUE!</v>
      </c>
      <c r="I284" s="106" t="e">
        <f t="shared" si="141"/>
        <v>#VALUE!</v>
      </c>
      <c r="J284" s="106" t="e">
        <f t="shared" si="141"/>
        <v>#VALUE!</v>
      </c>
      <c r="K284" s="106" t="e">
        <f t="shared" si="141"/>
        <v>#VALUE!</v>
      </c>
      <c r="L284" s="106" t="e">
        <f t="shared" si="141"/>
        <v>#VALUE!</v>
      </c>
      <c r="M284" s="106" t="e">
        <f t="shared" si="141"/>
        <v>#VALUE!</v>
      </c>
      <c r="N284" s="106" t="e">
        <f t="shared" si="141"/>
        <v>#VALUE!</v>
      </c>
      <c r="O284" s="106" t="e">
        <f t="shared" si="141"/>
        <v>#VALUE!</v>
      </c>
      <c r="P284" s="106" t="e">
        <f t="shared" si="141"/>
        <v>#VALUE!</v>
      </c>
      <c r="Q284" s="106" t="e">
        <f t="shared" si="141"/>
        <v>#VALUE!</v>
      </c>
      <c r="R284" s="106" t="e">
        <f t="shared" si="141"/>
        <v>#VALUE!</v>
      </c>
      <c r="S284" s="106" t="e">
        <f t="shared" si="141"/>
        <v>#VALUE!</v>
      </c>
      <c r="T284" s="106" t="e">
        <f t="shared" si="141"/>
        <v>#VALUE!</v>
      </c>
      <c r="U284" s="106" t="e">
        <f t="shared" si="141"/>
        <v>#VALUE!</v>
      </c>
      <c r="V284" s="106" t="e">
        <f t="shared" si="141"/>
        <v>#VALUE!</v>
      </c>
      <c r="W284" s="106" t="e">
        <f t="shared" si="141"/>
        <v>#VALUE!</v>
      </c>
      <c r="X284" s="106" t="e">
        <f t="shared" si="141"/>
        <v>#VALUE!</v>
      </c>
      <c r="Y284" s="106" t="e">
        <f t="shared" si="141"/>
        <v>#VALUE!</v>
      </c>
      <c r="Z284" s="106" t="e">
        <f t="shared" si="141"/>
        <v>#VALUE!</v>
      </c>
      <c r="AA284" s="106" t="e">
        <f t="shared" si="141"/>
        <v>#VALUE!</v>
      </c>
    </row>
    <row r="285" spans="1:28" hidden="1" x14ac:dyDescent="0.25">
      <c r="E285" s="47" t="s">
        <v>721</v>
      </c>
      <c r="F285" s="47" t="s">
        <v>639</v>
      </c>
      <c r="G285" s="106" t="e">
        <f>G283*G284</f>
        <v>#VALUE!</v>
      </c>
      <c r="H285" s="106" t="e">
        <f t="shared" ref="H285:AA285" si="142">H283*H284</f>
        <v>#VALUE!</v>
      </c>
      <c r="I285" s="106" t="e">
        <f t="shared" si="142"/>
        <v>#VALUE!</v>
      </c>
      <c r="J285" s="106" t="e">
        <f t="shared" si="142"/>
        <v>#VALUE!</v>
      </c>
      <c r="K285" s="106" t="e">
        <f t="shared" si="142"/>
        <v>#VALUE!</v>
      </c>
      <c r="L285" s="106" t="e">
        <f t="shared" si="142"/>
        <v>#VALUE!</v>
      </c>
      <c r="M285" s="106" t="e">
        <f t="shared" si="142"/>
        <v>#VALUE!</v>
      </c>
      <c r="N285" s="106" t="e">
        <f t="shared" si="142"/>
        <v>#VALUE!</v>
      </c>
      <c r="O285" s="106" t="e">
        <f t="shared" si="142"/>
        <v>#VALUE!</v>
      </c>
      <c r="P285" s="106" t="e">
        <f t="shared" si="142"/>
        <v>#VALUE!</v>
      </c>
      <c r="Q285" s="106" t="e">
        <f t="shared" si="142"/>
        <v>#VALUE!</v>
      </c>
      <c r="R285" s="106" t="e">
        <f t="shared" si="142"/>
        <v>#VALUE!</v>
      </c>
      <c r="S285" s="106" t="e">
        <f t="shared" si="142"/>
        <v>#VALUE!</v>
      </c>
      <c r="T285" s="106" t="e">
        <f t="shared" si="142"/>
        <v>#VALUE!</v>
      </c>
      <c r="U285" s="106" t="e">
        <f t="shared" si="142"/>
        <v>#VALUE!</v>
      </c>
      <c r="V285" s="106" t="e">
        <f t="shared" si="142"/>
        <v>#VALUE!</v>
      </c>
      <c r="W285" s="106" t="e">
        <f t="shared" si="142"/>
        <v>#VALUE!</v>
      </c>
      <c r="X285" s="106" t="e">
        <f t="shared" si="142"/>
        <v>#VALUE!</v>
      </c>
      <c r="Y285" s="106" t="e">
        <f t="shared" si="142"/>
        <v>#VALUE!</v>
      </c>
      <c r="Z285" s="106" t="e">
        <f t="shared" si="142"/>
        <v>#VALUE!</v>
      </c>
      <c r="AA285" s="106" t="e">
        <f t="shared" si="142"/>
        <v>#VALUE!</v>
      </c>
    </row>
    <row r="286" spans="1:28" hidden="1" x14ac:dyDescent="0.25"/>
    <row r="287" spans="1:28" hidden="1" x14ac:dyDescent="0.25">
      <c r="D287" s="47" t="s">
        <v>722</v>
      </c>
    </row>
    <row r="288" spans="1:28" hidden="1" x14ac:dyDescent="0.25">
      <c r="E288" s="47" t="s">
        <v>573</v>
      </c>
      <c r="F288" s="47" t="s">
        <v>639</v>
      </c>
      <c r="G288" s="106">
        <f t="shared" ref="G288:AA293" si="143">G222</f>
        <v>0</v>
      </c>
      <c r="H288" s="106">
        <f t="shared" si="143"/>
        <v>12731911.420267019</v>
      </c>
      <c r="I288" s="106">
        <f t="shared" si="143"/>
        <v>13148526.32611936</v>
      </c>
      <c r="J288" s="106">
        <f t="shared" si="143"/>
        <v>13009894.395617187</v>
      </c>
      <c r="K288" s="106">
        <f t="shared" si="143"/>
        <v>13409361.454437556</v>
      </c>
      <c r="L288" s="106">
        <f t="shared" si="143"/>
        <v>12951956.441241918</v>
      </c>
      <c r="M288" s="106">
        <f t="shared" si="143"/>
        <v>13785672.742911229</v>
      </c>
      <c r="N288" s="106">
        <f t="shared" si="143"/>
        <v>13517669.775895538</v>
      </c>
      <c r="O288" s="106">
        <f t="shared" si="143"/>
        <v>14337696.998172905</v>
      </c>
      <c r="P288" s="106">
        <f t="shared" si="143"/>
        <v>14548544.539300503</v>
      </c>
      <c r="Q288" s="106">
        <f t="shared" si="143"/>
        <v>14604828.488976413</v>
      </c>
      <c r="R288" s="106">
        <f t="shared" si="143"/>
        <v>14610038.547363196</v>
      </c>
      <c r="S288" s="106">
        <f t="shared" si="143"/>
        <v>14531866.317820311</v>
      </c>
      <c r="T288" s="106">
        <f t="shared" si="143"/>
        <v>14246211.859359719</v>
      </c>
      <c r="U288" s="106">
        <f t="shared" si="143"/>
        <v>14214459.486185538</v>
      </c>
      <c r="V288" s="106">
        <f t="shared" si="143"/>
        <v>14101936.703524388</v>
      </c>
      <c r="W288" s="106">
        <f t="shared" si="143"/>
        <v>14063927.72170865</v>
      </c>
      <c r="X288" s="106">
        <f t="shared" si="143"/>
        <v>13919675.302315457</v>
      </c>
      <c r="Y288" s="106">
        <f t="shared" si="143"/>
        <v>13441312.847045427</v>
      </c>
      <c r="Z288" s="106">
        <f t="shared" si="143"/>
        <v>12796913.36449934</v>
      </c>
      <c r="AA288" s="106">
        <f t="shared" si="143"/>
        <v>12072982.010669051</v>
      </c>
    </row>
    <row r="289" spans="4:28" hidden="1" x14ac:dyDescent="0.25">
      <c r="E289" s="47" t="s">
        <v>723</v>
      </c>
      <c r="F289" s="47" t="s">
        <v>639</v>
      </c>
      <c r="G289" s="106">
        <f t="shared" si="143"/>
        <v>0</v>
      </c>
      <c r="H289" s="106">
        <f t="shared" si="143"/>
        <v>3039930.2384739602</v>
      </c>
      <c r="I289" s="106">
        <f t="shared" si="143"/>
        <v>6326277.7924020924</v>
      </c>
      <c r="J289" s="106">
        <f t="shared" si="143"/>
        <v>9287067.3066609986</v>
      </c>
      <c r="K289" s="106">
        <f t="shared" si="143"/>
        <v>12429204.233567234</v>
      </c>
      <c r="L289" s="106">
        <f t="shared" si="143"/>
        <v>15683708.251446003</v>
      </c>
      <c r="M289" s="106">
        <f t="shared" si="143"/>
        <v>19275592.809558649</v>
      </c>
      <c r="N289" s="106">
        <f t="shared" si="143"/>
        <v>22875784.47557918</v>
      </c>
      <c r="O289" s="106">
        <f t="shared" si="143"/>
        <v>26803150.268226504</v>
      </c>
      <c r="P289" s="106">
        <f t="shared" si="143"/>
        <v>30726775.727540869</v>
      </c>
      <c r="Q289" s="106">
        <f t="shared" si="143"/>
        <v>33854382.720780715</v>
      </c>
      <c r="R289" s="106">
        <f t="shared" si="143"/>
        <v>37448043.552385472</v>
      </c>
      <c r="S289" s="106">
        <f t="shared" si="143"/>
        <v>41062087.463619463</v>
      </c>
      <c r="T289" s="106">
        <f t="shared" si="143"/>
        <v>44406719.629440211</v>
      </c>
      <c r="U289" s="106">
        <f t="shared" si="143"/>
        <v>47790123.152018934</v>
      </c>
      <c r="V289" s="106">
        <f t="shared" si="143"/>
        <v>47134501.60281083</v>
      </c>
      <c r="W289" s="106">
        <f t="shared" si="143"/>
        <v>50231616.343917102</v>
      </c>
      <c r="X289" s="106">
        <f t="shared" si="143"/>
        <v>52980297.029667705</v>
      </c>
      <c r="Y289" s="106">
        <f t="shared" si="143"/>
        <v>55772967.907854952</v>
      </c>
      <c r="Z289" s="106">
        <f t="shared" si="143"/>
        <v>58402254.382691607</v>
      </c>
      <c r="AA289" s="106">
        <f t="shared" si="143"/>
        <v>60992533.783200845</v>
      </c>
    </row>
    <row r="290" spans="4:28" hidden="1" x14ac:dyDescent="0.25">
      <c r="E290" s="47" t="s">
        <v>701</v>
      </c>
      <c r="F290" s="47" t="s">
        <v>639</v>
      </c>
      <c r="G290" s="106">
        <f t="shared" si="143"/>
        <v>0</v>
      </c>
      <c r="H290" s="106">
        <f t="shared" si="143"/>
        <v>-1283078.599037519</v>
      </c>
      <c r="I290" s="106">
        <f t="shared" si="143"/>
        <v>-2525591.032179785</v>
      </c>
      <c r="J290" s="106">
        <f t="shared" si="143"/>
        <v>-3802173.606725106</v>
      </c>
      <c r="K290" s="106">
        <f t="shared" si="143"/>
        <v>-4798462.5849568071</v>
      </c>
      <c r="L290" s="106">
        <f t="shared" si="143"/>
        <v>-5793415.1851502722</v>
      </c>
      <c r="M290" s="106">
        <f t="shared" si="143"/>
        <v>-6813595.7923333123</v>
      </c>
      <c r="N290" s="106">
        <f t="shared" si="143"/>
        <v>-7775223.3029197957</v>
      </c>
      <c r="O290" s="106">
        <f t="shared" si="143"/>
        <v>-8779140.6895828117</v>
      </c>
      <c r="P290" s="106">
        <f t="shared" si="143"/>
        <v>-9745924.3791378308</v>
      </c>
      <c r="Q290" s="106">
        <f t="shared" si="143"/>
        <v>-10673703.976435926</v>
      </c>
      <c r="R290" s="106">
        <f t="shared" si="143"/>
        <v>-11509723.326109789</v>
      </c>
      <c r="S290" s="106">
        <f t="shared" si="143"/>
        <v>-12288863.367801046</v>
      </c>
      <c r="T290" s="106">
        <f t="shared" si="143"/>
        <v>-12987735.688620158</v>
      </c>
      <c r="U290" s="106">
        <f t="shared" si="143"/>
        <v>-13647403.284543665</v>
      </c>
      <c r="V290" s="106">
        <f t="shared" si="143"/>
        <v>-14255599.592855703</v>
      </c>
      <c r="W290" s="106">
        <f t="shared" si="143"/>
        <v>-14826018.618963186</v>
      </c>
      <c r="X290" s="106">
        <f t="shared" si="143"/>
        <v>-15546901.698708663</v>
      </c>
      <c r="Y290" s="106">
        <f t="shared" si="143"/>
        <v>-16089018.538589403</v>
      </c>
      <c r="Z290" s="106">
        <f t="shared" si="143"/>
        <v>-16564463.337364031</v>
      </c>
      <c r="AA290" s="106">
        <f t="shared" si="143"/>
        <v>-16991233.513374694</v>
      </c>
    </row>
    <row r="291" spans="4:28" hidden="1" x14ac:dyDescent="0.25">
      <c r="E291" s="47" t="s">
        <v>702</v>
      </c>
      <c r="F291" s="47" t="s">
        <v>639</v>
      </c>
      <c r="G291" s="106">
        <f t="shared" si="143"/>
        <v>0</v>
      </c>
      <c r="H291" s="106">
        <f t="shared" si="143"/>
        <v>-687992.10188024095</v>
      </c>
      <c r="I291" s="106">
        <f t="shared" si="143"/>
        <v>-1391296.5735186045</v>
      </c>
      <c r="J291" s="106">
        <f t="shared" si="143"/>
        <v>-1965880.1922164117</v>
      </c>
      <c r="K291" s="106">
        <f t="shared" si="143"/>
        <v>-2546941.0038530892</v>
      </c>
      <c r="L291" s="106">
        <f t="shared" si="143"/>
        <v>-3143057.8294700691</v>
      </c>
      <c r="M291" s="106">
        <f t="shared" si="143"/>
        <v>-3766142.0169028649</v>
      </c>
      <c r="N291" s="106">
        <f t="shared" si="143"/>
        <v>-4360738.5418150369</v>
      </c>
      <c r="O291" s="106">
        <f t="shared" si="143"/>
        <v>-4979015.4715877483</v>
      </c>
      <c r="P291" s="106">
        <f t="shared" si="143"/>
        <v>-5590653.222406501</v>
      </c>
      <c r="Q291" s="106">
        <f t="shared" si="143"/>
        <v>-6277799.8245230438</v>
      </c>
      <c r="R291" s="106">
        <f t="shared" si="143"/>
        <v>-6964723.0740576992</v>
      </c>
      <c r="S291" s="106">
        <f t="shared" si="143"/>
        <v>-7646466.6231843922</v>
      </c>
      <c r="T291" s="106">
        <f t="shared" si="143"/>
        <v>-8314209.8203602117</v>
      </c>
      <c r="U291" s="106">
        <f t="shared" si="143"/>
        <v>-8979246.1815473791</v>
      </c>
      <c r="V291" s="106">
        <f t="shared" si="143"/>
        <v>-9637735.6700376533</v>
      </c>
      <c r="W291" s="106">
        <f t="shared" si="143"/>
        <v>-10288554.192370372</v>
      </c>
      <c r="X291" s="106">
        <f t="shared" si="143"/>
        <v>-10928084.02208191</v>
      </c>
      <c r="Y291" s="106">
        <f t="shared" si="143"/>
        <v>-11540322.971782492</v>
      </c>
      <c r="Z291" s="106">
        <f t="shared" si="143"/>
        <v>-12120126.191772448</v>
      </c>
      <c r="AA291" s="106">
        <f t="shared" si="143"/>
        <v>-12668795.792438723</v>
      </c>
    </row>
    <row r="292" spans="4:28" hidden="1" x14ac:dyDescent="0.25">
      <c r="E292" s="47" t="s">
        <v>724</v>
      </c>
      <c r="F292" s="47" t="s">
        <v>639</v>
      </c>
      <c r="G292" s="106">
        <f t="shared" si="143"/>
        <v>0</v>
      </c>
      <c r="H292" s="106">
        <f t="shared" si="143"/>
        <v>-913613.35099545307</v>
      </c>
      <c r="I292" s="106">
        <f t="shared" si="143"/>
        <v>-1870753.8918162049</v>
      </c>
      <c r="J292" s="106">
        <f t="shared" si="143"/>
        <v>-3072451.7113696137</v>
      </c>
      <c r="K292" s="106">
        <f t="shared" si="143"/>
        <v>-3693370.6704549664</v>
      </c>
      <c r="L292" s="106">
        <f t="shared" si="143"/>
        <v>-4293668.4813134894</v>
      </c>
      <c r="M292" s="106">
        <f t="shared" si="143"/>
        <v>-4927582.2515546568</v>
      </c>
      <c r="N292" s="106">
        <f t="shared" si="143"/>
        <v>-5603211.0102259479</v>
      </c>
      <c r="O292" s="106">
        <f t="shared" si="143"/>
        <v>-6107824.213660568</v>
      </c>
      <c r="P292" s="106">
        <f t="shared" si="143"/>
        <v>-6604606.9826568784</v>
      </c>
      <c r="Q292" s="106">
        <f t="shared" si="143"/>
        <v>-7195482.2494247276</v>
      </c>
      <c r="R292" s="106">
        <f t="shared" si="143"/>
        <v>-7786415.4057302075</v>
      </c>
      <c r="S292" s="106">
        <f t="shared" si="143"/>
        <v>-8376479.9817074332</v>
      </c>
      <c r="T292" s="106">
        <f t="shared" si="143"/>
        <v>-8963370.6192573197</v>
      </c>
      <c r="U292" s="106">
        <f t="shared" si="143"/>
        <v>-9549908.4526608251</v>
      </c>
      <c r="V292" s="106">
        <f t="shared" si="143"/>
        <v>-10135196.032923654</v>
      </c>
      <c r="W292" s="106">
        <f t="shared" si="143"/>
        <v>-10720061.291166306</v>
      </c>
      <c r="X292" s="106">
        <f t="shared" si="143"/>
        <v>-11303323.744749038</v>
      </c>
      <c r="Y292" s="106">
        <f t="shared" si="143"/>
        <v>-11881271.05993988</v>
      </c>
      <c r="Z292" s="106">
        <f t="shared" si="143"/>
        <v>-12452058.380880207</v>
      </c>
      <c r="AA292" s="106">
        <f t="shared" si="143"/>
        <v>-13014802.020111311</v>
      </c>
    </row>
    <row r="293" spans="4:28" hidden="1" x14ac:dyDescent="0.25">
      <c r="E293" s="47" t="s">
        <v>709</v>
      </c>
      <c r="F293" s="47" t="s">
        <v>639</v>
      </c>
      <c r="G293" s="106">
        <f t="shared" si="143"/>
        <v>0</v>
      </c>
      <c r="H293" s="106">
        <f t="shared" si="143"/>
        <v>0</v>
      </c>
      <c r="I293" s="106">
        <f t="shared" si="143"/>
        <v>0</v>
      </c>
      <c r="J293" s="106">
        <f t="shared" si="143"/>
        <v>0</v>
      </c>
      <c r="K293" s="106">
        <f t="shared" si="143"/>
        <v>0</v>
      </c>
      <c r="L293" s="106">
        <f t="shared" si="143"/>
        <v>0</v>
      </c>
      <c r="M293" s="106">
        <f t="shared" si="143"/>
        <v>0</v>
      </c>
      <c r="N293" s="106">
        <f t="shared" si="143"/>
        <v>0</v>
      </c>
      <c r="O293" s="106">
        <f t="shared" si="143"/>
        <v>0</v>
      </c>
      <c r="P293" s="106">
        <f t="shared" si="143"/>
        <v>0</v>
      </c>
      <c r="Q293" s="106">
        <f t="shared" si="143"/>
        <v>0</v>
      </c>
      <c r="R293" s="106">
        <f t="shared" si="143"/>
        <v>0</v>
      </c>
      <c r="S293" s="106">
        <f t="shared" si="143"/>
        <v>0</v>
      </c>
      <c r="T293" s="106">
        <f t="shared" si="143"/>
        <v>0</v>
      </c>
      <c r="U293" s="106">
        <f t="shared" si="143"/>
        <v>0</v>
      </c>
      <c r="V293" s="106">
        <f t="shared" si="143"/>
        <v>0</v>
      </c>
      <c r="W293" s="106">
        <f t="shared" si="143"/>
        <v>0</v>
      </c>
      <c r="X293" s="106">
        <f t="shared" si="143"/>
        <v>0</v>
      </c>
      <c r="Y293" s="106">
        <f t="shared" si="143"/>
        <v>0</v>
      </c>
      <c r="Z293" s="106">
        <f t="shared" si="143"/>
        <v>0</v>
      </c>
      <c r="AA293" s="106">
        <f t="shared" si="143"/>
        <v>0</v>
      </c>
    </row>
    <row r="294" spans="4:28" hidden="1" x14ac:dyDescent="0.25">
      <c r="E294" s="47" t="s">
        <v>725</v>
      </c>
      <c r="F294" s="47" t="s">
        <v>639</v>
      </c>
      <c r="G294" s="106" t="e">
        <f t="shared" ref="G294:AA294" si="144">G285</f>
        <v>#VALUE!</v>
      </c>
      <c r="H294" s="106" t="e">
        <f t="shared" si="144"/>
        <v>#VALUE!</v>
      </c>
      <c r="I294" s="106" t="e">
        <f t="shared" si="144"/>
        <v>#VALUE!</v>
      </c>
      <c r="J294" s="106" t="e">
        <f t="shared" si="144"/>
        <v>#VALUE!</v>
      </c>
      <c r="K294" s="106" t="e">
        <f t="shared" si="144"/>
        <v>#VALUE!</v>
      </c>
      <c r="L294" s="106" t="e">
        <f t="shared" si="144"/>
        <v>#VALUE!</v>
      </c>
      <c r="M294" s="106" t="e">
        <f t="shared" si="144"/>
        <v>#VALUE!</v>
      </c>
      <c r="N294" s="106" t="e">
        <f t="shared" si="144"/>
        <v>#VALUE!</v>
      </c>
      <c r="O294" s="106" t="e">
        <f t="shared" si="144"/>
        <v>#VALUE!</v>
      </c>
      <c r="P294" s="106" t="e">
        <f t="shared" si="144"/>
        <v>#VALUE!</v>
      </c>
      <c r="Q294" s="106" t="e">
        <f t="shared" si="144"/>
        <v>#VALUE!</v>
      </c>
      <c r="R294" s="106" t="e">
        <f t="shared" si="144"/>
        <v>#VALUE!</v>
      </c>
      <c r="S294" s="106" t="e">
        <f t="shared" si="144"/>
        <v>#VALUE!</v>
      </c>
      <c r="T294" s="106" t="e">
        <f t="shared" si="144"/>
        <v>#VALUE!</v>
      </c>
      <c r="U294" s="106" t="e">
        <f t="shared" si="144"/>
        <v>#VALUE!</v>
      </c>
      <c r="V294" s="106" t="e">
        <f t="shared" si="144"/>
        <v>#VALUE!</v>
      </c>
      <c r="W294" s="106" t="e">
        <f t="shared" si="144"/>
        <v>#VALUE!</v>
      </c>
      <c r="X294" s="106" t="e">
        <f t="shared" si="144"/>
        <v>#VALUE!</v>
      </c>
      <c r="Y294" s="106" t="e">
        <f t="shared" si="144"/>
        <v>#VALUE!</v>
      </c>
      <c r="Z294" s="106" t="e">
        <f t="shared" si="144"/>
        <v>#VALUE!</v>
      </c>
      <c r="AA294" s="106" t="e">
        <f t="shared" si="144"/>
        <v>#VALUE!</v>
      </c>
    </row>
    <row r="295" spans="4:28" hidden="1" x14ac:dyDescent="0.25"/>
    <row r="296" spans="4:28" hidden="1" x14ac:dyDescent="0.25">
      <c r="E296" s="47" t="s">
        <v>726</v>
      </c>
      <c r="F296" s="47" t="s">
        <v>639</v>
      </c>
      <c r="G296" s="106" t="e">
        <f t="shared" ref="G296:AA296" si="145">SUM(G288:G294)</f>
        <v>#VALUE!</v>
      </c>
      <c r="H296" s="106" t="e">
        <f t="shared" si="145"/>
        <v>#VALUE!</v>
      </c>
      <c r="I296" s="106" t="e">
        <f t="shared" si="145"/>
        <v>#VALUE!</v>
      </c>
      <c r="J296" s="106" t="e">
        <f t="shared" si="145"/>
        <v>#VALUE!</v>
      </c>
      <c r="K296" s="106" t="e">
        <f t="shared" si="145"/>
        <v>#VALUE!</v>
      </c>
      <c r="L296" s="106" t="e">
        <f t="shared" si="145"/>
        <v>#VALUE!</v>
      </c>
      <c r="M296" s="106" t="e">
        <f t="shared" si="145"/>
        <v>#VALUE!</v>
      </c>
      <c r="N296" s="106" t="e">
        <f t="shared" si="145"/>
        <v>#VALUE!</v>
      </c>
      <c r="O296" s="106" t="e">
        <f t="shared" si="145"/>
        <v>#VALUE!</v>
      </c>
      <c r="P296" s="106" t="e">
        <f t="shared" si="145"/>
        <v>#VALUE!</v>
      </c>
      <c r="Q296" s="106" t="e">
        <f t="shared" si="145"/>
        <v>#VALUE!</v>
      </c>
      <c r="R296" s="106" t="e">
        <f t="shared" si="145"/>
        <v>#VALUE!</v>
      </c>
      <c r="S296" s="106" t="e">
        <f t="shared" si="145"/>
        <v>#VALUE!</v>
      </c>
      <c r="T296" s="106" t="e">
        <f t="shared" si="145"/>
        <v>#VALUE!</v>
      </c>
      <c r="U296" s="106" t="e">
        <f t="shared" si="145"/>
        <v>#VALUE!</v>
      </c>
      <c r="V296" s="106" t="e">
        <f t="shared" si="145"/>
        <v>#VALUE!</v>
      </c>
      <c r="W296" s="106" t="e">
        <f t="shared" si="145"/>
        <v>#VALUE!</v>
      </c>
      <c r="X296" s="106" t="e">
        <f t="shared" si="145"/>
        <v>#VALUE!</v>
      </c>
      <c r="Y296" s="106" t="e">
        <f t="shared" si="145"/>
        <v>#VALUE!</v>
      </c>
      <c r="Z296" s="106" t="e">
        <f t="shared" si="145"/>
        <v>#VALUE!</v>
      </c>
      <c r="AA296" s="106" t="e">
        <f t="shared" si="145"/>
        <v>#VALUE!</v>
      </c>
    </row>
    <row r="297" spans="4:28" hidden="1" x14ac:dyDescent="0.25">
      <c r="E297" s="47" t="s">
        <v>727</v>
      </c>
      <c r="F297" s="47" t="s">
        <v>639</v>
      </c>
      <c r="G297" s="106" t="e">
        <f t="shared" ref="G297:AA297" si="146">-G296*G$18</f>
        <v>#VALUE!</v>
      </c>
      <c r="H297" s="106" t="e">
        <f t="shared" si="146"/>
        <v>#VALUE!</v>
      </c>
      <c r="I297" s="106" t="e">
        <f t="shared" si="146"/>
        <v>#VALUE!</v>
      </c>
      <c r="J297" s="106" t="e">
        <f t="shared" si="146"/>
        <v>#VALUE!</v>
      </c>
      <c r="K297" s="106" t="e">
        <f t="shared" si="146"/>
        <v>#VALUE!</v>
      </c>
      <c r="L297" s="106" t="e">
        <f t="shared" si="146"/>
        <v>#VALUE!</v>
      </c>
      <c r="M297" s="106" t="e">
        <f t="shared" si="146"/>
        <v>#VALUE!</v>
      </c>
      <c r="N297" s="106" t="e">
        <f t="shared" si="146"/>
        <v>#VALUE!</v>
      </c>
      <c r="O297" s="106" t="e">
        <f t="shared" si="146"/>
        <v>#VALUE!</v>
      </c>
      <c r="P297" s="106" t="e">
        <f t="shared" si="146"/>
        <v>#VALUE!</v>
      </c>
      <c r="Q297" s="106" t="e">
        <f t="shared" si="146"/>
        <v>#VALUE!</v>
      </c>
      <c r="R297" s="106" t="e">
        <f t="shared" si="146"/>
        <v>#VALUE!</v>
      </c>
      <c r="S297" s="106" t="e">
        <f t="shared" si="146"/>
        <v>#VALUE!</v>
      </c>
      <c r="T297" s="106" t="e">
        <f t="shared" si="146"/>
        <v>#VALUE!</v>
      </c>
      <c r="U297" s="106" t="e">
        <f t="shared" si="146"/>
        <v>#VALUE!</v>
      </c>
      <c r="V297" s="106" t="e">
        <f t="shared" si="146"/>
        <v>#VALUE!</v>
      </c>
      <c r="W297" s="106" t="e">
        <f t="shared" si="146"/>
        <v>#VALUE!</v>
      </c>
      <c r="X297" s="106" t="e">
        <f t="shared" si="146"/>
        <v>#VALUE!</v>
      </c>
      <c r="Y297" s="106" t="e">
        <f t="shared" si="146"/>
        <v>#VALUE!</v>
      </c>
      <c r="Z297" s="106" t="e">
        <f t="shared" si="146"/>
        <v>#VALUE!</v>
      </c>
      <c r="AA297" s="106" t="e">
        <f t="shared" si="146"/>
        <v>#VALUE!</v>
      </c>
    </row>
    <row r="298" spans="4:28" hidden="1" x14ac:dyDescent="0.25"/>
    <row r="299" spans="4:28" hidden="1" x14ac:dyDescent="0.25">
      <c r="D299" s="47" t="s">
        <v>728</v>
      </c>
    </row>
    <row r="300" spans="4:28" hidden="1" x14ac:dyDescent="0.25">
      <c r="E300" s="47" t="s">
        <v>638</v>
      </c>
      <c r="F300" s="47" t="s">
        <v>639</v>
      </c>
      <c r="G300" s="106">
        <f t="shared" ref="G300:AA307" si="147">G234</f>
        <v>0</v>
      </c>
      <c r="H300" s="106">
        <f t="shared" si="147"/>
        <v>-56307357.150059603</v>
      </c>
      <c r="I300" s="106">
        <f t="shared" si="147"/>
        <v>-51482589.02854725</v>
      </c>
      <c r="J300" s="106">
        <f t="shared" si="147"/>
        <v>-58111451.044771515</v>
      </c>
      <c r="K300" s="106">
        <f t="shared" si="147"/>
        <v>-24299082.086636819</v>
      </c>
      <c r="L300" s="106">
        <f t="shared" si="147"/>
        <v>-40187664.961007938</v>
      </c>
      <c r="M300" s="106">
        <f t="shared" si="147"/>
        <v>-42062534.441270642</v>
      </c>
      <c r="N300" s="106">
        <f t="shared" si="147"/>
        <v>-46084886.366997331</v>
      </c>
      <c r="O300" s="106">
        <f t="shared" si="147"/>
        <v>-30507160.298431948</v>
      </c>
      <c r="P300" s="106">
        <f t="shared" si="147"/>
        <v>-29591573.65785639</v>
      </c>
      <c r="Q300" s="106">
        <f t="shared" si="147"/>
        <v>-37686763.945112847</v>
      </c>
      <c r="R300" s="106">
        <f t="shared" si="147"/>
        <v>-37686763.945112847</v>
      </c>
      <c r="S300" s="106">
        <f t="shared" si="147"/>
        <v>-37686763.945112847</v>
      </c>
      <c r="T300" s="106">
        <f t="shared" si="147"/>
        <v>-37686763.945112847</v>
      </c>
      <c r="U300" s="106">
        <f t="shared" si="147"/>
        <v>-37686763.945112847</v>
      </c>
      <c r="V300" s="106">
        <f t="shared" si="147"/>
        <v>-37686763.945112847</v>
      </c>
      <c r="W300" s="106">
        <f t="shared" si="147"/>
        <v>-37686763.945112847</v>
      </c>
      <c r="X300" s="106">
        <f t="shared" si="147"/>
        <v>-37686763.945112847</v>
      </c>
      <c r="Y300" s="106">
        <f t="shared" si="147"/>
        <v>-37686763.945112847</v>
      </c>
      <c r="Z300" s="106">
        <f t="shared" si="147"/>
        <v>-37686763.945112847</v>
      </c>
      <c r="AA300" s="106">
        <f t="shared" si="147"/>
        <v>-37686763.945112847</v>
      </c>
    </row>
    <row r="301" spans="4:28" hidden="1" x14ac:dyDescent="0.25">
      <c r="E301" s="47" t="s">
        <v>729</v>
      </c>
      <c r="F301" s="47" t="s">
        <v>639</v>
      </c>
      <c r="G301" s="106">
        <f t="shared" si="147"/>
        <v>0</v>
      </c>
      <c r="H301" s="106">
        <f t="shared" si="147"/>
        <v>0</v>
      </c>
      <c r="I301" s="106">
        <f t="shared" si="147"/>
        <v>0</v>
      </c>
      <c r="J301" s="106">
        <f t="shared" si="147"/>
        <v>0</v>
      </c>
      <c r="K301" s="106">
        <f t="shared" si="147"/>
        <v>0</v>
      </c>
      <c r="L301" s="106">
        <f t="shared" si="147"/>
        <v>0</v>
      </c>
      <c r="M301" s="106">
        <f t="shared" si="147"/>
        <v>0</v>
      </c>
      <c r="N301" s="106">
        <f t="shared" si="147"/>
        <v>0</v>
      </c>
      <c r="O301" s="106">
        <f t="shared" si="147"/>
        <v>0</v>
      </c>
      <c r="P301" s="106">
        <f t="shared" si="147"/>
        <v>0</v>
      </c>
      <c r="Q301" s="106">
        <f t="shared" si="147"/>
        <v>0</v>
      </c>
      <c r="R301" s="106">
        <f t="shared" si="147"/>
        <v>0</v>
      </c>
      <c r="S301" s="106">
        <f t="shared" si="147"/>
        <v>0</v>
      </c>
      <c r="T301" s="106">
        <f t="shared" si="147"/>
        <v>0</v>
      </c>
      <c r="U301" s="106">
        <f t="shared" si="147"/>
        <v>0</v>
      </c>
      <c r="V301" s="106">
        <f t="shared" si="147"/>
        <v>0</v>
      </c>
      <c r="W301" s="106">
        <f t="shared" si="147"/>
        <v>0</v>
      </c>
      <c r="X301" s="106">
        <f t="shared" si="147"/>
        <v>0</v>
      </c>
      <c r="Y301" s="106">
        <f t="shared" si="147"/>
        <v>0</v>
      </c>
      <c r="Z301" s="106">
        <f t="shared" si="147"/>
        <v>0</v>
      </c>
      <c r="AA301" s="106">
        <f t="shared" si="147"/>
        <v>0</v>
      </c>
    </row>
    <row r="302" spans="4:28" hidden="1" x14ac:dyDescent="0.25">
      <c r="E302" s="47" t="s">
        <v>645</v>
      </c>
      <c r="F302" s="47" t="s">
        <v>639</v>
      </c>
      <c r="G302" s="106">
        <f t="shared" si="147"/>
        <v>0</v>
      </c>
      <c r="H302" s="106">
        <f t="shared" si="147"/>
        <v>0</v>
      </c>
      <c r="I302" s="106">
        <f t="shared" si="147"/>
        <v>0</v>
      </c>
      <c r="J302" s="106">
        <f t="shared" si="147"/>
        <v>0</v>
      </c>
      <c r="K302" s="106">
        <f t="shared" si="147"/>
        <v>0</v>
      </c>
      <c r="L302" s="106">
        <f t="shared" si="147"/>
        <v>0</v>
      </c>
      <c r="M302" s="106">
        <f t="shared" si="147"/>
        <v>0</v>
      </c>
      <c r="N302" s="106">
        <f t="shared" si="147"/>
        <v>0</v>
      </c>
      <c r="O302" s="106">
        <f t="shared" si="147"/>
        <v>0</v>
      </c>
      <c r="P302" s="106">
        <f t="shared" si="147"/>
        <v>0</v>
      </c>
      <c r="Q302" s="106">
        <f t="shared" si="147"/>
        <v>0</v>
      </c>
      <c r="R302" s="106">
        <f t="shared" si="147"/>
        <v>0</v>
      </c>
      <c r="S302" s="106">
        <f t="shared" si="147"/>
        <v>0</v>
      </c>
      <c r="T302" s="106">
        <f t="shared" si="147"/>
        <v>0</v>
      </c>
      <c r="U302" s="106">
        <f t="shared" si="147"/>
        <v>0</v>
      </c>
      <c r="V302" s="106">
        <f t="shared" si="147"/>
        <v>0</v>
      </c>
      <c r="W302" s="106">
        <f t="shared" si="147"/>
        <v>0</v>
      </c>
      <c r="X302" s="106">
        <f t="shared" si="147"/>
        <v>0</v>
      </c>
      <c r="Y302" s="106">
        <f t="shared" si="147"/>
        <v>0</v>
      </c>
      <c r="Z302" s="106">
        <f t="shared" si="147"/>
        <v>0</v>
      </c>
      <c r="AA302" s="106">
        <f t="shared" si="147"/>
        <v>0</v>
      </c>
    </row>
    <row r="303" spans="4:28" hidden="1" x14ac:dyDescent="0.25">
      <c r="E303" s="47" t="s">
        <v>723</v>
      </c>
      <c r="F303" s="47" t="s">
        <v>639</v>
      </c>
      <c r="G303" s="106">
        <f t="shared" si="147"/>
        <v>0</v>
      </c>
      <c r="H303" s="106">
        <f t="shared" si="147"/>
        <v>3039930.2384739602</v>
      </c>
      <c r="I303" s="106">
        <f t="shared" si="147"/>
        <v>6326277.7924020924</v>
      </c>
      <c r="J303" s="106">
        <f t="shared" si="147"/>
        <v>9287067.3066609986</v>
      </c>
      <c r="K303" s="106">
        <f t="shared" si="147"/>
        <v>12429204.233567234</v>
      </c>
      <c r="L303" s="106">
        <f t="shared" si="147"/>
        <v>15683708.251446003</v>
      </c>
      <c r="M303" s="106">
        <f t="shared" si="147"/>
        <v>19275592.809558649</v>
      </c>
      <c r="N303" s="106">
        <f t="shared" si="147"/>
        <v>22875784.47557918</v>
      </c>
      <c r="O303" s="106">
        <f t="shared" si="147"/>
        <v>26803150.268226504</v>
      </c>
      <c r="P303" s="106">
        <f t="shared" si="147"/>
        <v>30726775.727540869</v>
      </c>
      <c r="Q303" s="106">
        <f t="shared" si="147"/>
        <v>33854382.720780715</v>
      </c>
      <c r="R303" s="106">
        <f t="shared" si="147"/>
        <v>37448043.552385472</v>
      </c>
      <c r="S303" s="106">
        <f t="shared" si="147"/>
        <v>41062087.463619463</v>
      </c>
      <c r="T303" s="106">
        <f t="shared" si="147"/>
        <v>44406719.629440211</v>
      </c>
      <c r="U303" s="106">
        <f t="shared" si="147"/>
        <v>47790123.152018934</v>
      </c>
      <c r="V303" s="106">
        <f t="shared" si="147"/>
        <v>47134501.60281083</v>
      </c>
      <c r="W303" s="106">
        <f t="shared" si="147"/>
        <v>50231616.343917102</v>
      </c>
      <c r="X303" s="106">
        <f t="shared" si="147"/>
        <v>52980297.029667705</v>
      </c>
      <c r="Y303" s="106">
        <f t="shared" si="147"/>
        <v>55772967.907854952</v>
      </c>
      <c r="Z303" s="106">
        <f t="shared" si="147"/>
        <v>58402254.382691607</v>
      </c>
      <c r="AA303" s="106">
        <f t="shared" si="147"/>
        <v>60992533.783200845</v>
      </c>
      <c r="AB303" s="106">
        <f t="shared" ref="AB303:AB307" si="148">IF(V303=0,0,IF($G$15&gt;(AA303/V303)^(1/5)-1+2%,AA303*(AA303/V303)^(1/5)/($G$15-((AA303/V303)^(1/5)-1)),AA303*(1+$G$14)/$G$16))</f>
        <v>2530810530.4232707</v>
      </c>
    </row>
    <row r="304" spans="4:28" hidden="1" x14ac:dyDescent="0.25">
      <c r="E304" s="47" t="s">
        <v>701</v>
      </c>
      <c r="F304" s="47" t="s">
        <v>639</v>
      </c>
      <c r="G304" s="106">
        <f t="shared" si="147"/>
        <v>0</v>
      </c>
      <c r="H304" s="106">
        <f t="shared" si="147"/>
        <v>-1283078.599037519</v>
      </c>
      <c r="I304" s="106">
        <f t="shared" si="147"/>
        <v>-2525591.032179785</v>
      </c>
      <c r="J304" s="106">
        <f t="shared" si="147"/>
        <v>-3802173.606725106</v>
      </c>
      <c r="K304" s="106">
        <f t="shared" si="147"/>
        <v>-4798462.5849568071</v>
      </c>
      <c r="L304" s="106">
        <f t="shared" si="147"/>
        <v>-5793415.1851502722</v>
      </c>
      <c r="M304" s="106">
        <f t="shared" si="147"/>
        <v>-6813595.7923333123</v>
      </c>
      <c r="N304" s="106">
        <f t="shared" si="147"/>
        <v>-7775223.3029197957</v>
      </c>
      <c r="O304" s="106">
        <f t="shared" si="147"/>
        <v>-8779140.6895828117</v>
      </c>
      <c r="P304" s="106">
        <f t="shared" si="147"/>
        <v>-9745924.3791378308</v>
      </c>
      <c r="Q304" s="106">
        <f t="shared" si="147"/>
        <v>-10673703.976435926</v>
      </c>
      <c r="R304" s="106">
        <f t="shared" si="147"/>
        <v>-11509723.326109789</v>
      </c>
      <c r="S304" s="106">
        <f t="shared" si="147"/>
        <v>-12288863.367801046</v>
      </c>
      <c r="T304" s="106">
        <f t="shared" si="147"/>
        <v>-12987735.688620158</v>
      </c>
      <c r="U304" s="106">
        <f t="shared" si="147"/>
        <v>-13647403.284543665</v>
      </c>
      <c r="V304" s="106">
        <f t="shared" si="147"/>
        <v>-14255599.592855703</v>
      </c>
      <c r="W304" s="106">
        <f t="shared" si="147"/>
        <v>-14826018.618963186</v>
      </c>
      <c r="X304" s="106">
        <f t="shared" si="147"/>
        <v>-15546901.698708663</v>
      </c>
      <c r="Y304" s="106">
        <f t="shared" si="147"/>
        <v>-16089018.538589403</v>
      </c>
      <c r="Z304" s="106">
        <f t="shared" si="147"/>
        <v>-16564463.337364031</v>
      </c>
      <c r="AA304" s="106">
        <f t="shared" si="147"/>
        <v>-16991233.513374694</v>
      </c>
      <c r="AB304" s="106">
        <f t="shared" si="148"/>
        <v>-705030436.23961353</v>
      </c>
    </row>
    <row r="305" spans="1:28" hidden="1" x14ac:dyDescent="0.25">
      <c r="E305" s="47" t="s">
        <v>702</v>
      </c>
      <c r="F305" s="47" t="s">
        <v>639</v>
      </c>
      <c r="G305" s="106">
        <f t="shared" si="147"/>
        <v>0</v>
      </c>
      <c r="H305" s="106">
        <f t="shared" si="147"/>
        <v>-687992.10188024095</v>
      </c>
      <c r="I305" s="106">
        <f t="shared" si="147"/>
        <v>-1391296.5735186045</v>
      </c>
      <c r="J305" s="106">
        <f t="shared" si="147"/>
        <v>-1965880.1922164117</v>
      </c>
      <c r="K305" s="106">
        <f t="shared" si="147"/>
        <v>-2546941.0038530892</v>
      </c>
      <c r="L305" s="106">
        <f t="shared" si="147"/>
        <v>-3143057.8294700691</v>
      </c>
      <c r="M305" s="106">
        <f t="shared" si="147"/>
        <v>-3766142.0169028649</v>
      </c>
      <c r="N305" s="106">
        <f t="shared" si="147"/>
        <v>-4360738.5418150369</v>
      </c>
      <c r="O305" s="106">
        <f t="shared" si="147"/>
        <v>-4979015.4715877483</v>
      </c>
      <c r="P305" s="106">
        <f t="shared" si="147"/>
        <v>-5590653.222406501</v>
      </c>
      <c r="Q305" s="106">
        <f t="shared" si="147"/>
        <v>-6277799.8245230438</v>
      </c>
      <c r="R305" s="106">
        <f t="shared" si="147"/>
        <v>-6964723.0740576992</v>
      </c>
      <c r="S305" s="106">
        <f t="shared" si="147"/>
        <v>-7646466.6231843922</v>
      </c>
      <c r="T305" s="106">
        <f t="shared" si="147"/>
        <v>-8314209.8203602117</v>
      </c>
      <c r="U305" s="106">
        <f t="shared" si="147"/>
        <v>-8979246.1815473791</v>
      </c>
      <c r="V305" s="106">
        <f t="shared" si="147"/>
        <v>-9637735.6700376533</v>
      </c>
      <c r="W305" s="106">
        <f t="shared" si="147"/>
        <v>-10288554.192370372</v>
      </c>
      <c r="X305" s="106">
        <f t="shared" si="147"/>
        <v>-10928084.02208191</v>
      </c>
      <c r="Y305" s="106">
        <f t="shared" si="147"/>
        <v>-11540322.971782492</v>
      </c>
      <c r="Z305" s="106">
        <f t="shared" si="147"/>
        <v>-12120126.191772448</v>
      </c>
      <c r="AA305" s="106">
        <f t="shared" si="147"/>
        <v>-12668795.792438723</v>
      </c>
      <c r="AB305" s="106">
        <f t="shared" si="148"/>
        <v>-525676173.96011275</v>
      </c>
    </row>
    <row r="306" spans="1:28" hidden="1" x14ac:dyDescent="0.25">
      <c r="E306" s="47" t="s">
        <v>709</v>
      </c>
      <c r="F306" s="47" t="s">
        <v>639</v>
      </c>
      <c r="G306" s="106">
        <f t="shared" si="147"/>
        <v>0</v>
      </c>
      <c r="H306" s="106">
        <f t="shared" si="147"/>
        <v>0</v>
      </c>
      <c r="I306" s="106">
        <f t="shared" si="147"/>
        <v>0</v>
      </c>
      <c r="J306" s="106">
        <f t="shared" si="147"/>
        <v>0</v>
      </c>
      <c r="K306" s="106">
        <f t="shared" si="147"/>
        <v>0</v>
      </c>
      <c r="L306" s="106">
        <f t="shared" si="147"/>
        <v>0</v>
      </c>
      <c r="M306" s="106">
        <f t="shared" si="147"/>
        <v>0</v>
      </c>
      <c r="N306" s="106">
        <f t="shared" si="147"/>
        <v>0</v>
      </c>
      <c r="O306" s="106">
        <f t="shared" si="147"/>
        <v>0</v>
      </c>
      <c r="P306" s="106">
        <f t="shared" si="147"/>
        <v>0</v>
      </c>
      <c r="Q306" s="106">
        <f t="shared" si="147"/>
        <v>0</v>
      </c>
      <c r="R306" s="106">
        <f t="shared" si="147"/>
        <v>0</v>
      </c>
      <c r="S306" s="106">
        <f t="shared" si="147"/>
        <v>0</v>
      </c>
      <c r="T306" s="106">
        <f t="shared" si="147"/>
        <v>0</v>
      </c>
      <c r="U306" s="106">
        <f t="shared" si="147"/>
        <v>0</v>
      </c>
      <c r="V306" s="106">
        <f t="shared" si="147"/>
        <v>0</v>
      </c>
      <c r="W306" s="106">
        <f t="shared" si="147"/>
        <v>0</v>
      </c>
      <c r="X306" s="106">
        <f t="shared" si="147"/>
        <v>0</v>
      </c>
      <c r="Y306" s="106">
        <f t="shared" si="147"/>
        <v>0</v>
      </c>
      <c r="Z306" s="106">
        <f t="shared" si="147"/>
        <v>0</v>
      </c>
      <c r="AA306" s="106">
        <f t="shared" si="147"/>
        <v>0</v>
      </c>
      <c r="AB306" s="106">
        <f t="shared" si="148"/>
        <v>0</v>
      </c>
    </row>
    <row r="307" spans="1:28" hidden="1" x14ac:dyDescent="0.25">
      <c r="E307" s="47" t="s">
        <v>714</v>
      </c>
      <c r="F307" s="47" t="s">
        <v>639</v>
      </c>
      <c r="G307" s="106">
        <f t="shared" si="147"/>
        <v>0</v>
      </c>
      <c r="H307" s="106">
        <f t="shared" si="147"/>
        <v>0</v>
      </c>
      <c r="I307" s="106">
        <f t="shared" si="147"/>
        <v>0</v>
      </c>
      <c r="J307" s="106">
        <f t="shared" si="147"/>
        <v>0</v>
      </c>
      <c r="K307" s="106">
        <f t="shared" si="147"/>
        <v>0</v>
      </c>
      <c r="L307" s="106">
        <f t="shared" si="147"/>
        <v>0</v>
      </c>
      <c r="M307" s="106">
        <f t="shared" si="147"/>
        <v>0</v>
      </c>
      <c r="N307" s="106">
        <f t="shared" si="147"/>
        <v>0</v>
      </c>
      <c r="O307" s="106">
        <f t="shared" si="147"/>
        <v>0</v>
      </c>
      <c r="P307" s="106">
        <f t="shared" si="147"/>
        <v>0</v>
      </c>
      <c r="Q307" s="106">
        <f t="shared" si="147"/>
        <v>0</v>
      </c>
      <c r="R307" s="106">
        <f t="shared" si="147"/>
        <v>0</v>
      </c>
      <c r="S307" s="106">
        <f t="shared" si="147"/>
        <v>0</v>
      </c>
      <c r="T307" s="106">
        <f t="shared" si="147"/>
        <v>0</v>
      </c>
      <c r="U307" s="106">
        <f t="shared" si="147"/>
        <v>0</v>
      </c>
      <c r="V307" s="106">
        <f t="shared" si="147"/>
        <v>0</v>
      </c>
      <c r="W307" s="106">
        <f t="shared" si="147"/>
        <v>0</v>
      </c>
      <c r="X307" s="106">
        <f t="shared" si="147"/>
        <v>0</v>
      </c>
      <c r="Y307" s="106">
        <f t="shared" si="147"/>
        <v>0</v>
      </c>
      <c r="Z307" s="106">
        <f t="shared" si="147"/>
        <v>0</v>
      </c>
      <c r="AA307" s="106">
        <f t="shared" si="147"/>
        <v>0</v>
      </c>
      <c r="AB307" s="106">
        <f t="shared" si="148"/>
        <v>0</v>
      </c>
    </row>
    <row r="308" spans="1:28" hidden="1" x14ac:dyDescent="0.25">
      <c r="E308" s="47" t="s">
        <v>458</v>
      </c>
      <c r="F308" s="47" t="s">
        <v>639</v>
      </c>
      <c r="G308" s="106" t="e">
        <f t="shared" ref="G308:AA308" si="149">G297</f>
        <v>#VALUE!</v>
      </c>
      <c r="H308" s="106" t="e">
        <f t="shared" si="149"/>
        <v>#VALUE!</v>
      </c>
      <c r="I308" s="106" t="e">
        <f t="shared" si="149"/>
        <v>#VALUE!</v>
      </c>
      <c r="J308" s="106" t="e">
        <f t="shared" si="149"/>
        <v>#VALUE!</v>
      </c>
      <c r="K308" s="106" t="e">
        <f t="shared" si="149"/>
        <v>#VALUE!</v>
      </c>
      <c r="L308" s="106" t="e">
        <f t="shared" si="149"/>
        <v>#VALUE!</v>
      </c>
      <c r="M308" s="106" t="e">
        <f t="shared" si="149"/>
        <v>#VALUE!</v>
      </c>
      <c r="N308" s="106" t="e">
        <f t="shared" si="149"/>
        <v>#VALUE!</v>
      </c>
      <c r="O308" s="106" t="e">
        <f t="shared" si="149"/>
        <v>#VALUE!</v>
      </c>
      <c r="P308" s="106" t="e">
        <f t="shared" si="149"/>
        <v>#VALUE!</v>
      </c>
      <c r="Q308" s="106" t="e">
        <f t="shared" si="149"/>
        <v>#VALUE!</v>
      </c>
      <c r="R308" s="106" t="e">
        <f t="shared" si="149"/>
        <v>#VALUE!</v>
      </c>
      <c r="S308" s="106" t="e">
        <f t="shared" si="149"/>
        <v>#VALUE!</v>
      </c>
      <c r="T308" s="106" t="e">
        <f t="shared" si="149"/>
        <v>#VALUE!</v>
      </c>
      <c r="U308" s="106" t="e">
        <f t="shared" si="149"/>
        <v>#VALUE!</v>
      </c>
      <c r="V308" s="106" t="e">
        <f t="shared" si="149"/>
        <v>#VALUE!</v>
      </c>
      <c r="W308" s="106" t="e">
        <f t="shared" si="149"/>
        <v>#VALUE!</v>
      </c>
      <c r="X308" s="106" t="e">
        <f t="shared" si="149"/>
        <v>#VALUE!</v>
      </c>
      <c r="Y308" s="106" t="e">
        <f t="shared" si="149"/>
        <v>#VALUE!</v>
      </c>
      <c r="Z308" s="106" t="e">
        <f t="shared" si="149"/>
        <v>#VALUE!</v>
      </c>
      <c r="AA308" s="106" t="e">
        <f t="shared" si="149"/>
        <v>#VALUE!</v>
      </c>
      <c r="AB308" s="106" t="e">
        <f>IF(V308=0,0,IF($G$15&gt;(AA308/V308)^(1/5)-1+2%,AA308*(AA308/V308)^(1/5)/($G$15-((AA308/V308)^(1/5)-1)),AA308*(1+$G$14)/$G$16))</f>
        <v>#VALUE!</v>
      </c>
    </row>
    <row r="309" spans="1:28" hidden="1" x14ac:dyDescent="0.25">
      <c r="E309" s="47" t="s">
        <v>730</v>
      </c>
      <c r="F309" s="47" t="s">
        <v>639</v>
      </c>
      <c r="G309" s="106" t="e">
        <f>-$G$17*G308</f>
        <v>#VALUE!</v>
      </c>
      <c r="H309" s="106" t="e">
        <f t="shared" ref="H309:AA309" si="150">-$G$17*H308</f>
        <v>#VALUE!</v>
      </c>
      <c r="I309" s="106" t="e">
        <f t="shared" si="150"/>
        <v>#VALUE!</v>
      </c>
      <c r="J309" s="106" t="e">
        <f t="shared" si="150"/>
        <v>#VALUE!</v>
      </c>
      <c r="K309" s="106" t="e">
        <f t="shared" si="150"/>
        <v>#VALUE!</v>
      </c>
      <c r="L309" s="106" t="e">
        <f t="shared" si="150"/>
        <v>#VALUE!</v>
      </c>
      <c r="M309" s="106" t="e">
        <f t="shared" si="150"/>
        <v>#VALUE!</v>
      </c>
      <c r="N309" s="106" t="e">
        <f t="shared" si="150"/>
        <v>#VALUE!</v>
      </c>
      <c r="O309" s="106" t="e">
        <f t="shared" si="150"/>
        <v>#VALUE!</v>
      </c>
      <c r="P309" s="106" t="e">
        <f t="shared" si="150"/>
        <v>#VALUE!</v>
      </c>
      <c r="Q309" s="106" t="e">
        <f t="shared" si="150"/>
        <v>#VALUE!</v>
      </c>
      <c r="R309" s="106" t="e">
        <f t="shared" si="150"/>
        <v>#VALUE!</v>
      </c>
      <c r="S309" s="106" t="e">
        <f t="shared" si="150"/>
        <v>#VALUE!</v>
      </c>
      <c r="T309" s="106" t="e">
        <f t="shared" si="150"/>
        <v>#VALUE!</v>
      </c>
      <c r="U309" s="106" t="e">
        <f t="shared" si="150"/>
        <v>#VALUE!</v>
      </c>
      <c r="V309" s="106" t="e">
        <f t="shared" si="150"/>
        <v>#VALUE!</v>
      </c>
      <c r="W309" s="106" t="e">
        <f t="shared" si="150"/>
        <v>#VALUE!</v>
      </c>
      <c r="X309" s="106" t="e">
        <f t="shared" si="150"/>
        <v>#VALUE!</v>
      </c>
      <c r="Y309" s="106" t="e">
        <f t="shared" si="150"/>
        <v>#VALUE!</v>
      </c>
      <c r="Z309" s="106" t="e">
        <f t="shared" si="150"/>
        <v>#VALUE!</v>
      </c>
      <c r="AA309" s="106" t="e">
        <f t="shared" si="150"/>
        <v>#VALUE!</v>
      </c>
      <c r="AB309" s="106" t="e">
        <f t="shared" ref="AB309" si="151">IF(V309=0,0,IF($G$15&gt;(AA309/V309)^(1/5)-1+2%,AA309*(AA309/V309)^(1/5)/($G$15-((AA309/V309)^(1/5)-1)),AA309*(1+$G$14)/$G$16))</f>
        <v>#VALUE!</v>
      </c>
    </row>
    <row r="310" spans="1:28" hidden="1" x14ac:dyDescent="0.25">
      <c r="E310" s="47" t="s">
        <v>731</v>
      </c>
      <c r="F310" s="47" t="s">
        <v>639</v>
      </c>
      <c r="G310" s="106" t="e">
        <f t="shared" ref="G310:AA310" si="152">SUM(G300:G309)</f>
        <v>#VALUE!</v>
      </c>
      <c r="H310" s="106" t="e">
        <f t="shared" si="152"/>
        <v>#VALUE!</v>
      </c>
      <c r="I310" s="106" t="e">
        <f t="shared" si="152"/>
        <v>#VALUE!</v>
      </c>
      <c r="J310" s="106" t="e">
        <f t="shared" si="152"/>
        <v>#VALUE!</v>
      </c>
      <c r="K310" s="106" t="e">
        <f t="shared" si="152"/>
        <v>#VALUE!</v>
      </c>
      <c r="L310" s="106" t="e">
        <f t="shared" si="152"/>
        <v>#VALUE!</v>
      </c>
      <c r="M310" s="106" t="e">
        <f t="shared" si="152"/>
        <v>#VALUE!</v>
      </c>
      <c r="N310" s="106" t="e">
        <f t="shared" si="152"/>
        <v>#VALUE!</v>
      </c>
      <c r="O310" s="106" t="e">
        <f t="shared" si="152"/>
        <v>#VALUE!</v>
      </c>
      <c r="P310" s="106" t="e">
        <f t="shared" si="152"/>
        <v>#VALUE!</v>
      </c>
      <c r="Q310" s="106" t="e">
        <f t="shared" si="152"/>
        <v>#VALUE!</v>
      </c>
      <c r="R310" s="106" t="e">
        <f t="shared" si="152"/>
        <v>#VALUE!</v>
      </c>
      <c r="S310" s="106" t="e">
        <f t="shared" si="152"/>
        <v>#VALUE!</v>
      </c>
      <c r="T310" s="106" t="e">
        <f t="shared" si="152"/>
        <v>#VALUE!</v>
      </c>
      <c r="U310" s="106" t="e">
        <f t="shared" si="152"/>
        <v>#VALUE!</v>
      </c>
      <c r="V310" s="106" t="e">
        <f t="shared" si="152"/>
        <v>#VALUE!</v>
      </c>
      <c r="W310" s="106" t="e">
        <f t="shared" si="152"/>
        <v>#VALUE!</v>
      </c>
      <c r="X310" s="106" t="e">
        <f t="shared" si="152"/>
        <v>#VALUE!</v>
      </c>
      <c r="Y310" s="106" t="e">
        <f t="shared" si="152"/>
        <v>#VALUE!</v>
      </c>
      <c r="Z310" s="106" t="e">
        <f t="shared" si="152"/>
        <v>#VALUE!</v>
      </c>
      <c r="AA310" s="106" t="e">
        <f t="shared" si="152"/>
        <v>#VALUE!</v>
      </c>
      <c r="AB310" s="106" t="e">
        <f>SUM(AB300:AB309)*IF(DASH!#REF!="yes",1,0)</f>
        <v>#VALUE!</v>
      </c>
    </row>
    <row r="311" spans="1:28" hidden="1" x14ac:dyDescent="0.25">
      <c r="E311" s="47" t="s">
        <v>732</v>
      </c>
      <c r="F311" s="47" t="s">
        <v>639</v>
      </c>
      <c r="G311" s="106" t="e">
        <f>NPV($G$15,H310:AQ310)+G310</f>
        <v>#VALUE!</v>
      </c>
    </row>
    <row r="312" spans="1:28" hidden="1" x14ac:dyDescent="0.25"/>
    <row r="313" spans="1:28" hidden="1" x14ac:dyDescent="0.25">
      <c r="E313" s="47" t="s">
        <v>725</v>
      </c>
      <c r="F313" s="47" t="s">
        <v>639</v>
      </c>
      <c r="G313" s="106" t="e">
        <f t="shared" ref="G313:AA313" si="153">G285</f>
        <v>#VALUE!</v>
      </c>
      <c r="H313" s="106" t="e">
        <f t="shared" si="153"/>
        <v>#VALUE!</v>
      </c>
      <c r="I313" s="106" t="e">
        <f t="shared" si="153"/>
        <v>#VALUE!</v>
      </c>
      <c r="J313" s="106" t="e">
        <f t="shared" si="153"/>
        <v>#VALUE!</v>
      </c>
      <c r="K313" s="106" t="e">
        <f t="shared" si="153"/>
        <v>#VALUE!</v>
      </c>
      <c r="L313" s="106" t="e">
        <f t="shared" si="153"/>
        <v>#VALUE!</v>
      </c>
      <c r="M313" s="106" t="e">
        <f t="shared" si="153"/>
        <v>#VALUE!</v>
      </c>
      <c r="N313" s="106" t="e">
        <f t="shared" si="153"/>
        <v>#VALUE!</v>
      </c>
      <c r="O313" s="106" t="e">
        <f t="shared" si="153"/>
        <v>#VALUE!</v>
      </c>
      <c r="P313" s="106" t="e">
        <f t="shared" si="153"/>
        <v>#VALUE!</v>
      </c>
      <c r="Q313" s="106" t="e">
        <f t="shared" si="153"/>
        <v>#VALUE!</v>
      </c>
      <c r="R313" s="106" t="e">
        <f t="shared" si="153"/>
        <v>#VALUE!</v>
      </c>
      <c r="S313" s="106" t="e">
        <f t="shared" si="153"/>
        <v>#VALUE!</v>
      </c>
      <c r="T313" s="106" t="e">
        <f t="shared" si="153"/>
        <v>#VALUE!</v>
      </c>
      <c r="U313" s="106" t="e">
        <f t="shared" si="153"/>
        <v>#VALUE!</v>
      </c>
      <c r="V313" s="106" t="e">
        <f t="shared" si="153"/>
        <v>#VALUE!</v>
      </c>
      <c r="W313" s="106" t="e">
        <f t="shared" si="153"/>
        <v>#VALUE!</v>
      </c>
      <c r="X313" s="106" t="e">
        <f t="shared" si="153"/>
        <v>#VALUE!</v>
      </c>
      <c r="Y313" s="106" t="e">
        <f t="shared" si="153"/>
        <v>#VALUE!</v>
      </c>
      <c r="Z313" s="106" t="e">
        <f t="shared" si="153"/>
        <v>#VALUE!</v>
      </c>
      <c r="AA313" s="106" t="e">
        <f t="shared" si="153"/>
        <v>#VALUE!</v>
      </c>
    </row>
    <row r="314" spans="1:28" hidden="1" x14ac:dyDescent="0.25">
      <c r="E314" s="47" t="s">
        <v>733</v>
      </c>
      <c r="F314" s="47" t="s">
        <v>639</v>
      </c>
      <c r="G314" s="106" t="e">
        <f>NPV($G$15,H313:AP313)+G313</f>
        <v>#VALUE!</v>
      </c>
    </row>
    <row r="315" spans="1:28" hidden="1" x14ac:dyDescent="0.25">
      <c r="E315" s="111" t="s">
        <v>734</v>
      </c>
      <c r="F315" s="111"/>
      <c r="G315" s="118" t="e">
        <f>IF(G311&gt;0,"N/A",IF(ABS(G311+G314)&gt;1,"Error","OK"))</f>
        <v>#VALUE!</v>
      </c>
    </row>
    <row r="316" spans="1:28" hidden="1" x14ac:dyDescent="0.25"/>
    <row r="318" spans="1:28" x14ac:dyDescent="0.25">
      <c r="C318" s="100" t="s">
        <v>740</v>
      </c>
    </row>
    <row r="319" spans="1:28" x14ac:dyDescent="0.25">
      <c r="E319" s="47" t="s">
        <v>741</v>
      </c>
      <c r="F319" s="47" t="s">
        <v>742</v>
      </c>
    </row>
    <row r="320" spans="1:28" x14ac:dyDescent="0.25">
      <c r="A320" s="101">
        <v>55</v>
      </c>
      <c r="E320" s="119" t="s">
        <v>301</v>
      </c>
      <c r="F320" s="119" t="s">
        <v>743</v>
      </c>
    </row>
    <row r="321" spans="5:6" x14ac:dyDescent="0.25">
      <c r="E321" s="119" t="s">
        <v>303</v>
      </c>
      <c r="F321" s="119" t="s">
        <v>744</v>
      </c>
    </row>
    <row r="322" spans="5:6" x14ac:dyDescent="0.25">
      <c r="E322" s="119" t="s">
        <v>310</v>
      </c>
      <c r="F322" s="119" t="s">
        <v>745</v>
      </c>
    </row>
    <row r="323" spans="5:6" x14ac:dyDescent="0.25">
      <c r="E323" s="119" t="s">
        <v>305</v>
      </c>
      <c r="F323" s="119" t="s">
        <v>746</v>
      </c>
    </row>
  </sheetData>
  <mergeCells count="1">
    <mergeCell ref="G4:H4"/>
  </mergeCells>
  <dataValidations count="1">
    <dataValidation type="list" showInputMessage="1" showErrorMessage="1" sqref="G4:H4" xr:uid="{9C62ADDE-E58E-4BAE-9D67-E06C39520C7C}">
      <formula1>$E$320:$E$323</formula1>
    </dataValidation>
  </dataValidations>
  <pageMargins left="0.75" right="0.75" top="1" bottom="1" header="0.5" footer="0.5"/>
  <pageSetup paperSize="9"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A5327-9284-4005-8D84-0F1DA114DE6A}">
  <sheetPr codeName="Sheet41">
    <tabColor rgb="FF8EA9DB"/>
  </sheetPr>
  <dimension ref="A1:AN323"/>
  <sheetViews>
    <sheetView zoomScale="70" zoomScaleNormal="70" workbookViewId="0">
      <pane xSplit="5" ySplit="2" topLeftCell="F194" activePane="bottomRight" state="frozenSplit"/>
      <selection pane="topRight" activeCell="G37" sqref="G37:AA37"/>
      <selection pane="bottomLeft" activeCell="G37" sqref="G37:AA37"/>
      <selection pane="bottomRight" activeCell="G218" sqref="G218"/>
    </sheetView>
  </sheetViews>
  <sheetFormatPr defaultColWidth="14" defaultRowHeight="15.75" x14ac:dyDescent="0.25"/>
  <cols>
    <col min="1" max="1" width="12.83203125" style="101" customWidth="1"/>
    <col min="2" max="2" width="3.83203125" style="47" customWidth="1"/>
    <col min="3" max="3" width="4.33203125" style="47" customWidth="1"/>
    <col min="4" max="4" width="3.6640625" style="47" customWidth="1"/>
    <col min="5" max="5" width="46.5" style="47" bestFit="1" customWidth="1"/>
    <col min="6" max="6" width="22.33203125" style="47" customWidth="1"/>
    <col min="7" max="7" width="16.5" style="47" customWidth="1"/>
    <col min="8" max="27" width="17" style="47" bestFit="1" customWidth="1"/>
    <col min="28" max="28" width="18.33203125" style="47" bestFit="1" customWidth="1"/>
    <col min="29" max="16384" width="14" style="47"/>
  </cols>
  <sheetData>
    <row r="1" spans="1:27" ht="28.5" x14ac:dyDescent="0.45">
      <c r="A1" s="95" t="str" cm="1">
        <f t="array" ref="A1">RIGHT(CELL("filename",A1),LEN(CELL("filename",A1))-SEARCH("]",CELL("filename",A1)))</f>
        <v>GS</v>
      </c>
      <c r="E1" s="96" t="str">
        <f>INDEX(TariffName,MATCH(A1,TariffCode,0))</f>
        <v>Western Greenfield - Sewer</v>
      </c>
      <c r="F1" s="97">
        <f>G218</f>
        <v>8597.467999870245</v>
      </c>
      <c r="G1" s="98" t="str">
        <f>'INPUT Opex'!AC7</f>
        <v>2023-24</v>
      </c>
      <c r="H1" s="98" t="str">
        <f>'INPUT Opex'!AD7</f>
        <v>2024-25</v>
      </c>
      <c r="I1" s="98" t="str">
        <f>'INPUT Opex'!AE7</f>
        <v>2025-26</v>
      </c>
      <c r="J1" s="98" t="str">
        <f>'INPUT Opex'!AF7</f>
        <v>2026-27</v>
      </c>
      <c r="K1" s="98" t="str">
        <f>'INPUT Opex'!AG7</f>
        <v>2027-28</v>
      </c>
      <c r="L1" s="98" t="str">
        <f>'INPUT Opex'!AH7</f>
        <v>2028-29</v>
      </c>
      <c r="M1" s="98" t="str">
        <f>'INPUT Opex'!AI7</f>
        <v>2029-30</v>
      </c>
      <c r="N1" s="98" t="str">
        <f>'INPUT Opex'!AJ7</f>
        <v>2030-31</v>
      </c>
      <c r="O1" s="98" t="str">
        <f>'INPUT Opex'!AK7</f>
        <v>2031-32</v>
      </c>
      <c r="P1" s="98" t="str">
        <f>'INPUT Opex'!AL7</f>
        <v>2032-33</v>
      </c>
      <c r="Q1" s="98" t="str">
        <f>'INPUT Opex'!AM7</f>
        <v>2033-34</v>
      </c>
      <c r="R1" s="98" t="str">
        <f>'INPUT Opex'!AN7</f>
        <v>2034-35</v>
      </c>
      <c r="S1" s="98" t="str">
        <f>'INPUT Opex'!AO7</f>
        <v>2035-36</v>
      </c>
      <c r="T1" s="98" t="str">
        <f>'INPUT Opex'!AP7</f>
        <v>2036-37</v>
      </c>
      <c r="U1" s="98" t="str">
        <f>'INPUT Opex'!AQ7</f>
        <v>2037-38</v>
      </c>
      <c r="V1" s="98" t="str">
        <f>'INPUT Opex'!AR7</f>
        <v>2038-39</v>
      </c>
      <c r="W1" s="98" t="str">
        <f>'INPUT Opex'!AS7</f>
        <v>2039-40</v>
      </c>
      <c r="X1" s="98" t="str">
        <f>'INPUT Opex'!AT7</f>
        <v>2040-41</v>
      </c>
      <c r="Y1" s="98" t="str">
        <f>'INPUT Opex'!AU7</f>
        <v>2041-42</v>
      </c>
      <c r="Z1" s="98" t="str">
        <f>'INPUT Opex'!AV7</f>
        <v>2042-43</v>
      </c>
      <c r="AA1" s="98" t="str">
        <f>'INPUT Opex'!AW7</f>
        <v>2043-44</v>
      </c>
    </row>
    <row r="2" spans="1:27" x14ac:dyDescent="0.25">
      <c r="A2" s="99"/>
      <c r="C2" s="100" t="s">
        <v>625</v>
      </c>
      <c r="D2" s="100"/>
      <c r="F2" s="97"/>
      <c r="G2" s="47">
        <v>0</v>
      </c>
      <c r="H2" s="47">
        <v>1</v>
      </c>
      <c r="I2" s="47">
        <v>2</v>
      </c>
      <c r="J2" s="47">
        <v>3</v>
      </c>
      <c r="K2" s="47">
        <v>4</v>
      </c>
      <c r="L2" s="47">
        <v>5</v>
      </c>
      <c r="M2" s="47">
        <v>6</v>
      </c>
      <c r="N2" s="47">
        <v>7</v>
      </c>
      <c r="O2" s="47">
        <v>8</v>
      </c>
      <c r="P2" s="47">
        <v>9</v>
      </c>
      <c r="Q2" s="47">
        <v>10</v>
      </c>
      <c r="R2" s="47">
        <v>11</v>
      </c>
      <c r="S2" s="47">
        <v>12</v>
      </c>
      <c r="T2" s="47">
        <v>13</v>
      </c>
      <c r="U2" s="47">
        <v>14</v>
      </c>
      <c r="V2" s="47">
        <v>15</v>
      </c>
      <c r="W2" s="47">
        <v>16</v>
      </c>
      <c r="X2" s="47">
        <v>17</v>
      </c>
      <c r="Y2" s="47">
        <v>18</v>
      </c>
      <c r="Z2" s="47">
        <v>19</v>
      </c>
      <c r="AA2" s="47">
        <v>20</v>
      </c>
    </row>
    <row r="4" spans="1:27" x14ac:dyDescent="0.25">
      <c r="A4" s="101">
        <v>1</v>
      </c>
      <c r="C4" s="100" t="s">
        <v>626</v>
      </c>
      <c r="F4" s="47" t="s">
        <v>627</v>
      </c>
      <c r="G4" s="310" t="str">
        <f>INDEX(TariffProduct,MATCH(A1,TariffCode,0))</f>
        <v>Sewer</v>
      </c>
      <c r="H4" s="310"/>
    </row>
    <row r="6" spans="1:27" x14ac:dyDescent="0.25">
      <c r="C6" s="100" t="s">
        <v>628</v>
      </c>
    </row>
    <row r="7" spans="1:27" x14ac:dyDescent="0.25">
      <c r="A7" s="101">
        <v>2</v>
      </c>
      <c r="E7" s="102" t="s">
        <v>616</v>
      </c>
      <c r="F7" s="47" t="s">
        <v>629</v>
      </c>
      <c r="G7" s="102">
        <f>Assumptions!H23</f>
        <v>90</v>
      </c>
    </row>
    <row r="8" spans="1:27" x14ac:dyDescent="0.25">
      <c r="A8" s="101">
        <v>3</v>
      </c>
      <c r="E8" s="102" t="s">
        <v>617</v>
      </c>
      <c r="F8" s="47" t="s">
        <v>629</v>
      </c>
      <c r="G8" s="102">
        <f>Assumptions!H24</f>
        <v>30</v>
      </c>
    </row>
    <row r="9" spans="1:27" x14ac:dyDescent="0.25">
      <c r="A9" s="101">
        <v>4</v>
      </c>
      <c r="E9" s="102" t="s">
        <v>144</v>
      </c>
      <c r="F9" s="47" t="s">
        <v>629</v>
      </c>
      <c r="G9" s="102">
        <f>Assumptions!H25</f>
        <v>80</v>
      </c>
    </row>
    <row r="10" spans="1:27" x14ac:dyDescent="0.25">
      <c r="A10" s="101">
        <v>5</v>
      </c>
      <c r="E10" s="47" t="s">
        <v>630</v>
      </c>
      <c r="F10" s="47" t="s">
        <v>629</v>
      </c>
      <c r="G10" s="102">
        <f>Assumptions!H26</f>
        <v>5</v>
      </c>
    </row>
    <row r="13" spans="1:27" x14ac:dyDescent="0.25">
      <c r="C13" s="100" t="s">
        <v>631</v>
      </c>
    </row>
    <row r="14" spans="1:27" x14ac:dyDescent="0.25">
      <c r="A14" s="101">
        <v>6</v>
      </c>
      <c r="E14" s="47" t="s">
        <v>632</v>
      </c>
      <c r="F14" s="47" t="s">
        <v>633</v>
      </c>
      <c r="G14" s="103">
        <f>Assumptions!H16</f>
        <v>0</v>
      </c>
    </row>
    <row r="15" spans="1:27" x14ac:dyDescent="0.25">
      <c r="A15" s="101">
        <v>7</v>
      </c>
      <c r="E15" s="47" t="s">
        <v>634</v>
      </c>
      <c r="F15" s="47" t="s">
        <v>633</v>
      </c>
      <c r="G15" s="103">
        <f>'INPUT Reg'!AD20</f>
        <v>2.41E-2</v>
      </c>
    </row>
    <row r="16" spans="1:27" x14ac:dyDescent="0.25">
      <c r="E16" s="47" t="s">
        <v>635</v>
      </c>
      <c r="F16" s="47" t="s">
        <v>633</v>
      </c>
      <c r="G16" s="104">
        <f>(1+G15)/(1+G14)-1</f>
        <v>2.410000000000001E-2</v>
      </c>
    </row>
    <row r="17" spans="1:27" x14ac:dyDescent="0.25">
      <c r="E17" s="47" t="s">
        <v>636</v>
      </c>
      <c r="F17" s="47" t="s">
        <v>633</v>
      </c>
      <c r="G17" s="105">
        <f>'INPUT Reg'!E22</f>
        <v>0.5</v>
      </c>
    </row>
    <row r="18" spans="1:27" x14ac:dyDescent="0.25">
      <c r="A18" s="101">
        <v>9</v>
      </c>
      <c r="E18" s="47" t="s">
        <v>637</v>
      </c>
      <c r="F18" s="47" t="s">
        <v>633</v>
      </c>
      <c r="G18" s="105">
        <f>'INPUT Reg'!E23</f>
        <v>0.3</v>
      </c>
      <c r="H18" s="105">
        <f>G18</f>
        <v>0.3</v>
      </c>
      <c r="I18" s="105">
        <f t="shared" ref="I18:AA18" si="0">H18</f>
        <v>0.3</v>
      </c>
      <c r="J18" s="105">
        <f t="shared" si="0"/>
        <v>0.3</v>
      </c>
      <c r="K18" s="105">
        <f t="shared" si="0"/>
        <v>0.3</v>
      </c>
      <c r="L18" s="105">
        <f t="shared" si="0"/>
        <v>0.3</v>
      </c>
      <c r="M18" s="105">
        <f>L18</f>
        <v>0.3</v>
      </c>
      <c r="N18" s="105">
        <f t="shared" si="0"/>
        <v>0.3</v>
      </c>
      <c r="O18" s="105">
        <f t="shared" si="0"/>
        <v>0.3</v>
      </c>
      <c r="P18" s="105">
        <f t="shared" si="0"/>
        <v>0.3</v>
      </c>
      <c r="Q18" s="105">
        <f t="shared" si="0"/>
        <v>0.3</v>
      </c>
      <c r="R18" s="105">
        <f t="shared" si="0"/>
        <v>0.3</v>
      </c>
      <c r="S18" s="105">
        <f t="shared" si="0"/>
        <v>0.3</v>
      </c>
      <c r="T18" s="105">
        <f t="shared" si="0"/>
        <v>0.3</v>
      </c>
      <c r="U18" s="105">
        <f t="shared" si="0"/>
        <v>0.3</v>
      </c>
      <c r="V18" s="105">
        <f t="shared" si="0"/>
        <v>0.3</v>
      </c>
      <c r="W18" s="105">
        <f t="shared" si="0"/>
        <v>0.3</v>
      </c>
      <c r="X18" s="105">
        <f t="shared" si="0"/>
        <v>0.3</v>
      </c>
      <c r="Y18" s="105">
        <f t="shared" si="0"/>
        <v>0.3</v>
      </c>
      <c r="Z18" s="105">
        <f t="shared" si="0"/>
        <v>0.3</v>
      </c>
      <c r="AA18" s="105">
        <f t="shared" si="0"/>
        <v>0.3</v>
      </c>
    </row>
    <row r="20" spans="1:27" x14ac:dyDescent="0.25">
      <c r="A20" s="101">
        <v>10</v>
      </c>
      <c r="C20" s="100" t="s">
        <v>638</v>
      </c>
      <c r="D20" s="100"/>
    </row>
    <row r="21" spans="1:27" x14ac:dyDescent="0.25">
      <c r="E21" s="106" t="str">
        <f>E7</f>
        <v>Pipes / Storage</v>
      </c>
      <c r="F21" s="47" t="s">
        <v>639</v>
      </c>
      <c r="G21" s="102">
        <f>(SUMIFS('INPUT Capex'!AC$236:AC$255,'INPUT Capex'!$A$236:$A$255,$A$1,'INPUT Capex'!$G$236:$G$255,$E21)+SUMIFS('INPUT Capex'!AC$211:AC$228,'INPUT Capex'!$A$211:$A$228,$A$1,'INPUT Capex'!$G$211:$G$228,$E21))*IF(G$2=0,DASH!$E$8,1)</f>
        <v>0</v>
      </c>
      <c r="H21" s="102">
        <f>(SUMIFS('INPUT Capex'!AD$236:AD$255,'INPUT Capex'!$A$236:$A$255,$A$1,'INPUT Capex'!$G$236:$G$255,$E21)+SUMIFS('INPUT Capex'!AD$211:AD$228,'INPUT Capex'!$A$211:$A$228,$A$1,'INPUT Capex'!$G$211:$G$228,$E21))*IF(H$2=0,DASH!$E$8,1)</f>
        <v>20532888.057788633</v>
      </c>
      <c r="I21" s="102">
        <f>(SUMIFS('INPUT Capex'!AE$236:AE$255,'INPUT Capex'!$A$236:$A$255,$A$1,'INPUT Capex'!$G$236:$G$255,$E21)+SUMIFS('INPUT Capex'!AE$211:AE$228,'INPUT Capex'!$A$211:$A$228,$A$1,'INPUT Capex'!$G$211:$G$228,$E21))*IF(I$2=0,DASH!$E$8,1)</f>
        <v>11538103.864685826</v>
      </c>
      <c r="J21" s="102">
        <f>(SUMIFS('INPUT Capex'!AF$236:AF$255,'INPUT Capex'!$A$236:$A$255,$A$1,'INPUT Capex'!$G$236:$G$255,$E21)+SUMIFS('INPUT Capex'!AF$211:AF$228,'INPUT Capex'!$A$211:$A$228,$A$1,'INPUT Capex'!$G$211:$G$228,$E21))*IF(J$2=0,DASH!$E$8,1)</f>
        <v>15715534.692772975</v>
      </c>
      <c r="K21" s="102">
        <f>(SUMIFS('INPUT Capex'!AG$236:AG$255,'INPUT Capex'!$A$236:$A$255,$A$1,'INPUT Capex'!$G$236:$G$255,$E21)+SUMIFS('INPUT Capex'!AG$211:AG$228,'INPUT Capex'!$A$211:$A$228,$A$1,'INPUT Capex'!$G$211:$G$228,$E21))*IF(K$2=0,DASH!$E$8,1)</f>
        <v>29106848.035451647</v>
      </c>
      <c r="L21" s="102">
        <f>(SUMIFS('INPUT Capex'!AH$236:AH$255,'INPUT Capex'!$A$236:$A$255,$A$1,'INPUT Capex'!$G$236:$G$255,$E21)+SUMIFS('INPUT Capex'!AH$211:AH$228,'INPUT Capex'!$A$211:$A$228,$A$1,'INPUT Capex'!$G$211:$G$228,$E21))*IF(L$2=0,DASH!$E$8,1)</f>
        <v>36827161.743341237</v>
      </c>
      <c r="M21" s="102">
        <f>(SUMIFS('INPUT Capex'!AI$236:AI$255,'INPUT Capex'!$A$236:$A$255,$A$1,'INPUT Capex'!$G$236:$G$255,$E21)+SUMIFS('INPUT Capex'!AI$211:AI$228,'INPUT Capex'!$A$211:$A$228,$A$1,'INPUT Capex'!$G$211:$G$228,$E21))*IF(M$2=0,DASH!$E$8,1)</f>
        <v>32195365.617433269</v>
      </c>
      <c r="N21" s="102">
        <f>(SUMIFS('INPUT Capex'!AJ$236:AJ$255,'INPUT Capex'!$A$236:$A$255,$A$1,'INPUT Capex'!$G$236:$G$255,$E21)+SUMIFS('INPUT Capex'!AJ$211:AJ$228,'INPUT Capex'!$A$211:$A$228,$A$1,'INPUT Capex'!$G$211:$G$228,$E21))*IF(N$2=0,DASH!$E$8,1)</f>
        <v>12817571.912832873</v>
      </c>
      <c r="O21" s="102">
        <f>(SUMIFS('INPUT Capex'!AK$236:AK$255,'INPUT Capex'!$A$236:$A$255,$A$1,'INPUT Capex'!$G$236:$G$255,$E21)+SUMIFS('INPUT Capex'!AK$211:AK$228,'INPUT Capex'!$A$211:$A$228,$A$1,'INPUT Capex'!$G$211:$G$228,$E21))*IF(O$2=0,DASH!$E$8,1)</f>
        <v>22599791.767554376</v>
      </c>
      <c r="P21" s="102">
        <f>(SUMIFS('INPUT Capex'!AL$236:AL$255,'INPUT Capex'!$A$236:$A$255,$A$1,'INPUT Capex'!$G$236:$G$255,$E21)+SUMIFS('INPUT Capex'!AL$211:AL$228,'INPUT Capex'!$A$211:$A$228,$A$1,'INPUT Capex'!$G$211:$G$228,$E21))*IF(P$2=0,DASH!$E$8,1)</f>
        <v>5075662.8874262301</v>
      </c>
      <c r="Q21" s="102">
        <f>(SUMIFS('INPUT Capex'!AM$236:AM$255,'INPUT Capex'!$A$236:$A$255,$A$1,'INPUT Capex'!$G$236:$G$255,$E21)+SUMIFS('INPUT Capex'!AM$211:AM$228,'INPUT Capex'!$A$211:$A$228,$A$1,'INPUT Capex'!$G$211:$G$228,$E21))*IF(Q$2=0,DASH!$E$8,1)</f>
        <v>21903110.785717599</v>
      </c>
      <c r="R21" s="102">
        <f>(SUMIFS('INPUT Capex'!AN$236:AN$255,'INPUT Capex'!$A$236:$A$255,$A$1,'INPUT Capex'!$G$236:$G$255,$E21)+SUMIFS('INPUT Capex'!AN$211:AN$228,'INPUT Capex'!$A$211:$A$228,$A$1,'INPUT Capex'!$G$211:$G$228,$E21))*IF(R$2=0,DASH!$E$8,1)</f>
        <v>21903110.785717599</v>
      </c>
      <c r="S21" s="102">
        <f>(SUMIFS('INPUT Capex'!AO$236:AO$255,'INPUT Capex'!$A$236:$A$255,$A$1,'INPUT Capex'!$G$236:$G$255,$E21)+SUMIFS('INPUT Capex'!AO$211:AO$228,'INPUT Capex'!$A$211:$A$228,$A$1,'INPUT Capex'!$G$211:$G$228,$E21))*IF(S$2=0,DASH!$E$8,1)</f>
        <v>21903110.785717599</v>
      </c>
      <c r="T21" s="102">
        <f>(SUMIFS('INPUT Capex'!AP$236:AP$255,'INPUT Capex'!$A$236:$A$255,$A$1,'INPUT Capex'!$G$236:$G$255,$E21)+SUMIFS('INPUT Capex'!AP$211:AP$228,'INPUT Capex'!$A$211:$A$228,$A$1,'INPUT Capex'!$G$211:$G$228,$E21))*IF(T$2=0,DASH!$E$8,1)</f>
        <v>21903110.785717599</v>
      </c>
      <c r="U21" s="102">
        <f>(SUMIFS('INPUT Capex'!AQ$236:AQ$255,'INPUT Capex'!$A$236:$A$255,$A$1,'INPUT Capex'!$G$236:$G$255,$E21)+SUMIFS('INPUT Capex'!AQ$211:AQ$228,'INPUT Capex'!$A$211:$A$228,$A$1,'INPUT Capex'!$G$211:$G$228,$E21))*IF(U$2=0,DASH!$E$8,1)</f>
        <v>21903110.785717599</v>
      </c>
      <c r="V21" s="102">
        <f>(SUMIFS('INPUT Capex'!AR$236:AR$255,'INPUT Capex'!$A$236:$A$255,$A$1,'INPUT Capex'!$G$236:$G$255,$E21)+SUMIFS('INPUT Capex'!AR$211:AR$228,'INPUT Capex'!$A$211:$A$228,$A$1,'INPUT Capex'!$G$211:$G$228,$E21))*IF(V$2=0,DASH!$E$8,1)</f>
        <v>21903110.785717599</v>
      </c>
      <c r="W21" s="102">
        <f>(SUMIFS('INPUT Capex'!AS$236:AS$255,'INPUT Capex'!$A$236:$A$255,$A$1,'INPUT Capex'!$G$236:$G$255,$E21)+SUMIFS('INPUT Capex'!AS$211:AS$228,'INPUT Capex'!$A$211:$A$228,$A$1,'INPUT Capex'!$G$211:$G$228,$E21))*IF(W$2=0,DASH!$E$8,1)</f>
        <v>21903110.785717599</v>
      </c>
      <c r="X21" s="102">
        <f>(SUMIFS('INPUT Capex'!AT$236:AT$255,'INPUT Capex'!$A$236:$A$255,$A$1,'INPUT Capex'!$G$236:$G$255,$E21)+SUMIFS('INPUT Capex'!AT$211:AT$228,'INPUT Capex'!$A$211:$A$228,$A$1,'INPUT Capex'!$G$211:$G$228,$E21))*IF(X$2=0,DASH!$E$8,1)</f>
        <v>21903110.785717599</v>
      </c>
      <c r="Y21" s="102">
        <f>(SUMIFS('INPUT Capex'!AU$236:AU$255,'INPUT Capex'!$A$236:$A$255,$A$1,'INPUT Capex'!$G$236:$G$255,$E21)+SUMIFS('INPUT Capex'!AU$211:AU$228,'INPUT Capex'!$A$211:$A$228,$A$1,'INPUT Capex'!$G$211:$G$228,$E21))*IF(Y$2=0,DASH!$E$8,1)</f>
        <v>21903110.785717599</v>
      </c>
      <c r="Z21" s="102">
        <f>(SUMIFS('INPUT Capex'!AV$236:AV$255,'INPUT Capex'!$A$236:$A$255,$A$1,'INPUT Capex'!$G$236:$G$255,$E21)+SUMIFS('INPUT Capex'!AV$211:AV$228,'INPUT Capex'!$A$211:$A$228,$A$1,'INPUT Capex'!$G$211:$G$228,$E21))*IF(Z$2=0,DASH!$E$8,1)</f>
        <v>21903110.785717599</v>
      </c>
      <c r="AA21" s="102">
        <f>(SUMIFS('INPUT Capex'!AW$236:AW$255,'INPUT Capex'!$A$236:$A$255,$A$1,'INPUT Capex'!$G$236:$G$255,$E21)+SUMIFS('INPUT Capex'!AW$211:AW$228,'INPUT Capex'!$A$211:$A$228,$A$1,'INPUT Capex'!$G$211:$G$228,$E21))*IF(AA$2=0,DASH!$E$8,1)</f>
        <v>21903110.785717599</v>
      </c>
    </row>
    <row r="22" spans="1:27" x14ac:dyDescent="0.25">
      <c r="E22" s="106" t="str">
        <f>E8</f>
        <v>Pumps / Valves</v>
      </c>
      <c r="F22" s="47" t="s">
        <v>639</v>
      </c>
      <c r="G22" s="102">
        <f>(SUMIFS('INPUT Capex'!AC$236:AC$255,'INPUT Capex'!$A$236:$A$255,$A$1,'INPUT Capex'!$G$236:$G$255,$E22)+SUMIFS('INPUT Capex'!AC$211:AC$228,'INPUT Capex'!$A$211:$A$228,$A$1,'INPUT Capex'!$G$211:$G$228,$E22))*IF(G$2=0,DASH!$E$8,1)</f>
        <v>0</v>
      </c>
      <c r="H22" s="102">
        <f>(SUMIFS('INPUT Capex'!AD$236:AD$255,'INPUT Capex'!$A$236:$A$255,$A$1,'INPUT Capex'!$G$236:$G$255,$E22)+SUMIFS('INPUT Capex'!AD$211:AD$228,'INPUT Capex'!$A$211:$A$228,$A$1,'INPUT Capex'!$G$211:$G$228,$E22))*IF(H$2=0,DASH!$E$8,1)</f>
        <v>4603007.2639224976</v>
      </c>
      <c r="I22" s="102">
        <f>(SUMIFS('INPUT Capex'!AE$236:AE$255,'INPUT Capex'!$A$236:$A$255,$A$1,'INPUT Capex'!$G$236:$G$255,$E22)+SUMIFS('INPUT Capex'!AE$211:AE$228,'INPUT Capex'!$A$211:$A$228,$A$1,'INPUT Capex'!$G$211:$G$228,$E22))*IF(I$2=0,DASH!$E$8,1)</f>
        <v>6421307.506053241</v>
      </c>
      <c r="J22" s="102">
        <f>(SUMIFS('INPUT Capex'!AF$236:AF$255,'INPUT Capex'!$A$236:$A$255,$A$1,'INPUT Capex'!$G$236:$G$255,$E22)+SUMIFS('INPUT Capex'!AF$211:AF$228,'INPUT Capex'!$A$211:$A$228,$A$1,'INPUT Capex'!$G$211:$G$228,$E22))*IF(J$2=0,DASH!$E$8,1)</f>
        <v>4708958.8377723759</v>
      </c>
      <c r="K22" s="102">
        <f>(SUMIFS('INPUT Capex'!AG$236:AG$255,'INPUT Capex'!$A$236:$A$255,$A$1,'INPUT Capex'!$G$236:$G$255,$E22)+SUMIFS('INPUT Capex'!AG$211:AG$228,'INPUT Capex'!$A$211:$A$228,$A$1,'INPUT Capex'!$G$211:$G$228,$E22))*IF(K$2=0,DASH!$E$8,1)</f>
        <v>4494915.2542372681</v>
      </c>
      <c r="L22" s="102">
        <f>(SUMIFS('INPUT Capex'!AH$236:AH$255,'INPUT Capex'!$A$236:$A$255,$A$1,'INPUT Capex'!$G$236:$G$255,$E22)+SUMIFS('INPUT Capex'!AH$211:AH$228,'INPUT Capex'!$A$211:$A$228,$A$1,'INPUT Capex'!$G$211:$G$228,$E22))*IF(L$2=0,DASH!$E$8,1)</f>
        <v>0</v>
      </c>
      <c r="M22" s="102">
        <f>(SUMIFS('INPUT Capex'!AI$236:AI$255,'INPUT Capex'!$A$236:$A$255,$A$1,'INPUT Capex'!$G$236:$G$255,$E22)+SUMIFS('INPUT Capex'!AI$211:AI$228,'INPUT Capex'!$A$211:$A$228,$A$1,'INPUT Capex'!$G$211:$G$228,$E22))*IF(M$2=0,DASH!$E$8,1)</f>
        <v>0</v>
      </c>
      <c r="N22" s="102">
        <f>(SUMIFS('INPUT Capex'!AJ$236:AJ$255,'INPUT Capex'!$A$236:$A$255,$A$1,'INPUT Capex'!$G$236:$G$255,$E22)+SUMIFS('INPUT Capex'!AJ$211:AJ$228,'INPUT Capex'!$A$211:$A$228,$A$1,'INPUT Capex'!$G$211:$G$228,$E22))*IF(N$2=0,DASH!$E$8,1)</f>
        <v>0</v>
      </c>
      <c r="O22" s="102">
        <f>(SUMIFS('INPUT Capex'!AK$236:AK$255,'INPUT Capex'!$A$236:$A$255,$A$1,'INPUT Capex'!$G$236:$G$255,$E22)+SUMIFS('INPUT Capex'!AK$211:AK$228,'INPUT Capex'!$A$211:$A$228,$A$1,'INPUT Capex'!$G$211:$G$228,$E22))*IF(O$2=0,DASH!$E$8,1)</f>
        <v>0</v>
      </c>
      <c r="P22" s="102">
        <f>(SUMIFS('INPUT Capex'!AL$236:AL$255,'INPUT Capex'!$A$236:$A$255,$A$1,'INPUT Capex'!$G$236:$G$255,$E22)+SUMIFS('INPUT Capex'!AL$211:AL$228,'INPUT Capex'!$A$211:$A$228,$A$1,'INPUT Capex'!$G$211:$G$228,$E22))*IF(P$2=0,DASH!$E$8,1)</f>
        <v>0</v>
      </c>
      <c r="Q22" s="102">
        <f>(SUMIFS('INPUT Capex'!AM$236:AM$255,'INPUT Capex'!$A$236:$A$255,$A$1,'INPUT Capex'!$G$236:$G$255,$E22)+SUMIFS('INPUT Capex'!AM$211:AM$228,'INPUT Capex'!$A$211:$A$228,$A$1,'INPUT Capex'!$G$211:$G$228,$E22))*IF(Q$2=0,DASH!$E$8,1)</f>
        <v>0</v>
      </c>
      <c r="R22" s="102">
        <f>(SUMIFS('INPUT Capex'!AN$236:AN$255,'INPUT Capex'!$A$236:$A$255,$A$1,'INPUT Capex'!$G$236:$G$255,$E22)+SUMIFS('INPUT Capex'!AN$211:AN$228,'INPUT Capex'!$A$211:$A$228,$A$1,'INPUT Capex'!$G$211:$G$228,$E22))*IF(R$2=0,DASH!$E$8,1)</f>
        <v>0</v>
      </c>
      <c r="S22" s="102">
        <f>(SUMIFS('INPUT Capex'!AO$236:AO$255,'INPUT Capex'!$A$236:$A$255,$A$1,'INPUT Capex'!$G$236:$G$255,$E22)+SUMIFS('INPUT Capex'!AO$211:AO$228,'INPUT Capex'!$A$211:$A$228,$A$1,'INPUT Capex'!$G$211:$G$228,$E22))*IF(S$2=0,DASH!$E$8,1)</f>
        <v>0</v>
      </c>
      <c r="T22" s="102">
        <f>(SUMIFS('INPUT Capex'!AP$236:AP$255,'INPUT Capex'!$A$236:$A$255,$A$1,'INPUT Capex'!$G$236:$G$255,$E22)+SUMIFS('INPUT Capex'!AP$211:AP$228,'INPUT Capex'!$A$211:$A$228,$A$1,'INPUT Capex'!$G$211:$G$228,$E22))*IF(T$2=0,DASH!$E$8,1)</f>
        <v>0</v>
      </c>
      <c r="U22" s="102">
        <f>(SUMIFS('INPUT Capex'!AQ$236:AQ$255,'INPUT Capex'!$A$236:$A$255,$A$1,'INPUT Capex'!$G$236:$G$255,$E22)+SUMIFS('INPUT Capex'!AQ$211:AQ$228,'INPUT Capex'!$A$211:$A$228,$A$1,'INPUT Capex'!$G$211:$G$228,$E22))*IF(U$2=0,DASH!$E$8,1)</f>
        <v>0</v>
      </c>
      <c r="V22" s="102">
        <f>(SUMIFS('INPUT Capex'!AR$236:AR$255,'INPUT Capex'!$A$236:$A$255,$A$1,'INPUT Capex'!$G$236:$G$255,$E22)+SUMIFS('INPUT Capex'!AR$211:AR$228,'INPUT Capex'!$A$211:$A$228,$A$1,'INPUT Capex'!$G$211:$G$228,$E22))*IF(V$2=0,DASH!$E$8,1)</f>
        <v>0</v>
      </c>
      <c r="W22" s="102">
        <f>(SUMIFS('INPUT Capex'!AS$236:AS$255,'INPUT Capex'!$A$236:$A$255,$A$1,'INPUT Capex'!$G$236:$G$255,$E22)+SUMIFS('INPUT Capex'!AS$211:AS$228,'INPUT Capex'!$A$211:$A$228,$A$1,'INPUT Capex'!$G$211:$G$228,$E22))*IF(W$2=0,DASH!$E$8,1)</f>
        <v>0</v>
      </c>
      <c r="X22" s="102">
        <f>(SUMIFS('INPUT Capex'!AT$236:AT$255,'INPUT Capex'!$A$236:$A$255,$A$1,'INPUT Capex'!$G$236:$G$255,$E22)+SUMIFS('INPUT Capex'!AT$211:AT$228,'INPUT Capex'!$A$211:$A$228,$A$1,'INPUT Capex'!$G$211:$G$228,$E22))*IF(X$2=0,DASH!$E$8,1)</f>
        <v>0</v>
      </c>
      <c r="Y22" s="102">
        <f>(SUMIFS('INPUT Capex'!AU$236:AU$255,'INPUT Capex'!$A$236:$A$255,$A$1,'INPUT Capex'!$G$236:$G$255,$E22)+SUMIFS('INPUT Capex'!AU$211:AU$228,'INPUT Capex'!$A$211:$A$228,$A$1,'INPUT Capex'!$G$211:$G$228,$E22))*IF(Y$2=0,DASH!$E$8,1)</f>
        <v>0</v>
      </c>
      <c r="Z22" s="102">
        <f>(SUMIFS('INPUT Capex'!AV$236:AV$255,'INPUT Capex'!$A$236:$A$255,$A$1,'INPUT Capex'!$G$236:$G$255,$E22)+SUMIFS('INPUT Capex'!AV$211:AV$228,'INPUT Capex'!$A$211:$A$228,$A$1,'INPUT Capex'!$G$211:$G$228,$E22))*IF(Z$2=0,DASH!$E$8,1)</f>
        <v>0</v>
      </c>
      <c r="AA22" s="102">
        <f>(SUMIFS('INPUT Capex'!AW$236:AW$255,'INPUT Capex'!$A$236:$A$255,$A$1,'INPUT Capex'!$G$236:$G$255,$E22)+SUMIFS('INPUT Capex'!AW$211:AW$228,'INPUT Capex'!$A$211:$A$228,$A$1,'INPUT Capex'!$G$211:$G$228,$E22))*IF(AA$2=0,DASH!$E$8,1)</f>
        <v>0</v>
      </c>
    </row>
    <row r="23" spans="1:27" x14ac:dyDescent="0.25">
      <c r="E23" s="106" t="str">
        <f>E9</f>
        <v>Treatment</v>
      </c>
      <c r="F23" s="47" t="s">
        <v>639</v>
      </c>
      <c r="G23" s="102">
        <f>(SUMIFS('INPUT Capex'!AC$236:AC$255,'INPUT Capex'!$A$236:$A$255,$A$1,'INPUT Capex'!$G$236:$G$255,$E23)+SUMIFS('INPUT Capex'!AC$211:AC$228,'INPUT Capex'!$A$211:$A$228,$A$1,'INPUT Capex'!$G$211:$G$228,$E23))*IF(G$2=0,DASH!$E$8,1)</f>
        <v>0</v>
      </c>
      <c r="H23" s="102">
        <f>(SUMIFS('INPUT Capex'!AD$236:AD$255,'INPUT Capex'!$A$236:$A$255,$A$1,'INPUT Capex'!$G$236:$G$255,$E23)+SUMIFS('INPUT Capex'!AD$211:AD$228,'INPUT Capex'!$A$211:$A$228,$A$1,'INPUT Capex'!$G$211:$G$228,$E23))*IF(H$2=0,DASH!$E$8,1)</f>
        <v>26598245.963087436</v>
      </c>
      <c r="I23" s="102">
        <f>(SUMIFS('INPUT Capex'!AE$236:AE$255,'INPUT Capex'!$A$236:$A$255,$A$1,'INPUT Capex'!$G$236:$G$255,$E23)+SUMIFS('INPUT Capex'!AE$211:AE$228,'INPUT Capex'!$A$211:$A$228,$A$1,'INPUT Capex'!$G$211:$G$228,$E23))*IF(I$2=0,DASH!$E$8,1)</f>
        <v>25008255.178052764</v>
      </c>
      <c r="J23" s="102">
        <f>(SUMIFS('INPUT Capex'!AF$236:AF$255,'INPUT Capex'!$A$236:$A$255,$A$1,'INPUT Capex'!$G$236:$G$255,$E23)+SUMIFS('INPUT Capex'!AF$211:AF$228,'INPUT Capex'!$A$211:$A$228,$A$1,'INPUT Capex'!$G$211:$G$228,$E23))*IF(J$2=0,DASH!$E$8,1)</f>
        <v>23549298.649511639</v>
      </c>
      <c r="K23" s="102">
        <f>(SUMIFS('INPUT Capex'!AG$236:AG$255,'INPUT Capex'!$A$236:$A$255,$A$1,'INPUT Capex'!$G$236:$G$255,$E23)+SUMIFS('INPUT Capex'!AG$211:AG$228,'INPUT Capex'!$A$211:$A$228,$A$1,'INPUT Capex'!$G$211:$G$228,$E23))*IF(K$2=0,DASH!$E$8,1)</f>
        <v>18224788.675767295</v>
      </c>
      <c r="L23" s="102">
        <f>(SUMIFS('INPUT Capex'!AH$236:AH$255,'INPUT Capex'!$A$236:$A$255,$A$1,'INPUT Capex'!$G$236:$G$255,$E23)+SUMIFS('INPUT Capex'!AH$211:AH$228,'INPUT Capex'!$A$211:$A$228,$A$1,'INPUT Capex'!$G$211:$G$228,$E23))*IF(L$2=0,DASH!$E$8,1)</f>
        <v>13349380.295434838</v>
      </c>
      <c r="M23" s="102">
        <f>(SUMIFS('INPUT Capex'!AI$236:AI$255,'INPUT Capex'!$A$236:$A$255,$A$1,'INPUT Capex'!$G$236:$G$255,$E23)+SUMIFS('INPUT Capex'!AI$211:AI$228,'INPUT Capex'!$A$211:$A$228,$A$1,'INPUT Capex'!$G$211:$G$228,$E23))*IF(M$2=0,DASH!$E$8,1)</f>
        <v>18689132.413608775</v>
      </c>
      <c r="N23" s="102">
        <f>(SUMIFS('INPUT Capex'!AJ$236:AJ$255,'INPUT Capex'!$A$236:$A$255,$A$1,'INPUT Capex'!$G$236:$G$255,$E23)+SUMIFS('INPUT Capex'!AJ$211:AJ$228,'INPUT Capex'!$A$211:$A$228,$A$1,'INPUT Capex'!$G$211:$G$228,$E23))*IF(N$2=0,DASH!$E$8,1)</f>
        <v>16019256.354521804</v>
      </c>
      <c r="O23" s="102">
        <f>(SUMIFS('INPUT Capex'!AK$236:AK$255,'INPUT Capex'!$A$236:$A$255,$A$1,'INPUT Capex'!$G$236:$G$255,$E23)+SUMIFS('INPUT Capex'!AK$211:AK$228,'INPUT Capex'!$A$211:$A$228,$A$1,'INPUT Capex'!$G$211:$G$228,$E23))*IF(O$2=0,DASH!$E$8,1)</f>
        <v>16019256.354521804</v>
      </c>
      <c r="P23" s="102">
        <f>(SUMIFS('INPUT Capex'!AL$236:AL$255,'INPUT Capex'!$A$236:$A$255,$A$1,'INPUT Capex'!$G$236:$G$255,$E23)+SUMIFS('INPUT Capex'!AL$211:AL$228,'INPUT Capex'!$A$211:$A$228,$A$1,'INPUT Capex'!$G$211:$G$228,$E23))*IF(P$2=0,DASH!$E$8,1)</f>
        <v>16019256.354521804</v>
      </c>
      <c r="Q23" s="102">
        <f>(SUMIFS('INPUT Capex'!AM$236:AM$255,'INPUT Capex'!$A$236:$A$255,$A$1,'INPUT Capex'!$G$236:$G$255,$E23)+SUMIFS('INPUT Capex'!AM$211:AM$228,'INPUT Capex'!$A$211:$A$228,$A$1,'INPUT Capex'!$G$211:$G$228,$E23))*IF(Q$2=0,DASH!$E$8,1)</f>
        <v>16019256.354521804</v>
      </c>
      <c r="R23" s="102">
        <f>(SUMIFS('INPUT Capex'!AN$236:AN$255,'INPUT Capex'!$A$236:$A$255,$A$1,'INPUT Capex'!$G$236:$G$255,$E23)+SUMIFS('INPUT Capex'!AN$211:AN$228,'INPUT Capex'!$A$211:$A$228,$A$1,'INPUT Capex'!$G$211:$G$228,$E23))*IF(R$2=0,DASH!$E$8,1)</f>
        <v>16019256.354521804</v>
      </c>
      <c r="S23" s="102">
        <f>(SUMIFS('INPUT Capex'!AO$236:AO$255,'INPUT Capex'!$A$236:$A$255,$A$1,'INPUT Capex'!$G$236:$G$255,$E23)+SUMIFS('INPUT Capex'!AO$211:AO$228,'INPUT Capex'!$A$211:$A$228,$A$1,'INPUT Capex'!$G$211:$G$228,$E23))*IF(S$2=0,DASH!$E$8,1)</f>
        <v>16019256.354521804</v>
      </c>
      <c r="T23" s="102">
        <f>(SUMIFS('INPUT Capex'!AP$236:AP$255,'INPUT Capex'!$A$236:$A$255,$A$1,'INPUT Capex'!$G$236:$G$255,$E23)+SUMIFS('INPUT Capex'!AP$211:AP$228,'INPUT Capex'!$A$211:$A$228,$A$1,'INPUT Capex'!$G$211:$G$228,$E23))*IF(T$2=0,DASH!$E$8,1)</f>
        <v>16019256.354521804</v>
      </c>
      <c r="U23" s="102">
        <f>(SUMIFS('INPUT Capex'!AQ$236:AQ$255,'INPUT Capex'!$A$236:$A$255,$A$1,'INPUT Capex'!$G$236:$G$255,$E23)+SUMIFS('INPUT Capex'!AQ$211:AQ$228,'INPUT Capex'!$A$211:$A$228,$A$1,'INPUT Capex'!$G$211:$G$228,$E23))*IF(U$2=0,DASH!$E$8,1)</f>
        <v>16019256.354521804</v>
      </c>
      <c r="V23" s="102">
        <f>(SUMIFS('INPUT Capex'!AR$236:AR$255,'INPUT Capex'!$A$236:$A$255,$A$1,'INPUT Capex'!$G$236:$G$255,$E23)+SUMIFS('INPUT Capex'!AR$211:AR$228,'INPUT Capex'!$A$211:$A$228,$A$1,'INPUT Capex'!$G$211:$G$228,$E23))*IF(V$2=0,DASH!$E$8,1)</f>
        <v>16019256.354521804</v>
      </c>
      <c r="W23" s="102">
        <f>(SUMIFS('INPUT Capex'!AS$236:AS$255,'INPUT Capex'!$A$236:$A$255,$A$1,'INPUT Capex'!$G$236:$G$255,$E23)+SUMIFS('INPUT Capex'!AS$211:AS$228,'INPUT Capex'!$A$211:$A$228,$A$1,'INPUT Capex'!$G$211:$G$228,$E23))*IF(W$2=0,DASH!$E$8,1)</f>
        <v>16019256.354521804</v>
      </c>
      <c r="X23" s="102">
        <f>(SUMIFS('INPUT Capex'!AT$236:AT$255,'INPUT Capex'!$A$236:$A$255,$A$1,'INPUT Capex'!$G$236:$G$255,$E23)+SUMIFS('INPUT Capex'!AT$211:AT$228,'INPUT Capex'!$A$211:$A$228,$A$1,'INPUT Capex'!$G$211:$G$228,$E23))*IF(X$2=0,DASH!$E$8,1)</f>
        <v>16019256.354521804</v>
      </c>
      <c r="Y23" s="102">
        <f>(SUMIFS('INPUT Capex'!AU$236:AU$255,'INPUT Capex'!$A$236:$A$255,$A$1,'INPUT Capex'!$G$236:$G$255,$E23)+SUMIFS('INPUT Capex'!AU$211:AU$228,'INPUT Capex'!$A$211:$A$228,$A$1,'INPUT Capex'!$G$211:$G$228,$E23))*IF(Y$2=0,DASH!$E$8,1)</f>
        <v>16019256.354521804</v>
      </c>
      <c r="Z23" s="102">
        <f>(SUMIFS('INPUT Capex'!AV$236:AV$255,'INPUT Capex'!$A$236:$A$255,$A$1,'INPUT Capex'!$G$236:$G$255,$E23)+SUMIFS('INPUT Capex'!AV$211:AV$228,'INPUT Capex'!$A$211:$A$228,$A$1,'INPUT Capex'!$G$211:$G$228,$E23))*IF(Z$2=0,DASH!$E$8,1)</f>
        <v>16019256.354521804</v>
      </c>
      <c r="AA23" s="102">
        <f>(SUMIFS('INPUT Capex'!AW$236:AW$255,'INPUT Capex'!$A$236:$A$255,$A$1,'INPUT Capex'!$G$236:$G$255,$E23)+SUMIFS('INPUT Capex'!AW$211:AW$228,'INPUT Capex'!$A$211:$A$228,$A$1,'INPUT Capex'!$G$211:$G$228,$E23))*IF(AA$2=0,DASH!$E$8,1)</f>
        <v>16019256.354521804</v>
      </c>
    </row>
    <row r="24" spans="1:27" x14ac:dyDescent="0.25">
      <c r="E24" s="47" t="s">
        <v>630</v>
      </c>
      <c r="F24" s="47" t="s">
        <v>639</v>
      </c>
      <c r="G24" s="102"/>
      <c r="H24" s="102"/>
      <c r="I24" s="102"/>
      <c r="J24" s="102"/>
      <c r="K24" s="102"/>
      <c r="L24" s="102"/>
      <c r="M24" s="102"/>
      <c r="N24" s="102"/>
      <c r="O24" s="102"/>
      <c r="P24" s="102"/>
      <c r="Q24" s="102"/>
      <c r="R24" s="102"/>
      <c r="S24" s="102"/>
      <c r="T24" s="102"/>
      <c r="U24" s="102"/>
      <c r="V24" s="102"/>
      <c r="W24" s="102"/>
      <c r="X24" s="102"/>
      <c r="Y24" s="102"/>
      <c r="Z24" s="102"/>
      <c r="AA24" s="102"/>
    </row>
    <row r="25" spans="1:27" x14ac:dyDescent="0.25">
      <c r="E25" s="47" t="s">
        <v>640</v>
      </c>
      <c r="F25" s="47" t="s">
        <v>639</v>
      </c>
      <c r="G25" s="102"/>
      <c r="H25" s="102"/>
      <c r="I25" s="102"/>
      <c r="J25" s="102"/>
      <c r="K25" s="102"/>
      <c r="L25" s="102"/>
      <c r="M25" s="102"/>
      <c r="N25" s="102"/>
      <c r="O25" s="102"/>
      <c r="P25" s="102"/>
      <c r="Q25" s="102"/>
      <c r="R25" s="102"/>
      <c r="S25" s="102"/>
      <c r="T25" s="102"/>
      <c r="U25" s="102"/>
      <c r="V25" s="102"/>
      <c r="W25" s="102"/>
      <c r="X25" s="102"/>
      <c r="Y25" s="102"/>
      <c r="Z25" s="102"/>
      <c r="AA25" s="102"/>
    </row>
    <row r="26" spans="1:27" x14ac:dyDescent="0.25">
      <c r="G26" s="106">
        <f>SUM(G21:G25)</f>
        <v>0</v>
      </c>
      <c r="H26" s="106">
        <f t="shared" ref="H26:AA26" si="1">SUM(H21:H25)</f>
        <v>51734141.284798563</v>
      </c>
      <c r="I26" s="106">
        <f t="shared" si="1"/>
        <v>42967666.548791826</v>
      </c>
      <c r="J26" s="106">
        <f t="shared" si="1"/>
        <v>43973792.180056989</v>
      </c>
      <c r="K26" s="106">
        <f t="shared" si="1"/>
        <v>51826551.96545621</v>
      </c>
      <c r="L26" s="106">
        <f t="shared" si="1"/>
        <v>50176542.038776077</v>
      </c>
      <c r="M26" s="106">
        <f t="shared" si="1"/>
        <v>50884498.031042039</v>
      </c>
      <c r="N26" s="106">
        <f t="shared" si="1"/>
        <v>28836828.267354675</v>
      </c>
      <c r="O26" s="106">
        <f t="shared" si="1"/>
        <v>38619048.122076184</v>
      </c>
      <c r="P26" s="106">
        <f t="shared" si="1"/>
        <v>21094919.241948035</v>
      </c>
      <c r="Q26" s="106">
        <f t="shared" si="1"/>
        <v>37922367.140239403</v>
      </c>
      <c r="R26" s="106">
        <f t="shared" si="1"/>
        <v>37922367.140239403</v>
      </c>
      <c r="S26" s="106">
        <f t="shared" si="1"/>
        <v>37922367.140239403</v>
      </c>
      <c r="T26" s="106">
        <f t="shared" si="1"/>
        <v>37922367.140239403</v>
      </c>
      <c r="U26" s="106">
        <f t="shared" si="1"/>
        <v>37922367.140239403</v>
      </c>
      <c r="V26" s="106">
        <f t="shared" si="1"/>
        <v>37922367.140239403</v>
      </c>
      <c r="W26" s="106">
        <f t="shared" si="1"/>
        <v>37922367.140239403</v>
      </c>
      <c r="X26" s="106">
        <f t="shared" si="1"/>
        <v>37922367.140239403</v>
      </c>
      <c r="Y26" s="106">
        <f t="shared" si="1"/>
        <v>37922367.140239403</v>
      </c>
      <c r="Z26" s="106">
        <f t="shared" si="1"/>
        <v>37922367.140239403</v>
      </c>
      <c r="AA26" s="106">
        <f t="shared" si="1"/>
        <v>37922367.140239403</v>
      </c>
    </row>
    <row r="27" spans="1:27" x14ac:dyDescent="0.25">
      <c r="G27" s="106"/>
      <c r="H27" s="106"/>
      <c r="I27" s="106"/>
      <c r="J27" s="106"/>
      <c r="K27" s="106"/>
      <c r="L27" s="106"/>
      <c r="M27" s="106"/>
      <c r="N27" s="106"/>
      <c r="O27" s="106"/>
      <c r="P27" s="106"/>
      <c r="Q27" s="106"/>
    </row>
    <row r="28" spans="1:27" x14ac:dyDescent="0.25">
      <c r="D28" s="47" t="s">
        <v>641</v>
      </c>
      <c r="G28" s="106"/>
      <c r="H28" s="106"/>
      <c r="I28" s="106"/>
      <c r="J28" s="106"/>
      <c r="K28" s="106"/>
      <c r="L28" s="106"/>
      <c r="M28" s="106"/>
      <c r="N28" s="106"/>
      <c r="O28" s="106"/>
      <c r="P28" s="106"/>
      <c r="Q28" s="106"/>
    </row>
    <row r="29" spans="1:27" x14ac:dyDescent="0.25">
      <c r="E29" s="106" t="str">
        <f>E21</f>
        <v>Pipes / Storage</v>
      </c>
      <c r="F29" s="47" t="s">
        <v>639</v>
      </c>
      <c r="G29" s="106">
        <f>G21/$G7+IF((G$2-$G7+1)&gt;0,-INDEX($G21:$AP21,1,(G$2-$G7+1))/$G7,0)</f>
        <v>0</v>
      </c>
      <c r="H29" s="106">
        <f t="shared" ref="H29:AA29" si="2">H21/$G7+IF((H$2-$G7+1)&gt;0,-INDEX($G21:$AP21,1,(H$2-$G7+1))/$G7,0)</f>
        <v>228143.20064209591</v>
      </c>
      <c r="I29" s="106">
        <f t="shared" si="2"/>
        <v>128201.15405206474</v>
      </c>
      <c r="J29" s="106">
        <f t="shared" si="2"/>
        <v>174617.05214192194</v>
      </c>
      <c r="K29" s="106">
        <f t="shared" si="2"/>
        <v>323409.42261612939</v>
      </c>
      <c r="L29" s="106">
        <f t="shared" si="2"/>
        <v>409190.68603712483</v>
      </c>
      <c r="M29" s="106">
        <f t="shared" si="2"/>
        <v>357726.28463814745</v>
      </c>
      <c r="N29" s="106">
        <f t="shared" si="2"/>
        <v>142417.46569814303</v>
      </c>
      <c r="O29" s="106">
        <f t="shared" si="2"/>
        <v>251108.79741727083</v>
      </c>
      <c r="P29" s="106">
        <f t="shared" si="2"/>
        <v>56396.254304735892</v>
      </c>
      <c r="Q29" s="106">
        <f t="shared" si="2"/>
        <v>243367.89761908443</v>
      </c>
      <c r="R29" s="106">
        <f t="shared" si="2"/>
        <v>243367.89761908443</v>
      </c>
      <c r="S29" s="106">
        <f t="shared" si="2"/>
        <v>243367.89761908443</v>
      </c>
      <c r="T29" s="106">
        <f t="shared" si="2"/>
        <v>243367.89761908443</v>
      </c>
      <c r="U29" s="106">
        <f t="shared" si="2"/>
        <v>243367.89761908443</v>
      </c>
      <c r="V29" s="106">
        <f t="shared" si="2"/>
        <v>243367.89761908443</v>
      </c>
      <c r="W29" s="106">
        <f t="shared" si="2"/>
        <v>243367.89761908443</v>
      </c>
      <c r="X29" s="106">
        <f t="shared" si="2"/>
        <v>243367.89761908443</v>
      </c>
      <c r="Y29" s="106">
        <f t="shared" si="2"/>
        <v>243367.89761908443</v>
      </c>
      <c r="Z29" s="106">
        <f t="shared" si="2"/>
        <v>243367.89761908443</v>
      </c>
      <c r="AA29" s="106">
        <f t="shared" si="2"/>
        <v>243367.89761908443</v>
      </c>
    </row>
    <row r="30" spans="1:27" x14ac:dyDescent="0.25">
      <c r="E30" s="106" t="str">
        <f t="shared" ref="E30:E32" si="3">E22</f>
        <v>Pumps / Valves</v>
      </c>
      <c r="F30" s="47" t="s">
        <v>639</v>
      </c>
      <c r="G30" s="106">
        <f t="shared" ref="G30:AA32" si="4">G22/$G8+IF((G$2-$G8+1)&gt;0,-INDEX($G22:$AP22,1,(G$2-$G8+1))/$G8,0)</f>
        <v>0</v>
      </c>
      <c r="H30" s="106">
        <f t="shared" si="4"/>
        <v>153433.57546408326</v>
      </c>
      <c r="I30" s="106">
        <f t="shared" si="4"/>
        <v>214043.58353510805</v>
      </c>
      <c r="J30" s="106">
        <f t="shared" si="4"/>
        <v>156965.29459241254</v>
      </c>
      <c r="K30" s="106">
        <f t="shared" si="4"/>
        <v>149830.50847457562</v>
      </c>
      <c r="L30" s="106">
        <f t="shared" si="4"/>
        <v>0</v>
      </c>
      <c r="M30" s="106">
        <f t="shared" si="4"/>
        <v>0</v>
      </c>
      <c r="N30" s="106">
        <f t="shared" si="4"/>
        <v>0</v>
      </c>
      <c r="O30" s="106">
        <f t="shared" si="4"/>
        <v>0</v>
      </c>
      <c r="P30" s="106">
        <f t="shared" si="4"/>
        <v>0</v>
      </c>
      <c r="Q30" s="106">
        <f t="shared" si="4"/>
        <v>0</v>
      </c>
      <c r="R30" s="106">
        <f t="shared" si="4"/>
        <v>0</v>
      </c>
      <c r="S30" s="106">
        <f t="shared" si="4"/>
        <v>0</v>
      </c>
      <c r="T30" s="106">
        <f t="shared" si="4"/>
        <v>0</v>
      </c>
      <c r="U30" s="106">
        <f t="shared" si="4"/>
        <v>0</v>
      </c>
      <c r="V30" s="106">
        <f t="shared" si="4"/>
        <v>0</v>
      </c>
      <c r="W30" s="106">
        <f t="shared" si="4"/>
        <v>0</v>
      </c>
      <c r="X30" s="106">
        <f t="shared" si="4"/>
        <v>0</v>
      </c>
      <c r="Y30" s="106">
        <f t="shared" si="4"/>
        <v>0</v>
      </c>
      <c r="Z30" s="106">
        <f t="shared" si="4"/>
        <v>0</v>
      </c>
      <c r="AA30" s="106">
        <f t="shared" si="4"/>
        <v>0</v>
      </c>
    </row>
    <row r="31" spans="1:27" x14ac:dyDescent="0.25">
      <c r="E31" s="106" t="str">
        <f t="shared" si="3"/>
        <v>Treatment</v>
      </c>
      <c r="F31" s="47" t="s">
        <v>639</v>
      </c>
      <c r="G31" s="106">
        <f t="shared" si="4"/>
        <v>0</v>
      </c>
      <c r="H31" s="106">
        <f t="shared" si="4"/>
        <v>332478.07453859295</v>
      </c>
      <c r="I31" s="106">
        <f t="shared" si="4"/>
        <v>312603.18972565955</v>
      </c>
      <c r="J31" s="106">
        <f t="shared" si="4"/>
        <v>294366.2331188955</v>
      </c>
      <c r="K31" s="106">
        <f t="shared" si="4"/>
        <v>227809.85844709119</v>
      </c>
      <c r="L31" s="106">
        <f t="shared" si="4"/>
        <v>166867.25369293548</v>
      </c>
      <c r="M31" s="106">
        <f t="shared" si="4"/>
        <v>233614.15517010968</v>
      </c>
      <c r="N31" s="106">
        <f t="shared" si="4"/>
        <v>200240.70443152255</v>
      </c>
      <c r="O31" s="106">
        <f t="shared" si="4"/>
        <v>200240.70443152255</v>
      </c>
      <c r="P31" s="106">
        <f t="shared" si="4"/>
        <v>200240.70443152255</v>
      </c>
      <c r="Q31" s="106">
        <f t="shared" si="4"/>
        <v>200240.70443152255</v>
      </c>
      <c r="R31" s="106">
        <f t="shared" si="4"/>
        <v>200240.70443152255</v>
      </c>
      <c r="S31" s="106">
        <f t="shared" si="4"/>
        <v>200240.70443152255</v>
      </c>
      <c r="T31" s="106">
        <f t="shared" si="4"/>
        <v>200240.70443152255</v>
      </c>
      <c r="U31" s="106">
        <f t="shared" si="4"/>
        <v>200240.70443152255</v>
      </c>
      <c r="V31" s="106">
        <f t="shared" si="4"/>
        <v>200240.70443152255</v>
      </c>
      <c r="W31" s="106">
        <f t="shared" si="4"/>
        <v>200240.70443152255</v>
      </c>
      <c r="X31" s="106">
        <f t="shared" si="4"/>
        <v>200240.70443152255</v>
      </c>
      <c r="Y31" s="106">
        <f t="shared" si="4"/>
        <v>200240.70443152255</v>
      </c>
      <c r="Z31" s="106">
        <f t="shared" si="4"/>
        <v>200240.70443152255</v>
      </c>
      <c r="AA31" s="106">
        <f t="shared" si="4"/>
        <v>200240.70443152255</v>
      </c>
    </row>
    <row r="32" spans="1:27" x14ac:dyDescent="0.25">
      <c r="E32" s="106" t="str">
        <f t="shared" si="3"/>
        <v>Temporary Assets</v>
      </c>
      <c r="F32" s="47" t="s">
        <v>639</v>
      </c>
      <c r="G32" s="106">
        <f t="shared" si="4"/>
        <v>0</v>
      </c>
      <c r="H32" s="106">
        <f t="shared" si="4"/>
        <v>0</v>
      </c>
      <c r="I32" s="106">
        <f t="shared" si="4"/>
        <v>0</v>
      </c>
      <c r="J32" s="106">
        <f t="shared" si="4"/>
        <v>0</v>
      </c>
      <c r="K32" s="106">
        <f t="shared" si="4"/>
        <v>0</v>
      </c>
      <c r="L32" s="106">
        <f t="shared" si="4"/>
        <v>0</v>
      </c>
      <c r="M32" s="106">
        <f t="shared" si="4"/>
        <v>0</v>
      </c>
      <c r="N32" s="106">
        <f t="shared" si="4"/>
        <v>0</v>
      </c>
      <c r="O32" s="106">
        <f t="shared" si="4"/>
        <v>0</v>
      </c>
      <c r="P32" s="106">
        <f t="shared" si="4"/>
        <v>0</v>
      </c>
      <c r="Q32" s="106">
        <f t="shared" si="4"/>
        <v>0</v>
      </c>
      <c r="R32" s="106">
        <f t="shared" si="4"/>
        <v>0</v>
      </c>
      <c r="S32" s="106">
        <f t="shared" si="4"/>
        <v>0</v>
      </c>
      <c r="T32" s="106">
        <f t="shared" si="4"/>
        <v>0</v>
      </c>
      <c r="U32" s="106">
        <f t="shared" si="4"/>
        <v>0</v>
      </c>
      <c r="V32" s="106">
        <f t="shared" si="4"/>
        <v>0</v>
      </c>
      <c r="W32" s="106">
        <f t="shared" si="4"/>
        <v>0</v>
      </c>
      <c r="X32" s="106">
        <f t="shared" si="4"/>
        <v>0</v>
      </c>
      <c r="Y32" s="106">
        <f t="shared" si="4"/>
        <v>0</v>
      </c>
      <c r="Z32" s="106">
        <f t="shared" si="4"/>
        <v>0</v>
      </c>
      <c r="AA32" s="106">
        <f t="shared" si="4"/>
        <v>0</v>
      </c>
    </row>
    <row r="33" spans="1:27" x14ac:dyDescent="0.25">
      <c r="G33" s="106"/>
      <c r="H33" s="106"/>
      <c r="I33" s="106"/>
      <c r="J33" s="106"/>
      <c r="K33" s="106"/>
      <c r="L33" s="106"/>
      <c r="M33" s="106"/>
      <c r="N33" s="106"/>
      <c r="O33" s="106"/>
      <c r="P33" s="106"/>
      <c r="Q33" s="106"/>
    </row>
    <row r="34" spans="1:27" x14ac:dyDescent="0.25">
      <c r="D34" s="47" t="s">
        <v>642</v>
      </c>
      <c r="F34" s="47" t="s">
        <v>639</v>
      </c>
      <c r="G34" s="106">
        <f>SUM($G$29:G32)</f>
        <v>0</v>
      </c>
      <c r="H34" s="106">
        <f>SUM($G$29:H32)</f>
        <v>714054.85064477217</v>
      </c>
      <c r="I34" s="106">
        <f>SUM($G$29:I32)</f>
        <v>1368902.7779576045</v>
      </c>
      <c r="J34" s="106">
        <f>SUM($G$29:J32)</f>
        <v>1994851.3578108344</v>
      </c>
      <c r="K34" s="106">
        <f>SUM($G$29:K32)</f>
        <v>2695901.1473486307</v>
      </c>
      <c r="L34" s="106">
        <f>SUM($G$29:L32)</f>
        <v>3271959.0870786915</v>
      </c>
      <c r="M34" s="106">
        <f>SUM($G$29:M32)</f>
        <v>3863299.5268869489</v>
      </c>
      <c r="N34" s="106">
        <f>SUM($G$29:N32)</f>
        <v>4205957.6970166145</v>
      </c>
      <c r="O34" s="106">
        <f>SUM($G$29:O32)</f>
        <v>4657307.198865409</v>
      </c>
      <c r="P34" s="106">
        <f>SUM($G$29:P32)</f>
        <v>4913944.1576016676</v>
      </c>
      <c r="Q34" s="106">
        <f>SUM($G$29:Q32)</f>
        <v>5357552.7596522747</v>
      </c>
      <c r="R34" s="106">
        <f>SUM($G$29:R32)</f>
        <v>5801161.3617028818</v>
      </c>
      <c r="S34" s="106">
        <f>SUM($G$29:S32)</f>
        <v>6244769.9637534879</v>
      </c>
      <c r="T34" s="106">
        <f>SUM($G$29:T32)</f>
        <v>6688378.5658040959</v>
      </c>
      <c r="U34" s="106">
        <f>SUM($G$29:U32)</f>
        <v>7131987.1678547021</v>
      </c>
      <c r="V34" s="106">
        <f>SUM($G$29:V32)</f>
        <v>7575595.7699053101</v>
      </c>
      <c r="W34" s="106">
        <f>SUM($G$29:W32)</f>
        <v>8019204.3719559163</v>
      </c>
      <c r="X34" s="106">
        <f>SUM($G$29:X32)</f>
        <v>8462812.9740065224</v>
      </c>
      <c r="Y34" s="106">
        <f>SUM($G$29:Y32)</f>
        <v>8906421.5760571286</v>
      </c>
      <c r="Z34" s="106">
        <f>SUM($G$29:Z32)</f>
        <v>9350030.1781077366</v>
      </c>
      <c r="AA34" s="106">
        <f>SUM($G$29:AA32)</f>
        <v>9793638.7801583428</v>
      </c>
    </row>
    <row r="35" spans="1:27" x14ac:dyDescent="0.25">
      <c r="G35" s="106"/>
      <c r="H35" s="106"/>
      <c r="I35" s="106"/>
      <c r="J35" s="106"/>
      <c r="K35" s="106"/>
      <c r="L35" s="106"/>
      <c r="M35" s="106"/>
      <c r="N35" s="106"/>
      <c r="O35" s="106"/>
      <c r="P35" s="106"/>
      <c r="Q35" s="106"/>
      <c r="R35" s="106"/>
      <c r="S35" s="106"/>
      <c r="T35" s="106"/>
      <c r="U35" s="106"/>
      <c r="V35" s="106"/>
      <c r="W35" s="106"/>
      <c r="X35" s="106"/>
      <c r="Y35" s="106"/>
      <c r="Z35" s="106"/>
      <c r="AA35" s="106"/>
    </row>
    <row r="36" spans="1:27" x14ac:dyDescent="0.25">
      <c r="A36" s="101">
        <v>11</v>
      </c>
      <c r="C36" s="100" t="s">
        <v>573</v>
      </c>
      <c r="D36" s="100"/>
    </row>
    <row r="37" spans="1:27" x14ac:dyDescent="0.25">
      <c r="E37" s="106" t="str">
        <f>E7</f>
        <v>Pipes / Storage</v>
      </c>
      <c r="F37" s="47" t="s">
        <v>639</v>
      </c>
      <c r="G37" s="102">
        <f>SUMIFS('INPUT Capex'!AC$48:AC$53,'INPUT Capex'!$A$48:$A$53,$A$1)*IF(G$2=0,DASH!$E$8,1)</f>
        <v>0</v>
      </c>
      <c r="H37" s="102">
        <f>SUMIFS('INPUT Capex'!AD$48:AD$53,'INPUT Capex'!$A$48:$A$53,$A$1)*IF(H$2=0,DASH!$E$8,1)</f>
        <v>38870166.630881675</v>
      </c>
      <c r="I37" s="102">
        <f>SUMIFS('INPUT Capex'!AE$48:AE$53,'INPUT Capex'!$A$48:$A$53,$A$1)*IF(I$2=0,DASH!$E$8,1)</f>
        <v>40141474.782168381</v>
      </c>
      <c r="J37" s="102">
        <f>SUMIFS('INPUT Capex'!AF$48:AF$53,'INPUT Capex'!$A$48:$A$53,$A$1)*IF(J$2=0,DASH!$E$8,1)</f>
        <v>39717987.338401109</v>
      </c>
      <c r="K37" s="102">
        <f>SUMIFS('INPUT Capex'!AG$48:AG$53,'INPUT Capex'!$A$48:$A$53,$A$1)*IF(K$2=0,DASH!$E$8,1)</f>
        <v>40938974.50146085</v>
      </c>
      <c r="L37" s="102">
        <f>SUMIFS('INPUT Capex'!AH$48:AH$53,'INPUT Capex'!$A$48:$A$53,$A$1)*IF(L$2=0,DASH!$E$8,1)</f>
        <v>39541908.886162557</v>
      </c>
      <c r="M37" s="102">
        <f>SUMIFS('INPUT Capex'!AI$48:AI$53,'INPUT Capex'!$A$48:$A$53,$A$1)*IF(M$2=0,DASH!$E$8,1)</f>
        <v>42087218.097714916</v>
      </c>
      <c r="N37" s="102">
        <f>SUMIFS('INPUT Capex'!AJ$48:AJ$53,'INPUT Capex'!$A$48:$A$53,$A$1)*IF(N$2=0,DASH!$E$8,1)</f>
        <v>41269013.60860689</v>
      </c>
      <c r="O37" s="102">
        <f>SUMIFS('INPUT Capex'!AK$48:AK$53,'INPUT Capex'!$A$48:$A$53,$A$1)*IF(O$2=0,DASH!$E$8,1)</f>
        <v>43772530.498473428</v>
      </c>
      <c r="P37" s="102">
        <f>SUMIFS('INPUT Capex'!AL$48:AL$53,'INPUT Capex'!$A$48:$A$53,$A$1)*IF(P$2=0,DASH!$E$8,1)</f>
        <v>44416241.299846351</v>
      </c>
      <c r="Q37" s="102">
        <f>SUMIFS('INPUT Capex'!AM$48:AM$53,'INPUT Capex'!$A$48:$A$53,$A$1)*IF(Q$2=0,DASH!$E$8,1)</f>
        <v>44588074.398570456</v>
      </c>
      <c r="R37" s="102">
        <f>SUMIFS('INPUT Capex'!AN$48:AN$53,'INPUT Capex'!$A$48:$A$53,$A$1)*IF(R$2=0,DASH!$E$8,1)</f>
        <v>44603980.540237896</v>
      </c>
      <c r="S37" s="102">
        <f>SUMIFS('INPUT Capex'!AO$48:AO$53,'INPUT Capex'!$A$48:$A$53,$A$1)*IF(S$2=0,DASH!$E$8,1)</f>
        <v>44365323.222940505</v>
      </c>
      <c r="T37" s="102">
        <f>SUMIFS('INPUT Capex'!AP$48:AP$53,'INPUT Capex'!$A$48:$A$53,$A$1)*IF(T$2=0,DASH!$E$8,1)</f>
        <v>43493229.294844456</v>
      </c>
      <c r="U37" s="102">
        <f>SUMIFS('INPUT Capex'!AQ$48:AQ$53,'INPUT Capex'!$A$48:$A$53,$A$1)*IF(U$2=0,DASH!$E$8,1)</f>
        <v>43396290.314801514</v>
      </c>
      <c r="V37" s="102">
        <f>SUMIFS('INPUT Capex'!AR$48:AR$53,'INPUT Capex'!$A$48:$A$53,$A$1)*IF(V$2=0,DASH!$E$8,1)</f>
        <v>43052761.857167616</v>
      </c>
      <c r="W37" s="102">
        <f>SUMIFS('INPUT Capex'!AS$48:AS$53,'INPUT Capex'!$A$48:$A$53,$A$1)*IF(W$2=0,DASH!$E$8,1)</f>
        <v>42936721.650992423</v>
      </c>
      <c r="X37" s="102">
        <f>SUMIFS('INPUT Capex'!AT$48:AT$53,'INPUT Capex'!$A$48:$A$53,$A$1)*IF(X$2=0,DASH!$E$8,1)</f>
        <v>42496323.626946062</v>
      </c>
      <c r="Y37" s="102">
        <f>SUMIFS('INPUT Capex'!AU$48:AU$53,'INPUT Capex'!$A$48:$A$53,$A$1)*IF(Y$2=0,DASH!$E$8,1)</f>
        <v>41035898.346282206</v>
      </c>
      <c r="Z37" s="102">
        <f>SUMIFS('INPUT Capex'!AV$48:AV$53,'INPUT Capex'!$A$48:$A$53,$A$1)*IF(Z$2=0,DASH!$E$8,1)</f>
        <v>39068567.330252215</v>
      </c>
      <c r="AA37" s="102">
        <f>SUMIFS('INPUT Capex'!AW$48:AW$53,'INPUT Capex'!$A$48:$A$53,$A$1)*IF(AA$2=0,DASH!$E$8,1)</f>
        <v>36858428.054161616</v>
      </c>
    </row>
    <row r="38" spans="1:27" x14ac:dyDescent="0.25">
      <c r="E38" s="106" t="str">
        <f>E8</f>
        <v>Pumps / Valves</v>
      </c>
      <c r="F38" s="47" t="s">
        <v>639</v>
      </c>
      <c r="G38" s="102"/>
      <c r="H38" s="102"/>
      <c r="I38" s="102"/>
      <c r="J38" s="102"/>
      <c r="K38" s="102"/>
      <c r="L38" s="102"/>
      <c r="M38" s="102"/>
      <c r="N38" s="102"/>
      <c r="O38" s="102"/>
      <c r="P38" s="102"/>
      <c r="Q38" s="102"/>
      <c r="R38" s="102"/>
      <c r="S38" s="102"/>
      <c r="T38" s="102"/>
      <c r="U38" s="102"/>
      <c r="V38" s="102"/>
      <c r="W38" s="102"/>
      <c r="X38" s="102"/>
      <c r="Y38" s="102"/>
      <c r="Z38" s="102"/>
      <c r="AA38" s="102"/>
    </row>
    <row r="39" spans="1:27" x14ac:dyDescent="0.25">
      <c r="E39" s="106" t="str">
        <f>E9</f>
        <v>Treatment</v>
      </c>
      <c r="F39" s="47" t="s">
        <v>639</v>
      </c>
      <c r="G39" s="102"/>
      <c r="H39" s="102"/>
      <c r="I39" s="102"/>
      <c r="J39" s="102"/>
      <c r="K39" s="102"/>
      <c r="L39" s="102"/>
      <c r="M39" s="102"/>
      <c r="N39" s="102"/>
      <c r="O39" s="102"/>
      <c r="P39" s="102"/>
      <c r="Q39" s="102"/>
      <c r="R39" s="102"/>
      <c r="S39" s="102"/>
      <c r="T39" s="102"/>
      <c r="U39" s="102"/>
      <c r="V39" s="102"/>
      <c r="W39" s="102"/>
      <c r="X39" s="102"/>
      <c r="Y39" s="102"/>
      <c r="Z39" s="102"/>
      <c r="AA39" s="102"/>
    </row>
    <row r="40" spans="1:27" x14ac:dyDescent="0.25">
      <c r="E40" s="106" t="str">
        <f>E10</f>
        <v>Temporary Assets</v>
      </c>
      <c r="F40" s="47" t="s">
        <v>639</v>
      </c>
      <c r="G40" s="102"/>
      <c r="H40" s="102"/>
      <c r="I40" s="102"/>
      <c r="J40" s="102"/>
      <c r="K40" s="102"/>
      <c r="L40" s="102"/>
      <c r="M40" s="102"/>
      <c r="N40" s="102"/>
      <c r="O40" s="102"/>
      <c r="P40" s="102"/>
      <c r="Q40" s="102"/>
      <c r="R40" s="102"/>
      <c r="S40" s="102"/>
      <c r="T40" s="102"/>
      <c r="U40" s="102"/>
      <c r="V40" s="102"/>
      <c r="W40" s="102"/>
      <c r="X40" s="102"/>
      <c r="Y40" s="102"/>
      <c r="Z40" s="102"/>
      <c r="AA40" s="102"/>
    </row>
    <row r="41" spans="1:27" x14ac:dyDescent="0.25">
      <c r="E41" s="47" t="s">
        <v>640</v>
      </c>
      <c r="F41" s="47" t="s">
        <v>639</v>
      </c>
      <c r="G41" s="102"/>
      <c r="H41" s="102"/>
      <c r="I41" s="102"/>
      <c r="J41" s="102"/>
      <c r="K41" s="102"/>
      <c r="L41" s="102"/>
      <c r="M41" s="102"/>
      <c r="N41" s="102"/>
      <c r="O41" s="102"/>
      <c r="P41" s="102"/>
      <c r="Q41" s="102"/>
      <c r="R41" s="102"/>
      <c r="S41" s="102"/>
      <c r="T41" s="102"/>
      <c r="U41" s="102"/>
      <c r="V41" s="102"/>
      <c r="W41" s="102"/>
      <c r="X41" s="102"/>
      <c r="Y41" s="102"/>
      <c r="Z41" s="102"/>
      <c r="AA41" s="102"/>
    </row>
    <row r="42" spans="1:27" x14ac:dyDescent="0.25">
      <c r="G42" s="106">
        <f>SUM(G37:G41)</f>
        <v>0</v>
      </c>
      <c r="H42" s="106">
        <f t="shared" ref="H42:AA42" si="5">SUM(H37:H41)</f>
        <v>38870166.630881675</v>
      </c>
      <c r="I42" s="106">
        <f t="shared" si="5"/>
        <v>40141474.782168381</v>
      </c>
      <c r="J42" s="106">
        <f t="shared" si="5"/>
        <v>39717987.338401109</v>
      </c>
      <c r="K42" s="106">
        <f t="shared" si="5"/>
        <v>40938974.50146085</v>
      </c>
      <c r="L42" s="106">
        <f t="shared" si="5"/>
        <v>39541908.886162557</v>
      </c>
      <c r="M42" s="106">
        <f t="shared" si="5"/>
        <v>42087218.097714916</v>
      </c>
      <c r="N42" s="106">
        <f t="shared" si="5"/>
        <v>41269013.60860689</v>
      </c>
      <c r="O42" s="106">
        <f t="shared" si="5"/>
        <v>43772530.498473428</v>
      </c>
      <c r="P42" s="106">
        <f t="shared" si="5"/>
        <v>44416241.299846351</v>
      </c>
      <c r="Q42" s="106">
        <f t="shared" si="5"/>
        <v>44588074.398570456</v>
      </c>
      <c r="R42" s="106">
        <f t="shared" si="5"/>
        <v>44603980.540237896</v>
      </c>
      <c r="S42" s="106">
        <f t="shared" si="5"/>
        <v>44365323.222940505</v>
      </c>
      <c r="T42" s="106">
        <f t="shared" si="5"/>
        <v>43493229.294844456</v>
      </c>
      <c r="U42" s="106">
        <f t="shared" si="5"/>
        <v>43396290.314801514</v>
      </c>
      <c r="V42" s="106">
        <f t="shared" si="5"/>
        <v>43052761.857167616</v>
      </c>
      <c r="W42" s="106">
        <f t="shared" si="5"/>
        <v>42936721.650992423</v>
      </c>
      <c r="X42" s="106">
        <f t="shared" si="5"/>
        <v>42496323.626946062</v>
      </c>
      <c r="Y42" s="106">
        <f t="shared" si="5"/>
        <v>41035898.346282206</v>
      </c>
      <c r="Z42" s="106">
        <f t="shared" si="5"/>
        <v>39068567.330252215</v>
      </c>
      <c r="AA42" s="106">
        <f t="shared" si="5"/>
        <v>36858428.054161616</v>
      </c>
    </row>
    <row r="43" spans="1:27" x14ac:dyDescent="0.25">
      <c r="G43" s="106"/>
      <c r="H43" s="106"/>
      <c r="I43" s="106"/>
      <c r="J43" s="106"/>
      <c r="K43" s="106"/>
      <c r="L43" s="106"/>
      <c r="M43" s="106"/>
      <c r="N43" s="106"/>
      <c r="O43" s="106"/>
      <c r="P43" s="106"/>
      <c r="Q43" s="106"/>
    </row>
    <row r="44" spans="1:27" x14ac:dyDescent="0.25">
      <c r="D44" s="47" t="s">
        <v>643</v>
      </c>
      <c r="G44" s="106"/>
      <c r="H44" s="106"/>
      <c r="I44" s="106"/>
      <c r="J44" s="106"/>
      <c r="K44" s="106"/>
      <c r="L44" s="106"/>
      <c r="M44" s="106"/>
      <c r="N44" s="106"/>
      <c r="O44" s="106"/>
      <c r="P44" s="106"/>
      <c r="Q44" s="106"/>
    </row>
    <row r="45" spans="1:27" x14ac:dyDescent="0.25">
      <c r="E45" s="106" t="str">
        <f>E37</f>
        <v>Pipes / Storage</v>
      </c>
      <c r="F45" s="47" t="s">
        <v>639</v>
      </c>
      <c r="G45" s="106">
        <f>G37/$G7+IF((G$2-$G7+1)&gt;0,-INDEX($G37:$AP37,1,(G$2-$G7+1))/$G7,0)</f>
        <v>0</v>
      </c>
      <c r="H45" s="106">
        <f t="shared" ref="H45:AA45" si="6">H37/$G7+IF((H$2-$G7+1)&gt;0,-INDEX($G37:$AP37,1,(H$2-$G7+1))/$G7,0)</f>
        <v>431890.74034312973</v>
      </c>
      <c r="I45" s="106">
        <f t="shared" si="6"/>
        <v>446016.38646853756</v>
      </c>
      <c r="J45" s="106">
        <f t="shared" si="6"/>
        <v>441310.97042667901</v>
      </c>
      <c r="K45" s="106">
        <f t="shared" si="6"/>
        <v>454877.4944606761</v>
      </c>
      <c r="L45" s="106">
        <f t="shared" si="6"/>
        <v>439354.54317958397</v>
      </c>
      <c r="M45" s="106">
        <f t="shared" si="6"/>
        <v>467635.75664127682</v>
      </c>
      <c r="N45" s="106">
        <f t="shared" si="6"/>
        <v>458544.59565118764</v>
      </c>
      <c r="O45" s="106">
        <f t="shared" si="6"/>
        <v>486361.44998303807</v>
      </c>
      <c r="P45" s="106">
        <f t="shared" si="6"/>
        <v>493513.79222051502</v>
      </c>
      <c r="Q45" s="106">
        <f t="shared" si="6"/>
        <v>495423.04887300509</v>
      </c>
      <c r="R45" s="106">
        <f t="shared" si="6"/>
        <v>495599.78378042107</v>
      </c>
      <c r="S45" s="106">
        <f t="shared" si="6"/>
        <v>492948.03581045003</v>
      </c>
      <c r="T45" s="106">
        <f t="shared" si="6"/>
        <v>483258.10327604949</v>
      </c>
      <c r="U45" s="106">
        <f t="shared" si="6"/>
        <v>482181.00349779462</v>
      </c>
      <c r="V45" s="106">
        <f t="shared" si="6"/>
        <v>478364.02063519572</v>
      </c>
      <c r="W45" s="106">
        <f t="shared" si="6"/>
        <v>477074.68501102692</v>
      </c>
      <c r="X45" s="106">
        <f t="shared" si="6"/>
        <v>472181.373632734</v>
      </c>
      <c r="Y45" s="106">
        <f t="shared" si="6"/>
        <v>455954.42606980231</v>
      </c>
      <c r="Z45" s="106">
        <f t="shared" si="6"/>
        <v>434095.19255835796</v>
      </c>
      <c r="AA45" s="106">
        <f t="shared" si="6"/>
        <v>409538.08949068462</v>
      </c>
    </row>
    <row r="46" spans="1:27" x14ac:dyDescent="0.25">
      <c r="E46" s="106" t="str">
        <f t="shared" ref="E46:E48" si="7">E38</f>
        <v>Pumps / Valves</v>
      </c>
      <c r="F46" s="47" t="s">
        <v>639</v>
      </c>
      <c r="G46" s="106">
        <f t="shared" ref="G46:AA48" si="8">G38/$G8+IF((G$2-$G8+1)&gt;0,-INDEX($G38:$AP38,1,(G$2-$G8+1))/$G8,0)</f>
        <v>0</v>
      </c>
      <c r="H46" s="106">
        <f t="shared" si="8"/>
        <v>0</v>
      </c>
      <c r="I46" s="106">
        <f t="shared" si="8"/>
        <v>0</v>
      </c>
      <c r="J46" s="106">
        <f t="shared" si="8"/>
        <v>0</v>
      </c>
      <c r="K46" s="106">
        <f t="shared" si="8"/>
        <v>0</v>
      </c>
      <c r="L46" s="106">
        <f t="shared" si="8"/>
        <v>0</v>
      </c>
      <c r="M46" s="106">
        <f t="shared" si="8"/>
        <v>0</v>
      </c>
      <c r="N46" s="106">
        <f t="shared" si="8"/>
        <v>0</v>
      </c>
      <c r="O46" s="106">
        <f t="shared" si="8"/>
        <v>0</v>
      </c>
      <c r="P46" s="106">
        <f t="shared" si="8"/>
        <v>0</v>
      </c>
      <c r="Q46" s="106">
        <f t="shared" si="8"/>
        <v>0</v>
      </c>
      <c r="R46" s="106">
        <f t="shared" si="8"/>
        <v>0</v>
      </c>
      <c r="S46" s="106">
        <f t="shared" si="8"/>
        <v>0</v>
      </c>
      <c r="T46" s="106">
        <f t="shared" si="8"/>
        <v>0</v>
      </c>
      <c r="U46" s="106">
        <f t="shared" si="8"/>
        <v>0</v>
      </c>
      <c r="V46" s="106">
        <f t="shared" si="8"/>
        <v>0</v>
      </c>
      <c r="W46" s="106">
        <f t="shared" si="8"/>
        <v>0</v>
      </c>
      <c r="X46" s="106">
        <f t="shared" si="8"/>
        <v>0</v>
      </c>
      <c r="Y46" s="106">
        <f t="shared" si="8"/>
        <v>0</v>
      </c>
      <c r="Z46" s="106">
        <f t="shared" si="8"/>
        <v>0</v>
      </c>
      <c r="AA46" s="106">
        <f t="shared" si="8"/>
        <v>0</v>
      </c>
    </row>
    <row r="47" spans="1:27" x14ac:dyDescent="0.25">
      <c r="E47" s="106" t="str">
        <f t="shared" si="7"/>
        <v>Treatment</v>
      </c>
      <c r="F47" s="47" t="s">
        <v>639</v>
      </c>
      <c r="G47" s="106">
        <f t="shared" si="8"/>
        <v>0</v>
      </c>
      <c r="H47" s="106">
        <f t="shared" si="8"/>
        <v>0</v>
      </c>
      <c r="I47" s="106">
        <f t="shared" si="8"/>
        <v>0</v>
      </c>
      <c r="J47" s="106">
        <f t="shared" si="8"/>
        <v>0</v>
      </c>
      <c r="K47" s="106">
        <f t="shared" si="8"/>
        <v>0</v>
      </c>
      <c r="L47" s="106">
        <f t="shared" si="8"/>
        <v>0</v>
      </c>
      <c r="M47" s="106">
        <f t="shared" si="8"/>
        <v>0</v>
      </c>
      <c r="N47" s="106">
        <f t="shared" si="8"/>
        <v>0</v>
      </c>
      <c r="O47" s="106">
        <f t="shared" si="8"/>
        <v>0</v>
      </c>
      <c r="P47" s="106">
        <f t="shared" si="8"/>
        <v>0</v>
      </c>
      <c r="Q47" s="106">
        <f t="shared" si="8"/>
        <v>0</v>
      </c>
      <c r="R47" s="106">
        <f t="shared" si="8"/>
        <v>0</v>
      </c>
      <c r="S47" s="106">
        <f t="shared" si="8"/>
        <v>0</v>
      </c>
      <c r="T47" s="106">
        <f t="shared" si="8"/>
        <v>0</v>
      </c>
      <c r="U47" s="106">
        <f t="shared" si="8"/>
        <v>0</v>
      </c>
      <c r="V47" s="106">
        <f t="shared" si="8"/>
        <v>0</v>
      </c>
      <c r="W47" s="106">
        <f t="shared" si="8"/>
        <v>0</v>
      </c>
      <c r="X47" s="106">
        <f t="shared" si="8"/>
        <v>0</v>
      </c>
      <c r="Y47" s="106">
        <f t="shared" si="8"/>
        <v>0</v>
      </c>
      <c r="Z47" s="106">
        <f t="shared" si="8"/>
        <v>0</v>
      </c>
      <c r="AA47" s="106">
        <f t="shared" si="8"/>
        <v>0</v>
      </c>
    </row>
    <row r="48" spans="1:27" x14ac:dyDescent="0.25">
      <c r="E48" s="106" t="str">
        <f t="shared" si="7"/>
        <v>Temporary Assets</v>
      </c>
      <c r="F48" s="47" t="s">
        <v>639</v>
      </c>
      <c r="G48" s="106">
        <f t="shared" si="8"/>
        <v>0</v>
      </c>
      <c r="H48" s="106">
        <f t="shared" si="8"/>
        <v>0</v>
      </c>
      <c r="I48" s="106">
        <f t="shared" si="8"/>
        <v>0</v>
      </c>
      <c r="J48" s="106">
        <f t="shared" si="8"/>
        <v>0</v>
      </c>
      <c r="K48" s="106">
        <f t="shared" si="8"/>
        <v>0</v>
      </c>
      <c r="L48" s="106">
        <f t="shared" si="8"/>
        <v>0</v>
      </c>
      <c r="M48" s="106">
        <f t="shared" si="8"/>
        <v>0</v>
      </c>
      <c r="N48" s="106">
        <f t="shared" si="8"/>
        <v>0</v>
      </c>
      <c r="O48" s="106">
        <f t="shared" si="8"/>
        <v>0</v>
      </c>
      <c r="P48" s="106">
        <f t="shared" si="8"/>
        <v>0</v>
      </c>
      <c r="Q48" s="106">
        <f t="shared" si="8"/>
        <v>0</v>
      </c>
      <c r="R48" s="106">
        <f t="shared" si="8"/>
        <v>0</v>
      </c>
      <c r="S48" s="106">
        <f t="shared" si="8"/>
        <v>0</v>
      </c>
      <c r="T48" s="106">
        <f t="shared" si="8"/>
        <v>0</v>
      </c>
      <c r="U48" s="106">
        <f t="shared" si="8"/>
        <v>0</v>
      </c>
      <c r="V48" s="106">
        <f t="shared" si="8"/>
        <v>0</v>
      </c>
      <c r="W48" s="106">
        <f t="shared" si="8"/>
        <v>0</v>
      </c>
      <c r="X48" s="106">
        <f t="shared" si="8"/>
        <v>0</v>
      </c>
      <c r="Y48" s="106">
        <f t="shared" si="8"/>
        <v>0</v>
      </c>
      <c r="Z48" s="106">
        <f t="shared" si="8"/>
        <v>0</v>
      </c>
      <c r="AA48" s="106">
        <f t="shared" si="8"/>
        <v>0</v>
      </c>
    </row>
    <row r="49" spans="1:27" x14ac:dyDescent="0.25">
      <c r="G49" s="106"/>
      <c r="H49" s="106"/>
      <c r="I49" s="106"/>
      <c r="J49" s="106"/>
      <c r="K49" s="106"/>
      <c r="L49" s="106"/>
      <c r="M49" s="106"/>
      <c r="N49" s="106"/>
      <c r="O49" s="106"/>
      <c r="P49" s="106"/>
      <c r="Q49" s="106"/>
    </row>
    <row r="50" spans="1:27" x14ac:dyDescent="0.25">
      <c r="D50" s="47" t="s">
        <v>644</v>
      </c>
      <c r="F50" s="47" t="s">
        <v>639</v>
      </c>
      <c r="G50" s="106">
        <f>SUM($G$45:G48)</f>
        <v>0</v>
      </c>
      <c r="H50" s="106">
        <f>SUM($G$45:H48)</f>
        <v>431890.74034312973</v>
      </c>
      <c r="I50" s="106">
        <f>SUM($G$45:I48)</f>
        <v>877907.12681166735</v>
      </c>
      <c r="J50" s="106">
        <f>SUM($G$45:J48)</f>
        <v>1319218.0972383465</v>
      </c>
      <c r="K50" s="106">
        <f>SUM($G$45:K48)</f>
        <v>1774095.5916990226</v>
      </c>
      <c r="L50" s="106">
        <f>SUM($G$45:L48)</f>
        <v>2213450.1348786065</v>
      </c>
      <c r="M50" s="106">
        <f>SUM($G$45:M48)</f>
        <v>2681085.8915198832</v>
      </c>
      <c r="N50" s="106">
        <f>SUM($G$45:N48)</f>
        <v>3139630.4871710707</v>
      </c>
      <c r="O50" s="106">
        <f>SUM($G$45:O48)</f>
        <v>3625991.9371541087</v>
      </c>
      <c r="P50" s="106">
        <f>SUM($G$45:P48)</f>
        <v>4119505.7293746239</v>
      </c>
      <c r="Q50" s="106">
        <f>SUM($G$45:Q48)</f>
        <v>4614928.7782476293</v>
      </c>
      <c r="R50" s="106">
        <f>SUM($G$45:R48)</f>
        <v>5110528.5620280504</v>
      </c>
      <c r="S50" s="106">
        <f>SUM($G$45:S48)</f>
        <v>5603476.5978385005</v>
      </c>
      <c r="T50" s="106">
        <f>SUM($G$45:T48)</f>
        <v>6086734.7011145502</v>
      </c>
      <c r="U50" s="106">
        <f>SUM($G$45:U48)</f>
        <v>6568915.7046123445</v>
      </c>
      <c r="V50" s="106">
        <f>SUM($G$45:V48)</f>
        <v>7047279.7252475405</v>
      </c>
      <c r="W50" s="106">
        <f>SUM($G$45:W48)</f>
        <v>7524354.410258567</v>
      </c>
      <c r="X50" s="106">
        <f>SUM($G$45:X48)</f>
        <v>7996535.7838913007</v>
      </c>
      <c r="Y50" s="106">
        <f>SUM($G$45:Y48)</f>
        <v>8452490.2099611033</v>
      </c>
      <c r="Z50" s="106">
        <f>SUM($G$45:Z48)</f>
        <v>8886585.4025194608</v>
      </c>
      <c r="AA50" s="106">
        <f>SUM($G$45:AA48)</f>
        <v>9296123.4920101445</v>
      </c>
    </row>
    <row r="51" spans="1:27" x14ac:dyDescent="0.25">
      <c r="G51" s="106"/>
      <c r="H51" s="106"/>
      <c r="I51" s="106"/>
      <c r="J51" s="106"/>
      <c r="K51" s="106"/>
      <c r="L51" s="106"/>
      <c r="M51" s="106"/>
      <c r="N51" s="106"/>
      <c r="O51" s="106"/>
      <c r="P51" s="106"/>
      <c r="Q51" s="106"/>
      <c r="R51" s="106"/>
      <c r="S51" s="106"/>
      <c r="T51" s="106"/>
      <c r="U51" s="106"/>
      <c r="V51" s="106"/>
      <c r="W51" s="106"/>
      <c r="X51" s="106"/>
      <c r="Y51" s="106"/>
      <c r="Z51" s="106"/>
      <c r="AA51" s="106"/>
    </row>
    <row r="52" spans="1:27" x14ac:dyDescent="0.25">
      <c r="A52" s="101">
        <v>12</v>
      </c>
      <c r="C52" s="100" t="s">
        <v>645</v>
      </c>
      <c r="G52" s="106"/>
      <c r="H52" s="106"/>
      <c r="I52" s="106"/>
      <c r="J52" s="106"/>
      <c r="K52" s="106"/>
      <c r="L52" s="106"/>
      <c r="M52" s="106"/>
      <c r="N52" s="106"/>
      <c r="O52" s="106"/>
      <c r="P52" s="106"/>
      <c r="Q52" s="106"/>
      <c r="R52" s="106"/>
      <c r="S52" s="106"/>
      <c r="T52" s="106"/>
      <c r="U52" s="106"/>
      <c r="V52" s="106"/>
      <c r="W52" s="106"/>
      <c r="X52" s="106"/>
      <c r="Y52" s="106"/>
      <c r="Z52" s="106"/>
      <c r="AA52" s="106"/>
    </row>
    <row r="53" spans="1:27" x14ac:dyDescent="0.25">
      <c r="E53" s="47" t="s">
        <v>645</v>
      </c>
      <c r="F53" s="47" t="s">
        <v>639</v>
      </c>
      <c r="G53" s="102"/>
      <c r="H53" s="102"/>
      <c r="I53" s="102"/>
      <c r="J53" s="102"/>
      <c r="K53" s="102"/>
      <c r="L53" s="102"/>
      <c r="M53" s="102"/>
      <c r="N53" s="102"/>
      <c r="O53" s="102"/>
      <c r="P53" s="102"/>
      <c r="Q53" s="102"/>
      <c r="R53" s="102"/>
      <c r="S53" s="102"/>
      <c r="T53" s="102"/>
      <c r="U53" s="102"/>
      <c r="V53" s="102"/>
      <c r="W53" s="102"/>
      <c r="X53" s="102"/>
      <c r="Y53" s="102"/>
      <c r="Z53" s="102"/>
      <c r="AA53" s="102"/>
    </row>
    <row r="55" spans="1:27" x14ac:dyDescent="0.25">
      <c r="C55" s="100" t="s">
        <v>646</v>
      </c>
      <c r="D55" s="100"/>
    </row>
    <row r="56" spans="1:27" x14ac:dyDescent="0.25">
      <c r="A56" s="101">
        <v>13</v>
      </c>
      <c r="D56" s="47" t="s">
        <v>647</v>
      </c>
    </row>
    <row r="57" spans="1:27" x14ac:dyDescent="0.25">
      <c r="E57" s="106" t="str">
        <f>E7</f>
        <v>Pipes / Storage</v>
      </c>
      <c r="F57" s="47" t="s">
        <v>639</v>
      </c>
      <c r="G57" s="102"/>
      <c r="H57" s="102"/>
      <c r="I57" s="102"/>
      <c r="J57" s="102"/>
      <c r="K57" s="102"/>
      <c r="L57" s="102"/>
      <c r="M57" s="102"/>
      <c r="N57" s="102"/>
      <c r="O57" s="102"/>
      <c r="P57" s="102"/>
      <c r="Q57" s="102"/>
      <c r="R57" s="102"/>
      <c r="S57" s="102"/>
      <c r="T57" s="102"/>
      <c r="U57" s="102"/>
      <c r="V57" s="102"/>
      <c r="W57" s="102"/>
      <c r="X57" s="102"/>
      <c r="Y57" s="102"/>
      <c r="Z57" s="102"/>
      <c r="AA57" s="102"/>
    </row>
    <row r="58" spans="1:27" x14ac:dyDescent="0.25">
      <c r="E58" s="106" t="str">
        <f>E8</f>
        <v>Pumps / Valves</v>
      </c>
      <c r="F58" s="47" t="s">
        <v>639</v>
      </c>
      <c r="G58" s="102"/>
      <c r="H58" s="102"/>
      <c r="I58" s="102"/>
      <c r="J58" s="102"/>
      <c r="K58" s="102"/>
      <c r="L58" s="102"/>
      <c r="M58" s="102"/>
      <c r="N58" s="102"/>
      <c r="O58" s="102"/>
      <c r="P58" s="102"/>
      <c r="Q58" s="102"/>
      <c r="R58" s="102"/>
      <c r="S58" s="102"/>
      <c r="T58" s="102"/>
      <c r="U58" s="102"/>
      <c r="V58" s="102"/>
      <c r="W58" s="102"/>
      <c r="X58" s="102"/>
      <c r="Y58" s="102"/>
      <c r="Z58" s="102"/>
      <c r="AA58" s="102"/>
    </row>
    <row r="59" spans="1:27" x14ac:dyDescent="0.25">
      <c r="E59" s="106" t="str">
        <f>E9</f>
        <v>Treatment</v>
      </c>
      <c r="F59" s="47" t="s">
        <v>639</v>
      </c>
      <c r="G59" s="102"/>
      <c r="H59" s="102"/>
      <c r="I59" s="102"/>
      <c r="J59" s="102"/>
      <c r="K59" s="102"/>
      <c r="L59" s="102"/>
      <c r="M59" s="102"/>
      <c r="N59" s="102"/>
      <c r="O59" s="102"/>
      <c r="P59" s="102"/>
      <c r="Q59" s="102"/>
      <c r="R59" s="102"/>
      <c r="S59" s="102"/>
      <c r="T59" s="102"/>
      <c r="U59" s="102"/>
      <c r="V59" s="102"/>
      <c r="W59" s="102"/>
      <c r="X59" s="102"/>
      <c r="Y59" s="102"/>
      <c r="Z59" s="102"/>
      <c r="AA59" s="102"/>
    </row>
    <row r="60" spans="1:27" x14ac:dyDescent="0.25">
      <c r="E60" s="47" t="s">
        <v>640</v>
      </c>
      <c r="F60" s="47" t="s">
        <v>639</v>
      </c>
      <c r="G60" s="102"/>
      <c r="H60" s="102"/>
      <c r="I60" s="102"/>
      <c r="J60" s="102"/>
      <c r="K60" s="102"/>
      <c r="L60" s="102"/>
      <c r="M60" s="102"/>
      <c r="N60" s="102"/>
      <c r="O60" s="102"/>
      <c r="P60" s="102"/>
      <c r="Q60" s="102"/>
      <c r="R60" s="102"/>
      <c r="S60" s="102"/>
      <c r="T60" s="102"/>
      <c r="U60" s="102"/>
      <c r="V60" s="102"/>
      <c r="W60" s="102"/>
      <c r="X60" s="102"/>
      <c r="Y60" s="102"/>
      <c r="Z60" s="102"/>
      <c r="AA60" s="102"/>
    </row>
    <row r="61" spans="1:27" x14ac:dyDescent="0.25">
      <c r="G61" s="106">
        <f>SUM(G57:G60)</f>
        <v>0</v>
      </c>
      <c r="H61" s="106">
        <f t="shared" ref="H61:AA61" si="9">SUM(H57:H60)</f>
        <v>0</v>
      </c>
      <c r="I61" s="106">
        <f t="shared" si="9"/>
        <v>0</v>
      </c>
      <c r="J61" s="106">
        <f t="shared" si="9"/>
        <v>0</v>
      </c>
      <c r="K61" s="106">
        <f t="shared" si="9"/>
        <v>0</v>
      </c>
      <c r="L61" s="106">
        <f t="shared" si="9"/>
        <v>0</v>
      </c>
      <c r="M61" s="106">
        <f t="shared" si="9"/>
        <v>0</v>
      </c>
      <c r="N61" s="106">
        <f t="shared" si="9"/>
        <v>0</v>
      </c>
      <c r="O61" s="106">
        <f t="shared" si="9"/>
        <v>0</v>
      </c>
      <c r="P61" s="106">
        <f t="shared" si="9"/>
        <v>0</v>
      </c>
      <c r="Q61" s="106">
        <f t="shared" si="9"/>
        <v>0</v>
      </c>
      <c r="R61" s="106">
        <f t="shared" si="9"/>
        <v>0</v>
      </c>
      <c r="S61" s="106">
        <f t="shared" si="9"/>
        <v>0</v>
      </c>
      <c r="T61" s="106">
        <f t="shared" si="9"/>
        <v>0</v>
      </c>
      <c r="U61" s="106">
        <f t="shared" si="9"/>
        <v>0</v>
      </c>
      <c r="V61" s="106">
        <f t="shared" si="9"/>
        <v>0</v>
      </c>
      <c r="W61" s="106">
        <f t="shared" si="9"/>
        <v>0</v>
      </c>
      <c r="X61" s="106">
        <f t="shared" si="9"/>
        <v>0</v>
      </c>
      <c r="Y61" s="106">
        <f t="shared" si="9"/>
        <v>0</v>
      </c>
      <c r="Z61" s="106">
        <f t="shared" si="9"/>
        <v>0</v>
      </c>
      <c r="AA61" s="106">
        <f t="shared" si="9"/>
        <v>0</v>
      </c>
    </row>
    <row r="63" spans="1:27" x14ac:dyDescent="0.25">
      <c r="D63" s="47" t="s">
        <v>648</v>
      </c>
      <c r="G63" s="106"/>
      <c r="H63" s="106"/>
      <c r="I63" s="106"/>
      <c r="J63" s="106"/>
      <c r="K63" s="106"/>
      <c r="L63" s="106"/>
      <c r="M63" s="106"/>
      <c r="N63" s="106"/>
      <c r="O63" s="106"/>
      <c r="P63" s="106"/>
      <c r="Q63" s="106"/>
    </row>
    <row r="64" spans="1:27" x14ac:dyDescent="0.25">
      <c r="E64" s="106" t="str">
        <f>E57</f>
        <v>Pipes / Storage</v>
      </c>
      <c r="F64" s="47" t="s">
        <v>639</v>
      </c>
      <c r="G64" s="106">
        <f>G57/$G7+IF((G$2-$G7+1)&gt;0,-INDEX($G57:$AP57,1,(G$2-$G7+1))/$G7,0)</f>
        <v>0</v>
      </c>
      <c r="H64" s="106">
        <f t="shared" ref="H64:AA64" si="10">H57/$G7+IF((H$2-$G7+1)&gt;0,-INDEX($G57:$AP57,1,(H$2-$G7+1))/$G7,0)</f>
        <v>0</v>
      </c>
      <c r="I64" s="106">
        <f t="shared" si="10"/>
        <v>0</v>
      </c>
      <c r="J64" s="106">
        <f t="shared" si="10"/>
        <v>0</v>
      </c>
      <c r="K64" s="106">
        <f t="shared" si="10"/>
        <v>0</v>
      </c>
      <c r="L64" s="106">
        <f t="shared" si="10"/>
        <v>0</v>
      </c>
      <c r="M64" s="106">
        <f t="shared" si="10"/>
        <v>0</v>
      </c>
      <c r="N64" s="106">
        <f t="shared" si="10"/>
        <v>0</v>
      </c>
      <c r="O64" s="106">
        <f t="shared" si="10"/>
        <v>0</v>
      </c>
      <c r="P64" s="106">
        <f t="shared" si="10"/>
        <v>0</v>
      </c>
      <c r="Q64" s="106">
        <f t="shared" si="10"/>
        <v>0</v>
      </c>
      <c r="R64" s="106">
        <f t="shared" si="10"/>
        <v>0</v>
      </c>
      <c r="S64" s="106">
        <f t="shared" si="10"/>
        <v>0</v>
      </c>
      <c r="T64" s="106">
        <f t="shared" si="10"/>
        <v>0</v>
      </c>
      <c r="U64" s="106">
        <f t="shared" si="10"/>
        <v>0</v>
      </c>
      <c r="V64" s="106">
        <f t="shared" si="10"/>
        <v>0</v>
      </c>
      <c r="W64" s="106">
        <f t="shared" si="10"/>
        <v>0</v>
      </c>
      <c r="X64" s="106">
        <f t="shared" si="10"/>
        <v>0</v>
      </c>
      <c r="Y64" s="106">
        <f t="shared" si="10"/>
        <v>0</v>
      </c>
      <c r="Z64" s="106">
        <f t="shared" si="10"/>
        <v>0</v>
      </c>
      <c r="AA64" s="106">
        <f t="shared" si="10"/>
        <v>0</v>
      </c>
    </row>
    <row r="65" spans="1:27" x14ac:dyDescent="0.25">
      <c r="E65" s="106" t="str">
        <f t="shared" ref="E65:E66" si="11">E58</f>
        <v>Pumps / Valves</v>
      </c>
      <c r="F65" s="47" t="s">
        <v>639</v>
      </c>
      <c r="G65" s="106">
        <f t="shared" ref="G65:AA66" si="12">G58/$G8+IF((G$2-$G8+1)&gt;0,-INDEX($G58:$AP58,1,(G$2-$G8+1))/$G8,0)</f>
        <v>0</v>
      </c>
      <c r="H65" s="106">
        <f t="shared" si="12"/>
        <v>0</v>
      </c>
      <c r="I65" s="106">
        <f t="shared" si="12"/>
        <v>0</v>
      </c>
      <c r="J65" s="106">
        <f t="shared" si="12"/>
        <v>0</v>
      </c>
      <c r="K65" s="106">
        <f t="shared" si="12"/>
        <v>0</v>
      </c>
      <c r="L65" s="106">
        <f t="shared" si="12"/>
        <v>0</v>
      </c>
      <c r="M65" s="106">
        <f t="shared" si="12"/>
        <v>0</v>
      </c>
      <c r="N65" s="106">
        <f t="shared" si="12"/>
        <v>0</v>
      </c>
      <c r="O65" s="106">
        <f t="shared" si="12"/>
        <v>0</v>
      </c>
      <c r="P65" s="106">
        <f t="shared" si="12"/>
        <v>0</v>
      </c>
      <c r="Q65" s="106">
        <f t="shared" si="12"/>
        <v>0</v>
      </c>
      <c r="R65" s="106">
        <f t="shared" si="12"/>
        <v>0</v>
      </c>
      <c r="S65" s="106">
        <f t="shared" si="12"/>
        <v>0</v>
      </c>
      <c r="T65" s="106">
        <f t="shared" si="12"/>
        <v>0</v>
      </c>
      <c r="U65" s="106">
        <f t="shared" si="12"/>
        <v>0</v>
      </c>
      <c r="V65" s="106">
        <f t="shared" si="12"/>
        <v>0</v>
      </c>
      <c r="W65" s="106">
        <f t="shared" si="12"/>
        <v>0</v>
      </c>
      <c r="X65" s="106">
        <f t="shared" si="12"/>
        <v>0</v>
      </c>
      <c r="Y65" s="106">
        <f t="shared" si="12"/>
        <v>0</v>
      </c>
      <c r="Z65" s="106">
        <f t="shared" si="12"/>
        <v>0</v>
      </c>
      <c r="AA65" s="106">
        <f t="shared" si="12"/>
        <v>0</v>
      </c>
    </row>
    <row r="66" spans="1:27" x14ac:dyDescent="0.25">
      <c r="E66" s="106" t="str">
        <f t="shared" si="11"/>
        <v>Treatment</v>
      </c>
      <c r="F66" s="47" t="s">
        <v>639</v>
      </c>
      <c r="G66" s="106">
        <f t="shared" si="12"/>
        <v>0</v>
      </c>
      <c r="H66" s="106">
        <f t="shared" si="12"/>
        <v>0</v>
      </c>
      <c r="I66" s="106">
        <f t="shared" si="12"/>
        <v>0</v>
      </c>
      <c r="J66" s="106">
        <f t="shared" si="12"/>
        <v>0</v>
      </c>
      <c r="K66" s="106">
        <f t="shared" si="12"/>
        <v>0</v>
      </c>
      <c r="L66" s="106">
        <f t="shared" si="12"/>
        <v>0</v>
      </c>
      <c r="M66" s="106">
        <f t="shared" si="12"/>
        <v>0</v>
      </c>
      <c r="N66" s="106">
        <f t="shared" si="12"/>
        <v>0</v>
      </c>
      <c r="O66" s="106">
        <f t="shared" si="12"/>
        <v>0</v>
      </c>
      <c r="P66" s="106">
        <f t="shared" si="12"/>
        <v>0</v>
      </c>
      <c r="Q66" s="106">
        <f t="shared" si="12"/>
        <v>0</v>
      </c>
      <c r="R66" s="106">
        <f t="shared" si="12"/>
        <v>0</v>
      </c>
      <c r="S66" s="106">
        <f t="shared" si="12"/>
        <v>0</v>
      </c>
      <c r="T66" s="106">
        <f t="shared" si="12"/>
        <v>0</v>
      </c>
      <c r="U66" s="106">
        <f t="shared" si="12"/>
        <v>0</v>
      </c>
      <c r="V66" s="106">
        <f t="shared" si="12"/>
        <v>0</v>
      </c>
      <c r="W66" s="106">
        <f t="shared" si="12"/>
        <v>0</v>
      </c>
      <c r="X66" s="106">
        <f t="shared" si="12"/>
        <v>0</v>
      </c>
      <c r="Y66" s="106">
        <f t="shared" si="12"/>
        <v>0</v>
      </c>
      <c r="Z66" s="106">
        <f t="shared" si="12"/>
        <v>0</v>
      </c>
      <c r="AA66" s="106">
        <f t="shared" si="12"/>
        <v>0</v>
      </c>
    </row>
    <row r="68" spans="1:27" x14ac:dyDescent="0.25">
      <c r="D68" s="47" t="s">
        <v>649</v>
      </c>
      <c r="F68" s="47" t="s">
        <v>639</v>
      </c>
      <c r="G68" s="106">
        <f>SUM($G$64:G66)</f>
        <v>0</v>
      </c>
      <c r="H68" s="106">
        <f>SUM($G$64:H66)</f>
        <v>0</v>
      </c>
      <c r="I68" s="106">
        <f>SUM($G$64:I66)</f>
        <v>0</v>
      </c>
      <c r="J68" s="106">
        <f>SUM($G$64:J66)</f>
        <v>0</v>
      </c>
      <c r="K68" s="106">
        <f>SUM($G$64:K66)</f>
        <v>0</v>
      </c>
      <c r="L68" s="106">
        <f>SUM($G$64:L66)</f>
        <v>0</v>
      </c>
      <c r="M68" s="106">
        <f>SUM($G$64:M66)</f>
        <v>0</v>
      </c>
      <c r="N68" s="106">
        <f>SUM($G$64:N66)</f>
        <v>0</v>
      </c>
      <c r="O68" s="106">
        <f>SUM($G$64:O66)</f>
        <v>0</v>
      </c>
      <c r="P68" s="106">
        <f>SUM($G$64:P66)</f>
        <v>0</v>
      </c>
      <c r="Q68" s="106">
        <f>SUM($G$64:Q66)</f>
        <v>0</v>
      </c>
      <c r="R68" s="106">
        <f>SUM($G$64:R66)</f>
        <v>0</v>
      </c>
      <c r="S68" s="106">
        <f>SUM($G$64:S66)</f>
        <v>0</v>
      </c>
      <c r="T68" s="106">
        <f>SUM($G$64:T66)</f>
        <v>0</v>
      </c>
      <c r="U68" s="106">
        <f>SUM($G$64:U66)</f>
        <v>0</v>
      </c>
      <c r="V68" s="106">
        <f>SUM($G$64:V66)</f>
        <v>0</v>
      </c>
      <c r="W68" s="106">
        <f>SUM($G$64:W66)</f>
        <v>0</v>
      </c>
      <c r="X68" s="106">
        <f>SUM($G$64:X66)</f>
        <v>0</v>
      </c>
      <c r="Y68" s="106">
        <f>SUM($G$64:Y66)</f>
        <v>0</v>
      </c>
      <c r="Z68" s="106">
        <f>SUM($G$64:Z66)</f>
        <v>0</v>
      </c>
      <c r="AA68" s="106">
        <f>SUM($G$64:AA66)</f>
        <v>0</v>
      </c>
    </row>
    <row r="70" spans="1:27" x14ac:dyDescent="0.25">
      <c r="A70" s="101">
        <v>14</v>
      </c>
      <c r="D70" s="47" t="s">
        <v>650</v>
      </c>
    </row>
    <row r="71" spans="1:27" x14ac:dyDescent="0.25">
      <c r="E71" s="106" t="str">
        <f>E7</f>
        <v>Pipes / Storage</v>
      </c>
      <c r="F71" s="47" t="s">
        <v>639</v>
      </c>
      <c r="G71" s="102"/>
      <c r="H71" s="102"/>
      <c r="I71" s="102"/>
      <c r="J71" s="102"/>
      <c r="K71" s="102"/>
      <c r="L71" s="102"/>
      <c r="M71" s="102"/>
      <c r="N71" s="102"/>
      <c r="O71" s="102"/>
      <c r="P71" s="102"/>
      <c r="Q71" s="102"/>
      <c r="R71" s="102"/>
      <c r="S71" s="102"/>
      <c r="T71" s="102"/>
      <c r="U71" s="102"/>
      <c r="V71" s="102"/>
      <c r="W71" s="102"/>
      <c r="X71" s="102"/>
      <c r="Y71" s="102"/>
      <c r="Z71" s="102"/>
      <c r="AA71" s="102"/>
    </row>
    <row r="72" spans="1:27" x14ac:dyDescent="0.25">
      <c r="E72" s="106" t="str">
        <f>E8</f>
        <v>Pumps / Valves</v>
      </c>
      <c r="F72" s="47" t="s">
        <v>639</v>
      </c>
      <c r="G72" s="102"/>
      <c r="H72" s="102"/>
      <c r="I72" s="102"/>
      <c r="J72" s="102"/>
      <c r="K72" s="102"/>
      <c r="L72" s="102"/>
      <c r="M72" s="102"/>
      <c r="N72" s="102"/>
      <c r="O72" s="102"/>
      <c r="P72" s="102"/>
      <c r="Q72" s="102"/>
      <c r="R72" s="102"/>
      <c r="S72" s="102"/>
      <c r="T72" s="102"/>
      <c r="U72" s="102"/>
      <c r="V72" s="102"/>
      <c r="W72" s="102"/>
      <c r="X72" s="102"/>
      <c r="Y72" s="102"/>
      <c r="Z72" s="102"/>
      <c r="AA72" s="102"/>
    </row>
    <row r="73" spans="1:27" x14ac:dyDescent="0.25">
      <c r="E73" s="106" t="str">
        <f>E9</f>
        <v>Treatment</v>
      </c>
      <c r="F73" s="47" t="s">
        <v>639</v>
      </c>
      <c r="G73" s="102"/>
      <c r="H73" s="102"/>
      <c r="I73" s="102"/>
      <c r="J73" s="102"/>
      <c r="K73" s="102"/>
      <c r="L73" s="102"/>
      <c r="M73" s="102"/>
      <c r="N73" s="102"/>
      <c r="O73" s="102"/>
      <c r="P73" s="102"/>
      <c r="Q73" s="102"/>
      <c r="R73" s="102"/>
      <c r="S73" s="102"/>
      <c r="T73" s="102"/>
      <c r="U73" s="102"/>
      <c r="V73" s="102"/>
      <c r="W73" s="102"/>
      <c r="X73" s="102"/>
      <c r="Y73" s="102"/>
      <c r="Z73" s="102"/>
      <c r="AA73" s="102"/>
    </row>
    <row r="74" spans="1:27" x14ac:dyDescent="0.25">
      <c r="E74" s="47" t="s">
        <v>640</v>
      </c>
      <c r="F74" s="47" t="s">
        <v>639</v>
      </c>
      <c r="G74" s="102"/>
      <c r="H74" s="102"/>
      <c r="I74" s="102"/>
      <c r="J74" s="102"/>
      <c r="K74" s="102"/>
      <c r="L74" s="102"/>
      <c r="M74" s="102"/>
      <c r="N74" s="102"/>
      <c r="O74" s="102"/>
      <c r="P74" s="102"/>
      <c r="Q74" s="102"/>
      <c r="R74" s="102"/>
      <c r="S74" s="102"/>
      <c r="T74" s="102"/>
      <c r="U74" s="102"/>
      <c r="V74" s="102"/>
      <c r="W74" s="102"/>
      <c r="X74" s="102"/>
      <c r="Y74" s="102"/>
      <c r="Z74" s="102"/>
      <c r="AA74" s="102"/>
    </row>
    <row r="75" spans="1:27" x14ac:dyDescent="0.25">
      <c r="G75" s="106">
        <f>SUM(G71:G74)</f>
        <v>0</v>
      </c>
      <c r="H75" s="106">
        <f t="shared" ref="H75:AA75" si="13">SUM(H71:H74)</f>
        <v>0</v>
      </c>
      <c r="I75" s="106">
        <f t="shared" si="13"/>
        <v>0</v>
      </c>
      <c r="J75" s="106">
        <f t="shared" si="13"/>
        <v>0</v>
      </c>
      <c r="K75" s="106">
        <f t="shared" si="13"/>
        <v>0</v>
      </c>
      <c r="L75" s="106">
        <f t="shared" si="13"/>
        <v>0</v>
      </c>
      <c r="M75" s="106">
        <f t="shared" si="13"/>
        <v>0</v>
      </c>
      <c r="N75" s="106">
        <f t="shared" si="13"/>
        <v>0</v>
      </c>
      <c r="O75" s="106">
        <f t="shared" si="13"/>
        <v>0</v>
      </c>
      <c r="P75" s="106">
        <f t="shared" si="13"/>
        <v>0</v>
      </c>
      <c r="Q75" s="106">
        <f t="shared" si="13"/>
        <v>0</v>
      </c>
      <c r="R75" s="106">
        <f t="shared" si="13"/>
        <v>0</v>
      </c>
      <c r="S75" s="106">
        <f t="shared" si="13"/>
        <v>0</v>
      </c>
      <c r="T75" s="106">
        <f t="shared" si="13"/>
        <v>0</v>
      </c>
      <c r="U75" s="106">
        <f t="shared" si="13"/>
        <v>0</v>
      </c>
      <c r="V75" s="106">
        <f t="shared" si="13"/>
        <v>0</v>
      </c>
      <c r="W75" s="106">
        <f t="shared" si="13"/>
        <v>0</v>
      </c>
      <c r="X75" s="106">
        <f t="shared" si="13"/>
        <v>0</v>
      </c>
      <c r="Y75" s="106">
        <f t="shared" si="13"/>
        <v>0</v>
      </c>
      <c r="Z75" s="106">
        <f t="shared" si="13"/>
        <v>0</v>
      </c>
      <c r="AA75" s="106">
        <f t="shared" si="13"/>
        <v>0</v>
      </c>
    </row>
    <row r="76" spans="1:27" x14ac:dyDescent="0.25">
      <c r="G76" s="106"/>
      <c r="H76" s="106"/>
      <c r="I76" s="106"/>
      <c r="J76" s="106"/>
      <c r="K76" s="106"/>
      <c r="L76" s="106"/>
      <c r="M76" s="106"/>
      <c r="N76" s="106"/>
      <c r="O76" s="106"/>
      <c r="P76" s="106"/>
      <c r="Q76" s="106"/>
      <c r="R76" s="106"/>
      <c r="S76" s="106"/>
      <c r="T76" s="106"/>
      <c r="U76" s="106"/>
      <c r="V76" s="106"/>
      <c r="W76" s="106"/>
      <c r="X76" s="106"/>
      <c r="Y76" s="106"/>
      <c r="Z76" s="106"/>
      <c r="AA76" s="106"/>
    </row>
    <row r="77" spans="1:27" x14ac:dyDescent="0.25">
      <c r="D77" s="47" t="s">
        <v>648</v>
      </c>
      <c r="G77" s="106"/>
      <c r="H77" s="106"/>
      <c r="I77" s="106"/>
      <c r="J77" s="106"/>
      <c r="K77" s="106"/>
      <c r="L77" s="106"/>
      <c r="M77" s="106"/>
      <c r="N77" s="106"/>
      <c r="O77" s="106"/>
      <c r="P77" s="106"/>
      <c r="Q77" s="106"/>
    </row>
    <row r="78" spans="1:27" x14ac:dyDescent="0.25">
      <c r="E78" s="106" t="str">
        <f>E71</f>
        <v>Pipes / Storage</v>
      </c>
      <c r="F78" s="47" t="s">
        <v>639</v>
      </c>
      <c r="G78" s="106">
        <f t="shared" ref="G78:AA80" si="14">G71/$G7+IF((G$2-$G7+1)&gt;0,-INDEX($G71:$AP71,1,(G$2-$G7+1))/$G7,0)</f>
        <v>0</v>
      </c>
      <c r="H78" s="106">
        <f t="shared" si="14"/>
        <v>0</v>
      </c>
      <c r="I78" s="106">
        <f t="shared" si="14"/>
        <v>0</v>
      </c>
      <c r="J78" s="106">
        <f t="shared" si="14"/>
        <v>0</v>
      </c>
      <c r="K78" s="106">
        <f t="shared" si="14"/>
        <v>0</v>
      </c>
      <c r="L78" s="106">
        <f t="shared" si="14"/>
        <v>0</v>
      </c>
      <c r="M78" s="106">
        <f t="shared" si="14"/>
        <v>0</v>
      </c>
      <c r="N78" s="106">
        <f t="shared" si="14"/>
        <v>0</v>
      </c>
      <c r="O78" s="106">
        <f t="shared" si="14"/>
        <v>0</v>
      </c>
      <c r="P78" s="106">
        <f t="shared" si="14"/>
        <v>0</v>
      </c>
      <c r="Q78" s="106">
        <f t="shared" si="14"/>
        <v>0</v>
      </c>
      <c r="R78" s="106">
        <f t="shared" si="14"/>
        <v>0</v>
      </c>
      <c r="S78" s="106">
        <f t="shared" si="14"/>
        <v>0</v>
      </c>
      <c r="T78" s="106">
        <f t="shared" si="14"/>
        <v>0</v>
      </c>
      <c r="U78" s="106">
        <f t="shared" si="14"/>
        <v>0</v>
      </c>
      <c r="V78" s="106">
        <f t="shared" si="14"/>
        <v>0</v>
      </c>
      <c r="W78" s="106">
        <f t="shared" si="14"/>
        <v>0</v>
      </c>
      <c r="X78" s="106">
        <f t="shared" si="14"/>
        <v>0</v>
      </c>
      <c r="Y78" s="106">
        <f t="shared" si="14"/>
        <v>0</v>
      </c>
      <c r="Z78" s="106">
        <f t="shared" si="14"/>
        <v>0</v>
      </c>
      <c r="AA78" s="106">
        <f t="shared" si="14"/>
        <v>0</v>
      </c>
    </row>
    <row r="79" spans="1:27" x14ac:dyDescent="0.25">
      <c r="E79" s="106" t="str">
        <f t="shared" ref="E79:E80" si="15">E72</f>
        <v>Pumps / Valves</v>
      </c>
      <c r="F79" s="47" t="s">
        <v>639</v>
      </c>
      <c r="G79" s="106">
        <f t="shared" si="14"/>
        <v>0</v>
      </c>
      <c r="H79" s="106">
        <f t="shared" si="14"/>
        <v>0</v>
      </c>
      <c r="I79" s="106">
        <f t="shared" si="14"/>
        <v>0</v>
      </c>
      <c r="J79" s="106">
        <f t="shared" si="14"/>
        <v>0</v>
      </c>
      <c r="K79" s="106">
        <f t="shared" si="14"/>
        <v>0</v>
      </c>
      <c r="L79" s="106">
        <f t="shared" si="14"/>
        <v>0</v>
      </c>
      <c r="M79" s="106">
        <f t="shared" si="14"/>
        <v>0</v>
      </c>
      <c r="N79" s="106">
        <f t="shared" si="14"/>
        <v>0</v>
      </c>
      <c r="O79" s="106">
        <f t="shared" si="14"/>
        <v>0</v>
      </c>
      <c r="P79" s="106">
        <f t="shared" si="14"/>
        <v>0</v>
      </c>
      <c r="Q79" s="106">
        <f t="shared" si="14"/>
        <v>0</v>
      </c>
      <c r="R79" s="106">
        <f t="shared" si="14"/>
        <v>0</v>
      </c>
      <c r="S79" s="106">
        <f t="shared" si="14"/>
        <v>0</v>
      </c>
      <c r="T79" s="106">
        <f t="shared" si="14"/>
        <v>0</v>
      </c>
      <c r="U79" s="106">
        <f t="shared" si="14"/>
        <v>0</v>
      </c>
      <c r="V79" s="106">
        <f t="shared" si="14"/>
        <v>0</v>
      </c>
      <c r="W79" s="106">
        <f t="shared" si="14"/>
        <v>0</v>
      </c>
      <c r="X79" s="106">
        <f t="shared" si="14"/>
        <v>0</v>
      </c>
      <c r="Y79" s="106">
        <f t="shared" si="14"/>
        <v>0</v>
      </c>
      <c r="Z79" s="106">
        <f t="shared" si="14"/>
        <v>0</v>
      </c>
      <c r="AA79" s="106">
        <f t="shared" si="14"/>
        <v>0</v>
      </c>
    </row>
    <row r="80" spans="1:27" x14ac:dyDescent="0.25">
      <c r="E80" s="106" t="str">
        <f t="shared" si="15"/>
        <v>Treatment</v>
      </c>
      <c r="F80" s="47" t="s">
        <v>639</v>
      </c>
      <c r="G80" s="106">
        <f t="shared" si="14"/>
        <v>0</v>
      </c>
      <c r="H80" s="106">
        <f t="shared" si="14"/>
        <v>0</v>
      </c>
      <c r="I80" s="106">
        <f t="shared" si="14"/>
        <v>0</v>
      </c>
      <c r="J80" s="106">
        <f t="shared" si="14"/>
        <v>0</v>
      </c>
      <c r="K80" s="106">
        <f t="shared" si="14"/>
        <v>0</v>
      </c>
      <c r="L80" s="106">
        <f t="shared" si="14"/>
        <v>0</v>
      </c>
      <c r="M80" s="106">
        <f t="shared" si="14"/>
        <v>0</v>
      </c>
      <c r="N80" s="106">
        <f t="shared" si="14"/>
        <v>0</v>
      </c>
      <c r="O80" s="106">
        <f t="shared" si="14"/>
        <v>0</v>
      </c>
      <c r="P80" s="106">
        <f t="shared" si="14"/>
        <v>0</v>
      </c>
      <c r="Q80" s="106">
        <f t="shared" si="14"/>
        <v>0</v>
      </c>
      <c r="R80" s="106">
        <f t="shared" si="14"/>
        <v>0</v>
      </c>
      <c r="S80" s="106">
        <f t="shared" si="14"/>
        <v>0</v>
      </c>
      <c r="T80" s="106">
        <f t="shared" si="14"/>
        <v>0</v>
      </c>
      <c r="U80" s="106">
        <f t="shared" si="14"/>
        <v>0</v>
      </c>
      <c r="V80" s="106">
        <f t="shared" si="14"/>
        <v>0</v>
      </c>
      <c r="W80" s="106">
        <f t="shared" si="14"/>
        <v>0</v>
      </c>
      <c r="X80" s="106">
        <f t="shared" si="14"/>
        <v>0</v>
      </c>
      <c r="Y80" s="106">
        <f t="shared" si="14"/>
        <v>0</v>
      </c>
      <c r="Z80" s="106">
        <f t="shared" si="14"/>
        <v>0</v>
      </c>
      <c r="AA80" s="106">
        <f t="shared" si="14"/>
        <v>0</v>
      </c>
    </row>
    <row r="82" spans="1:27" x14ac:dyDescent="0.25">
      <c r="D82" s="47" t="s">
        <v>649</v>
      </c>
      <c r="F82" s="47" t="s">
        <v>639</v>
      </c>
      <c r="G82" s="106">
        <f>SUM($G$77:G80)</f>
        <v>0</v>
      </c>
      <c r="H82" s="106">
        <f>SUM($G$77:H80)</f>
        <v>0</v>
      </c>
      <c r="I82" s="106">
        <f>SUM($G$77:I80)</f>
        <v>0</v>
      </c>
      <c r="J82" s="106">
        <f>SUM($G$77:J80)</f>
        <v>0</v>
      </c>
      <c r="K82" s="106">
        <f>SUM($G$77:K80)</f>
        <v>0</v>
      </c>
      <c r="L82" s="106">
        <f>SUM($G$77:L80)</f>
        <v>0</v>
      </c>
      <c r="M82" s="106">
        <f>SUM($G$77:M80)</f>
        <v>0</v>
      </c>
      <c r="N82" s="106">
        <f>SUM($G$77:N80)</f>
        <v>0</v>
      </c>
      <c r="O82" s="106">
        <f>SUM($G$77:O80)</f>
        <v>0</v>
      </c>
      <c r="P82" s="106">
        <f>SUM($G$77:P80)</f>
        <v>0</v>
      </c>
      <c r="Q82" s="106">
        <f>SUM($G$77:Q80)</f>
        <v>0</v>
      </c>
      <c r="R82" s="106">
        <f>SUM($G$77:R80)</f>
        <v>0</v>
      </c>
      <c r="S82" s="106">
        <f>SUM($G$77:S80)</f>
        <v>0</v>
      </c>
      <c r="T82" s="106">
        <f>SUM($G$77:T80)</f>
        <v>0</v>
      </c>
      <c r="U82" s="106">
        <f>SUM($G$77:U80)</f>
        <v>0</v>
      </c>
      <c r="V82" s="106">
        <f>SUM($G$77:V80)</f>
        <v>0</v>
      </c>
      <c r="W82" s="106">
        <f>SUM($G$77:W80)</f>
        <v>0</v>
      </c>
      <c r="X82" s="106">
        <f>SUM($G$77:X80)</f>
        <v>0</v>
      </c>
      <c r="Y82" s="106">
        <f>SUM($G$77:Y80)</f>
        <v>0</v>
      </c>
      <c r="Z82" s="106">
        <f>SUM($G$77:Z80)</f>
        <v>0</v>
      </c>
      <c r="AA82" s="106">
        <f>SUM($G$77:AA80)</f>
        <v>0</v>
      </c>
    </row>
    <row r="83" spans="1:27" x14ac:dyDescent="0.25">
      <c r="G83" s="106"/>
      <c r="H83" s="106"/>
      <c r="I83" s="106"/>
      <c r="J83" s="106"/>
      <c r="K83" s="106"/>
      <c r="L83" s="106"/>
      <c r="M83" s="106"/>
      <c r="N83" s="106"/>
      <c r="O83" s="106"/>
      <c r="P83" s="106"/>
      <c r="Q83" s="106"/>
      <c r="R83" s="106"/>
      <c r="S83" s="106"/>
      <c r="T83" s="106"/>
      <c r="U83" s="106"/>
      <c r="V83" s="106"/>
      <c r="W83" s="106"/>
      <c r="X83" s="106"/>
      <c r="Y83" s="106"/>
      <c r="Z83" s="106"/>
      <c r="AA83" s="106"/>
    </row>
    <row r="84" spans="1:27" x14ac:dyDescent="0.25">
      <c r="D84" s="47" t="s">
        <v>651</v>
      </c>
      <c r="F84" s="47" t="s">
        <v>639</v>
      </c>
      <c r="G84" s="106">
        <f t="shared" ref="G84:AA84" si="16">G61-G75</f>
        <v>0</v>
      </c>
      <c r="H84" s="106">
        <f t="shared" si="16"/>
        <v>0</v>
      </c>
      <c r="I84" s="106">
        <f t="shared" si="16"/>
        <v>0</v>
      </c>
      <c r="J84" s="106">
        <f t="shared" si="16"/>
        <v>0</v>
      </c>
      <c r="K84" s="106">
        <f t="shared" si="16"/>
        <v>0</v>
      </c>
      <c r="L84" s="106">
        <f t="shared" si="16"/>
        <v>0</v>
      </c>
      <c r="M84" s="106">
        <f t="shared" si="16"/>
        <v>0</v>
      </c>
      <c r="N84" s="106">
        <f t="shared" si="16"/>
        <v>0</v>
      </c>
      <c r="O84" s="106">
        <f t="shared" si="16"/>
        <v>0</v>
      </c>
      <c r="P84" s="106">
        <f t="shared" si="16"/>
        <v>0</v>
      </c>
      <c r="Q84" s="106">
        <f t="shared" si="16"/>
        <v>0</v>
      </c>
      <c r="R84" s="106">
        <f t="shared" si="16"/>
        <v>0</v>
      </c>
      <c r="S84" s="106">
        <f t="shared" si="16"/>
        <v>0</v>
      </c>
      <c r="T84" s="106">
        <f t="shared" si="16"/>
        <v>0</v>
      </c>
      <c r="U84" s="106">
        <f t="shared" si="16"/>
        <v>0</v>
      </c>
      <c r="V84" s="106">
        <f t="shared" si="16"/>
        <v>0</v>
      </c>
      <c r="W84" s="106">
        <f t="shared" si="16"/>
        <v>0</v>
      </c>
      <c r="X84" s="106">
        <f t="shared" si="16"/>
        <v>0</v>
      </c>
      <c r="Y84" s="106">
        <f t="shared" si="16"/>
        <v>0</v>
      </c>
      <c r="Z84" s="106">
        <f t="shared" si="16"/>
        <v>0</v>
      </c>
      <c r="AA84" s="106">
        <f t="shared" si="16"/>
        <v>0</v>
      </c>
    </row>
    <row r="85" spans="1:27" x14ac:dyDescent="0.25">
      <c r="D85" s="47" t="s">
        <v>652</v>
      </c>
      <c r="F85" s="47" t="s">
        <v>639</v>
      </c>
      <c r="G85" s="106">
        <f t="shared" ref="G85:AA85" si="17">-G68+G82</f>
        <v>0</v>
      </c>
      <c r="H85" s="106">
        <f t="shared" si="17"/>
        <v>0</v>
      </c>
      <c r="I85" s="106">
        <f t="shared" si="17"/>
        <v>0</v>
      </c>
      <c r="J85" s="106">
        <f t="shared" si="17"/>
        <v>0</v>
      </c>
      <c r="K85" s="106">
        <f t="shared" si="17"/>
        <v>0</v>
      </c>
      <c r="L85" s="106">
        <f t="shared" si="17"/>
        <v>0</v>
      </c>
      <c r="M85" s="106">
        <f t="shared" si="17"/>
        <v>0</v>
      </c>
      <c r="N85" s="106">
        <f t="shared" si="17"/>
        <v>0</v>
      </c>
      <c r="O85" s="106">
        <f t="shared" si="17"/>
        <v>0</v>
      </c>
      <c r="P85" s="106">
        <f t="shared" si="17"/>
        <v>0</v>
      </c>
      <c r="Q85" s="106">
        <f t="shared" si="17"/>
        <v>0</v>
      </c>
      <c r="R85" s="106">
        <f t="shared" si="17"/>
        <v>0</v>
      </c>
      <c r="S85" s="106">
        <f t="shared" si="17"/>
        <v>0</v>
      </c>
      <c r="T85" s="106">
        <f t="shared" si="17"/>
        <v>0</v>
      </c>
      <c r="U85" s="106">
        <f t="shared" si="17"/>
        <v>0</v>
      </c>
      <c r="V85" s="106">
        <f t="shared" si="17"/>
        <v>0</v>
      </c>
      <c r="W85" s="106">
        <f t="shared" si="17"/>
        <v>0</v>
      </c>
      <c r="X85" s="106">
        <f t="shared" si="17"/>
        <v>0</v>
      </c>
      <c r="Y85" s="106">
        <f t="shared" si="17"/>
        <v>0</v>
      </c>
      <c r="Z85" s="106">
        <f t="shared" si="17"/>
        <v>0</v>
      </c>
      <c r="AA85" s="106">
        <f t="shared" si="17"/>
        <v>0</v>
      </c>
    </row>
    <row r="87" spans="1:27" x14ac:dyDescent="0.25">
      <c r="C87" s="100" t="str">
        <f>"Incremental "&amp;G4&amp;" Service Revenue"</f>
        <v>Incremental Sewer Service Revenue</v>
      </c>
      <c r="D87" s="100"/>
    </row>
    <row r="88" spans="1:27" x14ac:dyDescent="0.25">
      <c r="C88" s="100"/>
      <c r="D88" s="100"/>
    </row>
    <row r="89" spans="1:27" x14ac:dyDescent="0.25">
      <c r="C89" s="100"/>
      <c r="D89" s="47" t="s">
        <v>653</v>
      </c>
    </row>
    <row r="90" spans="1:27" x14ac:dyDescent="0.25">
      <c r="A90" s="101">
        <v>15</v>
      </c>
      <c r="B90" s="107" t="s">
        <v>262</v>
      </c>
      <c r="C90" s="47" t="s">
        <v>405</v>
      </c>
      <c r="D90" s="100" t="str">
        <f>$G$4</f>
        <v>Sewer</v>
      </c>
      <c r="E90" s="47" t="s">
        <v>654</v>
      </c>
      <c r="F90" s="47" t="s">
        <v>655</v>
      </c>
      <c r="H90" s="102">
        <f>IF($G$4="Water and sewer",SUMIFS('INPUT Growth'!AD$64:AD$115,'INPUT Growth'!$B$64:$B$115,$A$1,'INPUT Growth'!$F$64:$F$115,$B90,'INPUT Growth'!$E$64:$E$115,$C90),SUMIFS('INPUT Growth'!AD$64:AD$115,'INPUT Growth'!$A$64:$A$115,$A$1,'INPUT Growth'!$F$64:$F$115,$B90,'INPUT Growth'!$E$64:$E$115,$C90))</f>
        <v>0</v>
      </c>
      <c r="I90" s="102">
        <f>IF($G$4="Water and sewer",SUMIFS('INPUT Growth'!AE$64:AE$115,'INPUT Growth'!$B$64:$B$115,$A$1,'INPUT Growth'!$F$64:$F$115,$B90,'INPUT Growth'!$E$64:$E$115,$C90),SUMIFS('INPUT Growth'!AE$64:AE$115,'INPUT Growth'!$A$64:$A$115,$A$1,'INPUT Growth'!$F$64:$F$115,$B90,'INPUT Growth'!$E$64:$E$115,$C90))</f>
        <v>0</v>
      </c>
      <c r="J90" s="102">
        <f>IF($G$4="Water and sewer",SUMIFS('INPUT Growth'!AF$64:AF$115,'INPUT Growth'!$B$64:$B$115,$A$1,'INPUT Growth'!$F$64:$F$115,$B90,'INPUT Growth'!$E$64:$E$115,$C90),SUMIFS('INPUT Growth'!AF$64:AF$115,'INPUT Growth'!$A$64:$A$115,$A$1,'INPUT Growth'!$F$64:$F$115,$B90,'INPUT Growth'!$E$64:$E$115,$C90))</f>
        <v>0</v>
      </c>
      <c r="K90" s="102">
        <f>IF($G$4="Water and sewer",SUMIFS('INPUT Growth'!AG$64:AG$115,'INPUT Growth'!$B$64:$B$115,$A$1,'INPUT Growth'!$F$64:$F$115,$B90,'INPUT Growth'!$E$64:$E$115,$C90),SUMIFS('INPUT Growth'!AG$64:AG$115,'INPUT Growth'!$A$64:$A$115,$A$1,'INPUT Growth'!$F$64:$F$115,$B90,'INPUT Growth'!$E$64:$E$115,$C90))</f>
        <v>0</v>
      </c>
      <c r="L90" s="102">
        <f>IF($G$4="Water and sewer",SUMIFS('INPUT Growth'!AH$64:AH$115,'INPUT Growth'!$B$64:$B$115,$A$1,'INPUT Growth'!$F$64:$F$115,$B90,'INPUT Growth'!$E$64:$E$115,$C90),SUMIFS('INPUT Growth'!AH$64:AH$115,'INPUT Growth'!$A$64:$A$115,$A$1,'INPUT Growth'!$F$64:$F$115,$B90,'INPUT Growth'!$E$64:$E$115,$C90))</f>
        <v>0</v>
      </c>
      <c r="M90" s="102">
        <f>IF($G$4="Water and sewer",SUMIFS('INPUT Growth'!AI$64:AI$115,'INPUT Growth'!$B$64:$B$115,$A$1,'INPUT Growth'!$F$64:$F$115,$B90,'INPUT Growth'!$E$64:$E$115,$C90),SUMIFS('INPUT Growth'!AI$64:AI$115,'INPUT Growth'!$A$64:$A$115,$A$1,'INPUT Growth'!$F$64:$F$115,$B90,'INPUT Growth'!$E$64:$E$115,$C90))</f>
        <v>0</v>
      </c>
      <c r="N90" s="102">
        <f>IF($G$4="Water and sewer",SUMIFS('INPUT Growth'!AJ$64:AJ$115,'INPUT Growth'!$B$64:$B$115,$A$1,'INPUT Growth'!$F$64:$F$115,$B90,'INPUT Growth'!$E$64:$E$115,$C90),SUMIFS('INPUT Growth'!AJ$64:AJ$115,'INPUT Growth'!$A$64:$A$115,$A$1,'INPUT Growth'!$F$64:$F$115,$B90,'INPUT Growth'!$E$64:$E$115,$C90))</f>
        <v>0</v>
      </c>
      <c r="O90" s="102">
        <f>IF($G$4="Water and sewer",SUMIFS('INPUT Growth'!AK$64:AK$115,'INPUT Growth'!$B$64:$B$115,$A$1,'INPUT Growth'!$F$64:$F$115,$B90,'INPUT Growth'!$E$64:$E$115,$C90),SUMIFS('INPUT Growth'!AK$64:AK$115,'INPUT Growth'!$A$64:$A$115,$A$1,'INPUT Growth'!$F$64:$F$115,$B90,'INPUT Growth'!$E$64:$E$115,$C90))</f>
        <v>0</v>
      </c>
      <c r="P90" s="102">
        <f>IF($G$4="Water and sewer",SUMIFS('INPUT Growth'!AL$64:AL$115,'INPUT Growth'!$B$64:$B$115,$A$1,'INPUT Growth'!$F$64:$F$115,$B90,'INPUT Growth'!$E$64:$E$115,$C90),SUMIFS('INPUT Growth'!AL$64:AL$115,'INPUT Growth'!$A$64:$A$115,$A$1,'INPUT Growth'!$F$64:$F$115,$B90,'INPUT Growth'!$E$64:$E$115,$C90))</f>
        <v>0</v>
      </c>
      <c r="Q90" s="102">
        <f>IF($G$4="Water and sewer",SUMIFS('INPUT Growth'!AM$64:AM$115,'INPUT Growth'!$B$64:$B$115,$A$1,'INPUT Growth'!$F$64:$F$115,$B90,'INPUT Growth'!$E$64:$E$115,$C90),SUMIFS('INPUT Growth'!AM$64:AM$115,'INPUT Growth'!$A$64:$A$115,$A$1,'INPUT Growth'!$F$64:$F$115,$B90,'INPUT Growth'!$E$64:$E$115,$C90))</f>
        <v>0</v>
      </c>
      <c r="R90" s="102">
        <f>IF($G$4="Water and sewer",SUMIFS('INPUT Growth'!AN$64:AN$115,'INPUT Growth'!$B$64:$B$115,$A$1,'INPUT Growth'!$F$64:$F$115,$B90,'INPUT Growth'!$E$64:$E$115,$C90),SUMIFS('INPUT Growth'!AN$64:AN$115,'INPUT Growth'!$A$64:$A$115,$A$1,'INPUT Growth'!$F$64:$F$115,$B90,'INPUT Growth'!$E$64:$E$115,$C90))</f>
        <v>0</v>
      </c>
      <c r="S90" s="102">
        <f>IF($G$4="Water and sewer",SUMIFS('INPUT Growth'!AO$64:AO$115,'INPUT Growth'!$B$64:$B$115,$A$1,'INPUT Growth'!$F$64:$F$115,$B90,'INPUT Growth'!$E$64:$E$115,$C90),SUMIFS('INPUT Growth'!AO$64:AO$115,'INPUT Growth'!$A$64:$A$115,$A$1,'INPUT Growth'!$F$64:$F$115,$B90,'INPUT Growth'!$E$64:$E$115,$C90))</f>
        <v>0</v>
      </c>
      <c r="T90" s="102">
        <f>IF($G$4="Water and sewer",SUMIFS('INPUT Growth'!AP$64:AP$115,'INPUT Growth'!$B$64:$B$115,$A$1,'INPUT Growth'!$F$64:$F$115,$B90,'INPUT Growth'!$E$64:$E$115,$C90),SUMIFS('INPUT Growth'!AP$64:AP$115,'INPUT Growth'!$A$64:$A$115,$A$1,'INPUT Growth'!$F$64:$F$115,$B90,'INPUT Growth'!$E$64:$E$115,$C90))</f>
        <v>0</v>
      </c>
      <c r="U90" s="102">
        <f>IF($G$4="Water and sewer",SUMIFS('INPUT Growth'!AQ$64:AQ$115,'INPUT Growth'!$B$64:$B$115,$A$1,'INPUT Growth'!$F$64:$F$115,$B90,'INPUT Growth'!$E$64:$E$115,$C90),SUMIFS('INPUT Growth'!AQ$64:AQ$115,'INPUT Growth'!$A$64:$A$115,$A$1,'INPUT Growth'!$F$64:$F$115,$B90,'INPUT Growth'!$E$64:$E$115,$C90))</f>
        <v>0</v>
      </c>
      <c r="V90" s="102">
        <f>IF($G$4="Water and sewer",SUMIFS('INPUT Growth'!AR$64:AR$115,'INPUT Growth'!$B$64:$B$115,$A$1,'INPUT Growth'!$F$64:$F$115,$B90,'INPUT Growth'!$E$64:$E$115,$C90),SUMIFS('INPUT Growth'!AR$64:AR$115,'INPUT Growth'!$A$64:$A$115,$A$1,'INPUT Growth'!$F$64:$F$115,$B90,'INPUT Growth'!$E$64:$E$115,$C90))</f>
        <v>0</v>
      </c>
      <c r="W90" s="102">
        <f>IF($G$4="Water and sewer",SUMIFS('INPUT Growth'!AS$64:AS$115,'INPUT Growth'!$B$64:$B$115,$A$1,'INPUT Growth'!$F$64:$F$115,$B90,'INPUT Growth'!$E$64:$E$115,$C90),SUMIFS('INPUT Growth'!AS$64:AS$115,'INPUT Growth'!$A$64:$A$115,$A$1,'INPUT Growth'!$F$64:$F$115,$B90,'INPUT Growth'!$E$64:$E$115,$C90))</f>
        <v>0</v>
      </c>
      <c r="X90" s="102">
        <f>IF($G$4="Water and sewer",SUMIFS('INPUT Growth'!AT$64:AT$115,'INPUT Growth'!$B$64:$B$115,$A$1,'INPUT Growth'!$F$64:$F$115,$B90,'INPUT Growth'!$E$64:$E$115,$C90),SUMIFS('INPUT Growth'!AT$64:AT$115,'INPUT Growth'!$A$64:$A$115,$A$1,'INPUT Growth'!$F$64:$F$115,$B90,'INPUT Growth'!$E$64:$E$115,$C90))</f>
        <v>0</v>
      </c>
      <c r="Y90" s="102">
        <f>IF($G$4="Water and sewer",SUMIFS('INPUT Growth'!AU$64:AU$115,'INPUT Growth'!$B$64:$B$115,$A$1,'INPUT Growth'!$F$64:$F$115,$B90,'INPUT Growth'!$E$64:$E$115,$C90),SUMIFS('INPUT Growth'!AU$64:AU$115,'INPUT Growth'!$A$64:$A$115,$A$1,'INPUT Growth'!$F$64:$F$115,$B90,'INPUT Growth'!$E$64:$E$115,$C90))</f>
        <v>0</v>
      </c>
      <c r="Z90" s="102">
        <f>IF($G$4="Water and sewer",SUMIFS('INPUT Growth'!AV$64:AV$115,'INPUT Growth'!$B$64:$B$115,$A$1,'INPUT Growth'!$F$64:$F$115,$B90,'INPUT Growth'!$E$64:$E$115,$C90),SUMIFS('INPUT Growth'!AV$64:AV$115,'INPUT Growth'!$A$64:$A$115,$A$1,'INPUT Growth'!$F$64:$F$115,$B90,'INPUT Growth'!$E$64:$E$115,$C90))</f>
        <v>0</v>
      </c>
      <c r="AA90" s="102">
        <f>IF($G$4="Water and sewer",SUMIFS('INPUT Growth'!AW$64:AW$115,'INPUT Growth'!$B$64:$B$115,$A$1,'INPUT Growth'!$F$64:$F$115,$B90,'INPUT Growth'!$E$64:$E$115,$C90),SUMIFS('INPUT Growth'!AW$64:AW$115,'INPUT Growth'!$A$64:$A$115,$A$1,'INPUT Growth'!$F$64:$F$115,$B90,'INPUT Growth'!$E$64:$E$115,$C90))</f>
        <v>0</v>
      </c>
    </row>
    <row r="91" spans="1:27" x14ac:dyDescent="0.25">
      <c r="C91" s="100"/>
      <c r="D91" s="100"/>
      <c r="E91" s="47" t="s">
        <v>656</v>
      </c>
      <c r="F91" s="47" t="s">
        <v>655</v>
      </c>
      <c r="H91" s="106">
        <f>G91+H90</f>
        <v>0</v>
      </c>
      <c r="I91" s="106">
        <f t="shared" ref="I91:AA91" si="18">H91+I90</f>
        <v>0</v>
      </c>
      <c r="J91" s="106">
        <f t="shared" si="18"/>
        <v>0</v>
      </c>
      <c r="K91" s="106">
        <f t="shared" si="18"/>
        <v>0</v>
      </c>
      <c r="L91" s="106">
        <f t="shared" si="18"/>
        <v>0</v>
      </c>
      <c r="M91" s="106">
        <f t="shared" si="18"/>
        <v>0</v>
      </c>
      <c r="N91" s="106">
        <f t="shared" si="18"/>
        <v>0</v>
      </c>
      <c r="O91" s="106">
        <f t="shared" si="18"/>
        <v>0</v>
      </c>
      <c r="P91" s="106">
        <f t="shared" si="18"/>
        <v>0</v>
      </c>
      <c r="Q91" s="106">
        <f t="shared" si="18"/>
        <v>0</v>
      </c>
      <c r="R91" s="106">
        <f t="shared" si="18"/>
        <v>0</v>
      </c>
      <c r="S91" s="106">
        <f t="shared" si="18"/>
        <v>0</v>
      </c>
      <c r="T91" s="106">
        <f t="shared" si="18"/>
        <v>0</v>
      </c>
      <c r="U91" s="106">
        <f t="shared" si="18"/>
        <v>0</v>
      </c>
      <c r="V91" s="106">
        <f t="shared" si="18"/>
        <v>0</v>
      </c>
      <c r="W91" s="106">
        <f t="shared" si="18"/>
        <v>0</v>
      </c>
      <c r="X91" s="106">
        <f t="shared" si="18"/>
        <v>0</v>
      </c>
      <c r="Y91" s="106">
        <f t="shared" si="18"/>
        <v>0</v>
      </c>
      <c r="Z91" s="106">
        <f t="shared" si="18"/>
        <v>0</v>
      </c>
      <c r="AA91" s="106">
        <f t="shared" si="18"/>
        <v>0</v>
      </c>
    </row>
    <row r="92" spans="1:27" x14ac:dyDescent="0.25">
      <c r="A92" s="101">
        <v>16</v>
      </c>
      <c r="C92" s="100"/>
      <c r="D92" s="100"/>
      <c r="E92" s="47" t="s">
        <v>657</v>
      </c>
      <c r="F92" s="47" t="s">
        <v>655</v>
      </c>
      <c r="G92" s="102">
        <f>Assumptions!$H$45</f>
        <v>1</v>
      </c>
    </row>
    <row r="93" spans="1:27" x14ac:dyDescent="0.25">
      <c r="C93" s="100"/>
      <c r="D93" s="100"/>
      <c r="E93" s="47" t="s">
        <v>658</v>
      </c>
      <c r="F93" s="47" t="s">
        <v>655</v>
      </c>
      <c r="H93" s="47">
        <f>H90*$G92</f>
        <v>0</v>
      </c>
      <c r="I93" s="47">
        <f t="shared" ref="I93:AA93" si="19">I90*$G92</f>
        <v>0</v>
      </c>
      <c r="J93" s="47">
        <f t="shared" si="19"/>
        <v>0</v>
      </c>
      <c r="K93" s="47">
        <f t="shared" si="19"/>
        <v>0</v>
      </c>
      <c r="L93" s="47">
        <f t="shared" si="19"/>
        <v>0</v>
      </c>
      <c r="M93" s="47">
        <f t="shared" si="19"/>
        <v>0</v>
      </c>
      <c r="N93" s="47">
        <f t="shared" si="19"/>
        <v>0</v>
      </c>
      <c r="O93" s="47">
        <f t="shared" si="19"/>
        <v>0</v>
      </c>
      <c r="P93" s="47">
        <f t="shared" si="19"/>
        <v>0</v>
      </c>
      <c r="Q93" s="47">
        <f t="shared" si="19"/>
        <v>0</v>
      </c>
      <c r="R93" s="47">
        <f t="shared" si="19"/>
        <v>0</v>
      </c>
      <c r="S93" s="47">
        <f t="shared" si="19"/>
        <v>0</v>
      </c>
      <c r="T93" s="47">
        <f t="shared" si="19"/>
        <v>0</v>
      </c>
      <c r="U93" s="47">
        <f t="shared" si="19"/>
        <v>0</v>
      </c>
      <c r="V93" s="47">
        <f t="shared" si="19"/>
        <v>0</v>
      </c>
      <c r="W93" s="47">
        <f t="shared" si="19"/>
        <v>0</v>
      </c>
      <c r="X93" s="47">
        <f t="shared" si="19"/>
        <v>0</v>
      </c>
      <c r="Y93" s="47">
        <f t="shared" si="19"/>
        <v>0</v>
      </c>
      <c r="Z93" s="47">
        <f t="shared" si="19"/>
        <v>0</v>
      </c>
      <c r="AA93" s="47">
        <f t="shared" si="19"/>
        <v>0</v>
      </c>
    </row>
    <row r="94" spans="1:27" x14ac:dyDescent="0.25">
      <c r="C94" s="100"/>
      <c r="D94" s="100"/>
      <c r="E94" s="47" t="s">
        <v>659</v>
      </c>
      <c r="F94" s="47" t="s">
        <v>655</v>
      </c>
      <c r="H94" s="47">
        <f>H91*$G92</f>
        <v>0</v>
      </c>
      <c r="I94" s="47">
        <f t="shared" ref="I94:AA94" si="20">I91*$G92</f>
        <v>0</v>
      </c>
      <c r="J94" s="47">
        <f t="shared" si="20"/>
        <v>0</v>
      </c>
      <c r="K94" s="47">
        <f t="shared" si="20"/>
        <v>0</v>
      </c>
      <c r="L94" s="47">
        <f t="shared" si="20"/>
        <v>0</v>
      </c>
      <c r="M94" s="47">
        <f t="shared" si="20"/>
        <v>0</v>
      </c>
      <c r="N94" s="47">
        <f t="shared" si="20"/>
        <v>0</v>
      </c>
      <c r="O94" s="47">
        <f t="shared" si="20"/>
        <v>0</v>
      </c>
      <c r="P94" s="47">
        <f t="shared" si="20"/>
        <v>0</v>
      </c>
      <c r="Q94" s="47">
        <f t="shared" si="20"/>
        <v>0</v>
      </c>
      <c r="R94" s="47">
        <f t="shared" si="20"/>
        <v>0</v>
      </c>
      <c r="S94" s="47">
        <f t="shared" si="20"/>
        <v>0</v>
      </c>
      <c r="T94" s="47">
        <f t="shared" si="20"/>
        <v>0</v>
      </c>
      <c r="U94" s="47">
        <f t="shared" si="20"/>
        <v>0</v>
      </c>
      <c r="V94" s="47">
        <f t="shared" si="20"/>
        <v>0</v>
      </c>
      <c r="W94" s="47">
        <f t="shared" si="20"/>
        <v>0</v>
      </c>
      <c r="X94" s="47">
        <f t="shared" si="20"/>
        <v>0</v>
      </c>
      <c r="Y94" s="47">
        <f t="shared" si="20"/>
        <v>0</v>
      </c>
      <c r="Z94" s="47">
        <f t="shared" si="20"/>
        <v>0</v>
      </c>
      <c r="AA94" s="47">
        <f t="shared" si="20"/>
        <v>0</v>
      </c>
    </row>
    <row r="95" spans="1:27" x14ac:dyDescent="0.25">
      <c r="A95" s="101">
        <v>17</v>
      </c>
      <c r="B95" s="47" t="str">
        <f>B90</f>
        <v>Central</v>
      </c>
      <c r="C95" s="47" t="str">
        <f>C90</f>
        <v>R</v>
      </c>
      <c r="D95" s="47" t="str">
        <f>D90</f>
        <v>Sewer</v>
      </c>
      <c r="E95" s="47" t="s">
        <v>660</v>
      </c>
      <c r="F95" s="47" t="s">
        <v>661</v>
      </c>
      <c r="H95" s="102">
        <f>IF(OR($D95=W,$D95=WS),'INPUT Reg'!AD113,IF($D95=RW,'INPUT Reg'!AD117,0))</f>
        <v>0</v>
      </c>
      <c r="I95" s="102">
        <f>IF(OR($D95=W,$D95=WS),'INPUT Reg'!AE113,IF($D95=RW,'INPUT Reg'!AE117,0))</f>
        <v>0</v>
      </c>
      <c r="J95" s="102">
        <f>IF(OR($D95=W,$D95=WS),'INPUT Reg'!AF113,IF($D95=RW,'INPUT Reg'!AF117,0))</f>
        <v>0</v>
      </c>
      <c r="K95" s="102">
        <f>IF(OR($D95=W,$D95=WS),'INPUT Reg'!AG113,IF($D95=RW,'INPUT Reg'!AG117,0))</f>
        <v>0</v>
      </c>
      <c r="L95" s="102">
        <f>IF(OR($D95=W,$D95=WS),'INPUT Reg'!AH113,IF($D95=RW,'INPUT Reg'!AH117,0))</f>
        <v>0</v>
      </c>
      <c r="M95" s="102">
        <f>IF(OR($D95=W,$D95=WS),'INPUT Reg'!AI113,IF($D95=RW,'INPUT Reg'!AI117,0))</f>
        <v>0</v>
      </c>
      <c r="N95" s="102">
        <f>IF(OR($D95=W,$D95=WS),'INPUT Reg'!AJ113,IF($D95=RW,'INPUT Reg'!AJ117,0))</f>
        <v>0</v>
      </c>
      <c r="O95" s="102">
        <f>IF(OR($D95=W,$D95=WS),'INPUT Reg'!AK113,IF($D95=RW,'INPUT Reg'!AK117,0))</f>
        <v>0</v>
      </c>
      <c r="P95" s="102">
        <f>IF(OR($D95=W,$D95=WS),'INPUT Reg'!AL113,IF($D95=RW,'INPUT Reg'!AL117,0))</f>
        <v>0</v>
      </c>
      <c r="Q95" s="102">
        <f>IF(OR($D95=W,$D95=WS),'INPUT Reg'!AM113,IF($D95=RW,'INPUT Reg'!AM117,0))</f>
        <v>0</v>
      </c>
      <c r="R95" s="102">
        <f>IF(OR($D95=W,$D95=WS),'INPUT Reg'!AN113,IF($D95=RW,'INPUT Reg'!AN117,0))</f>
        <v>0</v>
      </c>
      <c r="S95" s="102">
        <f>IF(OR($D95=W,$D95=WS),'INPUT Reg'!AO113,IF($D95=RW,'INPUT Reg'!AO117,0))</f>
        <v>0</v>
      </c>
      <c r="T95" s="102">
        <f>IF(OR($D95=W,$D95=WS),'INPUT Reg'!AP113,IF($D95=RW,'INPUT Reg'!AP117,0))</f>
        <v>0</v>
      </c>
      <c r="U95" s="102">
        <f>IF(OR($D95=W,$D95=WS),'INPUT Reg'!AQ113,IF($D95=RW,'INPUT Reg'!AQ117,0))</f>
        <v>0</v>
      </c>
      <c r="V95" s="102">
        <f>IF(OR($D95=W,$D95=WS),'INPUT Reg'!AR113,IF($D95=RW,'INPUT Reg'!AR117,0))</f>
        <v>0</v>
      </c>
      <c r="W95" s="102">
        <f>IF(OR($D95=W,$D95=WS),'INPUT Reg'!AS113,IF($D95=RW,'INPUT Reg'!AS117,0))</f>
        <v>0</v>
      </c>
      <c r="X95" s="102">
        <f>IF(OR($D95=W,$D95=WS),'INPUT Reg'!AT113,IF($D95=RW,'INPUT Reg'!AT117,0))</f>
        <v>0</v>
      </c>
      <c r="Y95" s="102">
        <f>IF(OR($D95=W,$D95=WS),'INPUT Reg'!AU113,IF($D95=RW,'INPUT Reg'!AU117,0))</f>
        <v>0</v>
      </c>
      <c r="Z95" s="102">
        <f>IF(OR($D95=W,$D95=WS),'INPUT Reg'!AV113,IF($D95=RW,'INPUT Reg'!AV117,0))</f>
        <v>0</v>
      </c>
      <c r="AA95" s="102">
        <f>IF(OR($D95=W,$D95=WS),'INPUT Reg'!AW113,IF($D95=RW,'INPUT Reg'!AW117,0))</f>
        <v>0</v>
      </c>
    </row>
    <row r="96" spans="1:27" x14ac:dyDescent="0.25">
      <c r="B96" s="47" t="str">
        <f>B90</f>
        <v>Central</v>
      </c>
      <c r="C96" s="47" t="str">
        <f t="shared" ref="C96:D96" si="21">C90</f>
        <v>R</v>
      </c>
      <c r="D96" s="47" t="str">
        <f t="shared" si="21"/>
        <v>Sewer</v>
      </c>
      <c r="E96" s="47" t="s">
        <v>662</v>
      </c>
      <c r="F96" s="47" t="s">
        <v>661</v>
      </c>
      <c r="H96" s="102">
        <f>IF(OR($D96=W,$D96=WS),'INPUT Reg'!AD114,0)</f>
        <v>0</v>
      </c>
      <c r="I96" s="102">
        <f>IF(OR($D96=W,$D96=WS),'INPUT Reg'!AE114,0)</f>
        <v>0</v>
      </c>
      <c r="J96" s="102">
        <f>IF(OR($D96=W,$D96=WS),'INPUT Reg'!AF114,0)</f>
        <v>0</v>
      </c>
      <c r="K96" s="102">
        <f>IF(OR($D96=W,$D96=WS),'INPUT Reg'!AG114,0)</f>
        <v>0</v>
      </c>
      <c r="L96" s="102">
        <f>IF(OR($D96=W,$D96=WS),'INPUT Reg'!AH114,0)</f>
        <v>0</v>
      </c>
      <c r="M96" s="102">
        <f>IF(OR($D96=W,$D96=WS),'INPUT Reg'!AI114,0)</f>
        <v>0</v>
      </c>
      <c r="N96" s="102">
        <f>IF(OR($D96=W,$D96=WS),'INPUT Reg'!AJ114,0)</f>
        <v>0</v>
      </c>
      <c r="O96" s="102">
        <f>IF(OR($D96=W,$D96=WS),'INPUT Reg'!AK114,0)</f>
        <v>0</v>
      </c>
      <c r="P96" s="102">
        <f>IF(OR($D96=W,$D96=WS),'INPUT Reg'!AL114,0)</f>
        <v>0</v>
      </c>
      <c r="Q96" s="102">
        <f>IF(OR($D96=W,$D96=WS),'INPUT Reg'!AM114,0)</f>
        <v>0</v>
      </c>
      <c r="R96" s="102">
        <f>IF(OR($D96=W,$D96=WS),'INPUT Reg'!AN114,0)</f>
        <v>0</v>
      </c>
      <c r="S96" s="102">
        <f>IF(OR($D96=W,$D96=WS),'INPUT Reg'!AO114,0)</f>
        <v>0</v>
      </c>
      <c r="T96" s="102">
        <f>IF(OR($D96=W,$D96=WS),'INPUT Reg'!AP114,0)</f>
        <v>0</v>
      </c>
      <c r="U96" s="102">
        <f>IF(OR($D96=W,$D96=WS),'INPUT Reg'!AQ114,0)</f>
        <v>0</v>
      </c>
      <c r="V96" s="102">
        <f>IF(OR($D96=W,$D96=WS),'INPUT Reg'!AR114,0)</f>
        <v>0</v>
      </c>
      <c r="W96" s="102">
        <f>IF(OR($D96=W,$D96=WS),'INPUT Reg'!AS114,0)</f>
        <v>0</v>
      </c>
      <c r="X96" s="102">
        <f>IF(OR($D96=W,$D96=WS),'INPUT Reg'!AT114,0)</f>
        <v>0</v>
      </c>
      <c r="Y96" s="102">
        <f>IF(OR($D96=W,$D96=WS),'INPUT Reg'!AU114,0)</f>
        <v>0</v>
      </c>
      <c r="Z96" s="102">
        <f>IF(OR($D96=W,$D96=WS),'INPUT Reg'!AV114,0)</f>
        <v>0</v>
      </c>
      <c r="AA96" s="102">
        <f>IF(OR($D96=W,$D96=WS),'INPUT Reg'!AW114,0)</f>
        <v>0</v>
      </c>
    </row>
    <row r="97" spans="1:27" x14ac:dyDescent="0.25">
      <c r="B97" s="47" t="str">
        <f>B90</f>
        <v>Central</v>
      </c>
      <c r="C97" s="47" t="str">
        <f t="shared" ref="C97:D97" si="22">C90</f>
        <v>R</v>
      </c>
      <c r="D97" s="47" t="str">
        <f t="shared" si="22"/>
        <v>Sewer</v>
      </c>
      <c r="E97" s="47" t="s">
        <v>663</v>
      </c>
      <c r="F97" s="47" t="s">
        <v>661</v>
      </c>
      <c r="H97" s="102">
        <f>IF(OR($D97=S,$D97=WS),'INPUT Reg'!AD116,0)</f>
        <v>96.209345157445028</v>
      </c>
      <c r="I97" s="102">
        <f>IF(OR($D97=S,$D97=WS),'INPUT Reg'!AE116,0)</f>
        <v>96.251920721192263</v>
      </c>
      <c r="J97" s="102">
        <f>IF(OR($D97=S,$D97=WS),'INPUT Reg'!AF116,0)</f>
        <v>94.332966704283663</v>
      </c>
      <c r="K97" s="102">
        <f>IF(OR($D97=S,$D97=WS),'INPUT Reg'!AG116,0)</f>
        <v>93.631241827116241</v>
      </c>
      <c r="L97" s="102">
        <f>IF(OR($D97=S,$D97=WS),'INPUT Reg'!AH116,0)</f>
        <v>92.954868066711825</v>
      </c>
      <c r="M97" s="102">
        <f>IF(OR($D97=S,$D97=WS),'INPUT Reg'!AI116,0)</f>
        <v>91.267051711582297</v>
      </c>
      <c r="N97" s="102">
        <f>IF(OR($D97=S,$D97=WS),'INPUT Reg'!AJ116,0)</f>
        <v>91.65775723155113</v>
      </c>
      <c r="O97" s="102">
        <f>IF(OR($D97=S,$D97=WS),'INPUT Reg'!AK116,0)</f>
        <v>91.015700390579795</v>
      </c>
      <c r="P97" s="102">
        <f>IF(OR($D97=S,$D97=WS),'INPUT Reg'!AL116,0)</f>
        <v>90.3901544303924</v>
      </c>
      <c r="Q97" s="102">
        <f>IF(OR($D97=S,$D97=WS),'INPUT Reg'!AM116,0)</f>
        <v>88.675982224952236</v>
      </c>
      <c r="R97" s="102">
        <f>IF(OR($D97=S,$D97=WS),'INPUT Reg'!AN116,0)</f>
        <v>88.064256945889042</v>
      </c>
      <c r="S97" s="102">
        <f>IF(OR($D97=S,$D97=WS),'INPUT Reg'!AO116,0)</f>
        <v>87.472668641279483</v>
      </c>
      <c r="T97" s="102">
        <f>IF(OR($D97=S,$D97=WS),'INPUT Reg'!AP116,0)</f>
        <v>86.896785706983835</v>
      </c>
      <c r="U97" s="102">
        <f>IF(OR($D97=S,$D97=WS),'INPUT Reg'!AQ116,0)</f>
        <v>86.337299897091711</v>
      </c>
      <c r="V97" s="102">
        <f>IF(OR($D97=S,$D97=WS),'INPUT Reg'!AR116,0)</f>
        <v>85.790546730678273</v>
      </c>
      <c r="W97" s="102">
        <f>IF(OR($D97=S,$D97=WS),'INPUT Reg'!AS116,0)</f>
        <v>85.252754124725669</v>
      </c>
      <c r="X97" s="102">
        <f>IF(OR($D97=S,$D97=WS),'INPUT Reg'!AT116,0)</f>
        <v>84.314692618921896</v>
      </c>
      <c r="Y97" s="102">
        <f>IF(OR($D97=S,$D97=WS),'INPUT Reg'!AU116,0)</f>
        <v>83.841163414979292</v>
      </c>
      <c r="Z97" s="102">
        <f>IF(OR($D97=S,$D97=WS),'INPUT Reg'!AV116,0)</f>
        <v>83.388493945966971</v>
      </c>
      <c r="AA97" s="102">
        <f>IF(OR($D97=S,$D97=WS),'INPUT Reg'!AW116,0)</f>
        <v>83.388493945966971</v>
      </c>
    </row>
    <row r="98" spans="1:27" x14ac:dyDescent="0.25">
      <c r="C98" s="100"/>
      <c r="D98" s="100"/>
      <c r="E98" s="47" t="s">
        <v>664</v>
      </c>
      <c r="F98" s="47" t="s">
        <v>665</v>
      </c>
      <c r="H98" s="106">
        <f>H91*H95</f>
        <v>0</v>
      </c>
      <c r="I98" s="106">
        <f t="shared" ref="I98:AA98" si="23">I91*I95</f>
        <v>0</v>
      </c>
      <c r="J98" s="106">
        <f t="shared" si="23"/>
        <v>0</v>
      </c>
      <c r="K98" s="106">
        <f t="shared" si="23"/>
        <v>0</v>
      </c>
      <c r="L98" s="106">
        <f t="shared" si="23"/>
        <v>0</v>
      </c>
      <c r="M98" s="106">
        <f t="shared" si="23"/>
        <v>0</v>
      </c>
      <c r="N98" s="106">
        <f t="shared" si="23"/>
        <v>0</v>
      </c>
      <c r="O98" s="106">
        <f t="shared" si="23"/>
        <v>0</v>
      </c>
      <c r="P98" s="106">
        <f t="shared" si="23"/>
        <v>0</v>
      </c>
      <c r="Q98" s="106">
        <f t="shared" si="23"/>
        <v>0</v>
      </c>
      <c r="R98" s="106">
        <f t="shared" si="23"/>
        <v>0</v>
      </c>
      <c r="S98" s="106">
        <f t="shared" si="23"/>
        <v>0</v>
      </c>
      <c r="T98" s="106">
        <f t="shared" si="23"/>
        <v>0</v>
      </c>
      <c r="U98" s="106">
        <f t="shared" si="23"/>
        <v>0</v>
      </c>
      <c r="V98" s="106">
        <f t="shared" si="23"/>
        <v>0</v>
      </c>
      <c r="W98" s="106">
        <f t="shared" si="23"/>
        <v>0</v>
      </c>
      <c r="X98" s="106">
        <f t="shared" si="23"/>
        <v>0</v>
      </c>
      <c r="Y98" s="106">
        <f t="shared" si="23"/>
        <v>0</v>
      </c>
      <c r="Z98" s="106">
        <f t="shared" si="23"/>
        <v>0</v>
      </c>
      <c r="AA98" s="106">
        <f t="shared" si="23"/>
        <v>0</v>
      </c>
    </row>
    <row r="99" spans="1:27" x14ac:dyDescent="0.25">
      <c r="C99" s="100"/>
      <c r="D99" s="100"/>
      <c r="E99" s="47" t="s">
        <v>666</v>
      </c>
      <c r="F99" s="47" t="s">
        <v>665</v>
      </c>
      <c r="H99" s="106">
        <f>H91*H96</f>
        <v>0</v>
      </c>
      <c r="I99" s="106">
        <f t="shared" ref="I99:AA99" si="24">I91*I96</f>
        <v>0</v>
      </c>
      <c r="J99" s="106">
        <f t="shared" si="24"/>
        <v>0</v>
      </c>
      <c r="K99" s="106">
        <f t="shared" si="24"/>
        <v>0</v>
      </c>
      <c r="L99" s="106">
        <f t="shared" si="24"/>
        <v>0</v>
      </c>
      <c r="M99" s="106">
        <f t="shared" si="24"/>
        <v>0</v>
      </c>
      <c r="N99" s="106">
        <f t="shared" si="24"/>
        <v>0</v>
      </c>
      <c r="O99" s="106">
        <f t="shared" si="24"/>
        <v>0</v>
      </c>
      <c r="P99" s="106">
        <f t="shared" si="24"/>
        <v>0</v>
      </c>
      <c r="Q99" s="106">
        <f t="shared" si="24"/>
        <v>0</v>
      </c>
      <c r="R99" s="106">
        <f t="shared" si="24"/>
        <v>0</v>
      </c>
      <c r="S99" s="106">
        <f t="shared" si="24"/>
        <v>0</v>
      </c>
      <c r="T99" s="106">
        <f t="shared" si="24"/>
        <v>0</v>
      </c>
      <c r="U99" s="106">
        <f t="shared" si="24"/>
        <v>0</v>
      </c>
      <c r="V99" s="106">
        <f t="shared" si="24"/>
        <v>0</v>
      </c>
      <c r="W99" s="106">
        <f t="shared" si="24"/>
        <v>0</v>
      </c>
      <c r="X99" s="106">
        <f t="shared" si="24"/>
        <v>0</v>
      </c>
      <c r="Y99" s="106">
        <f t="shared" si="24"/>
        <v>0</v>
      </c>
      <c r="Z99" s="106">
        <f t="shared" si="24"/>
        <v>0</v>
      </c>
      <c r="AA99" s="106">
        <f t="shared" si="24"/>
        <v>0</v>
      </c>
    </row>
    <row r="100" spans="1:27" x14ac:dyDescent="0.25">
      <c r="C100" s="100"/>
      <c r="D100" s="100"/>
      <c r="E100" s="47" t="s">
        <v>667</v>
      </c>
      <c r="F100" s="47" t="s">
        <v>665</v>
      </c>
      <c r="H100" s="106">
        <f>H91*H97</f>
        <v>0</v>
      </c>
      <c r="I100" s="106">
        <f t="shared" ref="I100:AA100" si="25">I91*I97</f>
        <v>0</v>
      </c>
      <c r="J100" s="106">
        <f t="shared" si="25"/>
        <v>0</v>
      </c>
      <c r="K100" s="106">
        <f t="shared" si="25"/>
        <v>0</v>
      </c>
      <c r="L100" s="106">
        <f t="shared" si="25"/>
        <v>0</v>
      </c>
      <c r="M100" s="106">
        <f t="shared" si="25"/>
        <v>0</v>
      </c>
      <c r="N100" s="106">
        <f t="shared" si="25"/>
        <v>0</v>
      </c>
      <c r="O100" s="106">
        <f t="shared" si="25"/>
        <v>0</v>
      </c>
      <c r="P100" s="106">
        <f t="shared" si="25"/>
        <v>0</v>
      </c>
      <c r="Q100" s="106">
        <f t="shared" si="25"/>
        <v>0</v>
      </c>
      <c r="R100" s="106">
        <f t="shared" si="25"/>
        <v>0</v>
      </c>
      <c r="S100" s="106">
        <f t="shared" si="25"/>
        <v>0</v>
      </c>
      <c r="T100" s="106">
        <f t="shared" si="25"/>
        <v>0</v>
      </c>
      <c r="U100" s="106">
        <f t="shared" si="25"/>
        <v>0</v>
      </c>
      <c r="V100" s="106">
        <f t="shared" si="25"/>
        <v>0</v>
      </c>
      <c r="W100" s="106">
        <f t="shared" si="25"/>
        <v>0</v>
      </c>
      <c r="X100" s="106">
        <f t="shared" si="25"/>
        <v>0</v>
      </c>
      <c r="Y100" s="106">
        <f t="shared" si="25"/>
        <v>0</v>
      </c>
      <c r="Z100" s="106">
        <f t="shared" si="25"/>
        <v>0</v>
      </c>
      <c r="AA100" s="106">
        <f t="shared" si="25"/>
        <v>0</v>
      </c>
    </row>
    <row r="101" spans="1:27" x14ac:dyDescent="0.25">
      <c r="A101" s="101">
        <v>18</v>
      </c>
      <c r="B101" s="47" t="str">
        <f>B95</f>
        <v>Central</v>
      </c>
      <c r="C101" s="47" t="str">
        <f t="shared" ref="C101:D101" si="26">C95</f>
        <v>R</v>
      </c>
      <c r="D101" s="47" t="str">
        <f t="shared" si="26"/>
        <v>Sewer</v>
      </c>
      <c r="E101" s="47" t="s">
        <v>668</v>
      </c>
      <c r="F101" s="47" t="s">
        <v>633</v>
      </c>
      <c r="H101" s="105">
        <f>SUMIFS('INPUT Reg'!AD$94:AD$109,'INPUT Reg'!$D$94:$D$109,$D101,'INPUT Reg'!$C$94:$C$109,$C101,'INPUT Reg'!$B$94:$B$109,$B101)</f>
        <v>1.1257742014708194E-2</v>
      </c>
      <c r="I101" s="105">
        <f>SUMIFS('INPUT Reg'!AE$94:AE$109,'INPUT Reg'!$D$94:$D$109,$D101,'INPUT Reg'!$C$94:$C$109,$C101,'INPUT Reg'!$B$94:$B$109,$B101)</f>
        <v>1.1132416145739121E-2</v>
      </c>
      <c r="J101" s="105">
        <f>SUMIFS('INPUT Reg'!AF$94:AF$109,'INPUT Reg'!$D$94:$D$109,$D101,'INPUT Reg'!$C$94:$C$109,$C101,'INPUT Reg'!$B$94:$B$109,$B101)</f>
        <v>1.1009849914785486E-2</v>
      </c>
      <c r="K101" s="105">
        <f>SUMIFS('INPUT Reg'!AG$94:AG$109,'INPUT Reg'!$D$94:$D$109,$D101,'INPUT Reg'!$C$94:$C$109,$C101,'INPUT Reg'!$B$94:$B$109,$B101)</f>
        <v>1.088995316486141E-2</v>
      </c>
      <c r="L101" s="105">
        <f>SUMIFS('INPUT Reg'!AH$94:AH$109,'INPUT Reg'!$D$94:$D$109,$D101,'INPUT Reg'!$C$94:$C$109,$C101,'INPUT Reg'!$B$94:$B$109,$B101)</f>
        <v>1.1597511273610639E-2</v>
      </c>
      <c r="M101" s="105">
        <f>SUMIFS('INPUT Reg'!AI$94:AI$109,'INPUT Reg'!$D$94:$D$109,$D101,'INPUT Reg'!$C$94:$C$109,$C101,'INPUT Reg'!$B$94:$B$109,$B101)</f>
        <v>1.146455101397903E-2</v>
      </c>
      <c r="N101" s="105">
        <f>SUMIFS('INPUT Reg'!AJ$94:AJ$109,'INPUT Reg'!$D$94:$D$109,$D101,'INPUT Reg'!$C$94:$C$109,$C101,'INPUT Reg'!$B$94:$B$109,$B101)</f>
        <v>1.1334604858357133E-2</v>
      </c>
      <c r="O101" s="105">
        <f>SUMIFS('INPUT Reg'!AK$94:AK$109,'INPUT Reg'!$D$94:$D$109,$D101,'INPUT Reg'!$C$94:$C$109,$C101,'INPUT Reg'!$B$94:$B$109,$B101)</f>
        <v>1.1207571464386445E-2</v>
      </c>
      <c r="P101" s="105">
        <f>SUMIFS('INPUT Reg'!AL$94:AL$109,'INPUT Reg'!$D$94:$D$109,$D101,'INPUT Reg'!$C$94:$C$109,$C101,'INPUT Reg'!$B$94:$B$109,$B101)</f>
        <v>1.1083353982561883E-2</v>
      </c>
      <c r="Q101" s="105">
        <f>SUMIFS('INPUT Reg'!AM$94:AM$109,'INPUT Reg'!$D$94:$D$109,$D101,'INPUT Reg'!$C$94:$C$109,$C101,'INPUT Reg'!$B$94:$B$109,$B101)</f>
        <v>1.4080503861134019E-2</v>
      </c>
      <c r="R101" s="105">
        <f>SUMIFS('INPUT Reg'!AN$94:AN$109,'INPUT Reg'!$D$94:$D$109,$D101,'INPUT Reg'!$C$94:$C$109,$C101,'INPUT Reg'!$B$94:$B$109,$B101)</f>
        <v>0</v>
      </c>
      <c r="S101" s="105">
        <f>SUMIFS('INPUT Reg'!AO$94:AO$109,'INPUT Reg'!$D$94:$D$109,$D101,'INPUT Reg'!$C$94:$C$109,$C101,'INPUT Reg'!$B$94:$B$109,$B101)</f>
        <v>0</v>
      </c>
      <c r="T101" s="105">
        <f>SUMIFS('INPUT Reg'!AP$94:AP$109,'INPUT Reg'!$D$94:$D$109,$D101,'INPUT Reg'!$C$94:$C$109,$C101,'INPUT Reg'!$B$94:$B$109,$B101)</f>
        <v>0</v>
      </c>
      <c r="U101" s="105">
        <f>SUMIFS('INPUT Reg'!AQ$94:AQ$109,'INPUT Reg'!$D$94:$D$109,$D101,'INPUT Reg'!$C$94:$C$109,$C101,'INPUT Reg'!$B$94:$B$109,$B101)</f>
        <v>0</v>
      </c>
      <c r="V101" s="105">
        <f>SUMIFS('INPUT Reg'!AR$94:AR$109,'INPUT Reg'!$D$94:$D$109,$D101,'INPUT Reg'!$C$94:$C$109,$C101,'INPUT Reg'!$B$94:$B$109,$B101)</f>
        <v>-0.11609367173460639</v>
      </c>
      <c r="W101" s="105">
        <f>SUMIFS('INPUT Reg'!AS$94:AS$109,'INPUT Reg'!$D$94:$D$109,$D101,'INPUT Reg'!$C$94:$C$109,$C101,'INPUT Reg'!$B$94:$B$109,$B101)</f>
        <v>0</v>
      </c>
      <c r="X101" s="105">
        <f>SUMIFS('INPUT Reg'!AT$94:AT$109,'INPUT Reg'!$D$94:$D$109,$D101,'INPUT Reg'!$C$94:$C$109,$C101,'INPUT Reg'!$B$94:$B$109,$B101)</f>
        <v>0</v>
      </c>
      <c r="Y101" s="105">
        <f>SUMIFS('INPUT Reg'!AU$94:AU$109,'INPUT Reg'!$D$94:$D$109,$D101,'INPUT Reg'!$C$94:$C$109,$C101,'INPUT Reg'!$B$94:$B$109,$B101)</f>
        <v>0</v>
      </c>
      <c r="Z101" s="105">
        <f>SUMIFS('INPUT Reg'!AV$94:AV$109,'INPUT Reg'!$D$94:$D$109,$D101,'INPUT Reg'!$C$94:$C$109,$C101,'INPUT Reg'!$B$94:$B$109,$B101)</f>
        <v>0</v>
      </c>
      <c r="AA101" s="105">
        <f>SUMIFS('INPUT Reg'!AW$94:AW$109,'INPUT Reg'!$D$94:$D$109,$D101,'INPUT Reg'!$C$94:$C$109,$C101,'INPUT Reg'!$B$94:$B$109,$B101)</f>
        <v>0</v>
      </c>
    </row>
    <row r="102" spans="1:27" x14ac:dyDescent="0.25">
      <c r="A102" s="101">
        <v>19</v>
      </c>
      <c r="B102" s="47" t="str">
        <f>B90</f>
        <v>Central</v>
      </c>
      <c r="C102" s="47" t="str">
        <f t="shared" ref="C102:D102" si="27">C90</f>
        <v>R</v>
      </c>
      <c r="D102" s="47" t="str">
        <f t="shared" si="27"/>
        <v>Sewer</v>
      </c>
      <c r="E102" s="47" t="s">
        <v>669</v>
      </c>
      <c r="F102" s="47" t="s">
        <v>670</v>
      </c>
      <c r="G102" s="108">
        <f>IF(D102=W,CWW_R_W_N,IF(D102=S,CWW_R_S_N,IF(D102=WS,CWW_R_W_N+CWW_R_S_N,CWW_R_R_N)))</f>
        <v>269.56</v>
      </c>
      <c r="H102" s="106">
        <f>G102*(1+$G$14)*(1+H101)</f>
        <v>272.59463693748472</v>
      </c>
      <c r="I102" s="106">
        <f t="shared" ref="I102:AA102" si="28">H102*(1+$G$14)*(1+I101)</f>
        <v>275.6292738749695</v>
      </c>
      <c r="J102" s="106">
        <f t="shared" si="28"/>
        <v>278.66391081245422</v>
      </c>
      <c r="K102" s="106">
        <f t="shared" si="28"/>
        <v>281.69854774993894</v>
      </c>
      <c r="L102" s="106">
        <f t="shared" si="28"/>
        <v>284.96554983322858</v>
      </c>
      <c r="M102" s="106">
        <f t="shared" si="28"/>
        <v>288.23255191651822</v>
      </c>
      <c r="N102" s="106">
        <f t="shared" si="28"/>
        <v>291.49955399980786</v>
      </c>
      <c r="O102" s="106">
        <f t="shared" si="28"/>
        <v>294.7665560830975</v>
      </c>
      <c r="P102" s="106">
        <f t="shared" si="28"/>
        <v>298.03355816638714</v>
      </c>
      <c r="Q102" s="106">
        <f t="shared" si="28"/>
        <v>302.23002083289646</v>
      </c>
      <c r="R102" s="106">
        <f t="shared" si="28"/>
        <v>302.23002083289646</v>
      </c>
      <c r="S102" s="106">
        <f t="shared" si="28"/>
        <v>302.23002083289646</v>
      </c>
      <c r="T102" s="106">
        <f t="shared" si="28"/>
        <v>302.23002083289646</v>
      </c>
      <c r="U102" s="106">
        <f t="shared" si="28"/>
        <v>302.23002083289646</v>
      </c>
      <c r="V102" s="106">
        <f t="shared" si="28"/>
        <v>267.14302800597892</v>
      </c>
      <c r="W102" s="106">
        <f t="shared" si="28"/>
        <v>267.14302800597892</v>
      </c>
      <c r="X102" s="106">
        <f t="shared" si="28"/>
        <v>267.14302800597892</v>
      </c>
      <c r="Y102" s="106">
        <f t="shared" si="28"/>
        <v>267.14302800597892</v>
      </c>
      <c r="Z102" s="106">
        <f t="shared" si="28"/>
        <v>267.14302800597892</v>
      </c>
      <c r="AA102" s="106">
        <f t="shared" si="28"/>
        <v>267.14302800597892</v>
      </c>
    </row>
    <row r="103" spans="1:27" x14ac:dyDescent="0.25">
      <c r="B103" s="47" t="str">
        <f>B90</f>
        <v>Central</v>
      </c>
      <c r="C103" s="47" t="str">
        <f t="shared" ref="C103:D103" si="29">C90</f>
        <v>R</v>
      </c>
      <c r="D103" s="47" t="str">
        <f t="shared" si="29"/>
        <v>Sewer</v>
      </c>
      <c r="E103" s="47" t="s">
        <v>671</v>
      </c>
      <c r="F103" s="47" t="s">
        <v>672</v>
      </c>
      <c r="G103" s="109">
        <f>IF(OR(D103=W,D103=WS),CWW_T1,IF(D103=RW,CWW_R_R_V,0))</f>
        <v>0</v>
      </c>
      <c r="H103" s="110">
        <f>G103*(1+$G$14)*(1+H101)</f>
        <v>0</v>
      </c>
      <c r="I103" s="110">
        <f t="shared" ref="I103:AA103" si="30">H103*(1+$G$14)*(1+I101)</f>
        <v>0</v>
      </c>
      <c r="J103" s="110">
        <f t="shared" si="30"/>
        <v>0</v>
      </c>
      <c r="K103" s="110">
        <f t="shared" si="30"/>
        <v>0</v>
      </c>
      <c r="L103" s="110">
        <f t="shared" si="30"/>
        <v>0</v>
      </c>
      <c r="M103" s="110">
        <f t="shared" si="30"/>
        <v>0</v>
      </c>
      <c r="N103" s="110">
        <f t="shared" si="30"/>
        <v>0</v>
      </c>
      <c r="O103" s="110">
        <f t="shared" si="30"/>
        <v>0</v>
      </c>
      <c r="P103" s="110">
        <f t="shared" si="30"/>
        <v>0</v>
      </c>
      <c r="Q103" s="110">
        <f t="shared" si="30"/>
        <v>0</v>
      </c>
      <c r="R103" s="110">
        <f t="shared" si="30"/>
        <v>0</v>
      </c>
      <c r="S103" s="110">
        <f t="shared" si="30"/>
        <v>0</v>
      </c>
      <c r="T103" s="110">
        <f t="shared" si="30"/>
        <v>0</v>
      </c>
      <c r="U103" s="110">
        <f t="shared" si="30"/>
        <v>0</v>
      </c>
      <c r="V103" s="110">
        <f t="shared" si="30"/>
        <v>0</v>
      </c>
      <c r="W103" s="110">
        <f t="shared" si="30"/>
        <v>0</v>
      </c>
      <c r="X103" s="110">
        <f t="shared" si="30"/>
        <v>0</v>
      </c>
      <c r="Y103" s="110">
        <f t="shared" si="30"/>
        <v>0</v>
      </c>
      <c r="Z103" s="110">
        <f t="shared" si="30"/>
        <v>0</v>
      </c>
      <c r="AA103" s="110">
        <f t="shared" si="30"/>
        <v>0</v>
      </c>
    </row>
    <row r="104" spans="1:27" x14ac:dyDescent="0.25">
      <c r="B104" s="47" t="str">
        <f>B90</f>
        <v>Central</v>
      </c>
      <c r="C104" s="47" t="str">
        <f t="shared" ref="C104:D104" si="31">C90</f>
        <v>R</v>
      </c>
      <c r="D104" s="47" t="str">
        <f t="shared" si="31"/>
        <v>Sewer</v>
      </c>
      <c r="E104" s="47" t="s">
        <v>673</v>
      </c>
      <c r="F104" s="47" t="s">
        <v>672</v>
      </c>
      <c r="G104" s="109">
        <f>IF(OR(D104=W,D104=WS),CWW_T2,0)</f>
        <v>0</v>
      </c>
      <c r="H104" s="110">
        <f>G104*(1+$G$14)*(1+H101)</f>
        <v>0</v>
      </c>
      <c r="I104" s="110">
        <f t="shared" ref="I104:AA104" si="32">H104*(1+$G$14)*(1+I101)</f>
        <v>0</v>
      </c>
      <c r="J104" s="110">
        <f t="shared" si="32"/>
        <v>0</v>
      </c>
      <c r="K104" s="110">
        <f t="shared" si="32"/>
        <v>0</v>
      </c>
      <c r="L104" s="110">
        <f t="shared" si="32"/>
        <v>0</v>
      </c>
      <c r="M104" s="110">
        <f t="shared" si="32"/>
        <v>0</v>
      </c>
      <c r="N104" s="110">
        <f t="shared" si="32"/>
        <v>0</v>
      </c>
      <c r="O104" s="110">
        <f t="shared" si="32"/>
        <v>0</v>
      </c>
      <c r="P104" s="110">
        <f t="shared" si="32"/>
        <v>0</v>
      </c>
      <c r="Q104" s="110">
        <f t="shared" si="32"/>
        <v>0</v>
      </c>
      <c r="R104" s="110">
        <f t="shared" si="32"/>
        <v>0</v>
      </c>
      <c r="S104" s="110">
        <f t="shared" si="32"/>
        <v>0</v>
      </c>
      <c r="T104" s="110">
        <f t="shared" si="32"/>
        <v>0</v>
      </c>
      <c r="U104" s="110">
        <f t="shared" si="32"/>
        <v>0</v>
      </c>
      <c r="V104" s="110">
        <f t="shared" si="32"/>
        <v>0</v>
      </c>
      <c r="W104" s="110">
        <f t="shared" si="32"/>
        <v>0</v>
      </c>
      <c r="X104" s="110">
        <f t="shared" si="32"/>
        <v>0</v>
      </c>
      <c r="Y104" s="110">
        <f t="shared" si="32"/>
        <v>0</v>
      </c>
      <c r="Z104" s="110">
        <f t="shared" si="32"/>
        <v>0</v>
      </c>
      <c r="AA104" s="110">
        <f t="shared" si="32"/>
        <v>0</v>
      </c>
    </row>
    <row r="105" spans="1:27" x14ac:dyDescent="0.25">
      <c r="B105" s="47" t="str">
        <f>B90</f>
        <v>Central</v>
      </c>
      <c r="C105" s="47" t="str">
        <f t="shared" ref="C105:D105" si="33">C90</f>
        <v>R</v>
      </c>
      <c r="D105" s="47" t="str">
        <f t="shared" si="33"/>
        <v>Sewer</v>
      </c>
      <c r="E105" s="47" t="s">
        <v>674</v>
      </c>
      <c r="F105" s="47" t="s">
        <v>672</v>
      </c>
      <c r="G105" s="109">
        <f>IF(OR(D105=S,D105=WS),CWW_R_SDC,0)</f>
        <v>0.78979999999999995</v>
      </c>
      <c r="H105" s="110">
        <f>G105*(1+$G$14)*(1+H101)</f>
        <v>0.79869136464321644</v>
      </c>
      <c r="I105" s="110">
        <f t="shared" ref="I105:AA105" si="34">H105*(1+$G$14)*(1+I101)</f>
        <v>0.80758272928643304</v>
      </c>
      <c r="J105" s="110">
        <f t="shared" si="34"/>
        <v>0.81647409392964954</v>
      </c>
      <c r="K105" s="110">
        <f t="shared" si="34"/>
        <v>0.82536545857286603</v>
      </c>
      <c r="L105" s="110">
        <f t="shared" si="34"/>
        <v>0.83493764378351365</v>
      </c>
      <c r="M105" s="110">
        <f t="shared" si="34"/>
        <v>0.84450982899416116</v>
      </c>
      <c r="N105" s="110">
        <f t="shared" si="34"/>
        <v>0.85408201420480878</v>
      </c>
      <c r="O105" s="110">
        <f t="shared" si="34"/>
        <v>0.86365419941545629</v>
      </c>
      <c r="P105" s="110">
        <f t="shared" si="34"/>
        <v>0.87322638462610391</v>
      </c>
      <c r="Q105" s="110">
        <f t="shared" si="34"/>
        <v>0.88552185210647583</v>
      </c>
      <c r="R105" s="110">
        <f t="shared" si="34"/>
        <v>0.88552185210647583</v>
      </c>
      <c r="S105" s="110">
        <f t="shared" si="34"/>
        <v>0.88552185210647583</v>
      </c>
      <c r="T105" s="110">
        <f t="shared" si="34"/>
        <v>0.88552185210647583</v>
      </c>
      <c r="U105" s="110">
        <f t="shared" si="34"/>
        <v>0.88552185210647583</v>
      </c>
      <c r="V105" s="110">
        <f t="shared" si="34"/>
        <v>0.78271836889420598</v>
      </c>
      <c r="W105" s="110">
        <f t="shared" si="34"/>
        <v>0.78271836889420598</v>
      </c>
      <c r="X105" s="110">
        <f t="shared" si="34"/>
        <v>0.78271836889420598</v>
      </c>
      <c r="Y105" s="110">
        <f t="shared" si="34"/>
        <v>0.78271836889420598</v>
      </c>
      <c r="Z105" s="110">
        <f t="shared" si="34"/>
        <v>0.78271836889420598</v>
      </c>
      <c r="AA105" s="110">
        <f t="shared" si="34"/>
        <v>0.78271836889420598</v>
      </c>
    </row>
    <row r="106" spans="1:27" x14ac:dyDescent="0.25">
      <c r="C106" s="100"/>
      <c r="D106" s="100"/>
    </row>
    <row r="107" spans="1:27" x14ac:dyDescent="0.25">
      <c r="C107" s="100"/>
      <c r="D107" s="100"/>
      <c r="E107" s="47" t="s">
        <v>675</v>
      </c>
      <c r="F107" s="47" t="s">
        <v>676</v>
      </c>
      <c r="H107" s="106">
        <f>SUM(H98:H100)/1000</f>
        <v>0</v>
      </c>
      <c r="I107" s="106">
        <f t="shared" ref="I107:AA107" si="35">SUM(I98:I100)/1000</f>
        <v>0</v>
      </c>
      <c r="J107" s="106">
        <f t="shared" si="35"/>
        <v>0</v>
      </c>
      <c r="K107" s="106">
        <f t="shared" si="35"/>
        <v>0</v>
      </c>
      <c r="L107" s="106">
        <f t="shared" si="35"/>
        <v>0</v>
      </c>
      <c r="M107" s="106">
        <f t="shared" si="35"/>
        <v>0</v>
      </c>
      <c r="N107" s="106">
        <f t="shared" si="35"/>
        <v>0</v>
      </c>
      <c r="O107" s="106">
        <f t="shared" si="35"/>
        <v>0</v>
      </c>
      <c r="P107" s="106">
        <f t="shared" si="35"/>
        <v>0</v>
      </c>
      <c r="Q107" s="106">
        <f t="shared" si="35"/>
        <v>0</v>
      </c>
      <c r="R107" s="106">
        <f t="shared" si="35"/>
        <v>0</v>
      </c>
      <c r="S107" s="106">
        <f t="shared" si="35"/>
        <v>0</v>
      </c>
      <c r="T107" s="106">
        <f t="shared" si="35"/>
        <v>0</v>
      </c>
      <c r="U107" s="106">
        <f t="shared" si="35"/>
        <v>0</v>
      </c>
      <c r="V107" s="106">
        <f t="shared" si="35"/>
        <v>0</v>
      </c>
      <c r="W107" s="106">
        <f t="shared" si="35"/>
        <v>0</v>
      </c>
      <c r="X107" s="106">
        <f t="shared" si="35"/>
        <v>0</v>
      </c>
      <c r="Y107" s="106">
        <f t="shared" si="35"/>
        <v>0</v>
      </c>
      <c r="Z107" s="106">
        <f t="shared" si="35"/>
        <v>0</v>
      </c>
      <c r="AA107" s="106">
        <f t="shared" si="35"/>
        <v>0</v>
      </c>
    </row>
    <row r="108" spans="1:27" x14ac:dyDescent="0.25">
      <c r="C108" s="100"/>
      <c r="D108" s="100"/>
      <c r="E108" s="47" t="s">
        <v>677</v>
      </c>
      <c r="F108" s="47" t="s">
        <v>639</v>
      </c>
      <c r="H108" s="106">
        <f>H91*H102+H98*H103+H99*H104+H100*H105</f>
        <v>0</v>
      </c>
      <c r="I108" s="106">
        <f t="shared" ref="I108:AA108" si="36">I91*I102+I98*I103+I99*I104+I100*I105</f>
        <v>0</v>
      </c>
      <c r="J108" s="106">
        <f t="shared" si="36"/>
        <v>0</v>
      </c>
      <c r="K108" s="106">
        <f t="shared" si="36"/>
        <v>0</v>
      </c>
      <c r="L108" s="106">
        <f t="shared" si="36"/>
        <v>0</v>
      </c>
      <c r="M108" s="106">
        <f t="shared" si="36"/>
        <v>0</v>
      </c>
      <c r="N108" s="106">
        <f t="shared" si="36"/>
        <v>0</v>
      </c>
      <c r="O108" s="106">
        <f t="shared" si="36"/>
        <v>0</v>
      </c>
      <c r="P108" s="106">
        <f t="shared" si="36"/>
        <v>0</v>
      </c>
      <c r="Q108" s="106">
        <f t="shared" si="36"/>
        <v>0</v>
      </c>
      <c r="R108" s="106">
        <f t="shared" si="36"/>
        <v>0</v>
      </c>
      <c r="S108" s="106">
        <f t="shared" si="36"/>
        <v>0</v>
      </c>
      <c r="T108" s="106">
        <f t="shared" si="36"/>
        <v>0</v>
      </c>
      <c r="U108" s="106">
        <f t="shared" si="36"/>
        <v>0</v>
      </c>
      <c r="V108" s="106">
        <f t="shared" si="36"/>
        <v>0</v>
      </c>
      <c r="W108" s="106">
        <f t="shared" si="36"/>
        <v>0</v>
      </c>
      <c r="X108" s="106">
        <f t="shared" si="36"/>
        <v>0</v>
      </c>
      <c r="Y108" s="106">
        <f t="shared" si="36"/>
        <v>0</v>
      </c>
      <c r="Z108" s="106">
        <f t="shared" si="36"/>
        <v>0</v>
      </c>
      <c r="AA108" s="106">
        <f t="shared" si="36"/>
        <v>0</v>
      </c>
    </row>
    <row r="109" spans="1:27" x14ac:dyDescent="0.25">
      <c r="C109" s="100"/>
      <c r="D109" s="100"/>
    </row>
    <row r="110" spans="1:27" x14ac:dyDescent="0.25">
      <c r="C110" s="100"/>
      <c r="D110" s="47" t="s">
        <v>678</v>
      </c>
    </row>
    <row r="111" spans="1:27" x14ac:dyDescent="0.25">
      <c r="A111" s="101">
        <v>20</v>
      </c>
      <c r="B111" s="107" t="s">
        <v>262</v>
      </c>
      <c r="C111" s="47" t="s">
        <v>407</v>
      </c>
      <c r="D111" s="100" t="str">
        <f>$G$4</f>
        <v>Sewer</v>
      </c>
      <c r="E111" s="47" t="s">
        <v>654</v>
      </c>
      <c r="F111" s="47" t="s">
        <v>655</v>
      </c>
      <c r="H111" s="102">
        <f>IF($G$4="Water and sewer",SUMIFS('INPUT Growth'!AD$64:AD$115,'INPUT Growth'!$B$64:$B$115,$A$1,'INPUT Growth'!$F$64:$F$115,$B111,'INPUT Growth'!$E$64:$E$115,$C111),SUMIFS('INPUT Growth'!AD$64:AD$115,'INPUT Growth'!$A$64:$A$115,$A$1,'INPUT Growth'!$F$64:$F$115,$B111,'INPUT Growth'!$E$64:$E$115,$C111))</f>
        <v>0</v>
      </c>
      <c r="I111" s="102">
        <f>IF($G$4="Water and sewer",SUMIFS('INPUT Growth'!AE$64:AE$115,'INPUT Growth'!$B$64:$B$115,$A$1,'INPUT Growth'!$F$64:$F$115,$B111,'INPUT Growth'!$E$64:$E$115,$C111),SUMIFS('INPUT Growth'!AE$64:AE$115,'INPUT Growth'!$A$64:$A$115,$A$1,'INPUT Growth'!$F$64:$F$115,$B111,'INPUT Growth'!$E$64:$E$115,$C111))</f>
        <v>0</v>
      </c>
      <c r="J111" s="102">
        <f>IF($G$4="Water and sewer",SUMIFS('INPUT Growth'!AF$64:AF$115,'INPUT Growth'!$B$64:$B$115,$A$1,'INPUT Growth'!$F$64:$F$115,$B111,'INPUT Growth'!$E$64:$E$115,$C111),SUMIFS('INPUT Growth'!AF$64:AF$115,'INPUT Growth'!$A$64:$A$115,$A$1,'INPUT Growth'!$F$64:$F$115,$B111,'INPUT Growth'!$E$64:$E$115,$C111))</f>
        <v>0</v>
      </c>
      <c r="K111" s="102">
        <f>IF($G$4="Water and sewer",SUMIFS('INPUT Growth'!AG$64:AG$115,'INPUT Growth'!$B$64:$B$115,$A$1,'INPUT Growth'!$F$64:$F$115,$B111,'INPUT Growth'!$E$64:$E$115,$C111),SUMIFS('INPUT Growth'!AG$64:AG$115,'INPUT Growth'!$A$64:$A$115,$A$1,'INPUT Growth'!$F$64:$F$115,$B111,'INPUT Growth'!$E$64:$E$115,$C111))</f>
        <v>0</v>
      </c>
      <c r="L111" s="102">
        <f>IF($G$4="Water and sewer",SUMIFS('INPUT Growth'!AH$64:AH$115,'INPUT Growth'!$B$64:$B$115,$A$1,'INPUT Growth'!$F$64:$F$115,$B111,'INPUT Growth'!$E$64:$E$115,$C111),SUMIFS('INPUT Growth'!AH$64:AH$115,'INPUT Growth'!$A$64:$A$115,$A$1,'INPUT Growth'!$F$64:$F$115,$B111,'INPUT Growth'!$E$64:$E$115,$C111))</f>
        <v>0</v>
      </c>
      <c r="M111" s="102">
        <f>IF($G$4="Water and sewer",SUMIFS('INPUT Growth'!AI$64:AI$115,'INPUT Growth'!$B$64:$B$115,$A$1,'INPUT Growth'!$F$64:$F$115,$B111,'INPUT Growth'!$E$64:$E$115,$C111),SUMIFS('INPUT Growth'!AI$64:AI$115,'INPUT Growth'!$A$64:$A$115,$A$1,'INPUT Growth'!$F$64:$F$115,$B111,'INPUT Growth'!$E$64:$E$115,$C111))</f>
        <v>0</v>
      </c>
      <c r="N111" s="102">
        <f>IF($G$4="Water and sewer",SUMIFS('INPUT Growth'!AJ$64:AJ$115,'INPUT Growth'!$B$64:$B$115,$A$1,'INPUT Growth'!$F$64:$F$115,$B111,'INPUT Growth'!$E$64:$E$115,$C111),SUMIFS('INPUT Growth'!AJ$64:AJ$115,'INPUT Growth'!$A$64:$A$115,$A$1,'INPUT Growth'!$F$64:$F$115,$B111,'INPUT Growth'!$E$64:$E$115,$C111))</f>
        <v>0</v>
      </c>
      <c r="O111" s="102">
        <f>IF($G$4="Water and sewer",SUMIFS('INPUT Growth'!AK$64:AK$115,'INPUT Growth'!$B$64:$B$115,$A$1,'INPUT Growth'!$F$64:$F$115,$B111,'INPUT Growth'!$E$64:$E$115,$C111),SUMIFS('INPUT Growth'!AK$64:AK$115,'INPUT Growth'!$A$64:$A$115,$A$1,'INPUT Growth'!$F$64:$F$115,$B111,'INPUT Growth'!$E$64:$E$115,$C111))</f>
        <v>0</v>
      </c>
      <c r="P111" s="102">
        <f>IF($G$4="Water and sewer",SUMIFS('INPUT Growth'!AL$64:AL$115,'INPUT Growth'!$B$64:$B$115,$A$1,'INPUT Growth'!$F$64:$F$115,$B111,'INPUT Growth'!$E$64:$E$115,$C111),SUMIFS('INPUT Growth'!AL$64:AL$115,'INPUT Growth'!$A$64:$A$115,$A$1,'INPUT Growth'!$F$64:$F$115,$B111,'INPUT Growth'!$E$64:$E$115,$C111))</f>
        <v>0</v>
      </c>
      <c r="Q111" s="102">
        <f>IF($G$4="Water and sewer",SUMIFS('INPUT Growth'!AM$64:AM$115,'INPUT Growth'!$B$64:$B$115,$A$1,'INPUT Growth'!$F$64:$F$115,$B111,'INPUT Growth'!$E$64:$E$115,$C111),SUMIFS('INPUT Growth'!AM$64:AM$115,'INPUT Growth'!$A$64:$A$115,$A$1,'INPUT Growth'!$F$64:$F$115,$B111,'INPUT Growth'!$E$64:$E$115,$C111))</f>
        <v>0</v>
      </c>
      <c r="R111" s="102">
        <f>IF($G$4="Water and sewer",SUMIFS('INPUT Growth'!AN$64:AN$115,'INPUT Growth'!$B$64:$B$115,$A$1,'INPUT Growth'!$F$64:$F$115,$B111,'INPUT Growth'!$E$64:$E$115,$C111),SUMIFS('INPUT Growth'!AN$64:AN$115,'INPUT Growth'!$A$64:$A$115,$A$1,'INPUT Growth'!$F$64:$F$115,$B111,'INPUT Growth'!$E$64:$E$115,$C111))</f>
        <v>0</v>
      </c>
      <c r="S111" s="102">
        <f>IF($G$4="Water and sewer",SUMIFS('INPUT Growth'!AO$64:AO$115,'INPUT Growth'!$B$64:$B$115,$A$1,'INPUT Growth'!$F$64:$F$115,$B111,'INPUT Growth'!$E$64:$E$115,$C111),SUMIFS('INPUT Growth'!AO$64:AO$115,'INPUT Growth'!$A$64:$A$115,$A$1,'INPUT Growth'!$F$64:$F$115,$B111,'INPUT Growth'!$E$64:$E$115,$C111))</f>
        <v>0</v>
      </c>
      <c r="T111" s="102">
        <f>IF($G$4="Water and sewer",SUMIFS('INPUT Growth'!AP$64:AP$115,'INPUT Growth'!$B$64:$B$115,$A$1,'INPUT Growth'!$F$64:$F$115,$B111,'INPUT Growth'!$E$64:$E$115,$C111),SUMIFS('INPUT Growth'!AP$64:AP$115,'INPUT Growth'!$A$64:$A$115,$A$1,'INPUT Growth'!$F$64:$F$115,$B111,'INPUT Growth'!$E$64:$E$115,$C111))</f>
        <v>0</v>
      </c>
      <c r="U111" s="102">
        <f>IF($G$4="Water and sewer",SUMIFS('INPUT Growth'!AQ$64:AQ$115,'INPUT Growth'!$B$64:$B$115,$A$1,'INPUT Growth'!$F$64:$F$115,$B111,'INPUT Growth'!$E$64:$E$115,$C111),SUMIFS('INPUT Growth'!AQ$64:AQ$115,'INPUT Growth'!$A$64:$A$115,$A$1,'INPUT Growth'!$F$64:$F$115,$B111,'INPUT Growth'!$E$64:$E$115,$C111))</f>
        <v>0</v>
      </c>
      <c r="V111" s="102">
        <f>IF($G$4="Water and sewer",SUMIFS('INPUT Growth'!AR$64:AR$115,'INPUT Growth'!$B$64:$B$115,$A$1,'INPUT Growth'!$F$64:$F$115,$B111,'INPUT Growth'!$E$64:$E$115,$C111),SUMIFS('INPUT Growth'!AR$64:AR$115,'INPUT Growth'!$A$64:$A$115,$A$1,'INPUT Growth'!$F$64:$F$115,$B111,'INPUT Growth'!$E$64:$E$115,$C111))</f>
        <v>0</v>
      </c>
      <c r="W111" s="102">
        <f>IF($G$4="Water and sewer",SUMIFS('INPUT Growth'!AS$64:AS$115,'INPUT Growth'!$B$64:$B$115,$A$1,'INPUT Growth'!$F$64:$F$115,$B111,'INPUT Growth'!$E$64:$E$115,$C111),SUMIFS('INPUT Growth'!AS$64:AS$115,'INPUT Growth'!$A$64:$A$115,$A$1,'INPUT Growth'!$F$64:$F$115,$B111,'INPUT Growth'!$E$64:$E$115,$C111))</f>
        <v>0</v>
      </c>
      <c r="X111" s="102">
        <f>IF($G$4="Water and sewer",SUMIFS('INPUT Growth'!AT$64:AT$115,'INPUT Growth'!$B$64:$B$115,$A$1,'INPUT Growth'!$F$64:$F$115,$B111,'INPUT Growth'!$E$64:$E$115,$C111),SUMIFS('INPUT Growth'!AT$64:AT$115,'INPUT Growth'!$A$64:$A$115,$A$1,'INPUT Growth'!$F$64:$F$115,$B111,'INPUT Growth'!$E$64:$E$115,$C111))</f>
        <v>0</v>
      </c>
      <c r="Y111" s="102">
        <f>IF($G$4="Water and sewer",SUMIFS('INPUT Growth'!AU$64:AU$115,'INPUT Growth'!$B$64:$B$115,$A$1,'INPUT Growth'!$F$64:$F$115,$B111,'INPUT Growth'!$E$64:$E$115,$C111),SUMIFS('INPUT Growth'!AU$64:AU$115,'INPUT Growth'!$A$64:$A$115,$A$1,'INPUT Growth'!$F$64:$F$115,$B111,'INPUT Growth'!$E$64:$E$115,$C111))</f>
        <v>0</v>
      </c>
      <c r="Z111" s="102">
        <f>IF($G$4="Water and sewer",SUMIFS('INPUT Growth'!AV$64:AV$115,'INPUT Growth'!$B$64:$B$115,$A$1,'INPUT Growth'!$F$64:$F$115,$B111,'INPUT Growth'!$E$64:$E$115,$C111),SUMIFS('INPUT Growth'!AV$64:AV$115,'INPUT Growth'!$A$64:$A$115,$A$1,'INPUT Growth'!$F$64:$F$115,$B111,'INPUT Growth'!$E$64:$E$115,$C111))</f>
        <v>0</v>
      </c>
      <c r="AA111" s="102">
        <f>IF($G$4="Water and sewer",SUMIFS('INPUT Growth'!AW$64:AW$115,'INPUT Growth'!$B$64:$B$115,$A$1,'INPUT Growth'!$F$64:$F$115,$B111,'INPUT Growth'!$E$64:$E$115,$C111),SUMIFS('INPUT Growth'!AW$64:AW$115,'INPUT Growth'!$A$64:$A$115,$A$1,'INPUT Growth'!$F$64:$F$115,$B111,'INPUT Growth'!$E$64:$E$115,$C111))</f>
        <v>0</v>
      </c>
    </row>
    <row r="112" spans="1:27" x14ac:dyDescent="0.25">
      <c r="C112" s="100"/>
      <c r="D112" s="100"/>
      <c r="E112" s="47" t="s">
        <v>656</v>
      </c>
      <c r="F112" s="47" t="s">
        <v>655</v>
      </c>
      <c r="H112" s="106">
        <f>G112+H111</f>
        <v>0</v>
      </c>
      <c r="I112" s="106">
        <f t="shared" ref="I112:AA112" si="37">H112+I111</f>
        <v>0</v>
      </c>
      <c r="J112" s="106">
        <f t="shared" si="37"/>
        <v>0</v>
      </c>
      <c r="K112" s="106">
        <f t="shared" si="37"/>
        <v>0</v>
      </c>
      <c r="L112" s="106">
        <f t="shared" si="37"/>
        <v>0</v>
      </c>
      <c r="M112" s="106">
        <f t="shared" si="37"/>
        <v>0</v>
      </c>
      <c r="N112" s="106">
        <f t="shared" si="37"/>
        <v>0</v>
      </c>
      <c r="O112" s="106">
        <f t="shared" si="37"/>
        <v>0</v>
      </c>
      <c r="P112" s="106">
        <f t="shared" si="37"/>
        <v>0</v>
      </c>
      <c r="Q112" s="106">
        <f t="shared" si="37"/>
        <v>0</v>
      </c>
      <c r="R112" s="106">
        <f t="shared" si="37"/>
        <v>0</v>
      </c>
      <c r="S112" s="106">
        <f t="shared" si="37"/>
        <v>0</v>
      </c>
      <c r="T112" s="106">
        <f t="shared" si="37"/>
        <v>0</v>
      </c>
      <c r="U112" s="106">
        <f t="shared" si="37"/>
        <v>0</v>
      </c>
      <c r="V112" s="106">
        <f t="shared" si="37"/>
        <v>0</v>
      </c>
      <c r="W112" s="106">
        <f t="shared" si="37"/>
        <v>0</v>
      </c>
      <c r="X112" s="106">
        <f t="shared" si="37"/>
        <v>0</v>
      </c>
      <c r="Y112" s="106">
        <f t="shared" si="37"/>
        <v>0</v>
      </c>
      <c r="Z112" s="106">
        <f t="shared" si="37"/>
        <v>0</v>
      </c>
      <c r="AA112" s="106">
        <f t="shared" si="37"/>
        <v>0</v>
      </c>
    </row>
    <row r="113" spans="1:27" x14ac:dyDescent="0.25">
      <c r="A113" s="101">
        <v>21</v>
      </c>
      <c r="C113" s="100"/>
      <c r="D113" s="100"/>
      <c r="E113" s="47" t="s">
        <v>657</v>
      </c>
      <c r="F113" s="47" t="s">
        <v>655</v>
      </c>
      <c r="G113" s="102">
        <f>Assumptions!$H$46</f>
        <v>2</v>
      </c>
    </row>
    <row r="114" spans="1:27" x14ac:dyDescent="0.25">
      <c r="C114" s="100"/>
      <c r="D114" s="100"/>
      <c r="E114" s="47" t="s">
        <v>658</v>
      </c>
      <c r="F114" s="47" t="s">
        <v>655</v>
      </c>
      <c r="H114" s="47">
        <f>H111*$G113</f>
        <v>0</v>
      </c>
      <c r="I114" s="47">
        <f t="shared" ref="I114:AA114" si="38">I111*$G113</f>
        <v>0</v>
      </c>
      <c r="J114" s="47">
        <f t="shared" si="38"/>
        <v>0</v>
      </c>
      <c r="K114" s="47">
        <f t="shared" si="38"/>
        <v>0</v>
      </c>
      <c r="L114" s="47">
        <f t="shared" si="38"/>
        <v>0</v>
      </c>
      <c r="M114" s="47">
        <f t="shared" si="38"/>
        <v>0</v>
      </c>
      <c r="N114" s="47">
        <f t="shared" si="38"/>
        <v>0</v>
      </c>
      <c r="O114" s="47">
        <f t="shared" si="38"/>
        <v>0</v>
      </c>
      <c r="P114" s="47">
        <f t="shared" si="38"/>
        <v>0</v>
      </c>
      <c r="Q114" s="47">
        <f t="shared" si="38"/>
        <v>0</v>
      </c>
      <c r="R114" s="47">
        <f t="shared" si="38"/>
        <v>0</v>
      </c>
      <c r="S114" s="47">
        <f t="shared" si="38"/>
        <v>0</v>
      </c>
      <c r="T114" s="47">
        <f t="shared" si="38"/>
        <v>0</v>
      </c>
      <c r="U114" s="47">
        <f t="shared" si="38"/>
        <v>0</v>
      </c>
      <c r="V114" s="47">
        <f t="shared" si="38"/>
        <v>0</v>
      </c>
      <c r="W114" s="47">
        <f t="shared" si="38"/>
        <v>0</v>
      </c>
      <c r="X114" s="47">
        <f t="shared" si="38"/>
        <v>0</v>
      </c>
      <c r="Y114" s="47">
        <f t="shared" si="38"/>
        <v>0</v>
      </c>
      <c r="Z114" s="47">
        <f t="shared" si="38"/>
        <v>0</v>
      </c>
      <c r="AA114" s="47">
        <f t="shared" si="38"/>
        <v>0</v>
      </c>
    </row>
    <row r="115" spans="1:27" x14ac:dyDescent="0.25">
      <c r="C115" s="100"/>
      <c r="D115" s="100"/>
      <c r="E115" s="47" t="s">
        <v>659</v>
      </c>
      <c r="F115" s="47" t="s">
        <v>655</v>
      </c>
      <c r="H115" s="47">
        <f>H112*$G113</f>
        <v>0</v>
      </c>
      <c r="I115" s="47">
        <f t="shared" ref="I115:AA115" si="39">I112*$G113</f>
        <v>0</v>
      </c>
      <c r="J115" s="47">
        <f t="shared" si="39"/>
        <v>0</v>
      </c>
      <c r="K115" s="47">
        <f t="shared" si="39"/>
        <v>0</v>
      </c>
      <c r="L115" s="47">
        <f t="shared" si="39"/>
        <v>0</v>
      </c>
      <c r="M115" s="47">
        <f t="shared" si="39"/>
        <v>0</v>
      </c>
      <c r="N115" s="47">
        <f t="shared" si="39"/>
        <v>0</v>
      </c>
      <c r="O115" s="47">
        <f t="shared" si="39"/>
        <v>0</v>
      </c>
      <c r="P115" s="47">
        <f t="shared" si="39"/>
        <v>0</v>
      </c>
      <c r="Q115" s="47">
        <f t="shared" si="39"/>
        <v>0</v>
      </c>
      <c r="R115" s="47">
        <f t="shared" si="39"/>
        <v>0</v>
      </c>
      <c r="S115" s="47">
        <f t="shared" si="39"/>
        <v>0</v>
      </c>
      <c r="T115" s="47">
        <f t="shared" si="39"/>
        <v>0</v>
      </c>
      <c r="U115" s="47">
        <f t="shared" si="39"/>
        <v>0</v>
      </c>
      <c r="V115" s="47">
        <f t="shared" si="39"/>
        <v>0</v>
      </c>
      <c r="W115" s="47">
        <f t="shared" si="39"/>
        <v>0</v>
      </c>
      <c r="X115" s="47">
        <f t="shared" si="39"/>
        <v>0</v>
      </c>
      <c r="Y115" s="47">
        <f t="shared" si="39"/>
        <v>0</v>
      </c>
      <c r="Z115" s="47">
        <f t="shared" si="39"/>
        <v>0</v>
      </c>
      <c r="AA115" s="47">
        <f t="shared" si="39"/>
        <v>0</v>
      </c>
    </row>
    <row r="116" spans="1:27" x14ac:dyDescent="0.25">
      <c r="A116" s="101">
        <v>22</v>
      </c>
      <c r="B116" s="47" t="str">
        <f>B111</f>
        <v>Central</v>
      </c>
      <c r="C116" s="47" t="str">
        <f>C111</f>
        <v>N</v>
      </c>
      <c r="D116" s="47" t="str">
        <f>D111</f>
        <v>Sewer</v>
      </c>
      <c r="E116" s="47" t="s">
        <v>660</v>
      </c>
      <c r="F116" s="47" t="s">
        <v>661</v>
      </c>
      <c r="H116" s="102">
        <f>IF(OR($D116=W,$D116=WS),'INPUT Reg'!AD$118,IF($D116=RW,'INPUT Reg'!AD$120,0))</f>
        <v>0</v>
      </c>
      <c r="I116" s="102">
        <f>IF(OR($D116=W,$D116=WS),'INPUT Reg'!AE$118,IF($D116=RW,'INPUT Reg'!AE$120,0))</f>
        <v>0</v>
      </c>
      <c r="J116" s="102">
        <f>IF(OR($D116=W,$D116=WS),'INPUT Reg'!AF$118,IF($D116=RW,'INPUT Reg'!AF$120,0))</f>
        <v>0</v>
      </c>
      <c r="K116" s="102">
        <f>IF(OR($D116=W,$D116=WS),'INPUT Reg'!AG$118,IF($D116=RW,'INPUT Reg'!AG$120,0))</f>
        <v>0</v>
      </c>
      <c r="L116" s="102">
        <f>IF(OR($D116=W,$D116=WS),'INPUT Reg'!AH$118,IF($D116=RW,'INPUT Reg'!AH$120,0))</f>
        <v>0</v>
      </c>
      <c r="M116" s="102">
        <f>IF(OR($D116=W,$D116=WS),'INPUT Reg'!AI$118,IF($D116=RW,'INPUT Reg'!AI$120,0))</f>
        <v>0</v>
      </c>
      <c r="N116" s="102">
        <f>IF(OR($D116=W,$D116=WS),'INPUT Reg'!AJ$118,IF($D116=RW,'INPUT Reg'!AJ$120,0))</f>
        <v>0</v>
      </c>
      <c r="O116" s="102">
        <f>IF(OR($D116=W,$D116=WS),'INPUT Reg'!AK$118,IF($D116=RW,'INPUT Reg'!AK$120,0))</f>
        <v>0</v>
      </c>
      <c r="P116" s="102">
        <f>IF(OR($D116=W,$D116=WS),'INPUT Reg'!AL$118,IF($D116=RW,'INPUT Reg'!AL$120,0))</f>
        <v>0</v>
      </c>
      <c r="Q116" s="102">
        <f>IF(OR($D116=W,$D116=WS),'INPUT Reg'!AM$118,IF($D116=RW,'INPUT Reg'!AM$120,0))</f>
        <v>0</v>
      </c>
      <c r="R116" s="102">
        <f>IF(OR($D116=W,$D116=WS),'INPUT Reg'!AN$118,IF($D116=RW,'INPUT Reg'!AN$120,0))</f>
        <v>0</v>
      </c>
      <c r="S116" s="102">
        <f>IF(OR($D116=W,$D116=WS),'INPUT Reg'!AO$118,IF($D116=RW,'INPUT Reg'!AO$120,0))</f>
        <v>0</v>
      </c>
      <c r="T116" s="102">
        <f>IF(OR($D116=W,$D116=WS),'INPUT Reg'!AP$118,IF($D116=RW,'INPUT Reg'!AP$120,0))</f>
        <v>0</v>
      </c>
      <c r="U116" s="102">
        <f>IF(OR($D116=W,$D116=WS),'INPUT Reg'!AQ$118,IF($D116=RW,'INPUT Reg'!AQ$120,0))</f>
        <v>0</v>
      </c>
      <c r="V116" s="102">
        <f>IF(OR($D116=W,$D116=WS),'INPUT Reg'!AR$118,IF($D116=RW,'INPUT Reg'!AR$120,0))</f>
        <v>0</v>
      </c>
      <c r="W116" s="102">
        <f>IF(OR($D116=W,$D116=WS),'INPUT Reg'!AS$118,IF($D116=RW,'INPUT Reg'!AS$120,0))</f>
        <v>0</v>
      </c>
      <c r="X116" s="102">
        <f>IF(OR($D116=W,$D116=WS),'INPUT Reg'!AT$118,IF($D116=RW,'INPUT Reg'!AT$120,0))</f>
        <v>0</v>
      </c>
      <c r="Y116" s="102">
        <f>IF(OR($D116=W,$D116=WS),'INPUT Reg'!AU$118,IF($D116=RW,'INPUT Reg'!AU$120,0))</f>
        <v>0</v>
      </c>
      <c r="Z116" s="102">
        <f>IF(OR($D116=W,$D116=WS),'INPUT Reg'!AV$118,IF($D116=RW,'INPUT Reg'!AV$120,0))</f>
        <v>0</v>
      </c>
      <c r="AA116" s="102">
        <f>IF(OR($D116=W,$D116=WS),'INPUT Reg'!AW$118,IF($D116=RW,'INPUT Reg'!AW$120,0))</f>
        <v>0</v>
      </c>
    </row>
    <row r="117" spans="1:27" x14ac:dyDescent="0.25">
      <c r="B117" s="47" t="str">
        <f>B111</f>
        <v>Central</v>
      </c>
      <c r="C117" s="47" t="str">
        <f t="shared" ref="C117:D117" si="40">C111</f>
        <v>N</v>
      </c>
      <c r="D117" s="47" t="str">
        <f t="shared" si="40"/>
        <v>Sewer</v>
      </c>
      <c r="E117" s="47" t="s">
        <v>662</v>
      </c>
      <c r="F117" s="47" t="s">
        <v>661</v>
      </c>
      <c r="H117" s="102"/>
      <c r="I117" s="102"/>
      <c r="J117" s="102"/>
      <c r="K117" s="102"/>
      <c r="L117" s="102"/>
      <c r="M117" s="102"/>
      <c r="N117" s="102"/>
      <c r="O117" s="102"/>
      <c r="P117" s="102"/>
      <c r="Q117" s="102"/>
      <c r="R117" s="102"/>
      <c r="S117" s="102"/>
      <c r="T117" s="102"/>
      <c r="U117" s="102"/>
      <c r="V117" s="102"/>
      <c r="W117" s="102"/>
      <c r="X117" s="102"/>
      <c r="Y117" s="102"/>
      <c r="Z117" s="102"/>
      <c r="AA117" s="102"/>
    </row>
    <row r="118" spans="1:27" x14ac:dyDescent="0.25">
      <c r="B118" s="47" t="str">
        <f>B111</f>
        <v>Central</v>
      </c>
      <c r="C118" s="47" t="str">
        <f t="shared" ref="C118:D118" si="41">C111</f>
        <v>N</v>
      </c>
      <c r="D118" s="47" t="str">
        <f t="shared" si="41"/>
        <v>Sewer</v>
      </c>
      <c r="E118" s="47" t="s">
        <v>663</v>
      </c>
      <c r="F118" s="47" t="s">
        <v>661</v>
      </c>
      <c r="H118" s="102">
        <f>IF(OR($D118=S,$D118=WS),'INPUT Reg'!AD$119,0)</f>
        <v>453.21677844234227</v>
      </c>
      <c r="I118" s="102">
        <f>IF(OR($D118=S,$D118=WS),'INPUT Reg'!AE$119,0)</f>
        <v>455.11451168584722</v>
      </c>
      <c r="J118" s="102">
        <f>IF(OR($D118=S,$D118=WS),'INPUT Reg'!AF$119,0)</f>
        <v>449.37848386637825</v>
      </c>
      <c r="K118" s="102">
        <f>IF(OR($D118=S,$D118=WS),'INPUT Reg'!AG$119,0)</f>
        <v>443.10067438820857</v>
      </c>
      <c r="L118" s="102">
        <f>IF(OR($D118=S,$D118=WS),'INPUT Reg'!AH$119,0)</f>
        <v>437.15390464500325</v>
      </c>
      <c r="M118" s="102">
        <f>IF(OR($D118=S,$D118=WS),'INPUT Reg'!AI$119,0)</f>
        <v>431.5083207193203</v>
      </c>
      <c r="N118" s="102">
        <f>IF(OR($D118=S,$D118=WS),'INPUT Reg'!AJ$119,0)</f>
        <v>426.05494055589423</v>
      </c>
      <c r="O118" s="102">
        <f>IF(OR($D118=S,$D118=WS),'INPUT Reg'!AK$119,0)</f>
        <v>420.70084900226067</v>
      </c>
      <c r="P118" s="102">
        <f>IF(OR($D118=S,$D118=WS),'INPUT Reg'!AL$119,0)</f>
        <v>415.48722468059901</v>
      </c>
      <c r="Q118" s="102">
        <f>IF(OR($D118=S,$D118=WS),'INPUT Reg'!AM$119,0)</f>
        <v>410.36820163245039</v>
      </c>
      <c r="R118" s="102">
        <f>IF(OR($D118=S,$D118=WS),'INPUT Reg'!AN$119,0)</f>
        <v>405.37463854857305</v>
      </c>
      <c r="S118" s="102">
        <f>IF(OR($D118=S,$D118=WS),'INPUT Reg'!AO$119,0)</f>
        <v>400.47529410509895</v>
      </c>
      <c r="T118" s="102">
        <f>IF(OR($D118=S,$D118=WS),'INPUT Reg'!AP$119,0)</f>
        <v>395.63776974092383</v>
      </c>
      <c r="U118" s="102">
        <f>IF(OR($D118=S,$D118=WS),'INPUT Reg'!AQ$119,0)</f>
        <v>390.91011777175237</v>
      </c>
      <c r="V118" s="102">
        <f>IF(OR($D118=S,$D118=WS),'INPUT Reg'!AR$119,0)</f>
        <v>386.30913078953427</v>
      </c>
      <c r="W118" s="102">
        <f>IF(OR($D118=S,$D118=WS),'INPUT Reg'!AS$119,0)</f>
        <v>381.8918651148926</v>
      </c>
      <c r="X118" s="102">
        <f>IF(OR($D118=S,$D118=WS),'INPUT Reg'!AT$119,0)</f>
        <v>377.63261844346306</v>
      </c>
      <c r="Y118" s="102">
        <f>IF(OR($D118=S,$D118=WS),'INPUT Reg'!AU$119,0)</f>
        <v>373.47129339851563</v>
      </c>
      <c r="Z118" s="102">
        <f>IF(OR($D118=S,$D118=WS),'INPUT Reg'!AV$119,0)</f>
        <v>369.44283842192328</v>
      </c>
      <c r="AA118" s="102">
        <f>IF(OR($D118=S,$D118=WS),'INPUT Reg'!AW$119,0)</f>
        <v>369.44283842192328</v>
      </c>
    </row>
    <row r="119" spans="1:27" x14ac:dyDescent="0.25">
      <c r="C119" s="100"/>
      <c r="D119" s="100"/>
      <c r="E119" s="47" t="s">
        <v>664</v>
      </c>
      <c r="F119" s="47" t="s">
        <v>665</v>
      </c>
      <c r="H119" s="106">
        <f>H112*H116</f>
        <v>0</v>
      </c>
      <c r="I119" s="106">
        <f t="shared" ref="I119:AA119" si="42">I112*I116</f>
        <v>0</v>
      </c>
      <c r="J119" s="106">
        <f t="shared" si="42"/>
        <v>0</v>
      </c>
      <c r="K119" s="106">
        <f t="shared" si="42"/>
        <v>0</v>
      </c>
      <c r="L119" s="106">
        <f t="shared" si="42"/>
        <v>0</v>
      </c>
      <c r="M119" s="106">
        <f t="shared" si="42"/>
        <v>0</v>
      </c>
      <c r="N119" s="106">
        <f t="shared" si="42"/>
        <v>0</v>
      </c>
      <c r="O119" s="106">
        <f t="shared" si="42"/>
        <v>0</v>
      </c>
      <c r="P119" s="106">
        <f t="shared" si="42"/>
        <v>0</v>
      </c>
      <c r="Q119" s="106">
        <f t="shared" si="42"/>
        <v>0</v>
      </c>
      <c r="R119" s="106">
        <f t="shared" si="42"/>
        <v>0</v>
      </c>
      <c r="S119" s="106">
        <f t="shared" si="42"/>
        <v>0</v>
      </c>
      <c r="T119" s="106">
        <f t="shared" si="42"/>
        <v>0</v>
      </c>
      <c r="U119" s="106">
        <f t="shared" si="42"/>
        <v>0</v>
      </c>
      <c r="V119" s="106">
        <f t="shared" si="42"/>
        <v>0</v>
      </c>
      <c r="W119" s="106">
        <f t="shared" si="42"/>
        <v>0</v>
      </c>
      <c r="X119" s="106">
        <f t="shared" si="42"/>
        <v>0</v>
      </c>
      <c r="Y119" s="106">
        <f t="shared" si="42"/>
        <v>0</v>
      </c>
      <c r="Z119" s="106">
        <f t="shared" si="42"/>
        <v>0</v>
      </c>
      <c r="AA119" s="106">
        <f t="shared" si="42"/>
        <v>0</v>
      </c>
    </row>
    <row r="120" spans="1:27" x14ac:dyDescent="0.25">
      <c r="C120" s="100"/>
      <c r="D120" s="100"/>
      <c r="E120" s="47" t="s">
        <v>666</v>
      </c>
      <c r="F120" s="47" t="s">
        <v>665</v>
      </c>
      <c r="H120" s="106">
        <f>H112*H117</f>
        <v>0</v>
      </c>
      <c r="I120" s="106">
        <f t="shared" ref="I120:AA120" si="43">I112*I117</f>
        <v>0</v>
      </c>
      <c r="J120" s="106">
        <f t="shared" si="43"/>
        <v>0</v>
      </c>
      <c r="K120" s="106">
        <f t="shared" si="43"/>
        <v>0</v>
      </c>
      <c r="L120" s="106">
        <f t="shared" si="43"/>
        <v>0</v>
      </c>
      <c r="M120" s="106">
        <f t="shared" si="43"/>
        <v>0</v>
      </c>
      <c r="N120" s="106">
        <f t="shared" si="43"/>
        <v>0</v>
      </c>
      <c r="O120" s="106">
        <f t="shared" si="43"/>
        <v>0</v>
      </c>
      <c r="P120" s="106">
        <f t="shared" si="43"/>
        <v>0</v>
      </c>
      <c r="Q120" s="106">
        <f t="shared" si="43"/>
        <v>0</v>
      </c>
      <c r="R120" s="106">
        <f t="shared" si="43"/>
        <v>0</v>
      </c>
      <c r="S120" s="106">
        <f t="shared" si="43"/>
        <v>0</v>
      </c>
      <c r="T120" s="106">
        <f t="shared" si="43"/>
        <v>0</v>
      </c>
      <c r="U120" s="106">
        <f t="shared" si="43"/>
        <v>0</v>
      </c>
      <c r="V120" s="106">
        <f t="shared" si="43"/>
        <v>0</v>
      </c>
      <c r="W120" s="106">
        <f t="shared" si="43"/>
        <v>0</v>
      </c>
      <c r="X120" s="106">
        <f t="shared" si="43"/>
        <v>0</v>
      </c>
      <c r="Y120" s="106">
        <f t="shared" si="43"/>
        <v>0</v>
      </c>
      <c r="Z120" s="106">
        <f t="shared" si="43"/>
        <v>0</v>
      </c>
      <c r="AA120" s="106">
        <f t="shared" si="43"/>
        <v>0</v>
      </c>
    </row>
    <row r="121" spans="1:27" x14ac:dyDescent="0.25">
      <c r="C121" s="100"/>
      <c r="D121" s="100"/>
      <c r="E121" s="47" t="s">
        <v>667</v>
      </c>
      <c r="F121" s="47" t="s">
        <v>665</v>
      </c>
      <c r="H121" s="106">
        <f>H112*H118</f>
        <v>0</v>
      </c>
      <c r="I121" s="106">
        <f t="shared" ref="I121:AA121" si="44">I112*I118</f>
        <v>0</v>
      </c>
      <c r="J121" s="106">
        <f t="shared" si="44"/>
        <v>0</v>
      </c>
      <c r="K121" s="106">
        <f t="shared" si="44"/>
        <v>0</v>
      </c>
      <c r="L121" s="106">
        <f t="shared" si="44"/>
        <v>0</v>
      </c>
      <c r="M121" s="106">
        <f t="shared" si="44"/>
        <v>0</v>
      </c>
      <c r="N121" s="106">
        <f t="shared" si="44"/>
        <v>0</v>
      </c>
      <c r="O121" s="106">
        <f t="shared" si="44"/>
        <v>0</v>
      </c>
      <c r="P121" s="106">
        <f t="shared" si="44"/>
        <v>0</v>
      </c>
      <c r="Q121" s="106">
        <f t="shared" si="44"/>
        <v>0</v>
      </c>
      <c r="R121" s="106">
        <f t="shared" si="44"/>
        <v>0</v>
      </c>
      <c r="S121" s="106">
        <f t="shared" si="44"/>
        <v>0</v>
      </c>
      <c r="T121" s="106">
        <f t="shared" si="44"/>
        <v>0</v>
      </c>
      <c r="U121" s="106">
        <f t="shared" si="44"/>
        <v>0</v>
      </c>
      <c r="V121" s="106">
        <f t="shared" si="44"/>
        <v>0</v>
      </c>
      <c r="W121" s="106">
        <f t="shared" si="44"/>
        <v>0</v>
      </c>
      <c r="X121" s="106">
        <f t="shared" si="44"/>
        <v>0</v>
      </c>
      <c r="Y121" s="106">
        <f t="shared" si="44"/>
        <v>0</v>
      </c>
      <c r="Z121" s="106">
        <f t="shared" si="44"/>
        <v>0</v>
      </c>
      <c r="AA121" s="106">
        <f t="shared" si="44"/>
        <v>0</v>
      </c>
    </row>
    <row r="122" spans="1:27" x14ac:dyDescent="0.25">
      <c r="A122" s="101">
        <v>23</v>
      </c>
      <c r="B122" s="47" t="str">
        <f>B116</f>
        <v>Central</v>
      </c>
      <c r="C122" s="47" t="str">
        <f t="shared" ref="C122:D122" si="45">C116</f>
        <v>N</v>
      </c>
      <c r="D122" s="47" t="str">
        <f t="shared" si="45"/>
        <v>Sewer</v>
      </c>
      <c r="E122" s="47" t="s">
        <v>668</v>
      </c>
      <c r="F122" s="47" t="s">
        <v>633</v>
      </c>
      <c r="H122" s="105">
        <f>SUMIFS('INPUT Reg'!AD$94:AD$109,'INPUT Reg'!$D$94:$D$109,$D122,'INPUT Reg'!$C$94:$C$109,$C122,'INPUT Reg'!$B$94:$B$109,$B122)</f>
        <v>3.8105468848639301E-3</v>
      </c>
      <c r="I122" s="105">
        <f>SUMIFS('INPUT Reg'!AE$94:AE$109,'INPUT Reg'!$D$94:$D$109,$D122,'INPUT Reg'!$C$94:$C$109,$C122,'INPUT Reg'!$B$94:$B$109,$B122)</f>
        <v>-1.9938999574252714E-3</v>
      </c>
      <c r="J122" s="105">
        <f>SUMIFS('INPUT Reg'!AF$94:AF$109,'INPUT Reg'!$D$94:$D$109,$D122,'INPUT Reg'!$C$94:$C$109,$C122,'INPUT Reg'!$B$94:$B$109,$B122)</f>
        <v>-1.997883537325329E-3</v>
      </c>
      <c r="K122" s="105">
        <f>SUMIFS('INPUT Reg'!AG$94:AG$109,'INPUT Reg'!$D$94:$D$109,$D122,'INPUT Reg'!$C$94:$C$109,$C122,'INPUT Reg'!$B$94:$B$109,$B122)</f>
        <v>-2.0018830665476939E-3</v>
      </c>
      <c r="L122" s="105">
        <f>SUMIFS('INPUT Reg'!AH$94:AH$109,'INPUT Reg'!$D$94:$D$109,$D122,'INPUT Reg'!$C$94:$C$109,$C122,'INPUT Reg'!$B$94:$B$109,$B122)</f>
        <v>-4.3157407023363126E-3</v>
      </c>
      <c r="M122" s="105">
        <f>SUMIFS('INPUT Reg'!AI$94:AI$109,'INPUT Reg'!$D$94:$D$109,$D122,'INPUT Reg'!$C$94:$C$109,$C122,'INPUT Reg'!$B$94:$B$109,$B122)</f>
        <v>0</v>
      </c>
      <c r="N122" s="105">
        <f>SUMIFS('INPUT Reg'!AJ$94:AJ$109,'INPUT Reg'!$D$94:$D$109,$D122,'INPUT Reg'!$C$94:$C$109,$C122,'INPUT Reg'!$B$94:$B$109,$B122)</f>
        <v>0</v>
      </c>
      <c r="O122" s="105">
        <f>SUMIFS('INPUT Reg'!AK$94:AK$109,'INPUT Reg'!$D$94:$D$109,$D122,'INPUT Reg'!$C$94:$C$109,$C122,'INPUT Reg'!$B$94:$B$109,$B122)</f>
        <v>0</v>
      </c>
      <c r="P122" s="105">
        <f>SUMIFS('INPUT Reg'!AL$94:AL$109,'INPUT Reg'!$D$94:$D$109,$D122,'INPUT Reg'!$C$94:$C$109,$C122,'INPUT Reg'!$B$94:$B$109,$B122)</f>
        <v>0</v>
      </c>
      <c r="Q122" s="105">
        <f>SUMIFS('INPUT Reg'!AM$94:AM$109,'INPUT Reg'!$D$94:$D$109,$D122,'INPUT Reg'!$C$94:$C$109,$C122,'INPUT Reg'!$B$94:$B$109,$B122)</f>
        <v>-0.17267689905280303</v>
      </c>
      <c r="R122" s="105">
        <f>SUMIFS('INPUT Reg'!AN$94:AN$109,'INPUT Reg'!$D$94:$D$109,$D122,'INPUT Reg'!$C$94:$C$109,$C122,'INPUT Reg'!$B$94:$B$109,$B122)</f>
        <v>0</v>
      </c>
      <c r="S122" s="105">
        <f>SUMIFS('INPUT Reg'!AO$94:AO$109,'INPUT Reg'!$D$94:$D$109,$D122,'INPUT Reg'!$C$94:$C$109,$C122,'INPUT Reg'!$B$94:$B$109,$B122)</f>
        <v>0</v>
      </c>
      <c r="T122" s="105">
        <f>SUMIFS('INPUT Reg'!AP$94:AP$109,'INPUT Reg'!$D$94:$D$109,$D122,'INPUT Reg'!$C$94:$C$109,$C122,'INPUT Reg'!$B$94:$B$109,$B122)</f>
        <v>0</v>
      </c>
      <c r="U122" s="105">
        <f>SUMIFS('INPUT Reg'!AQ$94:AQ$109,'INPUT Reg'!$D$94:$D$109,$D122,'INPUT Reg'!$C$94:$C$109,$C122,'INPUT Reg'!$B$94:$B$109,$B122)</f>
        <v>0</v>
      </c>
      <c r="V122" s="105">
        <f>SUMIFS('INPUT Reg'!AR$94:AR$109,'INPUT Reg'!$D$94:$D$109,$D122,'INPUT Reg'!$C$94:$C$109,$C122,'INPUT Reg'!$B$94:$B$109,$B122)</f>
        <v>-0.10884800951428153</v>
      </c>
      <c r="W122" s="105">
        <f>SUMIFS('INPUT Reg'!AS$94:AS$109,'INPUT Reg'!$D$94:$D$109,$D122,'INPUT Reg'!$C$94:$C$109,$C122,'INPUT Reg'!$B$94:$B$109,$B122)</f>
        <v>0</v>
      </c>
      <c r="X122" s="105">
        <f>SUMIFS('INPUT Reg'!AT$94:AT$109,'INPUT Reg'!$D$94:$D$109,$D122,'INPUT Reg'!$C$94:$C$109,$C122,'INPUT Reg'!$B$94:$B$109,$B122)</f>
        <v>0</v>
      </c>
      <c r="Y122" s="105">
        <f>SUMIFS('INPUT Reg'!AU$94:AU$109,'INPUT Reg'!$D$94:$D$109,$D122,'INPUT Reg'!$C$94:$C$109,$C122,'INPUT Reg'!$B$94:$B$109,$B122)</f>
        <v>0</v>
      </c>
      <c r="Z122" s="105">
        <f>SUMIFS('INPUT Reg'!AV$94:AV$109,'INPUT Reg'!$D$94:$D$109,$D122,'INPUT Reg'!$C$94:$C$109,$C122,'INPUT Reg'!$B$94:$B$109,$B122)</f>
        <v>0</v>
      </c>
      <c r="AA122" s="105">
        <f>SUMIFS('INPUT Reg'!AW$94:AW$109,'INPUT Reg'!$D$94:$D$109,$D122,'INPUT Reg'!$C$94:$C$109,$C122,'INPUT Reg'!$B$94:$B$109,$B122)</f>
        <v>0</v>
      </c>
    </row>
    <row r="123" spans="1:27" x14ac:dyDescent="0.25">
      <c r="A123" s="101">
        <v>24</v>
      </c>
      <c r="B123" s="47" t="str">
        <f>B111</f>
        <v>Central</v>
      </c>
      <c r="C123" s="47" t="str">
        <f t="shared" ref="C123:D123" si="46">C111</f>
        <v>N</v>
      </c>
      <c r="D123" s="47" t="str">
        <f t="shared" si="46"/>
        <v>Sewer</v>
      </c>
      <c r="E123" s="47" t="s">
        <v>669</v>
      </c>
      <c r="F123" s="47" t="s">
        <v>670</v>
      </c>
      <c r="G123" s="108">
        <f>IF(D123=W,CWW_N_W_N,IF(D123=S,CWW_N_S_N,IF(D123=WS, CWW_N_W_N+CWW_N_S_N,CWW_N_R_F)))</f>
        <v>509.4</v>
      </c>
      <c r="H123" s="106">
        <f>G123*(1+$G$14)*(1+H122)</f>
        <v>511.34109258314965</v>
      </c>
      <c r="I123" s="106">
        <f t="shared" ref="I123:AA123" si="47">H123*(1+$G$14)*(1+I122)</f>
        <v>510.32152960041833</v>
      </c>
      <c r="J123" s="106">
        <f t="shared" si="47"/>
        <v>509.30196661768696</v>
      </c>
      <c r="K123" s="106">
        <f t="shared" si="47"/>
        <v>508.28240363495559</v>
      </c>
      <c r="L123" s="106">
        <f t="shared" si="47"/>
        <v>506.0887885773069</v>
      </c>
      <c r="M123" s="106">
        <f t="shared" si="47"/>
        <v>506.0887885773069</v>
      </c>
      <c r="N123" s="106">
        <f t="shared" si="47"/>
        <v>506.0887885773069</v>
      </c>
      <c r="O123" s="106">
        <f t="shared" si="47"/>
        <v>506.0887885773069</v>
      </c>
      <c r="P123" s="106">
        <f t="shared" si="47"/>
        <v>506.0887885773069</v>
      </c>
      <c r="Q123" s="106">
        <f t="shared" si="47"/>
        <v>418.69894592038787</v>
      </c>
      <c r="R123" s="106">
        <f t="shared" si="47"/>
        <v>418.69894592038787</v>
      </c>
      <c r="S123" s="106">
        <f t="shared" si="47"/>
        <v>418.69894592038787</v>
      </c>
      <c r="T123" s="106">
        <f t="shared" si="47"/>
        <v>418.69894592038787</v>
      </c>
      <c r="U123" s="106">
        <f t="shared" si="47"/>
        <v>418.69894592038787</v>
      </c>
      <c r="V123" s="106">
        <f t="shared" si="47"/>
        <v>373.12439907122587</v>
      </c>
      <c r="W123" s="106">
        <f t="shared" si="47"/>
        <v>373.12439907122587</v>
      </c>
      <c r="X123" s="106">
        <f t="shared" si="47"/>
        <v>373.12439907122587</v>
      </c>
      <c r="Y123" s="106">
        <f t="shared" si="47"/>
        <v>373.12439907122587</v>
      </c>
      <c r="Z123" s="106">
        <f t="shared" si="47"/>
        <v>373.12439907122587</v>
      </c>
      <c r="AA123" s="106">
        <f t="shared" si="47"/>
        <v>373.12439907122587</v>
      </c>
    </row>
    <row r="124" spans="1:27" x14ac:dyDescent="0.25">
      <c r="B124" s="47" t="str">
        <f>B111</f>
        <v>Central</v>
      </c>
      <c r="C124" s="47" t="str">
        <f t="shared" ref="C124:D124" si="48">C111</f>
        <v>N</v>
      </c>
      <c r="D124" s="47" t="str">
        <f t="shared" si="48"/>
        <v>Sewer</v>
      </c>
      <c r="E124" s="47" t="s">
        <v>671</v>
      </c>
      <c r="F124" s="47" t="s">
        <v>672</v>
      </c>
      <c r="G124" s="109">
        <f>IF(OR(D124=W,D124=WS),CWW_N_W_V,IF(D124=RW,CWW_N_R_V,0))</f>
        <v>0</v>
      </c>
      <c r="H124" s="110">
        <f>G124*(1+$G$14)*(1+H122)</f>
        <v>0</v>
      </c>
      <c r="I124" s="110">
        <f t="shared" ref="I124:AA124" si="49">H124*(1+$G$14)*(1+I122)</f>
        <v>0</v>
      </c>
      <c r="J124" s="110">
        <f t="shared" si="49"/>
        <v>0</v>
      </c>
      <c r="K124" s="110">
        <f t="shared" si="49"/>
        <v>0</v>
      </c>
      <c r="L124" s="110">
        <f t="shared" si="49"/>
        <v>0</v>
      </c>
      <c r="M124" s="110">
        <f t="shared" si="49"/>
        <v>0</v>
      </c>
      <c r="N124" s="110">
        <f t="shared" si="49"/>
        <v>0</v>
      </c>
      <c r="O124" s="110">
        <f t="shared" si="49"/>
        <v>0</v>
      </c>
      <c r="P124" s="110">
        <f t="shared" si="49"/>
        <v>0</v>
      </c>
      <c r="Q124" s="110">
        <f t="shared" si="49"/>
        <v>0</v>
      </c>
      <c r="R124" s="110">
        <f t="shared" si="49"/>
        <v>0</v>
      </c>
      <c r="S124" s="110">
        <f t="shared" si="49"/>
        <v>0</v>
      </c>
      <c r="T124" s="110">
        <f t="shared" si="49"/>
        <v>0</v>
      </c>
      <c r="U124" s="110">
        <f t="shared" si="49"/>
        <v>0</v>
      </c>
      <c r="V124" s="110">
        <f t="shared" si="49"/>
        <v>0</v>
      </c>
      <c r="W124" s="110">
        <f t="shared" si="49"/>
        <v>0</v>
      </c>
      <c r="X124" s="110">
        <f t="shared" si="49"/>
        <v>0</v>
      </c>
      <c r="Y124" s="110">
        <f t="shared" si="49"/>
        <v>0</v>
      </c>
      <c r="Z124" s="110">
        <f t="shared" si="49"/>
        <v>0</v>
      </c>
      <c r="AA124" s="110">
        <f t="shared" si="49"/>
        <v>0</v>
      </c>
    </row>
    <row r="125" spans="1:27" x14ac:dyDescent="0.25">
      <c r="B125" s="47" t="str">
        <f>B111</f>
        <v>Central</v>
      </c>
      <c r="C125" s="47" t="str">
        <f t="shared" ref="C125:D125" si="50">C111</f>
        <v>N</v>
      </c>
      <c r="D125" s="47" t="str">
        <f t="shared" si="50"/>
        <v>Sewer</v>
      </c>
      <c r="E125" s="47" t="s">
        <v>673</v>
      </c>
      <c r="F125" s="47" t="s">
        <v>672</v>
      </c>
      <c r="G125" s="109"/>
      <c r="H125" s="110">
        <f>G125*(1+$G$14)*(1+H122)</f>
        <v>0</v>
      </c>
      <c r="I125" s="110">
        <f t="shared" ref="I125:AA125" si="51">H125*(1+$G$14)*(1+I122)</f>
        <v>0</v>
      </c>
      <c r="J125" s="110">
        <f t="shared" si="51"/>
        <v>0</v>
      </c>
      <c r="K125" s="110">
        <f t="shared" si="51"/>
        <v>0</v>
      </c>
      <c r="L125" s="110">
        <f t="shared" si="51"/>
        <v>0</v>
      </c>
      <c r="M125" s="110">
        <f t="shared" si="51"/>
        <v>0</v>
      </c>
      <c r="N125" s="110">
        <f t="shared" si="51"/>
        <v>0</v>
      </c>
      <c r="O125" s="110">
        <f t="shared" si="51"/>
        <v>0</v>
      </c>
      <c r="P125" s="110">
        <f t="shared" si="51"/>
        <v>0</v>
      </c>
      <c r="Q125" s="110">
        <f t="shared" si="51"/>
        <v>0</v>
      </c>
      <c r="R125" s="110">
        <f t="shared" si="51"/>
        <v>0</v>
      </c>
      <c r="S125" s="110">
        <f t="shared" si="51"/>
        <v>0</v>
      </c>
      <c r="T125" s="110">
        <f t="shared" si="51"/>
        <v>0</v>
      </c>
      <c r="U125" s="110">
        <f t="shared" si="51"/>
        <v>0</v>
      </c>
      <c r="V125" s="110">
        <f t="shared" si="51"/>
        <v>0</v>
      </c>
      <c r="W125" s="110">
        <f t="shared" si="51"/>
        <v>0</v>
      </c>
      <c r="X125" s="110">
        <f t="shared" si="51"/>
        <v>0</v>
      </c>
      <c r="Y125" s="110">
        <f t="shared" si="51"/>
        <v>0</v>
      </c>
      <c r="Z125" s="110">
        <f t="shared" si="51"/>
        <v>0</v>
      </c>
      <c r="AA125" s="110">
        <f t="shared" si="51"/>
        <v>0</v>
      </c>
    </row>
    <row r="126" spans="1:27" x14ac:dyDescent="0.25">
      <c r="B126" s="47" t="str">
        <f>B111</f>
        <v>Central</v>
      </c>
      <c r="C126" s="47" t="str">
        <f t="shared" ref="C126:D126" si="52">C111</f>
        <v>N</v>
      </c>
      <c r="D126" s="47" t="str">
        <f t="shared" si="52"/>
        <v>Sewer</v>
      </c>
      <c r="E126" s="47" t="s">
        <v>674</v>
      </c>
      <c r="F126" s="47" t="s">
        <v>672</v>
      </c>
      <c r="G126" s="109">
        <f>IF(OR(D126=S,D126=WS),CWW_N_SDC,0)</f>
        <v>2.0097</v>
      </c>
      <c r="H126" s="110">
        <f>G126*(1+$G$14)*(1+H122)</f>
        <v>2.017358056074511</v>
      </c>
      <c r="I126" s="110">
        <f t="shared" ref="I126:AA126" si="53">H126*(1+$G$14)*(1+I122)</f>
        <v>2.0133356459323926</v>
      </c>
      <c r="J126" s="110">
        <f t="shared" si="53"/>
        <v>2.0093132357902741</v>
      </c>
      <c r="K126" s="110">
        <f t="shared" si="53"/>
        <v>2.0052908256481552</v>
      </c>
      <c r="L126" s="110">
        <f t="shared" si="53"/>
        <v>1.9966365104118839</v>
      </c>
      <c r="M126" s="110">
        <f t="shared" si="53"/>
        <v>1.9966365104118839</v>
      </c>
      <c r="N126" s="110">
        <f t="shared" si="53"/>
        <v>1.9966365104118839</v>
      </c>
      <c r="O126" s="110">
        <f t="shared" si="53"/>
        <v>1.9966365104118839</v>
      </c>
      <c r="P126" s="110">
        <f t="shared" si="53"/>
        <v>1.9966365104118839</v>
      </c>
      <c r="Q126" s="110">
        <f t="shared" si="53"/>
        <v>1.6518635092583502</v>
      </c>
      <c r="R126" s="110">
        <f t="shared" si="53"/>
        <v>1.6518635092583502</v>
      </c>
      <c r="S126" s="110">
        <f t="shared" si="53"/>
        <v>1.6518635092583502</v>
      </c>
      <c r="T126" s="110">
        <f t="shared" si="53"/>
        <v>1.6518635092583502</v>
      </c>
      <c r="U126" s="110">
        <f t="shared" si="53"/>
        <v>1.6518635092583502</v>
      </c>
      <c r="V126" s="110">
        <f t="shared" si="53"/>
        <v>1.4720614542863029</v>
      </c>
      <c r="W126" s="110">
        <f t="shared" si="53"/>
        <v>1.4720614542863029</v>
      </c>
      <c r="X126" s="110">
        <f t="shared" si="53"/>
        <v>1.4720614542863029</v>
      </c>
      <c r="Y126" s="110">
        <f t="shared" si="53"/>
        <v>1.4720614542863029</v>
      </c>
      <c r="Z126" s="110">
        <f t="shared" si="53"/>
        <v>1.4720614542863029</v>
      </c>
      <c r="AA126" s="110">
        <f t="shared" si="53"/>
        <v>1.4720614542863029</v>
      </c>
    </row>
    <row r="127" spans="1:27" x14ac:dyDescent="0.25">
      <c r="C127" s="100"/>
      <c r="D127" s="100"/>
    </row>
    <row r="128" spans="1:27" x14ac:dyDescent="0.25">
      <c r="C128" s="100"/>
      <c r="D128" s="100"/>
      <c r="E128" s="47" t="s">
        <v>679</v>
      </c>
      <c r="F128" s="47" t="s">
        <v>676</v>
      </c>
      <c r="H128" s="106">
        <f>SUM(H119:H121)/1000</f>
        <v>0</v>
      </c>
      <c r="I128" s="106">
        <f t="shared" ref="I128:AA128" si="54">SUM(I119:I121)/1000</f>
        <v>0</v>
      </c>
      <c r="J128" s="106">
        <f t="shared" si="54"/>
        <v>0</v>
      </c>
      <c r="K128" s="106">
        <f t="shared" si="54"/>
        <v>0</v>
      </c>
      <c r="L128" s="106">
        <f t="shared" si="54"/>
        <v>0</v>
      </c>
      <c r="M128" s="106">
        <f t="shared" si="54"/>
        <v>0</v>
      </c>
      <c r="N128" s="106">
        <f t="shared" si="54"/>
        <v>0</v>
      </c>
      <c r="O128" s="106">
        <f t="shared" si="54"/>
        <v>0</v>
      </c>
      <c r="P128" s="106">
        <f t="shared" si="54"/>
        <v>0</v>
      </c>
      <c r="Q128" s="106">
        <f t="shared" si="54"/>
        <v>0</v>
      </c>
      <c r="R128" s="106">
        <f t="shared" si="54"/>
        <v>0</v>
      </c>
      <c r="S128" s="106">
        <f t="shared" si="54"/>
        <v>0</v>
      </c>
      <c r="T128" s="106">
        <f t="shared" si="54"/>
        <v>0</v>
      </c>
      <c r="U128" s="106">
        <f t="shared" si="54"/>
        <v>0</v>
      </c>
      <c r="V128" s="106">
        <f t="shared" si="54"/>
        <v>0</v>
      </c>
      <c r="W128" s="106">
        <f t="shared" si="54"/>
        <v>0</v>
      </c>
      <c r="X128" s="106">
        <f t="shared" si="54"/>
        <v>0</v>
      </c>
      <c r="Y128" s="106">
        <f t="shared" si="54"/>
        <v>0</v>
      </c>
      <c r="Z128" s="106">
        <f t="shared" si="54"/>
        <v>0</v>
      </c>
      <c r="AA128" s="106">
        <f t="shared" si="54"/>
        <v>0</v>
      </c>
    </row>
    <row r="129" spans="1:27" x14ac:dyDescent="0.25">
      <c r="C129" s="100"/>
      <c r="D129" s="100"/>
      <c r="E129" s="47" t="s">
        <v>680</v>
      </c>
      <c r="F129" s="47" t="s">
        <v>639</v>
      </c>
      <c r="H129" s="106">
        <f>H112*H123+H119*H124+H120*H125+H121*H126</f>
        <v>0</v>
      </c>
      <c r="I129" s="106">
        <f t="shared" ref="I129:AA129" si="55">I112*I123+I119*I124+I120*I125+I121*I126</f>
        <v>0</v>
      </c>
      <c r="J129" s="106">
        <f t="shared" si="55"/>
        <v>0</v>
      </c>
      <c r="K129" s="106">
        <f t="shared" si="55"/>
        <v>0</v>
      </c>
      <c r="L129" s="106">
        <f t="shared" si="55"/>
        <v>0</v>
      </c>
      <c r="M129" s="106">
        <f t="shared" si="55"/>
        <v>0</v>
      </c>
      <c r="N129" s="106">
        <f t="shared" si="55"/>
        <v>0</v>
      </c>
      <c r="O129" s="106">
        <f t="shared" si="55"/>
        <v>0</v>
      </c>
      <c r="P129" s="106">
        <f t="shared" si="55"/>
        <v>0</v>
      </c>
      <c r="Q129" s="106">
        <f t="shared" si="55"/>
        <v>0</v>
      </c>
      <c r="R129" s="106">
        <f t="shared" si="55"/>
        <v>0</v>
      </c>
      <c r="S129" s="106">
        <f t="shared" si="55"/>
        <v>0</v>
      </c>
      <c r="T129" s="106">
        <f t="shared" si="55"/>
        <v>0</v>
      </c>
      <c r="U129" s="106">
        <f t="shared" si="55"/>
        <v>0</v>
      </c>
      <c r="V129" s="106">
        <f t="shared" si="55"/>
        <v>0</v>
      </c>
      <c r="W129" s="106">
        <f t="shared" si="55"/>
        <v>0</v>
      </c>
      <c r="X129" s="106">
        <f t="shared" si="55"/>
        <v>0</v>
      </c>
      <c r="Y129" s="106">
        <f t="shared" si="55"/>
        <v>0</v>
      </c>
      <c r="Z129" s="106">
        <f t="shared" si="55"/>
        <v>0</v>
      </c>
      <c r="AA129" s="106">
        <f t="shared" si="55"/>
        <v>0</v>
      </c>
    </row>
    <row r="130" spans="1:27" x14ac:dyDescent="0.25">
      <c r="C130" s="100"/>
      <c r="D130" s="100"/>
    </row>
    <row r="131" spans="1:27" x14ac:dyDescent="0.25">
      <c r="C131" s="100"/>
      <c r="D131" s="47" t="s">
        <v>681</v>
      </c>
    </row>
    <row r="132" spans="1:27" x14ac:dyDescent="0.25">
      <c r="A132" s="101">
        <v>25</v>
      </c>
      <c r="B132" s="47" t="s">
        <v>265</v>
      </c>
      <c r="C132" s="100" t="s">
        <v>405</v>
      </c>
      <c r="D132" s="100" t="str">
        <f>$G$4</f>
        <v>Sewer</v>
      </c>
      <c r="E132" s="47" t="s">
        <v>654</v>
      </c>
      <c r="F132" s="47" t="s">
        <v>655</v>
      </c>
      <c r="H132" s="102">
        <f>IF($G$4="Water and sewer",SUMIFS('INPUT Growth'!AD$64:AD$115,'INPUT Growth'!$B$64:$B$115,$A$1,'INPUT Growth'!$F$64:$F$115,$B132,'INPUT Growth'!$E$64:$E$115,$C132),SUMIFS('INPUT Growth'!AD$64:AD$115,'INPUT Growth'!$A$64:$A$115,$A$1,'INPUT Growth'!$F$64:$F$115,$B132,'INPUT Growth'!$E$64:$E$115,$C132))</f>
        <v>4602.9260210803841</v>
      </c>
      <c r="I132" s="102">
        <f>IF($G$4="Water and sewer",SUMIFS('INPUT Growth'!AE$64:AE$115,'INPUT Growth'!$B$64:$B$115,$A$1,'INPUT Growth'!$F$64:$F$115,$B132,'INPUT Growth'!$E$64:$E$115,$C132),SUMIFS('INPUT Growth'!AE$64:AE$115,'INPUT Growth'!$A$64:$A$115,$A$1,'INPUT Growth'!$F$64:$F$115,$B132,'INPUT Growth'!$E$64:$E$115,$C132))</f>
        <v>4949.5574506523481</v>
      </c>
      <c r="J132" s="102">
        <f>IF($G$4="Water and sewer",SUMIFS('INPUT Growth'!AF$64:AF$115,'INPUT Growth'!$B$64:$B$115,$A$1,'INPUT Growth'!$F$64:$F$115,$B132,'INPUT Growth'!$E$64:$E$115,$C132),SUMIFS('INPUT Growth'!AF$64:AF$115,'INPUT Growth'!$A$64:$A$115,$A$1,'INPUT Growth'!$F$64:$F$115,$B132,'INPUT Growth'!$E$64:$E$115,$C132))</f>
        <v>4207.8417250206767</v>
      </c>
      <c r="K132" s="102">
        <f>IF($G$4="Water and sewer",SUMIFS('INPUT Growth'!AG$64:AG$115,'INPUT Growth'!$B$64:$B$115,$A$1,'INPUT Growth'!$F$64:$F$115,$B132,'INPUT Growth'!$E$64:$E$115,$C132),SUMIFS('INPUT Growth'!AG$64:AG$115,'INPUT Growth'!$A$64:$A$115,$A$1,'INPUT Growth'!$F$64:$F$115,$B132,'INPUT Growth'!$E$64:$E$115,$C132))</f>
        <v>4258.757264120235</v>
      </c>
      <c r="L132" s="102">
        <f>IF($G$4="Water and sewer",SUMIFS('INPUT Growth'!AH$64:AH$115,'INPUT Growth'!$B$64:$B$115,$A$1,'INPUT Growth'!$F$64:$F$115,$B132,'INPUT Growth'!$E$64:$E$115,$C132),SUMIFS('INPUT Growth'!AH$64:AH$115,'INPUT Growth'!$A$64:$A$115,$A$1,'INPUT Growth'!$F$64:$F$115,$B132,'INPUT Growth'!$E$64:$E$115,$C132))</f>
        <v>4374.2472942754539</v>
      </c>
      <c r="M132" s="102">
        <f>IF($G$4="Water and sewer",SUMIFS('INPUT Growth'!AI$64:AI$115,'INPUT Growth'!$B$64:$B$115,$A$1,'INPUT Growth'!$F$64:$F$115,$B132,'INPUT Growth'!$E$64:$E$115,$C132),SUMIFS('INPUT Growth'!AI$64:AI$115,'INPUT Growth'!$A$64:$A$115,$A$1,'INPUT Growth'!$F$64:$F$115,$B132,'INPUT Growth'!$E$64:$E$115,$C132))</f>
        <v>4621.0642038790247</v>
      </c>
      <c r="N132" s="102">
        <f>IF($G$4="Water and sewer",SUMIFS('INPUT Growth'!AJ$64:AJ$115,'INPUT Growth'!$B$64:$B$115,$A$1,'INPUT Growth'!$F$64:$F$115,$B132,'INPUT Growth'!$E$64:$E$115,$C132),SUMIFS('INPUT Growth'!AJ$64:AJ$115,'INPUT Growth'!$A$64:$A$115,$A$1,'INPUT Growth'!$F$64:$F$115,$B132,'INPUT Growth'!$E$64:$E$115,$C132))</f>
        <v>4509.4619526301831</v>
      </c>
      <c r="O132" s="102">
        <f>IF($G$4="Water and sewer",SUMIFS('INPUT Growth'!AK$64:AK$115,'INPUT Growth'!$B$64:$B$115,$A$1,'INPUT Growth'!$F$64:$F$115,$B132,'INPUT Growth'!$E$64:$E$115,$C132),SUMIFS('INPUT Growth'!AK$64:AK$115,'INPUT Growth'!$A$64:$A$115,$A$1,'INPUT Growth'!$F$64:$F$115,$B132,'INPUT Growth'!$E$64:$E$115,$C132))</f>
        <v>4760.9220637194521</v>
      </c>
      <c r="P132" s="102">
        <f>IF($G$4="Water and sewer",SUMIFS('INPUT Growth'!AL$64:AL$115,'INPUT Growth'!$B$64:$B$115,$A$1,'INPUT Growth'!$F$64:$F$115,$B132,'INPUT Growth'!$E$64:$E$115,$C132),SUMIFS('INPUT Growth'!AL$64:AL$115,'INPUT Growth'!$A$64:$A$115,$A$1,'INPUT Growth'!$F$64:$F$115,$B132,'INPUT Growth'!$E$64:$E$115,$C132))</f>
        <v>4814.1273768488027</v>
      </c>
      <c r="Q132" s="102">
        <f>IF($G$4="Water and sewer",SUMIFS('INPUT Growth'!AM$64:AM$115,'INPUT Growth'!$B$64:$B$115,$A$1,'INPUT Growth'!$F$64:$F$115,$B132,'INPUT Growth'!$E$64:$E$115,$C132),SUMIFS('INPUT Growth'!AM$64:AM$115,'INPUT Growth'!$A$64:$A$115,$A$1,'INPUT Growth'!$F$64:$F$115,$B132,'INPUT Growth'!$E$64:$E$115,$C132))</f>
        <v>4821.1826734862116</v>
      </c>
      <c r="R132" s="102">
        <f>IF($G$4="Water and sewer",SUMIFS('INPUT Growth'!AN$64:AN$115,'INPUT Growth'!$B$64:$B$115,$A$1,'INPUT Growth'!$F$64:$F$115,$B132,'INPUT Growth'!$E$64:$E$115,$C132),SUMIFS('INPUT Growth'!AN$64:AN$115,'INPUT Growth'!$A$64:$A$115,$A$1,'INPUT Growth'!$F$64:$F$115,$B132,'INPUT Growth'!$E$64:$E$115,$C132))</f>
        <v>4826.7300283851218</v>
      </c>
      <c r="S132" s="102">
        <f>IF($G$4="Water and sewer",SUMIFS('INPUT Growth'!AO$64:AO$115,'INPUT Growth'!$B$64:$B$115,$A$1,'INPUT Growth'!$F$64:$F$115,$B132,'INPUT Growth'!$E$64:$E$115,$C132),SUMIFS('INPUT Growth'!AO$64:AO$115,'INPUT Growth'!$A$64:$A$115,$A$1,'INPUT Growth'!$F$64:$F$115,$B132,'INPUT Growth'!$E$64:$E$115,$C132))</f>
        <v>4813.1939179728215</v>
      </c>
      <c r="T132" s="102">
        <f>IF($G$4="Water and sewer",SUMIFS('INPUT Growth'!AP$64:AP$115,'INPUT Growth'!$B$64:$B$115,$A$1,'INPUT Growth'!$F$64:$F$115,$B132,'INPUT Growth'!$E$64:$E$115,$C132),SUMIFS('INPUT Growth'!AP$64:AP$115,'INPUT Growth'!$A$64:$A$115,$A$1,'INPUT Growth'!$F$64:$F$115,$B132,'INPUT Growth'!$E$64:$E$115,$C132))</f>
        <v>4723.4762471698923</v>
      </c>
      <c r="U132" s="102">
        <f>IF($G$4="Water and sewer",SUMIFS('INPUT Growth'!AQ$64:AQ$115,'INPUT Growth'!$B$64:$B$115,$A$1,'INPUT Growth'!$F$64:$F$115,$B132,'INPUT Growth'!$E$64:$E$115,$C132),SUMIFS('INPUT Growth'!AQ$64:AQ$115,'INPUT Growth'!$A$64:$A$115,$A$1,'INPUT Growth'!$F$64:$F$115,$B132,'INPUT Growth'!$E$64:$E$115,$C132))</f>
        <v>4722.9039051669388</v>
      </c>
      <c r="V132" s="102">
        <f>IF($G$4="Water and sewer",SUMIFS('INPUT Growth'!AR$64:AR$115,'INPUT Growth'!$B$64:$B$115,$A$1,'INPUT Growth'!$F$64:$F$115,$B132,'INPUT Growth'!$E$64:$E$115,$C132),SUMIFS('INPUT Growth'!AR$64:AR$115,'INPUT Growth'!$A$64:$A$115,$A$1,'INPUT Growth'!$F$64:$F$115,$B132,'INPUT Growth'!$E$64:$E$115,$C132))</f>
        <v>4695.9940898274508</v>
      </c>
      <c r="W132" s="102">
        <f>IF($G$4="Water and sewer",SUMIFS('INPUT Growth'!AS$64:AS$115,'INPUT Growth'!$B$64:$B$115,$A$1,'INPUT Growth'!$F$64:$F$115,$B132,'INPUT Growth'!$E$64:$E$115,$C132),SUMIFS('INPUT Growth'!AS$64:AS$115,'INPUT Growth'!$A$64:$A$115,$A$1,'INPUT Growth'!$F$64:$F$115,$B132,'INPUT Growth'!$E$64:$E$115,$C132))</f>
        <v>4731.5080395174882</v>
      </c>
      <c r="X132" s="102">
        <f>IF($G$4="Water and sewer",SUMIFS('INPUT Growth'!AT$64:AT$115,'INPUT Growth'!$B$64:$B$115,$A$1,'INPUT Growth'!$F$64:$F$115,$B132,'INPUT Growth'!$E$64:$E$115,$C132),SUMIFS('INPUT Growth'!AT$64:AT$115,'INPUT Growth'!$A$64:$A$115,$A$1,'INPUT Growth'!$F$64:$F$115,$B132,'INPUT Growth'!$E$64:$E$115,$C132))</f>
        <v>4720.6678170256346</v>
      </c>
      <c r="Y132" s="102">
        <f>IF($G$4="Water and sewer",SUMIFS('INPUT Growth'!AU$64:AU$115,'INPUT Growth'!$B$64:$B$115,$A$1,'INPUT Growth'!$F$64:$F$115,$B132,'INPUT Growth'!$E$64:$E$115,$C132),SUMIFS('INPUT Growth'!AU$64:AU$115,'INPUT Growth'!$A$64:$A$115,$A$1,'INPUT Growth'!$F$64:$F$115,$B132,'INPUT Growth'!$E$64:$E$115,$C132))</f>
        <v>4601.8433589577035</v>
      </c>
      <c r="Z132" s="102">
        <f>IF($G$4="Water and sewer",SUMIFS('INPUT Growth'!AV$64:AV$115,'INPUT Growth'!$B$64:$B$115,$A$1,'INPUT Growth'!$F$64:$F$115,$B132,'INPUT Growth'!$E$64:$E$115,$C132),SUMIFS('INPUT Growth'!AV$64:AV$115,'INPUT Growth'!$A$64:$A$115,$A$1,'INPUT Growth'!$F$64:$F$115,$B132,'INPUT Growth'!$E$64:$E$115,$C132))</f>
        <v>4406.4188035159605</v>
      </c>
      <c r="AA132" s="102">
        <f>IF($G$4="Water and sewer",SUMIFS('INPUT Growth'!AW$64:AW$115,'INPUT Growth'!$B$64:$B$115,$A$1,'INPUT Growth'!$F$64:$F$115,$B132,'INPUT Growth'!$E$64:$E$115,$C132),SUMIFS('INPUT Growth'!AW$64:AW$115,'INPUT Growth'!$A$64:$A$115,$A$1,'INPUT Growth'!$F$64:$F$115,$B132,'INPUT Growth'!$E$64:$E$115,$C132))</f>
        <v>4143.530692661705</v>
      </c>
    </row>
    <row r="133" spans="1:27" x14ac:dyDescent="0.25">
      <c r="C133" s="100"/>
      <c r="D133" s="100"/>
      <c r="E133" s="47" t="s">
        <v>656</v>
      </c>
      <c r="F133" s="47" t="s">
        <v>655</v>
      </c>
      <c r="H133" s="106">
        <f>G133+H132</f>
        <v>4602.9260210803841</v>
      </c>
      <c r="I133" s="106">
        <f t="shared" ref="I133:AA133" si="56">H133+I132</f>
        <v>9552.4834717327321</v>
      </c>
      <c r="J133" s="106">
        <f t="shared" si="56"/>
        <v>13760.325196753409</v>
      </c>
      <c r="K133" s="106">
        <f t="shared" si="56"/>
        <v>18019.082460873644</v>
      </c>
      <c r="L133" s="106">
        <f t="shared" si="56"/>
        <v>22393.329755149098</v>
      </c>
      <c r="M133" s="106">
        <f t="shared" si="56"/>
        <v>27014.393959028122</v>
      </c>
      <c r="N133" s="106">
        <f t="shared" si="56"/>
        <v>31523.855911658306</v>
      </c>
      <c r="O133" s="106">
        <f t="shared" si="56"/>
        <v>36284.777975377758</v>
      </c>
      <c r="P133" s="106">
        <f t="shared" si="56"/>
        <v>41098.90535222656</v>
      </c>
      <c r="Q133" s="106">
        <f t="shared" si="56"/>
        <v>45920.088025712772</v>
      </c>
      <c r="R133" s="106">
        <f t="shared" si="56"/>
        <v>50746.818054097894</v>
      </c>
      <c r="S133" s="106">
        <f t="shared" si="56"/>
        <v>55560.011972070715</v>
      </c>
      <c r="T133" s="106">
        <f t="shared" si="56"/>
        <v>60283.488219240608</v>
      </c>
      <c r="U133" s="106">
        <f t="shared" si="56"/>
        <v>65006.392124407546</v>
      </c>
      <c r="V133" s="106">
        <f t="shared" si="56"/>
        <v>69702.386214234997</v>
      </c>
      <c r="W133" s="106">
        <f t="shared" si="56"/>
        <v>74433.894253752485</v>
      </c>
      <c r="X133" s="106">
        <f t="shared" si="56"/>
        <v>79154.56207077812</v>
      </c>
      <c r="Y133" s="106">
        <f t="shared" si="56"/>
        <v>83756.405429735823</v>
      </c>
      <c r="Z133" s="106">
        <f t="shared" si="56"/>
        <v>88162.824233251784</v>
      </c>
      <c r="AA133" s="106">
        <f t="shared" si="56"/>
        <v>92306.354925913489</v>
      </c>
    </row>
    <row r="134" spans="1:27" x14ac:dyDescent="0.25">
      <c r="A134" s="101">
        <v>26</v>
      </c>
      <c r="C134" s="100"/>
      <c r="D134" s="100"/>
      <c r="E134" s="47" t="s">
        <v>657</v>
      </c>
      <c r="F134" s="47" t="s">
        <v>655</v>
      </c>
      <c r="G134" s="102">
        <f>Assumptions!$H$45</f>
        <v>1</v>
      </c>
    </row>
    <row r="135" spans="1:27" x14ac:dyDescent="0.25">
      <c r="C135" s="100"/>
      <c r="D135" s="100"/>
      <c r="E135" s="47" t="s">
        <v>658</v>
      </c>
      <c r="F135" s="47" t="s">
        <v>655</v>
      </c>
      <c r="H135" s="47">
        <f>H132*$G134</f>
        <v>4602.9260210803841</v>
      </c>
      <c r="I135" s="47">
        <f t="shared" ref="I135:AA135" si="57">I132*$G134</f>
        <v>4949.5574506523481</v>
      </c>
      <c r="J135" s="47">
        <f t="shared" si="57"/>
        <v>4207.8417250206767</v>
      </c>
      <c r="K135" s="47">
        <f t="shared" si="57"/>
        <v>4258.757264120235</v>
      </c>
      <c r="L135" s="47">
        <f t="shared" si="57"/>
        <v>4374.2472942754539</v>
      </c>
      <c r="M135" s="47">
        <f t="shared" si="57"/>
        <v>4621.0642038790247</v>
      </c>
      <c r="N135" s="47">
        <f t="shared" si="57"/>
        <v>4509.4619526301831</v>
      </c>
      <c r="O135" s="47">
        <f t="shared" si="57"/>
        <v>4760.9220637194521</v>
      </c>
      <c r="P135" s="47">
        <f t="shared" si="57"/>
        <v>4814.1273768488027</v>
      </c>
      <c r="Q135" s="47">
        <f t="shared" si="57"/>
        <v>4821.1826734862116</v>
      </c>
      <c r="R135" s="47">
        <f t="shared" si="57"/>
        <v>4826.7300283851218</v>
      </c>
      <c r="S135" s="47">
        <f t="shared" si="57"/>
        <v>4813.1939179728215</v>
      </c>
      <c r="T135" s="47">
        <f t="shared" si="57"/>
        <v>4723.4762471698923</v>
      </c>
      <c r="U135" s="47">
        <f t="shared" si="57"/>
        <v>4722.9039051669388</v>
      </c>
      <c r="V135" s="47">
        <f t="shared" si="57"/>
        <v>4695.9940898274508</v>
      </c>
      <c r="W135" s="47">
        <f t="shared" si="57"/>
        <v>4731.5080395174882</v>
      </c>
      <c r="X135" s="47">
        <f t="shared" si="57"/>
        <v>4720.6678170256346</v>
      </c>
      <c r="Y135" s="47">
        <f t="shared" si="57"/>
        <v>4601.8433589577035</v>
      </c>
      <c r="Z135" s="47">
        <f t="shared" si="57"/>
        <v>4406.4188035159605</v>
      </c>
      <c r="AA135" s="47">
        <f t="shared" si="57"/>
        <v>4143.530692661705</v>
      </c>
    </row>
    <row r="136" spans="1:27" x14ac:dyDescent="0.25">
      <c r="C136" s="100"/>
      <c r="D136" s="100"/>
      <c r="E136" s="47" t="s">
        <v>659</v>
      </c>
      <c r="F136" s="47" t="s">
        <v>655</v>
      </c>
      <c r="H136" s="47">
        <f>H133*$G134</f>
        <v>4602.9260210803841</v>
      </c>
      <c r="I136" s="47">
        <f t="shared" ref="I136:AA136" si="58">I133*$G134</f>
        <v>9552.4834717327321</v>
      </c>
      <c r="J136" s="47">
        <f t="shared" si="58"/>
        <v>13760.325196753409</v>
      </c>
      <c r="K136" s="47">
        <f t="shared" si="58"/>
        <v>18019.082460873644</v>
      </c>
      <c r="L136" s="47">
        <f t="shared" si="58"/>
        <v>22393.329755149098</v>
      </c>
      <c r="M136" s="47">
        <f t="shared" si="58"/>
        <v>27014.393959028122</v>
      </c>
      <c r="N136" s="47">
        <f t="shared" si="58"/>
        <v>31523.855911658306</v>
      </c>
      <c r="O136" s="47">
        <f t="shared" si="58"/>
        <v>36284.777975377758</v>
      </c>
      <c r="P136" s="47">
        <f t="shared" si="58"/>
        <v>41098.90535222656</v>
      </c>
      <c r="Q136" s="47">
        <f t="shared" si="58"/>
        <v>45920.088025712772</v>
      </c>
      <c r="R136" s="47">
        <f t="shared" si="58"/>
        <v>50746.818054097894</v>
      </c>
      <c r="S136" s="47">
        <f t="shared" si="58"/>
        <v>55560.011972070715</v>
      </c>
      <c r="T136" s="47">
        <f t="shared" si="58"/>
        <v>60283.488219240608</v>
      </c>
      <c r="U136" s="47">
        <f t="shared" si="58"/>
        <v>65006.392124407546</v>
      </c>
      <c r="V136" s="47">
        <f t="shared" si="58"/>
        <v>69702.386214234997</v>
      </c>
      <c r="W136" s="47">
        <f t="shared" si="58"/>
        <v>74433.894253752485</v>
      </c>
      <c r="X136" s="47">
        <f t="shared" si="58"/>
        <v>79154.56207077812</v>
      </c>
      <c r="Y136" s="47">
        <f t="shared" si="58"/>
        <v>83756.405429735823</v>
      </c>
      <c r="Z136" s="47">
        <f t="shared" si="58"/>
        <v>88162.824233251784</v>
      </c>
      <c r="AA136" s="47">
        <f t="shared" si="58"/>
        <v>92306.354925913489</v>
      </c>
    </row>
    <row r="137" spans="1:27" x14ac:dyDescent="0.25">
      <c r="A137" s="101">
        <v>27</v>
      </c>
      <c r="B137" s="47" t="str">
        <f>B132</f>
        <v>Western</v>
      </c>
      <c r="C137" s="47" t="str">
        <f>C132</f>
        <v>R</v>
      </c>
      <c r="D137" s="47" t="str">
        <f>D132</f>
        <v>Sewer</v>
      </c>
      <c r="E137" s="47" t="s">
        <v>660</v>
      </c>
      <c r="F137" s="47" t="s">
        <v>661</v>
      </c>
      <c r="H137" s="102">
        <f>IF(OR($D137=W,$D137=WS),'INPUT Reg'!AD121,IF($D137=RW,'INPUT Reg'!AD125,0))</f>
        <v>0</v>
      </c>
      <c r="I137" s="102">
        <f>IF(OR($D137=W,$D137=WS),'INPUT Reg'!AE121,IF($D137=RW,'INPUT Reg'!AE125,0))</f>
        <v>0</v>
      </c>
      <c r="J137" s="102">
        <f>IF(OR($D137=W,$D137=WS),'INPUT Reg'!AF121,IF($D137=RW,'INPUT Reg'!AF125,0))</f>
        <v>0</v>
      </c>
      <c r="K137" s="102">
        <f>IF(OR($D137=W,$D137=WS),'INPUT Reg'!AG121,IF($D137=RW,'INPUT Reg'!AG125,0))</f>
        <v>0</v>
      </c>
      <c r="L137" s="102">
        <f>IF(OR($D137=W,$D137=WS),'INPUT Reg'!AH121,IF($D137=RW,'INPUT Reg'!AH125,0))</f>
        <v>0</v>
      </c>
      <c r="M137" s="102">
        <f>IF(OR($D137=W,$D137=WS),'INPUT Reg'!AI121,IF($D137=RW,'INPUT Reg'!AI125,0))</f>
        <v>0</v>
      </c>
      <c r="N137" s="102">
        <f>IF(OR($D137=W,$D137=WS),'INPUT Reg'!AJ121,IF($D137=RW,'INPUT Reg'!AJ125,0))</f>
        <v>0</v>
      </c>
      <c r="O137" s="102">
        <f>IF(OR($D137=W,$D137=WS),'INPUT Reg'!AK121,IF($D137=RW,'INPUT Reg'!AK125,0))</f>
        <v>0</v>
      </c>
      <c r="P137" s="102">
        <f>IF(OR($D137=W,$D137=WS),'INPUT Reg'!AL121,IF($D137=RW,'INPUT Reg'!AL125,0))</f>
        <v>0</v>
      </c>
      <c r="Q137" s="102">
        <f>IF(OR($D137=W,$D137=WS),'INPUT Reg'!AM121,IF($D137=RW,'INPUT Reg'!AM125,0))</f>
        <v>0</v>
      </c>
      <c r="R137" s="102">
        <f>IF(OR($D137=W,$D137=WS),'INPUT Reg'!AN121,IF($D137=RW,'INPUT Reg'!AN125,0))</f>
        <v>0</v>
      </c>
      <c r="S137" s="102">
        <f>IF(OR($D137=W,$D137=WS),'INPUT Reg'!AO121,IF($D137=RW,'INPUT Reg'!AO125,0))</f>
        <v>0</v>
      </c>
      <c r="T137" s="102">
        <f>IF(OR($D137=W,$D137=WS),'INPUT Reg'!AP121,IF($D137=RW,'INPUT Reg'!AP125,0))</f>
        <v>0</v>
      </c>
      <c r="U137" s="102">
        <f>IF(OR($D137=W,$D137=WS),'INPUT Reg'!AQ121,IF($D137=RW,'INPUT Reg'!AQ125,0))</f>
        <v>0</v>
      </c>
      <c r="V137" s="102">
        <f>IF(OR($D137=W,$D137=WS),'INPUT Reg'!AR121,IF($D137=RW,'INPUT Reg'!AR125,0))</f>
        <v>0</v>
      </c>
      <c r="W137" s="102">
        <f>IF(OR($D137=W,$D137=WS),'INPUT Reg'!AS121,IF($D137=RW,'INPUT Reg'!AS125,0))</f>
        <v>0</v>
      </c>
      <c r="X137" s="102">
        <f>IF(OR($D137=W,$D137=WS),'INPUT Reg'!AT121,IF($D137=RW,'INPUT Reg'!AT125,0))</f>
        <v>0</v>
      </c>
      <c r="Y137" s="102">
        <f>IF(OR($D137=W,$D137=WS),'INPUT Reg'!AU121,IF($D137=RW,'INPUT Reg'!AU125,0))</f>
        <v>0</v>
      </c>
      <c r="Z137" s="102">
        <f>IF(OR($D137=W,$D137=WS),'INPUT Reg'!AV121,IF($D137=RW,'INPUT Reg'!AV125,0))</f>
        <v>0</v>
      </c>
      <c r="AA137" s="102">
        <f>IF(OR($D137=W,$D137=WS),'INPUT Reg'!AW121,IF($D137=RW,'INPUT Reg'!AW125,0))</f>
        <v>0</v>
      </c>
    </row>
    <row r="138" spans="1:27" x14ac:dyDescent="0.25">
      <c r="B138" s="47" t="str">
        <f>B132</f>
        <v>Western</v>
      </c>
      <c r="C138" s="47" t="str">
        <f t="shared" ref="C138:D138" si="59">C132</f>
        <v>R</v>
      </c>
      <c r="D138" s="47" t="str">
        <f t="shared" si="59"/>
        <v>Sewer</v>
      </c>
      <c r="E138" s="47" t="s">
        <v>662</v>
      </c>
      <c r="F138" s="47" t="s">
        <v>661</v>
      </c>
      <c r="H138" s="102">
        <f>IF(OR($D138=W,$D138=WS),'INPUT Reg'!AD122,0)</f>
        <v>0</v>
      </c>
      <c r="I138" s="102">
        <f>IF(OR($D138=W,$D138=WS),'INPUT Reg'!AE122,0)</f>
        <v>0</v>
      </c>
      <c r="J138" s="102">
        <f>IF(OR($D138=W,$D138=WS),'INPUT Reg'!AF122,0)</f>
        <v>0</v>
      </c>
      <c r="K138" s="102">
        <f>IF(OR($D138=W,$D138=WS),'INPUT Reg'!AG122,0)</f>
        <v>0</v>
      </c>
      <c r="L138" s="102">
        <f>IF(OR($D138=W,$D138=WS),'INPUT Reg'!AH122,0)</f>
        <v>0</v>
      </c>
      <c r="M138" s="102">
        <f>IF(OR($D138=W,$D138=WS),'INPUT Reg'!AI122,0)</f>
        <v>0</v>
      </c>
      <c r="N138" s="102">
        <f>IF(OR($D138=W,$D138=WS),'INPUT Reg'!AJ122,0)</f>
        <v>0</v>
      </c>
      <c r="O138" s="102">
        <f>IF(OR($D138=W,$D138=WS),'INPUT Reg'!AK122,0)</f>
        <v>0</v>
      </c>
      <c r="P138" s="102">
        <f>IF(OR($D138=W,$D138=WS),'INPUT Reg'!AL122,0)</f>
        <v>0</v>
      </c>
      <c r="Q138" s="102">
        <f>IF(OR($D138=W,$D138=WS),'INPUT Reg'!AM122,0)</f>
        <v>0</v>
      </c>
      <c r="R138" s="102">
        <f>IF(OR($D138=W,$D138=WS),'INPUT Reg'!AN122,0)</f>
        <v>0</v>
      </c>
      <c r="S138" s="102">
        <f>IF(OR($D138=W,$D138=WS),'INPUT Reg'!AO122,0)</f>
        <v>0</v>
      </c>
      <c r="T138" s="102">
        <f>IF(OR($D138=W,$D138=WS),'INPUT Reg'!AP122,0)</f>
        <v>0</v>
      </c>
      <c r="U138" s="102">
        <f>IF(OR($D138=W,$D138=WS),'INPUT Reg'!AQ122,0)</f>
        <v>0</v>
      </c>
      <c r="V138" s="102">
        <f>IF(OR($D138=W,$D138=WS),'INPUT Reg'!AR122,0)</f>
        <v>0</v>
      </c>
      <c r="W138" s="102">
        <f>IF(OR($D138=W,$D138=WS),'INPUT Reg'!AS122,0)</f>
        <v>0</v>
      </c>
      <c r="X138" s="102">
        <f>IF(OR($D138=W,$D138=WS),'INPUT Reg'!AT122,0)</f>
        <v>0</v>
      </c>
      <c r="Y138" s="102">
        <f>IF(OR($D138=W,$D138=WS),'INPUT Reg'!AU122,0)</f>
        <v>0</v>
      </c>
      <c r="Z138" s="102">
        <f>IF(OR($D138=W,$D138=WS),'INPUT Reg'!AV122,0)</f>
        <v>0</v>
      </c>
      <c r="AA138" s="102">
        <f>IF(OR($D138=W,$D138=WS),'INPUT Reg'!AW122,0)</f>
        <v>0</v>
      </c>
    </row>
    <row r="139" spans="1:27" x14ac:dyDescent="0.25">
      <c r="A139" s="101">
        <v>28</v>
      </c>
      <c r="B139" s="47" t="str">
        <f>B132</f>
        <v>Western</v>
      </c>
      <c r="C139" s="47" t="str">
        <f t="shared" ref="C139:D139" si="60">C132</f>
        <v>R</v>
      </c>
      <c r="D139" s="47" t="str">
        <f t="shared" si="60"/>
        <v>Sewer</v>
      </c>
      <c r="E139" s="47" t="s">
        <v>663</v>
      </c>
      <c r="F139" s="47" t="s">
        <v>661</v>
      </c>
      <c r="H139" s="102">
        <f>IF(OR($D139=S,$D139=WS),'INPUT Reg'!AD124,0)</f>
        <v>115.94598888324484</v>
      </c>
      <c r="I139" s="102">
        <f>IF(OR($D139=S,$D139=WS),'INPUT Reg'!AE124,0)</f>
        <v>113.42373872423093</v>
      </c>
      <c r="J139" s="102">
        <f>IF(OR($D139=S,$D139=WS),'INPUT Reg'!AF124,0)</f>
        <v>112.79480176997063</v>
      </c>
      <c r="K139" s="102">
        <f>IF(OR($D139=S,$D139=WS),'INPUT Reg'!AG124,0)</f>
        <v>112.46229492870154</v>
      </c>
      <c r="L139" s="102">
        <f>IF(OR($D139=S,$D139=WS),'INPUT Reg'!AH124,0)</f>
        <v>111.34485817049055</v>
      </c>
      <c r="M139" s="102">
        <f>IF(OR($D139=S,$D139=WS),'INPUT Reg'!AI124,0)</f>
        <v>110.52548179876155</v>
      </c>
      <c r="N139" s="102">
        <f>IF(OR($D139=S,$D139=WS),'INPUT Reg'!AJ124,0)</f>
        <v>109.77254687845424</v>
      </c>
      <c r="O139" s="102">
        <f>IF(OR($D139=S,$D139=WS),'INPUT Reg'!AK124,0)</f>
        <v>109.30928783471062</v>
      </c>
      <c r="P139" s="102">
        <f>IF(OR($D139=S,$D139=WS),'INPUT Reg'!AL124,0)</f>
        <v>108.2060964646317</v>
      </c>
      <c r="Q139" s="102">
        <f>IF(OR($D139=S,$D139=WS),'INPUT Reg'!AM124,0)</f>
        <v>107.42299157765144</v>
      </c>
      <c r="R139" s="102">
        <f>IF(OR($D139=S,$D139=WS),'INPUT Reg'!AN124,0)</f>
        <v>106.66135994529793</v>
      </c>
      <c r="S139" s="102">
        <f>IF(OR($D139=S,$D139=WS),'INPUT Reg'!AO124,0)</f>
        <v>106.21533970114072</v>
      </c>
      <c r="T139" s="102">
        <f>IF(OR($D139=S,$D139=WS),'INPUT Reg'!AP124,0)</f>
        <v>105.18760635073897</v>
      </c>
      <c r="U139" s="102">
        <f>IF(OR($D139=S,$D139=WS),'INPUT Reg'!AQ124,0)</f>
        <v>104.497582101353</v>
      </c>
      <c r="V139" s="102">
        <f>IF(OR($D139=S,$D139=WS),'INPUT Reg'!AR124,0)</f>
        <v>103.87078062356498</v>
      </c>
      <c r="W139" s="102">
        <f>IF(OR($D139=S,$D139=WS),'INPUT Reg'!AS124,0)</f>
        <v>103.59840732428682</v>
      </c>
      <c r="X139" s="102">
        <f>IF(OR($D139=S,$D139=WS),'INPUT Reg'!AT124,0)</f>
        <v>102.49891642385481</v>
      </c>
      <c r="Y139" s="102">
        <f>IF(OR($D139=S,$D139=WS),'INPUT Reg'!AU124,0)</f>
        <v>102.10444993044013</v>
      </c>
      <c r="Z139" s="102">
        <f>IF(OR($D139=S,$D139=WS),'INPUT Reg'!AV124,0)</f>
        <v>101.7301470338907</v>
      </c>
      <c r="AA139" s="102">
        <f>IF(OR($D139=S,$D139=WS),'INPUT Reg'!AW124,0)</f>
        <v>101.7301470338907</v>
      </c>
    </row>
    <row r="140" spans="1:27" x14ac:dyDescent="0.25">
      <c r="C140" s="100"/>
      <c r="D140" s="100"/>
      <c r="E140" s="47" t="s">
        <v>664</v>
      </c>
      <c r="F140" s="47" t="s">
        <v>665</v>
      </c>
      <c r="H140" s="106">
        <f>H133*H137</f>
        <v>0</v>
      </c>
      <c r="I140" s="106">
        <f t="shared" ref="I140:AA140" si="61">I133*I137</f>
        <v>0</v>
      </c>
      <c r="J140" s="106">
        <f t="shared" si="61"/>
        <v>0</v>
      </c>
      <c r="K140" s="106">
        <f t="shared" si="61"/>
        <v>0</v>
      </c>
      <c r="L140" s="106">
        <f t="shared" si="61"/>
        <v>0</v>
      </c>
      <c r="M140" s="106">
        <f t="shared" si="61"/>
        <v>0</v>
      </c>
      <c r="N140" s="106">
        <f t="shared" si="61"/>
        <v>0</v>
      </c>
      <c r="O140" s="106">
        <f t="shared" si="61"/>
        <v>0</v>
      </c>
      <c r="P140" s="106">
        <f t="shared" si="61"/>
        <v>0</v>
      </c>
      <c r="Q140" s="106">
        <f t="shared" si="61"/>
        <v>0</v>
      </c>
      <c r="R140" s="106">
        <f t="shared" si="61"/>
        <v>0</v>
      </c>
      <c r="S140" s="106">
        <f t="shared" si="61"/>
        <v>0</v>
      </c>
      <c r="T140" s="106">
        <f t="shared" si="61"/>
        <v>0</v>
      </c>
      <c r="U140" s="106">
        <f t="shared" si="61"/>
        <v>0</v>
      </c>
      <c r="V140" s="106">
        <f t="shared" si="61"/>
        <v>0</v>
      </c>
      <c r="W140" s="106">
        <f t="shared" si="61"/>
        <v>0</v>
      </c>
      <c r="X140" s="106">
        <f t="shared" si="61"/>
        <v>0</v>
      </c>
      <c r="Y140" s="106">
        <f t="shared" si="61"/>
        <v>0</v>
      </c>
      <c r="Z140" s="106">
        <f t="shared" si="61"/>
        <v>0</v>
      </c>
      <c r="AA140" s="106">
        <f t="shared" si="61"/>
        <v>0</v>
      </c>
    </row>
    <row r="141" spans="1:27" x14ac:dyDescent="0.25">
      <c r="C141" s="100"/>
      <c r="D141" s="100"/>
      <c r="E141" s="47" t="s">
        <v>666</v>
      </c>
      <c r="F141" s="47" t="s">
        <v>665</v>
      </c>
      <c r="H141" s="106">
        <f>H133*H138</f>
        <v>0</v>
      </c>
      <c r="I141" s="106">
        <f t="shared" ref="I141:AA141" si="62">I133*I138</f>
        <v>0</v>
      </c>
      <c r="J141" s="106">
        <f t="shared" si="62"/>
        <v>0</v>
      </c>
      <c r="K141" s="106">
        <f t="shared" si="62"/>
        <v>0</v>
      </c>
      <c r="L141" s="106">
        <f t="shared" si="62"/>
        <v>0</v>
      </c>
      <c r="M141" s="106">
        <f t="shared" si="62"/>
        <v>0</v>
      </c>
      <c r="N141" s="106">
        <f t="shared" si="62"/>
        <v>0</v>
      </c>
      <c r="O141" s="106">
        <f t="shared" si="62"/>
        <v>0</v>
      </c>
      <c r="P141" s="106">
        <f t="shared" si="62"/>
        <v>0</v>
      </c>
      <c r="Q141" s="106">
        <f t="shared" si="62"/>
        <v>0</v>
      </c>
      <c r="R141" s="106">
        <f t="shared" si="62"/>
        <v>0</v>
      </c>
      <c r="S141" s="106">
        <f t="shared" si="62"/>
        <v>0</v>
      </c>
      <c r="T141" s="106">
        <f t="shared" si="62"/>
        <v>0</v>
      </c>
      <c r="U141" s="106">
        <f t="shared" si="62"/>
        <v>0</v>
      </c>
      <c r="V141" s="106">
        <f t="shared" si="62"/>
        <v>0</v>
      </c>
      <c r="W141" s="106">
        <f t="shared" si="62"/>
        <v>0</v>
      </c>
      <c r="X141" s="106">
        <f t="shared" si="62"/>
        <v>0</v>
      </c>
      <c r="Y141" s="106">
        <f t="shared" si="62"/>
        <v>0</v>
      </c>
      <c r="Z141" s="106">
        <f t="shared" si="62"/>
        <v>0</v>
      </c>
      <c r="AA141" s="106">
        <f t="shared" si="62"/>
        <v>0</v>
      </c>
    </row>
    <row r="142" spans="1:27" x14ac:dyDescent="0.25">
      <c r="C142" s="100"/>
      <c r="D142" s="100"/>
      <c r="E142" s="47" t="s">
        <v>667</v>
      </c>
      <c r="F142" s="47" t="s">
        <v>665</v>
      </c>
      <c r="H142" s="106">
        <f>H133*H139</f>
        <v>533690.80927058461</v>
      </c>
      <c r="I142" s="106">
        <f t="shared" ref="I142:AA142" si="63">I133*I139</f>
        <v>1083478.3894653479</v>
      </c>
      <c r="J142" s="106">
        <f t="shared" si="63"/>
        <v>1552093.152858133</v>
      </c>
      <c r="K142" s="106">
        <f t="shared" si="63"/>
        <v>2026467.3660593648</v>
      </c>
      <c r="L142" s="106">
        <f t="shared" si="63"/>
        <v>2493382.1255521025</v>
      </c>
      <c r="M142" s="106">
        <f t="shared" si="63"/>
        <v>2985778.9078231365</v>
      </c>
      <c r="N142" s="106">
        <f t="shared" si="63"/>
        <v>3460453.9508521482</v>
      </c>
      <c r="O142" s="106">
        <f t="shared" si="63"/>
        <v>3966263.2397291358</v>
      </c>
      <c r="P142" s="106">
        <f t="shared" si="63"/>
        <v>4447152.1171337953</v>
      </c>
      <c r="Q142" s="106">
        <f t="shared" si="63"/>
        <v>4932873.2292311564</v>
      </c>
      <c r="R142" s="106">
        <f t="shared" si="63"/>
        <v>5412724.6265466791</v>
      </c>
      <c r="S142" s="106">
        <f t="shared" si="63"/>
        <v>5901325.5454129362</v>
      </c>
      <c r="T142" s="106">
        <f t="shared" si="63"/>
        <v>6341075.8282548916</v>
      </c>
      <c r="U142" s="106">
        <f t="shared" si="63"/>
        <v>6793010.7981330249</v>
      </c>
      <c r="V142" s="106">
        <f t="shared" si="63"/>
        <v>7240041.2673978033</v>
      </c>
      <c r="W142" s="106">
        <f t="shared" si="63"/>
        <v>7711232.8956331424</v>
      </c>
      <c r="X142" s="106">
        <f t="shared" si="63"/>
        <v>8113256.8422595141</v>
      </c>
      <c r="Y142" s="106">
        <f t="shared" si="63"/>
        <v>8551901.7045541052</v>
      </c>
      <c r="Z142" s="106">
        <f t="shared" si="63"/>
        <v>8968817.0721717663</v>
      </c>
      <c r="AA142" s="106">
        <f t="shared" si="63"/>
        <v>9390339.0587756801</v>
      </c>
    </row>
    <row r="143" spans="1:27" x14ac:dyDescent="0.25">
      <c r="A143" s="101">
        <v>29</v>
      </c>
      <c r="B143" s="47" t="str">
        <f>B137</f>
        <v>Western</v>
      </c>
      <c r="C143" s="47" t="str">
        <f t="shared" ref="C143:D143" si="64">C137</f>
        <v>R</v>
      </c>
      <c r="D143" s="47" t="str">
        <f t="shared" si="64"/>
        <v>Sewer</v>
      </c>
      <c r="E143" s="47" t="s">
        <v>668</v>
      </c>
      <c r="F143" s="47" t="s">
        <v>633</v>
      </c>
      <c r="H143" s="105">
        <f>SUMIFS('INPUT Reg'!AD$94:AD$109,'INPUT Reg'!$D$94:$D$109,$D143,'INPUT Reg'!$C$94:$C$109,$C143,'INPUT Reg'!$B$94:$B$109,$B143)</f>
        <v>-3.6603950308454869E-2</v>
      </c>
      <c r="I143" s="105">
        <f>SUMIFS('INPUT Reg'!AE$94:AE$109,'INPUT Reg'!$D$94:$D$109,$D143,'INPUT Reg'!$C$94:$C$109,$C143,'INPUT Reg'!$B$94:$B$109,$B143)</f>
        <v>-3.7994706663136757E-2</v>
      </c>
      <c r="J143" s="105">
        <f>SUMIFS('INPUT Reg'!AF$94:AF$109,'INPUT Reg'!$D$94:$D$109,$D143,'INPUT Reg'!$C$94:$C$109,$C143,'INPUT Reg'!$B$94:$B$109,$B143)</f>
        <v>-3.9495319751668201E-2</v>
      </c>
      <c r="K143" s="105">
        <f>SUMIFS('INPUT Reg'!AG$94:AG$109,'INPUT Reg'!$D$94:$D$109,$D143,'INPUT Reg'!$C$94:$C$109,$C143,'INPUT Reg'!$B$94:$B$109,$B143)</f>
        <v>-4.1119341283643696E-2</v>
      </c>
      <c r="L143" s="105">
        <f>SUMIFS('INPUT Reg'!AH$94:AH$109,'INPUT Reg'!$D$94:$D$109,$D143,'INPUT Reg'!$C$94:$C$109,$C143,'INPUT Reg'!$B$94:$B$109,$B143)</f>
        <v>-4.1982797414207296E-2</v>
      </c>
      <c r="M143" s="105">
        <f>SUMIFS('INPUT Reg'!AI$94:AI$109,'INPUT Reg'!$D$94:$D$109,$D143,'INPUT Reg'!$C$94:$C$109,$C143,'INPUT Reg'!$B$94:$B$109,$B143)</f>
        <v>-4.3822592434552554E-2</v>
      </c>
      <c r="N143" s="105">
        <f>SUMIFS('INPUT Reg'!AJ$94:AJ$109,'INPUT Reg'!$D$94:$D$109,$D143,'INPUT Reg'!$C$94:$C$109,$C143,'INPUT Reg'!$B$94:$B$109,$B143)</f>
        <v>-4.5831026844830536E-2</v>
      </c>
      <c r="O143" s="105">
        <f>SUMIFS('INPUT Reg'!AK$94:AK$109,'INPUT Reg'!$D$94:$D$109,$D143,'INPUT Reg'!$C$94:$C$109,$C143,'INPUT Reg'!$B$94:$B$109,$B143)</f>
        <v>-4.8032401109501799E-2</v>
      </c>
      <c r="P143" s="105">
        <f>SUMIFS('INPUT Reg'!AL$94:AL$109,'INPUT Reg'!$D$94:$D$109,$D143,'INPUT Reg'!$C$94:$C$109,$C143,'INPUT Reg'!$B$94:$B$109,$B143)</f>
        <v>-4.6130075527775372E-2</v>
      </c>
      <c r="Q143" s="105">
        <f>SUMIFS('INPUT Reg'!AM$94:AM$109,'INPUT Reg'!$D$94:$D$109,$D143,'INPUT Reg'!$C$94:$C$109,$C143,'INPUT Reg'!$B$94:$B$109,$B143)</f>
        <v>-0.18076168250503288</v>
      </c>
      <c r="R143" s="105">
        <f>SUMIFS('INPUT Reg'!AN$94:AN$109,'INPUT Reg'!$D$94:$D$109,$D143,'INPUT Reg'!$C$94:$C$109,$C143,'INPUT Reg'!$B$94:$B$109,$B143)</f>
        <v>0</v>
      </c>
      <c r="S143" s="105">
        <f>SUMIFS('INPUT Reg'!AO$94:AO$109,'INPUT Reg'!$D$94:$D$109,$D143,'INPUT Reg'!$C$94:$C$109,$C143,'INPUT Reg'!$B$94:$B$109,$B143)</f>
        <v>0</v>
      </c>
      <c r="T143" s="105">
        <f>SUMIFS('INPUT Reg'!AP$94:AP$109,'INPUT Reg'!$D$94:$D$109,$D143,'INPUT Reg'!$C$94:$C$109,$C143,'INPUT Reg'!$B$94:$B$109,$B143)</f>
        <v>0</v>
      </c>
      <c r="U143" s="105">
        <f>SUMIFS('INPUT Reg'!AQ$94:AQ$109,'INPUT Reg'!$D$94:$D$109,$D143,'INPUT Reg'!$C$94:$C$109,$C143,'INPUT Reg'!$B$94:$B$109,$B143)</f>
        <v>0</v>
      </c>
      <c r="V143" s="105">
        <f>SUMIFS('INPUT Reg'!AR$94:AR$109,'INPUT Reg'!$D$94:$D$109,$D143,'INPUT Reg'!$C$94:$C$109,$C143,'INPUT Reg'!$B$94:$B$109,$B143)</f>
        <v>-0.11609367173460639</v>
      </c>
      <c r="W143" s="105">
        <f>SUMIFS('INPUT Reg'!AS$94:AS$109,'INPUT Reg'!$D$94:$D$109,$D143,'INPUT Reg'!$C$94:$C$109,$C143,'INPUT Reg'!$B$94:$B$109,$B143)</f>
        <v>0</v>
      </c>
      <c r="X143" s="105">
        <f>SUMIFS('INPUT Reg'!AT$94:AT$109,'INPUT Reg'!$D$94:$D$109,$D143,'INPUT Reg'!$C$94:$C$109,$C143,'INPUT Reg'!$B$94:$B$109,$B143)</f>
        <v>0</v>
      </c>
      <c r="Y143" s="105">
        <f>SUMIFS('INPUT Reg'!AU$94:AU$109,'INPUT Reg'!$D$94:$D$109,$D143,'INPUT Reg'!$C$94:$C$109,$C143,'INPUT Reg'!$B$94:$B$109,$B143)</f>
        <v>0</v>
      </c>
      <c r="Z143" s="105">
        <f>SUMIFS('INPUT Reg'!AV$94:AV$109,'INPUT Reg'!$D$94:$D$109,$D143,'INPUT Reg'!$C$94:$C$109,$C143,'INPUT Reg'!$B$94:$B$109,$B143)</f>
        <v>0</v>
      </c>
      <c r="AA143" s="105">
        <f>SUMIFS('INPUT Reg'!AW$94:AW$109,'INPUT Reg'!$D$94:$D$109,$D143,'INPUT Reg'!$C$94:$C$109,$C143,'INPUT Reg'!$B$94:$B$109,$B143)</f>
        <v>0</v>
      </c>
    </row>
    <row r="144" spans="1:27" x14ac:dyDescent="0.25">
      <c r="A144" s="101">
        <v>30</v>
      </c>
      <c r="B144" s="47" t="str">
        <f>B132</f>
        <v>Western</v>
      </c>
      <c r="C144" s="47" t="str">
        <f t="shared" ref="C144:D144" si="65">C132</f>
        <v>R</v>
      </c>
      <c r="D144" s="47" t="str">
        <f t="shared" si="65"/>
        <v>Sewer</v>
      </c>
      <c r="E144" s="47" t="s">
        <v>669</v>
      </c>
      <c r="F144" s="47" t="s">
        <v>670</v>
      </c>
      <c r="G144" s="108">
        <f>IF(D144=W,WW_R_W_N,IF(D144=S,WW_R_S_N,IF(D144=WS,WW_R_W_N+WW_R_S_N,WW_R_R_N)))</f>
        <v>544.54349999999999</v>
      </c>
      <c r="H144" s="106">
        <f>G144*(1+$G$14)*(1+H143)</f>
        <v>524.61105678520789</v>
      </c>
      <c r="I144" s="106">
        <f t="shared" ref="I144:AA144" si="66">H144*(1+$G$14)*(1+I143)</f>
        <v>504.67861357041573</v>
      </c>
      <c r="J144" s="106">
        <f t="shared" si="66"/>
        <v>484.74617035562358</v>
      </c>
      <c r="K144" s="106">
        <f t="shared" si="66"/>
        <v>464.81372714083142</v>
      </c>
      <c r="L144" s="106">
        <f t="shared" si="66"/>
        <v>445.29954659893525</v>
      </c>
      <c r="M144" s="106">
        <f t="shared" si="66"/>
        <v>425.78536605703908</v>
      </c>
      <c r="N144" s="106">
        <f t="shared" si="66"/>
        <v>406.27118551514292</v>
      </c>
      <c r="O144" s="106">
        <f t="shared" si="66"/>
        <v>386.75700497324675</v>
      </c>
      <c r="P144" s="106">
        <f t="shared" si="66"/>
        <v>368.91587512293466</v>
      </c>
      <c r="Q144" s="106">
        <f t="shared" si="66"/>
        <v>302.2300208328964</v>
      </c>
      <c r="R144" s="106">
        <f t="shared" si="66"/>
        <v>302.2300208328964</v>
      </c>
      <c r="S144" s="106">
        <f t="shared" si="66"/>
        <v>302.2300208328964</v>
      </c>
      <c r="T144" s="106">
        <f t="shared" si="66"/>
        <v>302.2300208328964</v>
      </c>
      <c r="U144" s="106">
        <f t="shared" si="66"/>
        <v>302.2300208328964</v>
      </c>
      <c r="V144" s="106">
        <f t="shared" si="66"/>
        <v>267.14302800597886</v>
      </c>
      <c r="W144" s="106">
        <f t="shared" si="66"/>
        <v>267.14302800597886</v>
      </c>
      <c r="X144" s="106">
        <f t="shared" si="66"/>
        <v>267.14302800597886</v>
      </c>
      <c r="Y144" s="106">
        <f t="shared" si="66"/>
        <v>267.14302800597886</v>
      </c>
      <c r="Z144" s="106">
        <f t="shared" si="66"/>
        <v>267.14302800597886</v>
      </c>
      <c r="AA144" s="106">
        <f t="shared" si="66"/>
        <v>267.14302800597886</v>
      </c>
    </row>
    <row r="145" spans="1:27" x14ac:dyDescent="0.25">
      <c r="B145" s="47" t="str">
        <f>B132</f>
        <v>Western</v>
      </c>
      <c r="C145" s="47" t="str">
        <f t="shared" ref="C145:D145" si="67">C132</f>
        <v>R</v>
      </c>
      <c r="D145" s="47" t="str">
        <f t="shared" si="67"/>
        <v>Sewer</v>
      </c>
      <c r="E145" s="47" t="s">
        <v>671</v>
      </c>
      <c r="F145" s="47" t="s">
        <v>672</v>
      </c>
      <c r="G145" s="109">
        <f>IF(OR(D145=W,D145=WS),WW_T1,IF(D145=RW,WW_R_R_V,0))</f>
        <v>0</v>
      </c>
      <c r="H145" s="110">
        <f>G145*(1+$G$14)*(1+H143)</f>
        <v>0</v>
      </c>
      <c r="I145" s="110">
        <f t="shared" ref="I145:AA145" si="68">H145*(1+$G$14)*(1+I143)</f>
        <v>0</v>
      </c>
      <c r="J145" s="110">
        <f t="shared" si="68"/>
        <v>0</v>
      </c>
      <c r="K145" s="110">
        <f t="shared" si="68"/>
        <v>0</v>
      </c>
      <c r="L145" s="110">
        <f t="shared" si="68"/>
        <v>0</v>
      </c>
      <c r="M145" s="110">
        <f t="shared" si="68"/>
        <v>0</v>
      </c>
      <c r="N145" s="110">
        <f t="shared" si="68"/>
        <v>0</v>
      </c>
      <c r="O145" s="110">
        <f t="shared" si="68"/>
        <v>0</v>
      </c>
      <c r="P145" s="110">
        <f t="shared" si="68"/>
        <v>0</v>
      </c>
      <c r="Q145" s="110">
        <f t="shared" si="68"/>
        <v>0</v>
      </c>
      <c r="R145" s="110">
        <f t="shared" si="68"/>
        <v>0</v>
      </c>
      <c r="S145" s="110">
        <f t="shared" si="68"/>
        <v>0</v>
      </c>
      <c r="T145" s="110">
        <f t="shared" si="68"/>
        <v>0</v>
      </c>
      <c r="U145" s="110">
        <f t="shared" si="68"/>
        <v>0</v>
      </c>
      <c r="V145" s="110">
        <f t="shared" si="68"/>
        <v>0</v>
      </c>
      <c r="W145" s="110">
        <f t="shared" si="68"/>
        <v>0</v>
      </c>
      <c r="X145" s="110">
        <f t="shared" si="68"/>
        <v>0</v>
      </c>
      <c r="Y145" s="110">
        <f t="shared" si="68"/>
        <v>0</v>
      </c>
      <c r="Z145" s="110">
        <f t="shared" si="68"/>
        <v>0</v>
      </c>
      <c r="AA145" s="110">
        <f t="shared" si="68"/>
        <v>0</v>
      </c>
    </row>
    <row r="146" spans="1:27" x14ac:dyDescent="0.25">
      <c r="B146" s="47" t="str">
        <f>B132</f>
        <v>Western</v>
      </c>
      <c r="C146" s="47" t="str">
        <f t="shared" ref="C146:D146" si="69">C132</f>
        <v>R</v>
      </c>
      <c r="D146" s="47" t="str">
        <f t="shared" si="69"/>
        <v>Sewer</v>
      </c>
      <c r="E146" s="47" t="s">
        <v>673</v>
      </c>
      <c r="F146" s="47" t="s">
        <v>672</v>
      </c>
      <c r="G146" s="109">
        <f>IF(OR(D146=W,D146=WS),WW_T2,0)</f>
        <v>0</v>
      </c>
      <c r="H146" s="110">
        <f>G146*(1+$G$14)*(1+H143)</f>
        <v>0</v>
      </c>
      <c r="I146" s="110">
        <f t="shared" ref="I146:AA146" si="70">H146*(1+$G$14)*(1+I143)</f>
        <v>0</v>
      </c>
      <c r="J146" s="110">
        <f t="shared" si="70"/>
        <v>0</v>
      </c>
      <c r="K146" s="110">
        <f t="shared" si="70"/>
        <v>0</v>
      </c>
      <c r="L146" s="110">
        <f t="shared" si="70"/>
        <v>0</v>
      </c>
      <c r="M146" s="110">
        <f t="shared" si="70"/>
        <v>0</v>
      </c>
      <c r="N146" s="110">
        <f t="shared" si="70"/>
        <v>0</v>
      </c>
      <c r="O146" s="110">
        <f t="shared" si="70"/>
        <v>0</v>
      </c>
      <c r="P146" s="110">
        <f t="shared" si="70"/>
        <v>0</v>
      </c>
      <c r="Q146" s="110">
        <f t="shared" si="70"/>
        <v>0</v>
      </c>
      <c r="R146" s="110">
        <f t="shared" si="70"/>
        <v>0</v>
      </c>
      <c r="S146" s="110">
        <f t="shared" si="70"/>
        <v>0</v>
      </c>
      <c r="T146" s="110">
        <f t="shared" si="70"/>
        <v>0</v>
      </c>
      <c r="U146" s="110">
        <f t="shared" si="70"/>
        <v>0</v>
      </c>
      <c r="V146" s="110">
        <f t="shared" si="70"/>
        <v>0</v>
      </c>
      <c r="W146" s="110">
        <f t="shared" si="70"/>
        <v>0</v>
      </c>
      <c r="X146" s="110">
        <f t="shared" si="70"/>
        <v>0</v>
      </c>
      <c r="Y146" s="110">
        <f t="shared" si="70"/>
        <v>0</v>
      </c>
      <c r="Z146" s="110">
        <f t="shared" si="70"/>
        <v>0</v>
      </c>
      <c r="AA146" s="110">
        <f t="shared" si="70"/>
        <v>0</v>
      </c>
    </row>
    <row r="147" spans="1:27" x14ac:dyDescent="0.25">
      <c r="B147" s="47" t="str">
        <f>B132</f>
        <v>Western</v>
      </c>
      <c r="C147" s="47" t="str">
        <f t="shared" ref="C147:D147" si="71">C132</f>
        <v>R</v>
      </c>
      <c r="D147" s="47" t="str">
        <f t="shared" si="71"/>
        <v>Sewer</v>
      </c>
      <c r="E147" s="47" t="s">
        <v>674</v>
      </c>
      <c r="F147" s="47" t="s">
        <v>672</v>
      </c>
      <c r="G147" s="109">
        <f>IF(OR(D147=S,D147=WS), WW_R_SDC,0)</f>
        <v>0</v>
      </c>
      <c r="H147" s="110">
        <f>G147*(1+$G$14)*(1+H143)</f>
        <v>0</v>
      </c>
      <c r="I147" s="110">
        <f t="shared" ref="I147:AA147" si="72">H147*(1+$G$14)*(1+I143)</f>
        <v>0</v>
      </c>
      <c r="J147" s="110">
        <f t="shared" si="72"/>
        <v>0</v>
      </c>
      <c r="K147" s="110">
        <f t="shared" si="72"/>
        <v>0</v>
      </c>
      <c r="L147" s="110">
        <f t="shared" si="72"/>
        <v>0</v>
      </c>
      <c r="M147" s="110">
        <f t="shared" si="72"/>
        <v>0</v>
      </c>
      <c r="N147" s="110">
        <f t="shared" si="72"/>
        <v>0</v>
      </c>
      <c r="O147" s="110">
        <f t="shared" si="72"/>
        <v>0</v>
      </c>
      <c r="P147" s="110">
        <f t="shared" si="72"/>
        <v>0</v>
      </c>
      <c r="Q147" s="110">
        <f t="shared" si="72"/>
        <v>0</v>
      </c>
      <c r="R147" s="110">
        <f t="shared" si="72"/>
        <v>0</v>
      </c>
      <c r="S147" s="110">
        <f t="shared" si="72"/>
        <v>0</v>
      </c>
      <c r="T147" s="110">
        <f t="shared" si="72"/>
        <v>0</v>
      </c>
      <c r="U147" s="110">
        <f t="shared" si="72"/>
        <v>0</v>
      </c>
      <c r="V147" s="110">
        <f t="shared" si="72"/>
        <v>0</v>
      </c>
      <c r="W147" s="110">
        <f t="shared" si="72"/>
        <v>0</v>
      </c>
      <c r="X147" s="110">
        <f t="shared" si="72"/>
        <v>0</v>
      </c>
      <c r="Y147" s="110">
        <f t="shared" si="72"/>
        <v>0</v>
      </c>
      <c r="Z147" s="110">
        <f t="shared" si="72"/>
        <v>0</v>
      </c>
      <c r="AA147" s="110">
        <f t="shared" si="72"/>
        <v>0</v>
      </c>
    </row>
    <row r="148" spans="1:27" x14ac:dyDescent="0.25">
      <c r="C148" s="100"/>
      <c r="D148" s="100"/>
    </row>
    <row r="149" spans="1:27" x14ac:dyDescent="0.25">
      <c r="C149" s="100"/>
      <c r="D149" s="100"/>
      <c r="E149" s="47" t="s">
        <v>682</v>
      </c>
      <c r="F149" s="47" t="s">
        <v>676</v>
      </c>
      <c r="H149" s="106">
        <f>SUM(H140:H142)/1000</f>
        <v>533.69080927058462</v>
      </c>
      <c r="I149" s="106">
        <f t="shared" ref="I149:AA149" si="73">SUM(I140:I142)/1000</f>
        <v>1083.4783894653478</v>
      </c>
      <c r="J149" s="106">
        <f t="shared" si="73"/>
        <v>1552.093152858133</v>
      </c>
      <c r="K149" s="106">
        <f t="shared" si="73"/>
        <v>2026.4673660593648</v>
      </c>
      <c r="L149" s="106">
        <f t="shared" si="73"/>
        <v>2493.3821255521025</v>
      </c>
      <c r="M149" s="106">
        <f t="shared" si="73"/>
        <v>2985.7789078231367</v>
      </c>
      <c r="N149" s="106">
        <f t="shared" si="73"/>
        <v>3460.4539508521484</v>
      </c>
      <c r="O149" s="106">
        <f t="shared" si="73"/>
        <v>3966.2632397291359</v>
      </c>
      <c r="P149" s="106">
        <f t="shared" si="73"/>
        <v>4447.1521171337954</v>
      </c>
      <c r="Q149" s="106">
        <f t="shared" si="73"/>
        <v>4932.8732292311561</v>
      </c>
      <c r="R149" s="106">
        <f t="shared" si="73"/>
        <v>5412.7246265466792</v>
      </c>
      <c r="S149" s="106">
        <f t="shared" si="73"/>
        <v>5901.3255454129367</v>
      </c>
      <c r="T149" s="106">
        <f t="shared" si="73"/>
        <v>6341.0758282548913</v>
      </c>
      <c r="U149" s="106">
        <f t="shared" si="73"/>
        <v>6793.0107981330248</v>
      </c>
      <c r="V149" s="106">
        <f t="shared" si="73"/>
        <v>7240.0412673978035</v>
      </c>
      <c r="W149" s="106">
        <f t="shared" si="73"/>
        <v>7711.2328956331421</v>
      </c>
      <c r="X149" s="106">
        <f t="shared" si="73"/>
        <v>8113.2568422595141</v>
      </c>
      <c r="Y149" s="106">
        <f t="shared" si="73"/>
        <v>8551.9017045541059</v>
      </c>
      <c r="Z149" s="106">
        <f t="shared" si="73"/>
        <v>8968.817072171767</v>
      </c>
      <c r="AA149" s="106">
        <f t="shared" si="73"/>
        <v>9390.3390587756803</v>
      </c>
    </row>
    <row r="150" spans="1:27" x14ac:dyDescent="0.25">
      <c r="C150" s="100"/>
      <c r="D150" s="100"/>
      <c r="E150" s="47" t="s">
        <v>683</v>
      </c>
      <c r="F150" s="47" t="s">
        <v>639</v>
      </c>
      <c r="H150" s="106">
        <f>H133*H144+H140*H145+H141*H146+H142*H147</f>
        <v>2414745.8842231124</v>
      </c>
      <c r="I150" s="106">
        <f t="shared" ref="I150:AA150" si="74">I133*I144+I140*I145+I141*I146+I142*I147</f>
        <v>4820934.114668387</v>
      </c>
      <c r="J150" s="106">
        <f t="shared" si="74"/>
        <v>6670264.9419742078</v>
      </c>
      <c r="K150" s="106">
        <f t="shared" si="74"/>
        <v>8375516.8782966631</v>
      </c>
      <c r="L150" s="106">
        <f t="shared" si="74"/>
        <v>9971739.5868083388</v>
      </c>
      <c r="M150" s="106">
        <f t="shared" si="74"/>
        <v>11502333.620653855</v>
      </c>
      <c r="N150" s="106">
        <f t="shared" si="74"/>
        <v>12807234.313237967</v>
      </c>
      <c r="O150" s="106">
        <f t="shared" si="74"/>
        <v>14033392.05587633</v>
      </c>
      <c r="P150" s="106">
        <f t="shared" si="74"/>
        <v>15162038.634611325</v>
      </c>
      <c r="Q150" s="106">
        <f t="shared" si="74"/>
        <v>13878429.160659607</v>
      </c>
      <c r="R150" s="106">
        <f t="shared" si="74"/>
        <v>15337211.87769321</v>
      </c>
      <c r="S150" s="106">
        <f t="shared" si="74"/>
        <v>16791903.575794905</v>
      </c>
      <c r="T150" s="106">
        <f t="shared" si="74"/>
        <v>18219479.900380753</v>
      </c>
      <c r="U150" s="106">
        <f t="shared" si="74"/>
        <v>19646883.246031124</v>
      </c>
      <c r="V150" s="106">
        <f t="shared" si="74"/>
        <v>18620506.512512933</v>
      </c>
      <c r="W150" s="106">
        <f t="shared" si="74"/>
        <v>19884495.89722427</v>
      </c>
      <c r="X150" s="106">
        <f t="shared" si="74"/>
        <v>21145589.392074872</v>
      </c>
      <c r="Y150" s="106">
        <f t="shared" si="74"/>
        <v>22374939.761396036</v>
      </c>
      <c r="Z150" s="106">
        <f t="shared" si="74"/>
        <v>23552083.823229775</v>
      </c>
      <c r="AA150" s="106">
        <f t="shared" si="74"/>
        <v>24658999.159103133</v>
      </c>
    </row>
    <row r="151" spans="1:27" x14ac:dyDescent="0.25">
      <c r="C151" s="100"/>
      <c r="D151" s="100"/>
    </row>
    <row r="152" spans="1:27" x14ac:dyDescent="0.25">
      <c r="C152" s="100"/>
      <c r="D152" s="47" t="s">
        <v>684</v>
      </c>
    </row>
    <row r="153" spans="1:27" x14ac:dyDescent="0.25">
      <c r="A153" s="101">
        <v>31</v>
      </c>
      <c r="B153" s="47" t="s">
        <v>265</v>
      </c>
      <c r="C153" s="100" t="s">
        <v>407</v>
      </c>
      <c r="D153" s="100" t="str">
        <f>$G$4</f>
        <v>Sewer</v>
      </c>
      <c r="E153" s="47" t="s">
        <v>654</v>
      </c>
      <c r="F153" s="47" t="s">
        <v>655</v>
      </c>
      <c r="H153" s="102">
        <f>IF($G$4="Water and sewer",SUMIFS('INPUT Growth'!AD$64:AD$115,'INPUT Growth'!$B$64:$B$115,$A$1,'INPUT Growth'!$F$64:$F$115,$B153,'INPUT Growth'!$E$64:$E$115,$C153),SUMIFS('INPUT Growth'!AD$64:AD$115,'INPUT Growth'!$A$64:$A$115,$A$1,'INPUT Growth'!$F$64:$F$115,$B153,'INPUT Growth'!$E$64:$E$115,$C153))</f>
        <v>129.22180938446786</v>
      </c>
      <c r="I153" s="102">
        <f>IF($G$4="Water and sewer",SUMIFS('INPUT Growth'!AE$64:AE$115,'INPUT Growth'!$B$64:$B$115,$A$1,'INPUT Growth'!$F$64:$F$115,$B153,'INPUT Growth'!$E$64:$E$115,$C153),SUMIFS('INPUT Growth'!AE$64:AE$115,'INPUT Growth'!$A$64:$A$115,$A$1,'INPUT Growth'!$F$64:$F$115,$B153,'INPUT Growth'!$E$64:$E$115,$C153))</f>
        <v>158.26457711776243</v>
      </c>
      <c r="J153" s="102">
        <f>IF($G$4="Water and sewer",SUMIFS('INPUT Growth'!AF$64:AF$115,'INPUT Growth'!$B$64:$B$115,$A$1,'INPUT Growth'!$F$64:$F$115,$B153,'INPUT Growth'!$E$64:$E$115,$C153),SUMIFS('INPUT Growth'!AF$64:AF$115,'INPUT Growth'!$A$64:$A$115,$A$1,'INPUT Growth'!$F$64:$F$115,$B153,'INPUT Growth'!$E$64:$E$115,$C153))</f>
        <v>171.05670129984446</v>
      </c>
      <c r="K153" s="102">
        <f>IF($G$4="Water and sewer",SUMIFS('INPUT Growth'!AG$64:AG$115,'INPUT Growth'!$B$64:$B$115,$A$1,'INPUT Growth'!$F$64:$F$115,$B153,'INPUT Growth'!$E$64:$E$115,$C153),SUMIFS('INPUT Growth'!AG$64:AG$115,'INPUT Growth'!$A$64:$A$115,$A$1,'INPUT Growth'!$F$64:$F$115,$B153,'INPUT Growth'!$E$64:$E$115,$C153))</f>
        <v>208.7076507288898</v>
      </c>
      <c r="L153" s="102">
        <f>IF($G$4="Water and sewer",SUMIFS('INPUT Growth'!AH$64:AH$115,'INPUT Growth'!$B$64:$B$115,$A$1,'INPUT Growth'!$F$64:$F$115,$B153,'INPUT Growth'!$E$64:$E$115,$C153),SUMIFS('INPUT Growth'!AH$64:AH$115,'INPUT Growth'!$A$64:$A$115,$A$1,'INPUT Growth'!$F$64:$F$115,$B153,'INPUT Growth'!$E$64:$E$115,$C153))</f>
        <v>252.82889249168329</v>
      </c>
      <c r="M153" s="102">
        <f>IF($G$4="Water and sewer",SUMIFS('INPUT Growth'!AI$64:AI$115,'INPUT Growth'!$B$64:$B$115,$A$1,'INPUT Growth'!$F$64:$F$115,$B153,'INPUT Growth'!$E$64:$E$115,$C153),SUMIFS('INPUT Growth'!AI$64:AI$115,'INPUT Growth'!$A$64:$A$115,$A$1,'INPUT Growth'!$F$64:$F$115,$B153,'INPUT Growth'!$E$64:$E$115,$C153))</f>
        <v>303.85647174773749</v>
      </c>
      <c r="N153" s="102">
        <f>IF($G$4="Water and sewer",SUMIFS('INPUT Growth'!AJ$64:AJ$115,'INPUT Growth'!$B$64:$B$115,$A$1,'INPUT Growth'!$F$64:$F$115,$B153,'INPUT Growth'!$E$64:$E$115,$C153),SUMIFS('INPUT Growth'!AJ$64:AJ$115,'INPUT Growth'!$A$64:$A$115,$A$1,'INPUT Growth'!$F$64:$F$115,$B153,'INPUT Growth'!$E$64:$E$115,$C153))</f>
        <v>319.71487516270372</v>
      </c>
      <c r="O153" s="102">
        <f>IF($G$4="Water and sewer",SUMIFS('INPUT Growth'!AK$64:AK$115,'INPUT Growth'!$B$64:$B$115,$A$1,'INPUT Growth'!$F$64:$F$115,$B153,'INPUT Growth'!$E$64:$E$115,$C153),SUMIFS('INPUT Growth'!AK$64:AK$115,'INPUT Growth'!$A$64:$A$115,$A$1,'INPUT Growth'!$F$64:$F$115,$B153,'INPUT Growth'!$E$64:$E$115,$C153))</f>
        <v>361.20884015559659</v>
      </c>
      <c r="P153" s="102">
        <f>IF($G$4="Water and sewer",SUMIFS('INPUT Growth'!AL$64:AL$115,'INPUT Growth'!$B$64:$B$115,$A$1,'INPUT Growth'!$F$64:$F$115,$B153,'INPUT Growth'!$E$64:$E$115,$C153),SUMIFS('INPUT Growth'!AL$64:AL$115,'INPUT Growth'!$A$64:$A$115,$A$1,'INPUT Growth'!$F$64:$F$115,$B153,'INPUT Growth'!$E$64:$E$115,$C153))</f>
        <v>383.32864420185479</v>
      </c>
      <c r="Q153" s="102">
        <f>IF($G$4="Water and sewer",SUMIFS('INPUT Growth'!AM$64:AM$115,'INPUT Growth'!$B$64:$B$115,$A$1,'INPUT Growth'!$F$64:$F$115,$B153,'INPUT Growth'!$E$64:$E$115,$C153),SUMIFS('INPUT Growth'!AM$64:AM$115,'INPUT Growth'!$A$64:$A$115,$A$1,'INPUT Growth'!$F$64:$F$115,$B153,'INPUT Growth'!$E$64:$E$115,$C153))</f>
        <v>396.3807440357109</v>
      </c>
      <c r="R153" s="102">
        <f>IF($G$4="Water and sewer",SUMIFS('INPUT Growth'!AN$64:AN$115,'INPUT Growth'!$B$64:$B$115,$A$1,'INPUT Growth'!$F$64:$F$115,$B153,'INPUT Growth'!$E$64:$E$115,$C153),SUMIFS('INPUT Growth'!AN$64:AN$115,'INPUT Growth'!$A$64:$A$115,$A$1,'INPUT Growth'!$F$64:$F$115,$B153,'INPUT Growth'!$E$64:$E$115,$C153))</f>
        <v>392.69467837158754</v>
      </c>
      <c r="S153" s="102">
        <f>IF($G$4="Water and sewer",SUMIFS('INPUT Growth'!AO$64:AO$115,'INPUT Growth'!$B$64:$B$115,$A$1,'INPUT Growth'!$F$64:$F$115,$B153,'INPUT Growth'!$E$64:$E$115,$C153),SUMIFS('INPUT Growth'!AO$64:AO$115,'INPUT Growth'!$A$64:$A$115,$A$1,'INPUT Growth'!$F$64:$F$115,$B153,'INPUT Growth'!$E$64:$E$115,$C153))</f>
        <v>378.30382165532501</v>
      </c>
      <c r="T153" s="102">
        <f>IF($G$4="Water and sewer",SUMIFS('INPUT Growth'!AP$64:AP$115,'INPUT Growth'!$B$64:$B$115,$A$1,'INPUT Growth'!$F$64:$F$115,$B153,'INPUT Growth'!$E$64:$E$115,$C153),SUMIFS('INPUT Growth'!AP$64:AP$115,'INPUT Growth'!$A$64:$A$115,$A$1,'INPUT Growth'!$F$64:$F$115,$B153,'INPUT Growth'!$E$64:$E$115,$C153))</f>
        <v>365.97166327740888</v>
      </c>
      <c r="U153" s="102">
        <f>IF($G$4="Water and sewer",SUMIFS('INPUT Growth'!AQ$64:AQ$115,'INPUT Growth'!$B$64:$B$115,$A$1,'INPUT Growth'!$F$64:$F$115,$B153,'INPUT Growth'!$E$64:$E$115,$C153),SUMIFS('INPUT Growth'!AQ$64:AQ$115,'INPUT Growth'!$A$64:$A$115,$A$1,'INPUT Growth'!$F$64:$F$115,$B153,'INPUT Growth'!$E$64:$E$115,$C153))</f>
        <v>355.20049509683849</v>
      </c>
      <c r="V153" s="102">
        <f>IF($G$4="Water and sewer",SUMIFS('INPUT Growth'!AR$64:AR$115,'INPUT Growth'!$B$64:$B$115,$A$1,'INPUT Growth'!$F$64:$F$115,$B153,'INPUT Growth'!$E$64:$E$115,$C153),SUMIFS('INPUT Growth'!AR$64:AR$115,'INPUT Growth'!$A$64:$A$115,$A$1,'INPUT Growth'!$F$64:$F$115,$B153,'INPUT Growth'!$E$64:$E$115,$C153))</f>
        <v>341.91163539585796</v>
      </c>
      <c r="W153" s="102">
        <f>IF($G$4="Water and sewer",SUMIFS('INPUT Growth'!AS$64:AS$115,'INPUT Growth'!$B$64:$B$115,$A$1,'INPUT Growth'!$F$64:$F$115,$B153,'INPUT Growth'!$E$64:$E$115,$C153),SUMIFS('INPUT Growth'!AS$64:AS$115,'INPUT Growth'!$A$64:$A$115,$A$1,'INPUT Growth'!$F$64:$F$115,$B153,'INPUT Growth'!$E$64:$E$115,$C153))</f>
        <v>292.81900703740939</v>
      </c>
      <c r="X153" s="102">
        <f>IF($G$4="Water and sewer",SUMIFS('INPUT Growth'!AT$64:AT$115,'INPUT Growth'!$B$64:$B$115,$A$1,'INPUT Growth'!$F$64:$F$115,$B153,'INPUT Growth'!$E$64:$E$115,$C153),SUMIFS('INPUT Growth'!AT$64:AT$115,'INPUT Growth'!$A$64:$A$115,$A$1,'INPUT Growth'!$F$64:$F$115,$B153,'INPUT Growth'!$E$64:$E$115,$C153))</f>
        <v>252.12516688118194</v>
      </c>
      <c r="Y153" s="102">
        <f>IF($G$4="Water and sewer",SUMIFS('INPUT Growth'!AU$64:AU$115,'INPUT Growth'!$B$64:$B$115,$A$1,'INPUT Growth'!$F$64:$F$115,$B153,'INPUT Growth'!$E$64:$E$115,$C153),SUMIFS('INPUT Growth'!AU$64:AU$115,'INPUT Growth'!$A$64:$A$115,$A$1,'INPUT Growth'!$F$64:$F$115,$B153,'INPUT Growth'!$E$64:$E$115,$C153))</f>
        <v>200.05501644230935</v>
      </c>
      <c r="Z153" s="102">
        <f>IF($G$4="Water and sewer",SUMIFS('INPUT Growth'!AV$64:AV$115,'INPUT Growth'!$B$64:$B$115,$A$1,'INPUT Growth'!$F$64:$F$115,$B153,'INPUT Growth'!$E$64:$E$115,$C153),SUMIFS('INPUT Growth'!AV$64:AV$115,'INPUT Growth'!$A$64:$A$115,$A$1,'INPUT Growth'!$F$64:$F$115,$B153,'INPUT Growth'!$E$64:$E$115,$C153))</f>
        <v>165.26836680623455</v>
      </c>
      <c r="AA153" s="102">
        <f>IF($G$4="Water and sewer",SUMIFS('INPUT Growth'!AW$64:AW$115,'INPUT Growth'!$B$64:$B$115,$A$1,'INPUT Growth'!$F$64:$F$115,$B153,'INPUT Growth'!$E$64:$E$115,$C153),SUMIFS('INPUT Growth'!AW$64:AW$115,'INPUT Growth'!$A$64:$A$115,$A$1,'INPUT Growth'!$F$64:$F$115,$B153,'INPUT Growth'!$E$64:$E$115,$C153))</f>
        <v>169.53257451816444</v>
      </c>
    </row>
    <row r="154" spans="1:27" x14ac:dyDescent="0.25">
      <c r="C154" s="100"/>
      <c r="D154" s="100"/>
      <c r="E154" s="47" t="s">
        <v>656</v>
      </c>
      <c r="F154" s="47" t="s">
        <v>655</v>
      </c>
      <c r="H154" s="106">
        <f>G154+H153</f>
        <v>129.22180938446786</v>
      </c>
      <c r="I154" s="106">
        <f t="shared" ref="I154:AA154" si="75">H154+I153</f>
        <v>287.48638650223029</v>
      </c>
      <c r="J154" s="106">
        <f t="shared" si="75"/>
        <v>458.54308780207475</v>
      </c>
      <c r="K154" s="106">
        <f t="shared" si="75"/>
        <v>667.25073853096455</v>
      </c>
      <c r="L154" s="106">
        <f t="shared" si="75"/>
        <v>920.07963102264785</v>
      </c>
      <c r="M154" s="106">
        <f t="shared" si="75"/>
        <v>1223.9361027703853</v>
      </c>
      <c r="N154" s="106">
        <f t="shared" si="75"/>
        <v>1543.6509779330891</v>
      </c>
      <c r="O154" s="106">
        <f t="shared" si="75"/>
        <v>1904.8598180886856</v>
      </c>
      <c r="P154" s="106">
        <f t="shared" si="75"/>
        <v>2288.1884622905404</v>
      </c>
      <c r="Q154" s="106">
        <f t="shared" si="75"/>
        <v>2684.5692063262513</v>
      </c>
      <c r="R154" s="106">
        <f t="shared" si="75"/>
        <v>3077.2638846978389</v>
      </c>
      <c r="S154" s="106">
        <f t="shared" si="75"/>
        <v>3455.5677063531639</v>
      </c>
      <c r="T154" s="106">
        <f t="shared" si="75"/>
        <v>3821.5393696305728</v>
      </c>
      <c r="U154" s="106">
        <f t="shared" si="75"/>
        <v>4176.7398647274113</v>
      </c>
      <c r="V154" s="106">
        <f t="shared" si="75"/>
        <v>4518.6515001232692</v>
      </c>
      <c r="W154" s="106">
        <f t="shared" si="75"/>
        <v>4811.4705071606786</v>
      </c>
      <c r="X154" s="106">
        <f t="shared" si="75"/>
        <v>5063.5956740418605</v>
      </c>
      <c r="Y154" s="106">
        <f t="shared" si="75"/>
        <v>5263.6506904841699</v>
      </c>
      <c r="Z154" s="106">
        <f t="shared" si="75"/>
        <v>5428.9190572904045</v>
      </c>
      <c r="AA154" s="106">
        <f t="shared" si="75"/>
        <v>5598.4516318085689</v>
      </c>
    </row>
    <row r="155" spans="1:27" x14ac:dyDescent="0.25">
      <c r="A155" s="101">
        <v>32</v>
      </c>
      <c r="C155" s="100"/>
      <c r="D155" s="100"/>
      <c r="E155" s="47" t="s">
        <v>657</v>
      </c>
      <c r="F155" s="47" t="s">
        <v>655</v>
      </c>
      <c r="G155" s="102">
        <f>Assumptions!$H$46</f>
        <v>2</v>
      </c>
    </row>
    <row r="156" spans="1:27" x14ac:dyDescent="0.25">
      <c r="C156" s="100"/>
      <c r="D156" s="100"/>
      <c r="E156" s="47" t="s">
        <v>658</v>
      </c>
      <c r="F156" s="47" t="s">
        <v>655</v>
      </c>
      <c r="H156" s="47">
        <f>H153*$G155</f>
        <v>258.44361876893572</v>
      </c>
      <c r="I156" s="47">
        <f t="shared" ref="I156:AA156" si="76">I153*$G155</f>
        <v>316.52915423552486</v>
      </c>
      <c r="J156" s="47">
        <f t="shared" si="76"/>
        <v>342.11340259968892</v>
      </c>
      <c r="K156" s="47">
        <f t="shared" si="76"/>
        <v>417.41530145777961</v>
      </c>
      <c r="L156" s="47">
        <f t="shared" si="76"/>
        <v>505.65778498336658</v>
      </c>
      <c r="M156" s="47">
        <f t="shared" si="76"/>
        <v>607.71294349547497</v>
      </c>
      <c r="N156" s="47">
        <f t="shared" si="76"/>
        <v>639.42975032540744</v>
      </c>
      <c r="O156" s="47">
        <f t="shared" si="76"/>
        <v>722.41768031119318</v>
      </c>
      <c r="P156" s="47">
        <f t="shared" si="76"/>
        <v>766.65728840370957</v>
      </c>
      <c r="Q156" s="47">
        <f t="shared" si="76"/>
        <v>792.76148807142181</v>
      </c>
      <c r="R156" s="47">
        <f t="shared" si="76"/>
        <v>785.38935674317509</v>
      </c>
      <c r="S156" s="47">
        <f t="shared" si="76"/>
        <v>756.60764331065002</v>
      </c>
      <c r="T156" s="47">
        <f t="shared" si="76"/>
        <v>731.94332655481776</v>
      </c>
      <c r="U156" s="47">
        <f t="shared" si="76"/>
        <v>710.40099019367699</v>
      </c>
      <c r="V156" s="47">
        <f t="shared" si="76"/>
        <v>683.82327079171591</v>
      </c>
      <c r="W156" s="47">
        <f t="shared" si="76"/>
        <v>585.63801407481878</v>
      </c>
      <c r="X156" s="47">
        <f t="shared" si="76"/>
        <v>504.25033376236388</v>
      </c>
      <c r="Y156" s="47">
        <f t="shared" si="76"/>
        <v>400.1100328846187</v>
      </c>
      <c r="Z156" s="47">
        <f t="shared" si="76"/>
        <v>330.53673361246911</v>
      </c>
      <c r="AA156" s="47">
        <f t="shared" si="76"/>
        <v>339.06514903632888</v>
      </c>
    </row>
    <row r="157" spans="1:27" x14ac:dyDescent="0.25">
      <c r="C157" s="100"/>
      <c r="D157" s="100"/>
      <c r="E157" s="47" t="s">
        <v>659</v>
      </c>
      <c r="F157" s="47" t="s">
        <v>655</v>
      </c>
      <c r="H157" s="47">
        <f>H154*$G155</f>
        <v>258.44361876893572</v>
      </c>
      <c r="I157" s="47">
        <f t="shared" ref="I157:AA157" si="77">I154*$G155</f>
        <v>574.97277300446058</v>
      </c>
      <c r="J157" s="47">
        <f t="shared" si="77"/>
        <v>917.0861756041495</v>
      </c>
      <c r="K157" s="47">
        <f t="shared" si="77"/>
        <v>1334.5014770619291</v>
      </c>
      <c r="L157" s="47">
        <f t="shared" si="77"/>
        <v>1840.1592620452957</v>
      </c>
      <c r="M157" s="47">
        <f t="shared" si="77"/>
        <v>2447.8722055407707</v>
      </c>
      <c r="N157" s="47">
        <f t="shared" si="77"/>
        <v>3087.3019558661781</v>
      </c>
      <c r="O157" s="47">
        <f t="shared" si="77"/>
        <v>3809.7196361773713</v>
      </c>
      <c r="P157" s="47">
        <f t="shared" si="77"/>
        <v>4576.3769245810809</v>
      </c>
      <c r="Q157" s="47">
        <f t="shared" si="77"/>
        <v>5369.1384126525027</v>
      </c>
      <c r="R157" s="47">
        <f t="shared" si="77"/>
        <v>6154.5277693956778</v>
      </c>
      <c r="S157" s="47">
        <f t="shared" si="77"/>
        <v>6911.1354127063278</v>
      </c>
      <c r="T157" s="47">
        <f t="shared" si="77"/>
        <v>7643.0787392611455</v>
      </c>
      <c r="U157" s="47">
        <f t="shared" si="77"/>
        <v>8353.4797294548225</v>
      </c>
      <c r="V157" s="47">
        <f t="shared" si="77"/>
        <v>9037.3030002465384</v>
      </c>
      <c r="W157" s="47">
        <f t="shared" si="77"/>
        <v>9622.9410143213572</v>
      </c>
      <c r="X157" s="47">
        <f t="shared" si="77"/>
        <v>10127.191348083721</v>
      </c>
      <c r="Y157" s="47">
        <f t="shared" si="77"/>
        <v>10527.30138096834</v>
      </c>
      <c r="Z157" s="47">
        <f t="shared" si="77"/>
        <v>10857.838114580809</v>
      </c>
      <c r="AA157" s="47">
        <f t="shared" si="77"/>
        <v>11196.903263617138</v>
      </c>
    </row>
    <row r="158" spans="1:27" x14ac:dyDescent="0.25">
      <c r="A158" s="101">
        <v>33</v>
      </c>
      <c r="B158" s="47" t="str">
        <f>B153</f>
        <v>Western</v>
      </c>
      <c r="C158" s="47" t="str">
        <f>C153</f>
        <v>N</v>
      </c>
      <c r="D158" s="47" t="str">
        <f>D153</f>
        <v>Sewer</v>
      </c>
      <c r="E158" s="47" t="s">
        <v>660</v>
      </c>
      <c r="F158" s="47" t="s">
        <v>661</v>
      </c>
      <c r="H158" s="102">
        <f>IF(OR($D158=W,$D158=WS),'INPUT Reg'!AD126,IF($D158=RW,'INPUT Reg'!AD128,0))</f>
        <v>0</v>
      </c>
      <c r="I158" s="102">
        <f>IF(OR($D158=W,$D158=WS),'INPUT Reg'!AE126,IF($D158=RW,'INPUT Reg'!AE128,0))</f>
        <v>0</v>
      </c>
      <c r="J158" s="102">
        <f>IF(OR($D158=W,$D158=WS),'INPUT Reg'!AF126,IF($D158=RW,'INPUT Reg'!AF128,0))</f>
        <v>0</v>
      </c>
      <c r="K158" s="102">
        <f>IF(OR($D158=W,$D158=WS),'INPUT Reg'!AG126,IF($D158=RW,'INPUT Reg'!AG128,0))</f>
        <v>0</v>
      </c>
      <c r="L158" s="102">
        <f>IF(OR($D158=W,$D158=WS),'INPUT Reg'!AH126,IF($D158=RW,'INPUT Reg'!AH128,0))</f>
        <v>0</v>
      </c>
      <c r="M158" s="102">
        <f>IF(OR($D158=W,$D158=WS),'INPUT Reg'!AI126,IF($D158=RW,'INPUT Reg'!AI128,0))</f>
        <v>0</v>
      </c>
      <c r="N158" s="102">
        <f>IF(OR($D158=W,$D158=WS),'INPUT Reg'!AJ126,IF($D158=RW,'INPUT Reg'!AJ128,0))</f>
        <v>0</v>
      </c>
      <c r="O158" s="102">
        <f>IF(OR($D158=W,$D158=WS),'INPUT Reg'!AK126,IF($D158=RW,'INPUT Reg'!AK128,0))</f>
        <v>0</v>
      </c>
      <c r="P158" s="102">
        <f>IF(OR($D158=W,$D158=WS),'INPUT Reg'!AL126,IF($D158=RW,'INPUT Reg'!AL128,0))</f>
        <v>0</v>
      </c>
      <c r="Q158" s="102">
        <f>IF(OR($D158=W,$D158=WS),'INPUT Reg'!AM126,IF($D158=RW,'INPUT Reg'!AM128,0))</f>
        <v>0</v>
      </c>
      <c r="R158" s="102">
        <f>IF(OR($D158=W,$D158=WS),'INPUT Reg'!AN126,IF($D158=RW,'INPUT Reg'!AN128,0))</f>
        <v>0</v>
      </c>
      <c r="S158" s="102">
        <f>IF(OR($D158=W,$D158=WS),'INPUT Reg'!AO126,IF($D158=RW,'INPUT Reg'!AO128,0))</f>
        <v>0</v>
      </c>
      <c r="T158" s="102">
        <f>IF(OR($D158=W,$D158=WS),'INPUT Reg'!AP126,IF($D158=RW,'INPUT Reg'!AP128,0))</f>
        <v>0</v>
      </c>
      <c r="U158" s="102">
        <f>IF(OR($D158=W,$D158=WS),'INPUT Reg'!AQ126,IF($D158=RW,'INPUT Reg'!AQ128,0))</f>
        <v>0</v>
      </c>
      <c r="V158" s="102">
        <f>IF(OR($D158=W,$D158=WS),'INPUT Reg'!AR126,IF($D158=RW,'INPUT Reg'!AR128,0))</f>
        <v>0</v>
      </c>
      <c r="W158" s="102">
        <f>IF(OR($D158=W,$D158=WS),'INPUT Reg'!AS126,IF($D158=RW,'INPUT Reg'!AS128,0))</f>
        <v>0</v>
      </c>
      <c r="X158" s="102">
        <f>IF(OR($D158=W,$D158=WS),'INPUT Reg'!AT126,IF($D158=RW,'INPUT Reg'!AT128,0))</f>
        <v>0</v>
      </c>
      <c r="Y158" s="102">
        <f>IF(OR($D158=W,$D158=WS),'INPUT Reg'!AU126,IF($D158=RW,'INPUT Reg'!AU128,0))</f>
        <v>0</v>
      </c>
      <c r="Z158" s="102">
        <f>IF(OR($D158=W,$D158=WS),'INPUT Reg'!AV126,IF($D158=RW,'INPUT Reg'!AV128,0))</f>
        <v>0</v>
      </c>
      <c r="AA158" s="102">
        <f>IF(OR($D158=W,$D158=WS),'INPUT Reg'!AW126,IF($D158=RW,'INPUT Reg'!AW128,0))</f>
        <v>0</v>
      </c>
    </row>
    <row r="159" spans="1:27" x14ac:dyDescent="0.25">
      <c r="B159" s="47" t="str">
        <f>B153</f>
        <v>Western</v>
      </c>
      <c r="C159" s="47" t="str">
        <f t="shared" ref="C159:D159" si="78">C153</f>
        <v>N</v>
      </c>
      <c r="D159" s="47" t="str">
        <f t="shared" si="78"/>
        <v>Sewer</v>
      </c>
      <c r="E159" s="47" t="s">
        <v>662</v>
      </c>
      <c r="F159" s="47" t="s">
        <v>661</v>
      </c>
      <c r="H159" s="102"/>
      <c r="I159" s="102"/>
      <c r="J159" s="102"/>
      <c r="K159" s="102"/>
      <c r="L159" s="102"/>
      <c r="M159" s="102"/>
      <c r="N159" s="102"/>
      <c r="O159" s="102"/>
      <c r="P159" s="102"/>
      <c r="Q159" s="102"/>
      <c r="R159" s="102"/>
      <c r="S159" s="102"/>
      <c r="T159" s="102"/>
      <c r="U159" s="102"/>
      <c r="V159" s="102"/>
      <c r="W159" s="102"/>
      <c r="X159" s="102"/>
      <c r="Y159" s="102"/>
      <c r="Z159" s="102"/>
      <c r="AA159" s="102"/>
    </row>
    <row r="160" spans="1:27" x14ac:dyDescent="0.25">
      <c r="A160" s="101">
        <v>34</v>
      </c>
      <c r="B160" s="47" t="str">
        <f>B153</f>
        <v>Western</v>
      </c>
      <c r="C160" s="47" t="str">
        <f t="shared" ref="C160:D160" si="79">C153</f>
        <v>N</v>
      </c>
      <c r="D160" s="47" t="str">
        <f t="shared" si="79"/>
        <v>Sewer</v>
      </c>
      <c r="E160" s="47" t="s">
        <v>663</v>
      </c>
      <c r="F160" s="47" t="s">
        <v>661</v>
      </c>
      <c r="H160" s="102">
        <f>IF(OR($D160=S,$D160=WS),'INPUT Reg'!AD127,0)</f>
        <v>347.92199565831874</v>
      </c>
      <c r="I160" s="102">
        <f>IF(OR($D160=S,$D160=WS),'INPUT Reg'!AE127,0)</f>
        <v>345.5631490149018</v>
      </c>
      <c r="J160" s="102">
        <f>IF(OR($D160=S,$D160=WS),'INPUT Reg'!AF127,0)</f>
        <v>346.61846340556093</v>
      </c>
      <c r="K160" s="102">
        <f>IF(OR($D160=S,$D160=WS),'INPUT Reg'!AG127,0)</f>
        <v>347.00870976774053</v>
      </c>
      <c r="L160" s="102">
        <f>IF(OR($D160=S,$D160=WS),'INPUT Reg'!AH127,0)</f>
        <v>343.34739988389288</v>
      </c>
      <c r="M160" s="102">
        <f>IF(OR($D160=S,$D160=WS),'INPUT Reg'!AI127,0)</f>
        <v>339.57968587231744</v>
      </c>
      <c r="N160" s="102">
        <f>IF(OR($D160=S,$D160=WS),'INPUT Reg'!AJ127,0)</f>
        <v>336.54501256690907</v>
      </c>
      <c r="O160" s="102">
        <f>IF(OR($D160=S,$D160=WS),'INPUT Reg'!AK127,0)</f>
        <v>334.44279949657823</v>
      </c>
      <c r="P160" s="102">
        <f>IF(OR($D160=S,$D160=WS),'INPUT Reg'!AL127,0)</f>
        <v>330.53560840063506</v>
      </c>
      <c r="Q160" s="102">
        <f>IF(OR($D160=S,$D160=WS),'INPUT Reg'!AM127,0)</f>
        <v>327.61963866727592</v>
      </c>
      <c r="R160" s="102">
        <f>IF(OR($D160=S,$D160=WS),'INPUT Reg'!AN127,0)</f>
        <v>325.21786491243779</v>
      </c>
      <c r="S160" s="102">
        <f>IF(OR($D160=S,$D160=WS),'INPUT Reg'!AO127,0)</f>
        <v>324.33575481626639</v>
      </c>
      <c r="T160" s="102">
        <f>IF(OR($D160=S,$D160=WS),'INPUT Reg'!AP127,0)</f>
        <v>321.82187373564062</v>
      </c>
      <c r="U160" s="102">
        <f>IF(OR($D160=S,$D160=WS),'INPUT Reg'!AQ127,0)</f>
        <v>320.30591349580385</v>
      </c>
      <c r="V160" s="102">
        <f>IF(OR($D160=S,$D160=WS),'INPUT Reg'!AR127,0)</f>
        <v>318.68483238643705</v>
      </c>
      <c r="W160" s="102">
        <f>IF(OR($D160=S,$D160=WS),'INPUT Reg'!AS127,0)</f>
        <v>318.470502330079</v>
      </c>
      <c r="X160" s="102">
        <f>IF(OR($D160=S,$D160=WS),'INPUT Reg'!AT127,0)</f>
        <v>316.91727855810331</v>
      </c>
      <c r="Y160" s="102">
        <f>IF(OR($D160=S,$D160=WS),'INPUT Reg'!AU127,0)</f>
        <v>316.53240639886275</v>
      </c>
      <c r="Z160" s="102">
        <f>IF(OR($D160=S,$D160=WS),'INPUT Reg'!AV127,0)</f>
        <v>316.66641742588752</v>
      </c>
      <c r="AA160" s="102">
        <f>IF(OR($D160=S,$D160=WS),'INPUT Reg'!AW127,0)</f>
        <v>316.66641742588752</v>
      </c>
    </row>
    <row r="161" spans="1:27" x14ac:dyDescent="0.25">
      <c r="C161" s="100"/>
      <c r="D161" s="100"/>
      <c r="E161" s="47" t="s">
        <v>664</v>
      </c>
      <c r="F161" s="47" t="s">
        <v>665</v>
      </c>
      <c r="H161" s="106">
        <f>H154*H158</f>
        <v>0</v>
      </c>
      <c r="I161" s="106">
        <f t="shared" ref="I161:AA161" si="80">I154*I158</f>
        <v>0</v>
      </c>
      <c r="J161" s="106">
        <f t="shared" si="80"/>
        <v>0</v>
      </c>
      <c r="K161" s="106">
        <f t="shared" si="80"/>
        <v>0</v>
      </c>
      <c r="L161" s="106">
        <f t="shared" si="80"/>
        <v>0</v>
      </c>
      <c r="M161" s="106">
        <f t="shared" si="80"/>
        <v>0</v>
      </c>
      <c r="N161" s="106">
        <f t="shared" si="80"/>
        <v>0</v>
      </c>
      <c r="O161" s="106">
        <f t="shared" si="80"/>
        <v>0</v>
      </c>
      <c r="P161" s="106">
        <f t="shared" si="80"/>
        <v>0</v>
      </c>
      <c r="Q161" s="106">
        <f t="shared" si="80"/>
        <v>0</v>
      </c>
      <c r="R161" s="106">
        <f t="shared" si="80"/>
        <v>0</v>
      </c>
      <c r="S161" s="106">
        <f t="shared" si="80"/>
        <v>0</v>
      </c>
      <c r="T161" s="106">
        <f t="shared" si="80"/>
        <v>0</v>
      </c>
      <c r="U161" s="106">
        <f t="shared" si="80"/>
        <v>0</v>
      </c>
      <c r="V161" s="106">
        <f t="shared" si="80"/>
        <v>0</v>
      </c>
      <c r="W161" s="106">
        <f t="shared" si="80"/>
        <v>0</v>
      </c>
      <c r="X161" s="106">
        <f t="shared" si="80"/>
        <v>0</v>
      </c>
      <c r="Y161" s="106">
        <f t="shared" si="80"/>
        <v>0</v>
      </c>
      <c r="Z161" s="106">
        <f t="shared" si="80"/>
        <v>0</v>
      </c>
      <c r="AA161" s="106">
        <f t="shared" si="80"/>
        <v>0</v>
      </c>
    </row>
    <row r="162" spans="1:27" x14ac:dyDescent="0.25">
      <c r="C162" s="100"/>
      <c r="D162" s="100"/>
      <c r="E162" s="47" t="s">
        <v>666</v>
      </c>
      <c r="F162" s="47" t="s">
        <v>665</v>
      </c>
      <c r="H162" s="106">
        <f>H154*H159</f>
        <v>0</v>
      </c>
      <c r="I162" s="106">
        <f t="shared" ref="I162:AA162" si="81">I154*I159</f>
        <v>0</v>
      </c>
      <c r="J162" s="106">
        <f t="shared" si="81"/>
        <v>0</v>
      </c>
      <c r="K162" s="106">
        <f t="shared" si="81"/>
        <v>0</v>
      </c>
      <c r="L162" s="106">
        <f t="shared" si="81"/>
        <v>0</v>
      </c>
      <c r="M162" s="106">
        <f t="shared" si="81"/>
        <v>0</v>
      </c>
      <c r="N162" s="106">
        <f t="shared" si="81"/>
        <v>0</v>
      </c>
      <c r="O162" s="106">
        <f t="shared" si="81"/>
        <v>0</v>
      </c>
      <c r="P162" s="106">
        <f t="shared" si="81"/>
        <v>0</v>
      </c>
      <c r="Q162" s="106">
        <f t="shared" si="81"/>
        <v>0</v>
      </c>
      <c r="R162" s="106">
        <f t="shared" si="81"/>
        <v>0</v>
      </c>
      <c r="S162" s="106">
        <f t="shared" si="81"/>
        <v>0</v>
      </c>
      <c r="T162" s="106">
        <f t="shared" si="81"/>
        <v>0</v>
      </c>
      <c r="U162" s="106">
        <f t="shared" si="81"/>
        <v>0</v>
      </c>
      <c r="V162" s="106">
        <f t="shared" si="81"/>
        <v>0</v>
      </c>
      <c r="W162" s="106">
        <f t="shared" si="81"/>
        <v>0</v>
      </c>
      <c r="X162" s="106">
        <f t="shared" si="81"/>
        <v>0</v>
      </c>
      <c r="Y162" s="106">
        <f t="shared" si="81"/>
        <v>0</v>
      </c>
      <c r="Z162" s="106">
        <f t="shared" si="81"/>
        <v>0</v>
      </c>
      <c r="AA162" s="106">
        <f t="shared" si="81"/>
        <v>0</v>
      </c>
    </row>
    <row r="163" spans="1:27" x14ac:dyDescent="0.25">
      <c r="C163" s="100"/>
      <c r="D163" s="100"/>
      <c r="E163" s="47" t="s">
        <v>667</v>
      </c>
      <c r="F163" s="47" t="s">
        <v>665</v>
      </c>
      <c r="H163" s="106">
        <f>H154*H160</f>
        <v>44959.109803622916</v>
      </c>
      <c r="I163" s="106">
        <f t="shared" ref="I163:AA163" si="82">I154*I160</f>
        <v>99344.701018625856</v>
      </c>
      <c r="J163" s="106">
        <f t="shared" si="82"/>
        <v>158939.50049919635</v>
      </c>
      <c r="K163" s="106">
        <f t="shared" si="82"/>
        <v>231541.817869202</v>
      </c>
      <c r="L163" s="106">
        <f t="shared" si="82"/>
        <v>315906.94899775769</v>
      </c>
      <c r="M163" s="106">
        <f t="shared" si="82"/>
        <v>415623.83730655588</v>
      </c>
      <c r="N163" s="106">
        <f t="shared" si="82"/>
        <v>519508.0377674129</v>
      </c>
      <c r="O163" s="106">
        <f t="shared" si="82"/>
        <v>637066.65021012281</v>
      </c>
      <c r="P163" s="106">
        <f t="shared" si="82"/>
        <v>756327.76551851735</v>
      </c>
      <c r="Q163" s="106">
        <f t="shared" si="82"/>
        <v>879517.59335390211</v>
      </c>
      <c r="R163" s="106">
        <f t="shared" si="82"/>
        <v>1000781.1903535853</v>
      </c>
      <c r="S163" s="106">
        <f t="shared" si="82"/>
        <v>1120764.1603587677</v>
      </c>
      <c r="T163" s="106">
        <f t="shared" si="82"/>
        <v>1229854.9604890298</v>
      </c>
      <c r="U163" s="106">
        <f t="shared" si="82"/>
        <v>1337834.4778058536</v>
      </c>
      <c r="V163" s="106">
        <f t="shared" si="82"/>
        <v>1440025.6959295063</v>
      </c>
      <c r="W163" s="106">
        <f t="shared" si="82"/>
        <v>1532311.4293618214</v>
      </c>
      <c r="X163" s="106">
        <f t="shared" si="82"/>
        <v>1604740.9607359313</v>
      </c>
      <c r="Y163" s="106">
        <f t="shared" si="82"/>
        <v>1666116.0195019897</v>
      </c>
      <c r="Z163" s="106">
        <f t="shared" si="82"/>
        <v>1719156.3483672789</v>
      </c>
      <c r="AA163" s="106">
        <f t="shared" si="82"/>
        <v>1772841.6213769333</v>
      </c>
    </row>
    <row r="164" spans="1:27" x14ac:dyDescent="0.25">
      <c r="A164" s="101">
        <v>35</v>
      </c>
      <c r="B164" s="47" t="str">
        <f>B158</f>
        <v>Western</v>
      </c>
      <c r="C164" s="47" t="str">
        <f t="shared" ref="C164:D164" si="83">C158</f>
        <v>N</v>
      </c>
      <c r="D164" s="47" t="str">
        <f t="shared" si="83"/>
        <v>Sewer</v>
      </c>
      <c r="E164" s="47" t="s">
        <v>668</v>
      </c>
      <c r="F164" s="47" t="s">
        <v>633</v>
      </c>
      <c r="H164" s="105">
        <f>SUMIFS('INPUT Reg'!AD$94:AD$109,'INPUT Reg'!$D$94:$D$109,$D164,'INPUT Reg'!$C$94:$C$109,$C164,'INPUT Reg'!$B$94:$B$109,$B164)</f>
        <v>-1.8134336370481341E-2</v>
      </c>
      <c r="I164" s="105">
        <f>SUMIFS('INPUT Reg'!AE$94:AE$109,'INPUT Reg'!$D$94:$D$109,$D164,'INPUT Reg'!$C$94:$C$109,$C164,'INPUT Reg'!$B$94:$B$109,$B164)</f>
        <v>-1.8469264220368875E-2</v>
      </c>
      <c r="J164" s="105">
        <f>SUMIFS('INPUT Reg'!AF$94:AF$109,'INPUT Reg'!$D$94:$D$109,$D164,'INPUT Reg'!$C$94:$C$109,$C164,'INPUT Reg'!$B$94:$B$109,$B164)</f>
        <v>-1.8816796608716158E-2</v>
      </c>
      <c r="K164" s="105">
        <f>SUMIFS('INPUT Reg'!AG$94:AG$109,'INPUT Reg'!$D$94:$D$109,$D164,'INPUT Reg'!$C$94:$C$109,$C164,'INPUT Reg'!$B$94:$B$109,$B164)</f>
        <v>-1.9177658712133727E-2</v>
      </c>
      <c r="L164" s="105">
        <f>SUMIFS('INPUT Reg'!AH$94:AH$109,'INPUT Reg'!$D$94:$D$109,$D164,'INPUT Reg'!$C$94:$C$109,$C164,'INPUT Reg'!$B$94:$B$109,$B164)</f>
        <v>-9.44673884131908E-3</v>
      </c>
      <c r="M164" s="105">
        <f>SUMIFS('INPUT Reg'!AI$94:AI$109,'INPUT Reg'!$D$94:$D$109,$D164,'INPUT Reg'!$C$94:$C$109,$C164,'INPUT Reg'!$B$94:$B$109,$B164)</f>
        <v>0</v>
      </c>
      <c r="N164" s="105">
        <f>SUMIFS('INPUT Reg'!AJ$94:AJ$109,'INPUT Reg'!$D$94:$D$109,$D164,'INPUT Reg'!$C$94:$C$109,$C164,'INPUT Reg'!$B$94:$B$109,$B164)</f>
        <v>0</v>
      </c>
      <c r="O164" s="105">
        <f>SUMIFS('INPUT Reg'!AK$94:AK$109,'INPUT Reg'!$D$94:$D$109,$D164,'INPUT Reg'!$C$94:$C$109,$C164,'INPUT Reg'!$B$94:$B$109,$B164)</f>
        <v>0</v>
      </c>
      <c r="P164" s="105">
        <f>SUMIFS('INPUT Reg'!AL$94:AL$109,'INPUT Reg'!$D$94:$D$109,$D164,'INPUT Reg'!$C$94:$C$109,$C164,'INPUT Reg'!$B$94:$B$109,$B164)</f>
        <v>0</v>
      </c>
      <c r="Q164" s="105">
        <f>SUMIFS('INPUT Reg'!AM$94:AM$109,'INPUT Reg'!$D$94:$D$109,$D164,'INPUT Reg'!$C$94:$C$109,$C164,'INPUT Reg'!$B$94:$B$109,$B164)</f>
        <v>-0.18290065278997925</v>
      </c>
      <c r="R164" s="105">
        <f>SUMIFS('INPUT Reg'!AN$94:AN$109,'INPUT Reg'!$D$94:$D$109,$D164,'INPUT Reg'!$C$94:$C$109,$C164,'INPUT Reg'!$B$94:$B$109,$B164)</f>
        <v>0</v>
      </c>
      <c r="S164" s="105">
        <f>SUMIFS('INPUT Reg'!AO$94:AO$109,'INPUT Reg'!$D$94:$D$109,$D164,'INPUT Reg'!$C$94:$C$109,$C164,'INPUT Reg'!$B$94:$B$109,$B164)</f>
        <v>0</v>
      </c>
      <c r="T164" s="105">
        <f>SUMIFS('INPUT Reg'!AP$94:AP$109,'INPUT Reg'!$D$94:$D$109,$D164,'INPUT Reg'!$C$94:$C$109,$C164,'INPUT Reg'!$B$94:$B$109,$B164)</f>
        <v>0</v>
      </c>
      <c r="U164" s="105">
        <f>SUMIFS('INPUT Reg'!AQ$94:AQ$109,'INPUT Reg'!$D$94:$D$109,$D164,'INPUT Reg'!$C$94:$C$109,$C164,'INPUT Reg'!$B$94:$B$109,$B164)</f>
        <v>0</v>
      </c>
      <c r="V164" s="105">
        <f>SUMIFS('INPUT Reg'!AR$94:AR$109,'INPUT Reg'!$D$94:$D$109,$D164,'INPUT Reg'!$C$94:$C$109,$C164,'INPUT Reg'!$B$94:$B$109,$B164)</f>
        <v>-0.11830757766047051</v>
      </c>
      <c r="W164" s="105">
        <f>SUMIFS('INPUT Reg'!AS$94:AS$109,'INPUT Reg'!$D$94:$D$109,$D164,'INPUT Reg'!$C$94:$C$109,$C164,'INPUT Reg'!$B$94:$B$109,$B164)</f>
        <v>0</v>
      </c>
      <c r="X164" s="105">
        <f>SUMIFS('INPUT Reg'!AT$94:AT$109,'INPUT Reg'!$D$94:$D$109,$D164,'INPUT Reg'!$C$94:$C$109,$C164,'INPUT Reg'!$B$94:$B$109,$B164)</f>
        <v>0</v>
      </c>
      <c r="Y164" s="105">
        <f>SUMIFS('INPUT Reg'!AU$94:AU$109,'INPUT Reg'!$D$94:$D$109,$D164,'INPUT Reg'!$C$94:$C$109,$C164,'INPUT Reg'!$B$94:$B$109,$B164)</f>
        <v>0</v>
      </c>
      <c r="Z164" s="105">
        <f>SUMIFS('INPUT Reg'!AV$94:AV$109,'INPUT Reg'!$D$94:$D$109,$D164,'INPUT Reg'!$C$94:$C$109,$C164,'INPUT Reg'!$B$94:$B$109,$B164)</f>
        <v>0</v>
      </c>
      <c r="AA164" s="105">
        <f>SUMIFS('INPUT Reg'!AW$94:AW$109,'INPUT Reg'!$D$94:$D$109,$D164,'INPUT Reg'!$C$94:$C$109,$C164,'INPUT Reg'!$B$94:$B$109,$B164)</f>
        <v>0</v>
      </c>
    </row>
    <row r="165" spans="1:27" x14ac:dyDescent="0.25">
      <c r="A165" s="101">
        <v>36</v>
      </c>
      <c r="B165" s="47" t="str">
        <f>B153</f>
        <v>Western</v>
      </c>
      <c r="C165" s="47" t="str">
        <f t="shared" ref="C165:D165" si="84">C153</f>
        <v>N</v>
      </c>
      <c r="D165" s="47" t="str">
        <f t="shared" si="84"/>
        <v>Sewer</v>
      </c>
      <c r="E165" s="47" t="s">
        <v>669</v>
      </c>
      <c r="F165" s="47" t="s">
        <v>670</v>
      </c>
      <c r="G165" s="108">
        <f>IF(D165=W,WW_N_W_N,IF(D165=S,WW_N_S_N,IF(D165=WS,WW_N_W_N+WW_N_S_N,WW_N_R_N)))</f>
        <v>544.54349999999999</v>
      </c>
      <c r="H165" s="106">
        <f>G165*(1+$G$14)*(1+H164)</f>
        <v>534.66856500264078</v>
      </c>
      <c r="I165" s="106">
        <f t="shared" ref="I165:AA165" si="85">H165*(1+$G$14)*(1+I164)</f>
        <v>524.79363000528156</v>
      </c>
      <c r="J165" s="106">
        <f t="shared" si="85"/>
        <v>514.91869500792234</v>
      </c>
      <c r="K165" s="106">
        <f t="shared" si="85"/>
        <v>505.04376001056312</v>
      </c>
      <c r="L165" s="106">
        <f t="shared" si="85"/>
        <v>500.27274350630552</v>
      </c>
      <c r="M165" s="106">
        <f t="shared" si="85"/>
        <v>500.27274350630552</v>
      </c>
      <c r="N165" s="106">
        <f t="shared" si="85"/>
        <v>500.27274350630552</v>
      </c>
      <c r="O165" s="106">
        <f t="shared" si="85"/>
        <v>500.27274350630552</v>
      </c>
      <c r="P165" s="106">
        <f t="shared" si="85"/>
        <v>500.27274350630552</v>
      </c>
      <c r="Q165" s="106">
        <f t="shared" si="85"/>
        <v>408.7725321459684</v>
      </c>
      <c r="R165" s="106">
        <f t="shared" si="85"/>
        <v>408.7725321459684</v>
      </c>
      <c r="S165" s="106">
        <f t="shared" si="85"/>
        <v>408.7725321459684</v>
      </c>
      <c r="T165" s="106">
        <f t="shared" si="85"/>
        <v>408.7725321459684</v>
      </c>
      <c r="U165" s="106">
        <f t="shared" si="85"/>
        <v>408.7725321459684</v>
      </c>
      <c r="V165" s="106">
        <f t="shared" si="85"/>
        <v>360.41164405364208</v>
      </c>
      <c r="W165" s="106">
        <f t="shared" si="85"/>
        <v>360.41164405364208</v>
      </c>
      <c r="X165" s="106">
        <f t="shared" si="85"/>
        <v>360.41164405364208</v>
      </c>
      <c r="Y165" s="106">
        <f t="shared" si="85"/>
        <v>360.41164405364208</v>
      </c>
      <c r="Z165" s="106">
        <f t="shared" si="85"/>
        <v>360.41164405364208</v>
      </c>
      <c r="AA165" s="106">
        <f t="shared" si="85"/>
        <v>360.41164405364208</v>
      </c>
    </row>
    <row r="166" spans="1:27" x14ac:dyDescent="0.25">
      <c r="B166" s="47" t="str">
        <f>B153</f>
        <v>Western</v>
      </c>
      <c r="C166" s="47" t="str">
        <f t="shared" ref="C166:D166" si="86">C153</f>
        <v>N</v>
      </c>
      <c r="D166" s="47" t="str">
        <f t="shared" si="86"/>
        <v>Sewer</v>
      </c>
      <c r="E166" s="47" t="s">
        <v>671</v>
      </c>
      <c r="F166" s="47" t="s">
        <v>672</v>
      </c>
      <c r="G166" s="109">
        <f>IF(OR(D166=W,D166=WS),WW_N_W_V,IF(D166=RW,WW_N_R_V,0))</f>
        <v>0</v>
      </c>
      <c r="H166" s="110">
        <f>G166*(1+$G$14)*(1+H164)</f>
        <v>0</v>
      </c>
      <c r="I166" s="110">
        <f t="shared" ref="I166:AA166" si="87">H166*(1+$G$14)*(1+I164)</f>
        <v>0</v>
      </c>
      <c r="J166" s="110">
        <f t="shared" si="87"/>
        <v>0</v>
      </c>
      <c r="K166" s="110">
        <f t="shared" si="87"/>
        <v>0</v>
      </c>
      <c r="L166" s="110">
        <f t="shared" si="87"/>
        <v>0</v>
      </c>
      <c r="M166" s="110">
        <f t="shared" si="87"/>
        <v>0</v>
      </c>
      <c r="N166" s="110">
        <f t="shared" si="87"/>
        <v>0</v>
      </c>
      <c r="O166" s="110">
        <f t="shared" si="87"/>
        <v>0</v>
      </c>
      <c r="P166" s="110">
        <f t="shared" si="87"/>
        <v>0</v>
      </c>
      <c r="Q166" s="110">
        <f t="shared" si="87"/>
        <v>0</v>
      </c>
      <c r="R166" s="110">
        <f t="shared" si="87"/>
        <v>0</v>
      </c>
      <c r="S166" s="110">
        <f t="shared" si="87"/>
        <v>0</v>
      </c>
      <c r="T166" s="110">
        <f t="shared" si="87"/>
        <v>0</v>
      </c>
      <c r="U166" s="110">
        <f t="shared" si="87"/>
        <v>0</v>
      </c>
      <c r="V166" s="110">
        <f t="shared" si="87"/>
        <v>0</v>
      </c>
      <c r="W166" s="110">
        <f t="shared" si="87"/>
        <v>0</v>
      </c>
      <c r="X166" s="110">
        <f t="shared" si="87"/>
        <v>0</v>
      </c>
      <c r="Y166" s="110">
        <f t="shared" si="87"/>
        <v>0</v>
      </c>
      <c r="Z166" s="110">
        <f t="shared" si="87"/>
        <v>0</v>
      </c>
      <c r="AA166" s="110">
        <f t="shared" si="87"/>
        <v>0</v>
      </c>
    </row>
    <row r="167" spans="1:27" x14ac:dyDescent="0.25">
      <c r="B167" s="47" t="str">
        <f>B153</f>
        <v>Western</v>
      </c>
      <c r="C167" s="47" t="str">
        <f t="shared" ref="C167:D167" si="88">C153</f>
        <v>N</v>
      </c>
      <c r="D167" s="47" t="str">
        <f t="shared" si="88"/>
        <v>Sewer</v>
      </c>
      <c r="E167" s="47" t="s">
        <v>673</v>
      </c>
      <c r="F167" s="47" t="s">
        <v>672</v>
      </c>
      <c r="G167" s="109"/>
      <c r="H167" s="110">
        <f>G167*(1+$G$14)*(1+H164)</f>
        <v>0</v>
      </c>
      <c r="I167" s="110">
        <f t="shared" ref="I167:AA167" si="89">H167*(1+$G$14)*(1+I164)</f>
        <v>0</v>
      </c>
      <c r="J167" s="110">
        <f t="shared" si="89"/>
        <v>0</v>
      </c>
      <c r="K167" s="110">
        <f t="shared" si="89"/>
        <v>0</v>
      </c>
      <c r="L167" s="110">
        <f t="shared" si="89"/>
        <v>0</v>
      </c>
      <c r="M167" s="110">
        <f t="shared" si="89"/>
        <v>0</v>
      </c>
      <c r="N167" s="110">
        <f t="shared" si="89"/>
        <v>0</v>
      </c>
      <c r="O167" s="110">
        <f t="shared" si="89"/>
        <v>0</v>
      </c>
      <c r="P167" s="110">
        <f t="shared" si="89"/>
        <v>0</v>
      </c>
      <c r="Q167" s="110">
        <f t="shared" si="89"/>
        <v>0</v>
      </c>
      <c r="R167" s="110">
        <f t="shared" si="89"/>
        <v>0</v>
      </c>
      <c r="S167" s="110">
        <f t="shared" si="89"/>
        <v>0</v>
      </c>
      <c r="T167" s="110">
        <f t="shared" si="89"/>
        <v>0</v>
      </c>
      <c r="U167" s="110">
        <f t="shared" si="89"/>
        <v>0</v>
      </c>
      <c r="V167" s="110">
        <f t="shared" si="89"/>
        <v>0</v>
      </c>
      <c r="W167" s="110">
        <f t="shared" si="89"/>
        <v>0</v>
      </c>
      <c r="X167" s="110">
        <f t="shared" si="89"/>
        <v>0</v>
      </c>
      <c r="Y167" s="110">
        <f t="shared" si="89"/>
        <v>0</v>
      </c>
      <c r="Z167" s="110">
        <f t="shared" si="89"/>
        <v>0</v>
      </c>
      <c r="AA167" s="110">
        <f t="shared" si="89"/>
        <v>0</v>
      </c>
    </row>
    <row r="168" spans="1:27" x14ac:dyDescent="0.25">
      <c r="B168" s="47" t="str">
        <f>B153</f>
        <v>Western</v>
      </c>
      <c r="C168" s="47" t="str">
        <f t="shared" ref="C168:D168" si="90">C153</f>
        <v>N</v>
      </c>
      <c r="D168" s="47" t="str">
        <f t="shared" si="90"/>
        <v>Sewer</v>
      </c>
      <c r="E168" s="47" t="s">
        <v>674</v>
      </c>
      <c r="F168" s="47" t="s">
        <v>672</v>
      </c>
      <c r="G168" s="109">
        <f>IF(OR(D168=S,D168=WS),WW_N_SDC,0)</f>
        <v>0</v>
      </c>
      <c r="H168" s="110">
        <f>G168*(1+$G$14)*(1+H164)</f>
        <v>0</v>
      </c>
      <c r="I168" s="110">
        <f t="shared" ref="I168:AA168" si="91">H168*(1+$G$14)*(1+I164)</f>
        <v>0</v>
      </c>
      <c r="J168" s="110">
        <f t="shared" si="91"/>
        <v>0</v>
      </c>
      <c r="K168" s="110">
        <f t="shared" si="91"/>
        <v>0</v>
      </c>
      <c r="L168" s="110">
        <f t="shared" si="91"/>
        <v>0</v>
      </c>
      <c r="M168" s="110">
        <f t="shared" si="91"/>
        <v>0</v>
      </c>
      <c r="N168" s="110">
        <f t="shared" si="91"/>
        <v>0</v>
      </c>
      <c r="O168" s="110">
        <f t="shared" si="91"/>
        <v>0</v>
      </c>
      <c r="P168" s="110">
        <f t="shared" si="91"/>
        <v>0</v>
      </c>
      <c r="Q168" s="110">
        <f t="shared" si="91"/>
        <v>0</v>
      </c>
      <c r="R168" s="110">
        <f t="shared" si="91"/>
        <v>0</v>
      </c>
      <c r="S168" s="110">
        <f t="shared" si="91"/>
        <v>0</v>
      </c>
      <c r="T168" s="110">
        <f t="shared" si="91"/>
        <v>0</v>
      </c>
      <c r="U168" s="110">
        <f t="shared" si="91"/>
        <v>0</v>
      </c>
      <c r="V168" s="110">
        <f t="shared" si="91"/>
        <v>0</v>
      </c>
      <c r="W168" s="110">
        <f t="shared" si="91"/>
        <v>0</v>
      </c>
      <c r="X168" s="110">
        <f t="shared" si="91"/>
        <v>0</v>
      </c>
      <c r="Y168" s="110">
        <f t="shared" si="91"/>
        <v>0</v>
      </c>
      <c r="Z168" s="110">
        <f t="shared" si="91"/>
        <v>0</v>
      </c>
      <c r="AA168" s="110">
        <f t="shared" si="91"/>
        <v>0</v>
      </c>
    </row>
    <row r="169" spans="1:27" x14ac:dyDescent="0.25">
      <c r="C169" s="100"/>
      <c r="D169" s="100"/>
    </row>
    <row r="170" spans="1:27" x14ac:dyDescent="0.25">
      <c r="C170" s="100"/>
      <c r="D170" s="100"/>
      <c r="E170" s="47" t="s">
        <v>685</v>
      </c>
      <c r="F170" s="47" t="s">
        <v>676</v>
      </c>
      <c r="H170" s="106">
        <f>SUM(H161:H163)/1000</f>
        <v>44.959109803622916</v>
      </c>
      <c r="I170" s="106">
        <f t="shared" ref="I170:AA170" si="92">SUM(I161:I163)/1000</f>
        <v>99.344701018625855</v>
      </c>
      <c r="J170" s="106">
        <f t="shared" si="92"/>
        <v>158.93950049919636</v>
      </c>
      <c r="K170" s="106">
        <f t="shared" si="92"/>
        <v>231.54181786920199</v>
      </c>
      <c r="L170" s="106">
        <f t="shared" si="92"/>
        <v>315.90694899775769</v>
      </c>
      <c r="M170" s="106">
        <f t="shared" si="92"/>
        <v>415.62383730655586</v>
      </c>
      <c r="N170" s="106">
        <f t="shared" si="92"/>
        <v>519.50803776741293</v>
      </c>
      <c r="O170" s="106">
        <f t="shared" si="92"/>
        <v>637.06665021012282</v>
      </c>
      <c r="P170" s="106">
        <f t="shared" si="92"/>
        <v>756.32776551851737</v>
      </c>
      <c r="Q170" s="106">
        <f t="shared" si="92"/>
        <v>879.51759335390216</v>
      </c>
      <c r="R170" s="106">
        <f t="shared" si="92"/>
        <v>1000.7811903535853</v>
      </c>
      <c r="S170" s="106">
        <f t="shared" si="92"/>
        <v>1120.7641603587676</v>
      </c>
      <c r="T170" s="106">
        <f t="shared" si="92"/>
        <v>1229.8549604890297</v>
      </c>
      <c r="U170" s="106">
        <f t="shared" si="92"/>
        <v>1337.8344778058536</v>
      </c>
      <c r="V170" s="106">
        <f t="shared" si="92"/>
        <v>1440.0256959295064</v>
      </c>
      <c r="W170" s="106">
        <f t="shared" si="92"/>
        <v>1532.3114293618214</v>
      </c>
      <c r="X170" s="106">
        <f t="shared" si="92"/>
        <v>1604.7409607359314</v>
      </c>
      <c r="Y170" s="106">
        <f t="shared" si="92"/>
        <v>1666.1160195019897</v>
      </c>
      <c r="Z170" s="106">
        <f t="shared" si="92"/>
        <v>1719.156348367279</v>
      </c>
      <c r="AA170" s="106">
        <f t="shared" si="92"/>
        <v>1772.8416213769333</v>
      </c>
    </row>
    <row r="171" spans="1:27" x14ac:dyDescent="0.25">
      <c r="C171" s="100"/>
      <c r="D171" s="100"/>
      <c r="E171" s="47" t="s">
        <v>686</v>
      </c>
      <c r="F171" s="47" t="s">
        <v>639</v>
      </c>
      <c r="H171" s="106">
        <f>H154*H165+H161*H166+H162*H167+H163*H168</f>
        <v>69090.839390638212</v>
      </c>
      <c r="I171" s="106">
        <f t="shared" ref="I171:AA171" si="93">I154*I165+I161*I166+I162*I167+I163*I168</f>
        <v>150871.0243496068</v>
      </c>
      <c r="J171" s="106">
        <f t="shared" si="93"/>
        <v>236112.40837594747</v>
      </c>
      <c r="K171" s="106">
        <f t="shared" si="93"/>
        <v>336990.82185750344</v>
      </c>
      <c r="L171" s="106">
        <f t="shared" si="93"/>
        <v>460290.76125596935</v>
      </c>
      <c r="M171" s="106">
        <f t="shared" si="93"/>
        <v>612301.87200935616</v>
      </c>
      <c r="N171" s="106">
        <f t="shared" si="93"/>
        <v>772246.50974677794</v>
      </c>
      <c r="O171" s="106">
        <f t="shared" si="93"/>
        <v>952949.44719014887</v>
      </c>
      <c r="P171" s="106">
        <f t="shared" si="93"/>
        <v>1144718.3196895632</v>
      </c>
      <c r="Q171" s="106">
        <f t="shared" si="93"/>
        <v>1097378.1521910743</v>
      </c>
      <c r="R171" s="106">
        <f t="shared" si="93"/>
        <v>1257900.950229275</v>
      </c>
      <c r="S171" s="106">
        <f t="shared" si="93"/>
        <v>1412541.1613278189</v>
      </c>
      <c r="T171" s="106">
        <f t="shared" si="93"/>
        <v>1562140.3248193972</v>
      </c>
      <c r="U171" s="106">
        <f t="shared" si="93"/>
        <v>1707336.5306196334</v>
      </c>
      <c r="V171" s="106">
        <f t="shared" si="93"/>
        <v>1628574.6160648835</v>
      </c>
      <c r="W171" s="106">
        <f t="shared" si="93"/>
        <v>1734109.9958013913</v>
      </c>
      <c r="X171" s="106">
        <f t="shared" si="93"/>
        <v>1824978.8417043369</v>
      </c>
      <c r="Y171" s="106">
        <f t="shared" si="93"/>
        <v>1897080.999081488</v>
      </c>
      <c r="Z171" s="106">
        <f t="shared" si="93"/>
        <v>1956645.6428721834</v>
      </c>
      <c r="AA171" s="106">
        <f t="shared" si="93"/>
        <v>2017747.1567749216</v>
      </c>
    </row>
    <row r="172" spans="1:27" x14ac:dyDescent="0.25">
      <c r="C172" s="100"/>
      <c r="D172" s="100"/>
    </row>
    <row r="173" spans="1:27" x14ac:dyDescent="0.25">
      <c r="C173" s="100"/>
      <c r="D173" s="47" t="s">
        <v>687</v>
      </c>
    </row>
    <row r="174" spans="1:27" x14ac:dyDescent="0.25">
      <c r="C174" s="100"/>
      <c r="E174" s="47" t="s">
        <v>688</v>
      </c>
      <c r="F174" s="47" t="s">
        <v>655</v>
      </c>
      <c r="H174" s="47">
        <f t="shared" ref="H174:AA175" si="94">SUM(H93,H114,H135,H156)</f>
        <v>4861.3696398493194</v>
      </c>
      <c r="I174" s="47">
        <f t="shared" si="94"/>
        <v>5266.0866048878725</v>
      </c>
      <c r="J174" s="47">
        <f t="shared" si="94"/>
        <v>4549.9551276203656</v>
      </c>
      <c r="K174" s="47">
        <f t="shared" si="94"/>
        <v>4676.1725655780147</v>
      </c>
      <c r="L174" s="47">
        <f t="shared" si="94"/>
        <v>4879.9050792588205</v>
      </c>
      <c r="M174" s="47">
        <f t="shared" si="94"/>
        <v>5228.7771473744997</v>
      </c>
      <c r="N174" s="47">
        <f t="shared" si="94"/>
        <v>5148.8917029555905</v>
      </c>
      <c r="O174" s="47">
        <f t="shared" si="94"/>
        <v>5483.3397440306453</v>
      </c>
      <c r="P174" s="47">
        <f t="shared" si="94"/>
        <v>5580.7846652525122</v>
      </c>
      <c r="Q174" s="47">
        <f t="shared" si="94"/>
        <v>5613.9441615576334</v>
      </c>
      <c r="R174" s="47">
        <f t="shared" si="94"/>
        <v>5612.1193851282969</v>
      </c>
      <c r="S174" s="47">
        <f t="shared" si="94"/>
        <v>5569.8015612834715</v>
      </c>
      <c r="T174" s="47">
        <f t="shared" si="94"/>
        <v>5455.4195737247101</v>
      </c>
      <c r="U174" s="47">
        <f t="shared" si="94"/>
        <v>5433.3048953606158</v>
      </c>
      <c r="V174" s="47">
        <f t="shared" si="94"/>
        <v>5379.8173606191667</v>
      </c>
      <c r="W174" s="47">
        <f t="shared" si="94"/>
        <v>5317.146053592307</v>
      </c>
      <c r="X174" s="47">
        <f t="shared" si="94"/>
        <v>5224.9181507879985</v>
      </c>
      <c r="Y174" s="47">
        <f t="shared" si="94"/>
        <v>5001.9533918423222</v>
      </c>
      <c r="Z174" s="47">
        <f t="shared" si="94"/>
        <v>4736.9555371284296</v>
      </c>
      <c r="AA174" s="47">
        <f t="shared" si="94"/>
        <v>4482.5958416980338</v>
      </c>
    </row>
    <row r="175" spans="1:27" x14ac:dyDescent="0.25">
      <c r="C175" s="100"/>
      <c r="D175" s="100"/>
      <c r="E175" s="47" t="s">
        <v>689</v>
      </c>
      <c r="F175" s="47" t="s">
        <v>655</v>
      </c>
      <c r="H175" s="47">
        <f t="shared" si="94"/>
        <v>4861.3696398493194</v>
      </c>
      <c r="I175" s="47">
        <f t="shared" si="94"/>
        <v>10127.456244737194</v>
      </c>
      <c r="J175" s="47">
        <f t="shared" si="94"/>
        <v>14677.411372357557</v>
      </c>
      <c r="K175" s="47">
        <f t="shared" si="94"/>
        <v>19353.583937935575</v>
      </c>
      <c r="L175" s="47">
        <f t="shared" si="94"/>
        <v>24233.489017194392</v>
      </c>
      <c r="M175" s="47">
        <f t="shared" si="94"/>
        <v>29462.266164568893</v>
      </c>
      <c r="N175" s="47">
        <f t="shared" si="94"/>
        <v>34611.157867524482</v>
      </c>
      <c r="O175" s="47">
        <f t="shared" si="94"/>
        <v>40094.497611555125</v>
      </c>
      <c r="P175" s="47">
        <f t="shared" si="94"/>
        <v>45675.282276807644</v>
      </c>
      <c r="Q175" s="47">
        <f t="shared" si="94"/>
        <v>51289.226438365273</v>
      </c>
      <c r="R175" s="47">
        <f t="shared" si="94"/>
        <v>56901.345823493568</v>
      </c>
      <c r="S175" s="47">
        <f t="shared" si="94"/>
        <v>62471.147384777039</v>
      </c>
      <c r="T175" s="47">
        <f t="shared" si="94"/>
        <v>67926.56695850176</v>
      </c>
      <c r="U175" s="47">
        <f t="shared" si="94"/>
        <v>73359.871853862365</v>
      </c>
      <c r="V175" s="47">
        <f t="shared" si="94"/>
        <v>78739.689214481536</v>
      </c>
      <c r="W175" s="47">
        <f t="shared" si="94"/>
        <v>84056.835268073846</v>
      </c>
      <c r="X175" s="47">
        <f t="shared" si="94"/>
        <v>89281.753418861845</v>
      </c>
      <c r="Y175" s="47">
        <f t="shared" si="94"/>
        <v>94283.70681070417</v>
      </c>
      <c r="Z175" s="47">
        <f t="shared" si="94"/>
        <v>99020.662347832593</v>
      </c>
      <c r="AA175" s="47">
        <f t="shared" si="94"/>
        <v>103503.25818953062</v>
      </c>
    </row>
    <row r="176" spans="1:27" x14ac:dyDescent="0.25">
      <c r="C176" s="100"/>
      <c r="D176" s="100"/>
      <c r="E176" s="47" t="s">
        <v>690</v>
      </c>
      <c r="F176" s="47" t="s">
        <v>676</v>
      </c>
      <c r="H176" s="106">
        <f>SUM(H107,H128,H149,H170)</f>
        <v>578.64991907420756</v>
      </c>
      <c r="I176" s="106">
        <f t="shared" ref="H176:AA177" si="95">SUM(I107,I128,I149,I170)</f>
        <v>1182.8230904839736</v>
      </c>
      <c r="J176" s="106">
        <f t="shared" si="95"/>
        <v>1711.0326533573293</v>
      </c>
      <c r="K176" s="106">
        <f t="shared" si="95"/>
        <v>2258.0091839285669</v>
      </c>
      <c r="L176" s="106">
        <f t="shared" si="95"/>
        <v>2809.2890745498603</v>
      </c>
      <c r="M176" s="106">
        <f t="shared" si="95"/>
        <v>3401.4027451296924</v>
      </c>
      <c r="N176" s="106">
        <f t="shared" si="95"/>
        <v>3979.9619886195615</v>
      </c>
      <c r="O176" s="106">
        <f t="shared" si="95"/>
        <v>4603.3298899392585</v>
      </c>
      <c r="P176" s="106">
        <f t="shared" si="95"/>
        <v>5203.4798826523129</v>
      </c>
      <c r="Q176" s="106">
        <f t="shared" si="95"/>
        <v>5812.3908225850582</v>
      </c>
      <c r="R176" s="106">
        <f t="shared" si="95"/>
        <v>6413.5058169002641</v>
      </c>
      <c r="S176" s="106">
        <f t="shared" si="95"/>
        <v>7022.0897057717048</v>
      </c>
      <c r="T176" s="106">
        <f t="shared" si="95"/>
        <v>7570.9307887439209</v>
      </c>
      <c r="U176" s="106">
        <f t="shared" si="95"/>
        <v>8130.8452759388783</v>
      </c>
      <c r="V176" s="106">
        <f t="shared" si="95"/>
        <v>8680.0669633273101</v>
      </c>
      <c r="W176" s="106">
        <f t="shared" si="95"/>
        <v>9243.544324994964</v>
      </c>
      <c r="X176" s="106">
        <f t="shared" si="95"/>
        <v>9717.9978029954455</v>
      </c>
      <c r="Y176" s="106">
        <f t="shared" si="95"/>
        <v>10218.017724056095</v>
      </c>
      <c r="Z176" s="106">
        <f t="shared" si="95"/>
        <v>10687.973420539045</v>
      </c>
      <c r="AA176" s="106">
        <f t="shared" si="95"/>
        <v>11163.180680152615</v>
      </c>
    </row>
    <row r="177" spans="1:27" x14ac:dyDescent="0.25">
      <c r="C177" s="100"/>
      <c r="D177" s="100"/>
      <c r="E177" s="47" t="s">
        <v>691</v>
      </c>
      <c r="F177" s="47" t="s">
        <v>639</v>
      </c>
      <c r="H177" s="106">
        <f t="shared" si="95"/>
        <v>2483836.7236137507</v>
      </c>
      <c r="I177" s="106">
        <f t="shared" si="95"/>
        <v>4971805.1390179936</v>
      </c>
      <c r="J177" s="106">
        <f t="shared" si="95"/>
        <v>6906377.3503501555</v>
      </c>
      <c r="K177" s="106">
        <f t="shared" si="95"/>
        <v>8712507.7001541667</v>
      </c>
      <c r="L177" s="106">
        <f t="shared" si="95"/>
        <v>10432030.348064309</v>
      </c>
      <c r="M177" s="106">
        <f t="shared" si="95"/>
        <v>12114635.49266321</v>
      </c>
      <c r="N177" s="106">
        <f t="shared" si="95"/>
        <v>13579480.822984746</v>
      </c>
      <c r="O177" s="106">
        <f t="shared" si="95"/>
        <v>14986341.503066478</v>
      </c>
      <c r="P177" s="106">
        <f t="shared" si="95"/>
        <v>16306756.954300888</v>
      </c>
      <c r="Q177" s="106">
        <f t="shared" si="95"/>
        <v>14975807.312850682</v>
      </c>
      <c r="R177" s="106">
        <f t="shared" si="95"/>
        <v>16595112.827922486</v>
      </c>
      <c r="S177" s="106">
        <f t="shared" si="95"/>
        <v>18204444.737122726</v>
      </c>
      <c r="T177" s="106">
        <f t="shared" si="95"/>
        <v>19781620.22520015</v>
      </c>
      <c r="U177" s="106">
        <f t="shared" si="95"/>
        <v>21354219.776650757</v>
      </c>
      <c r="V177" s="106">
        <f t="shared" si="95"/>
        <v>20249081.128577817</v>
      </c>
      <c r="W177" s="106">
        <f t="shared" si="95"/>
        <v>21618605.893025663</v>
      </c>
      <c r="X177" s="106">
        <f t="shared" si="95"/>
        <v>22970568.233779207</v>
      </c>
      <c r="Y177" s="106">
        <f t="shared" si="95"/>
        <v>24272020.760477524</v>
      </c>
      <c r="Z177" s="106">
        <f t="shared" si="95"/>
        <v>25508729.466101959</v>
      </c>
      <c r="AA177" s="106">
        <f t="shared" si="95"/>
        <v>26676746.315878056</v>
      </c>
    </row>
    <row r="178" spans="1:27" x14ac:dyDescent="0.25">
      <c r="C178" s="100"/>
      <c r="D178" s="100"/>
    </row>
    <row r="179" spans="1:27" x14ac:dyDescent="0.25">
      <c r="C179" s="100"/>
      <c r="D179" s="100"/>
      <c r="E179" s="111" t="s">
        <v>692</v>
      </c>
      <c r="F179" s="111" t="s">
        <v>693</v>
      </c>
      <c r="G179" s="111"/>
      <c r="H179" s="112">
        <f>H176*1000/H175</f>
        <v>119.03022439004312</v>
      </c>
      <c r="I179" s="112">
        <f t="shared" ref="I179:AA179" si="96">I176*1000/I175</f>
        <v>116.79370040217513</v>
      </c>
      <c r="J179" s="112">
        <f t="shared" si="96"/>
        <v>116.57591450899662</v>
      </c>
      <c r="K179" s="112">
        <f t="shared" si="96"/>
        <v>116.67137162655293</v>
      </c>
      <c r="L179" s="112">
        <f t="shared" si="96"/>
        <v>115.92590206703562</v>
      </c>
      <c r="M179" s="112">
        <f t="shared" si="96"/>
        <v>115.44946088431563</v>
      </c>
      <c r="N179" s="112">
        <f t="shared" si="96"/>
        <v>114.9907207338459</v>
      </c>
      <c r="O179" s="112">
        <f t="shared" si="96"/>
        <v>114.8120107286889</v>
      </c>
      <c r="P179" s="112">
        <f t="shared" si="96"/>
        <v>113.92332183340359</v>
      </c>
      <c r="Q179" s="112">
        <f t="shared" si="96"/>
        <v>113.32576500388168</v>
      </c>
      <c r="R179" s="112">
        <f t="shared" si="96"/>
        <v>112.71272628234112</v>
      </c>
      <c r="S179" s="112">
        <f t="shared" si="96"/>
        <v>112.40532629440462</v>
      </c>
      <c r="T179" s="112">
        <f t="shared" si="96"/>
        <v>111.45758026265649</v>
      </c>
      <c r="U179" s="112">
        <f t="shared" si="96"/>
        <v>110.83505287653789</v>
      </c>
      <c r="V179" s="112">
        <f t="shared" si="96"/>
        <v>110.23750601406873</v>
      </c>
      <c r="W179" s="112">
        <f t="shared" si="96"/>
        <v>109.96778900270843</v>
      </c>
      <c r="X179" s="112">
        <f t="shared" si="96"/>
        <v>108.8464040060217</v>
      </c>
      <c r="Y179" s="112">
        <f t="shared" si="96"/>
        <v>108.37522271553316</v>
      </c>
      <c r="Z179" s="112">
        <f t="shared" si="96"/>
        <v>107.93679992762631</v>
      </c>
      <c r="AA179" s="112">
        <f t="shared" si="96"/>
        <v>107.8534229300404</v>
      </c>
    </row>
    <row r="180" spans="1:27" x14ac:dyDescent="0.25">
      <c r="C180" s="100"/>
      <c r="D180" s="100"/>
      <c r="E180" s="111" t="s">
        <v>694</v>
      </c>
      <c r="F180" s="111" t="s">
        <v>695</v>
      </c>
      <c r="G180" s="111"/>
      <c r="H180" s="112">
        <f>H177/H175</f>
        <v>510.93352442352818</v>
      </c>
      <c r="I180" s="112">
        <f t="shared" ref="I180:AA180" si="97">I177/I175</f>
        <v>490.92338874350884</v>
      </c>
      <c r="J180" s="112">
        <f t="shared" si="97"/>
        <v>470.54464681402601</v>
      </c>
      <c r="K180" s="112">
        <f t="shared" si="97"/>
        <v>450.17541598982621</v>
      </c>
      <c r="L180" s="112">
        <f t="shared" si="97"/>
        <v>430.47991730214613</v>
      </c>
      <c r="M180" s="112">
        <f t="shared" si="97"/>
        <v>411.19157043093253</v>
      </c>
      <c r="N180" s="112">
        <f t="shared" si="97"/>
        <v>392.34402024227916</v>
      </c>
      <c r="O180" s="112">
        <f t="shared" si="97"/>
        <v>373.77551524046169</v>
      </c>
      <c r="P180" s="112">
        <f t="shared" si="97"/>
        <v>357.01491356914732</v>
      </c>
      <c r="Q180" s="112">
        <f t="shared" si="97"/>
        <v>291.98738902500793</v>
      </c>
      <c r="R180" s="112">
        <f t="shared" si="97"/>
        <v>291.64710584175066</v>
      </c>
      <c r="S180" s="112">
        <f t="shared" si="97"/>
        <v>291.40564083122285</v>
      </c>
      <c r="T180" s="112">
        <f t="shared" si="97"/>
        <v>291.22066830324718</v>
      </c>
      <c r="U180" s="112">
        <f t="shared" si="97"/>
        <v>291.08856432014699</v>
      </c>
      <c r="V180" s="112">
        <f t="shared" si="97"/>
        <v>257.16485968620862</v>
      </c>
      <c r="W180" s="112">
        <f t="shared" si="97"/>
        <v>257.19033822864805</v>
      </c>
      <c r="X180" s="112">
        <f t="shared" si="97"/>
        <v>257.28177767761446</v>
      </c>
      <c r="Y180" s="112">
        <f t="shared" si="97"/>
        <v>257.4360043905474</v>
      </c>
      <c r="Z180" s="112">
        <f t="shared" si="97"/>
        <v>257.61016803237231</v>
      </c>
      <c r="AA180" s="112">
        <f t="shared" si="97"/>
        <v>257.73822759307507</v>
      </c>
    </row>
    <row r="181" spans="1:27" x14ac:dyDescent="0.25">
      <c r="C181" s="100"/>
      <c r="D181" s="100"/>
      <c r="E181" s="111" t="s">
        <v>696</v>
      </c>
      <c r="F181" s="111" t="s">
        <v>697</v>
      </c>
      <c r="G181" s="111"/>
      <c r="H181" s="112">
        <f>H177/H176</f>
        <v>4292.4687997670262</v>
      </c>
      <c r="I181" s="112">
        <f t="shared" ref="I181:AA181" si="98">I177/I176</f>
        <v>4203.3379116598826</v>
      </c>
      <c r="J181" s="112">
        <f t="shared" si="98"/>
        <v>4036.3796312120053</v>
      </c>
      <c r="K181" s="112">
        <f t="shared" si="98"/>
        <v>3858.4908166741056</v>
      </c>
      <c r="L181" s="112">
        <f t="shared" si="98"/>
        <v>3713.4058016923232</v>
      </c>
      <c r="M181" s="112">
        <f t="shared" si="98"/>
        <v>3561.6586451015196</v>
      </c>
      <c r="N181" s="112">
        <f t="shared" si="98"/>
        <v>3411.9624413033025</v>
      </c>
      <c r="O181" s="112">
        <f t="shared" si="98"/>
        <v>3255.5436741172216</v>
      </c>
      <c r="P181" s="112">
        <f t="shared" si="98"/>
        <v>3133.8176224463509</v>
      </c>
      <c r="Q181" s="112">
        <f t="shared" si="98"/>
        <v>2576.5313740878487</v>
      </c>
      <c r="R181" s="112">
        <f t="shared" si="98"/>
        <v>2587.5259650022635</v>
      </c>
      <c r="S181" s="112">
        <f t="shared" si="98"/>
        <v>2592.4540272050135</v>
      </c>
      <c r="T181" s="112">
        <f t="shared" si="98"/>
        <v>2612.8386029641783</v>
      </c>
      <c r="U181" s="112">
        <f t="shared" si="98"/>
        <v>2626.3222398098037</v>
      </c>
      <c r="V181" s="112">
        <f t="shared" si="98"/>
        <v>2332.825451016542</v>
      </c>
      <c r="W181" s="112">
        <f t="shared" si="98"/>
        <v>2338.7788420690504</v>
      </c>
      <c r="X181" s="112">
        <f t="shared" si="98"/>
        <v>2363.7140797355223</v>
      </c>
      <c r="Y181" s="112">
        <f t="shared" si="98"/>
        <v>2375.4138440506267</v>
      </c>
      <c r="Z181" s="112">
        <f t="shared" si="98"/>
        <v>2386.6759826593425</v>
      </c>
      <c r="AA181" s="112">
        <f t="shared" si="98"/>
        <v>2389.7083707789052</v>
      </c>
    </row>
    <row r="182" spans="1:27" x14ac:dyDescent="0.25">
      <c r="C182" s="100"/>
      <c r="D182" s="100"/>
    </row>
    <row r="183" spans="1:27" x14ac:dyDescent="0.25">
      <c r="C183" s="100" t="str">
        <f>"Incremental "&amp;VLOOKUP(G4,E320:F323,2,FALSE)&amp;" Charges"</f>
        <v>Incremental Bulk Wastewater Charges</v>
      </c>
      <c r="H183" s="106"/>
      <c r="I183" s="106"/>
      <c r="J183" s="106"/>
      <c r="K183" s="106"/>
      <c r="L183" s="106"/>
      <c r="M183" s="106"/>
      <c r="N183" s="106"/>
      <c r="O183" s="106"/>
      <c r="P183" s="106"/>
      <c r="Q183" s="106"/>
      <c r="R183" s="106"/>
      <c r="S183" s="106"/>
      <c r="T183" s="106"/>
      <c r="U183" s="106"/>
      <c r="V183" s="106"/>
      <c r="W183" s="106"/>
      <c r="X183" s="106"/>
      <c r="Y183" s="106"/>
      <c r="Z183" s="106"/>
      <c r="AA183" s="106"/>
    </row>
    <row r="184" spans="1:27" x14ac:dyDescent="0.25">
      <c r="A184" s="101">
        <v>37</v>
      </c>
      <c r="E184" s="47" t="s">
        <v>698</v>
      </c>
      <c r="F184" s="47" t="s">
        <v>633</v>
      </c>
      <c r="H184" s="113">
        <f>IFERROR(SUMIFS('INPUT Opex'!AD$63:AD$72,'INPUT Opex'!$A$63:$A$72,$A$1)/SUMIFS('INPUT Opex'!AC$63:AC$72,'INPUT Opex'!$A$63:$A$72,$A$1)-1,0)</f>
        <v>-2.8429661469226652E-2</v>
      </c>
      <c r="I184" s="113">
        <f>IFERROR(SUMIFS('INPUT Opex'!AE$63:AE$72,'INPUT Opex'!$A$63:$A$72,$A$1)/SUMIFS('INPUT Opex'!AD$63:AD$72,'INPUT Opex'!$A$63:$A$72,$A$1)-1,0)</f>
        <v>-2.0794744153257105E-2</v>
      </c>
      <c r="J184" s="113">
        <f>IFERROR(SUMIFS('INPUT Opex'!AF$63:AF$72,'INPUT Opex'!$A$63:$A$72,$A$1)/SUMIFS('INPUT Opex'!AE$63:AE$72,'INPUT Opex'!$A$63:$A$72,$A$1)-1,0)</f>
        <v>-1.7537707433900374E-2</v>
      </c>
      <c r="K184" s="113">
        <f>IFERROR(SUMIFS('INPUT Opex'!AG$63:AG$72,'INPUT Opex'!$A$63:$A$72,$A$1)/SUMIFS('INPUT Opex'!AF$63:AF$72,'INPUT Opex'!$A$63:$A$72,$A$1)-1,0)</f>
        <v>-1.7063212197304001E-2</v>
      </c>
      <c r="L184" s="113">
        <f>IFERROR(SUMIFS('INPUT Opex'!AH$63:AH$72,'INPUT Opex'!$A$63:$A$72,$A$1)/SUMIFS('INPUT Opex'!AG$63:AG$72,'INPUT Opex'!$A$63:$A$72,$A$1)-1,0)</f>
        <v>-1.5762010864712517E-2</v>
      </c>
      <c r="M184" s="113">
        <f>IFERROR(SUMIFS('INPUT Opex'!AI$63:AI$72,'INPUT Opex'!$A$63:$A$72,$A$1)/SUMIFS('INPUT Opex'!AH$63:AH$72,'INPUT Opex'!$A$63:$A$72,$A$1)-1,0)</f>
        <v>-1.4478463302283973E-2</v>
      </c>
      <c r="N184" s="113">
        <f>IFERROR(SUMIFS('INPUT Opex'!AJ$63:AJ$72,'INPUT Opex'!$A$63:$A$72,$A$1)/SUMIFS('INPUT Opex'!AI$63:AI$72,'INPUT Opex'!$A$63:$A$72,$A$1)-1,0)</f>
        <v>-1.2756874179507327E-2</v>
      </c>
      <c r="O184" s="113">
        <f>IFERROR(SUMIFS('INPUT Opex'!AK$63:AK$72,'INPUT Opex'!$A$63:$A$72,$A$1)/SUMIFS('INPUT Opex'!AJ$63:AJ$72,'INPUT Opex'!$A$63:$A$72,$A$1)-1,0)</f>
        <v>-9.1785912551368698E-3</v>
      </c>
      <c r="P184" s="113">
        <f>IFERROR(SUMIFS('INPUT Opex'!AL$63:AL$72,'INPUT Opex'!$A$63:$A$72,$A$1)/SUMIFS('INPUT Opex'!AK$63:AK$72,'INPUT Opex'!$A$63:$A$72,$A$1)-1,0)</f>
        <v>-1.1717940333131449E-2</v>
      </c>
      <c r="Q184" s="113">
        <f>IFERROR(SUMIFS('INPUT Opex'!AM$63:AM$72,'INPUT Opex'!$A$63:$A$72,$A$1)/SUMIFS('INPUT Opex'!AL$63:AL$72,'INPUT Opex'!$A$63:$A$72,$A$1)-1,0)</f>
        <v>-1.2583144064547302E-2</v>
      </c>
      <c r="R184" s="113">
        <f>IFERROR(SUMIFS('INPUT Opex'!AN$63:AN$72,'INPUT Opex'!$A$63:$A$72,$A$1)/SUMIFS('INPUT Opex'!AM$63:AM$72,'INPUT Opex'!$A$63:$A$72,$A$1)-1,0)</f>
        <v>6.2031571473808444E-3</v>
      </c>
      <c r="S184" s="113">
        <f>IFERROR(SUMIFS('INPUT Opex'!AO$63:AO$72,'INPUT Opex'!$A$63:$A$72,$A$1)/SUMIFS('INPUT Opex'!AN$63:AN$72,'INPUT Opex'!$A$63:$A$72,$A$1)-1,0)</f>
        <v>8.4290643989270997E-3</v>
      </c>
      <c r="T184" s="113">
        <f>IFERROR(SUMIFS('INPUT Opex'!AP$63:AP$72,'INPUT Opex'!$A$63:$A$72,$A$1)/SUMIFS('INPUT Opex'!AO$63:AO$72,'INPUT Opex'!$A$63:$A$72,$A$1)-1,0)</f>
        <v>7.4527542088409504E-3</v>
      </c>
      <c r="U184" s="113">
        <f>IFERROR(SUMIFS('INPUT Opex'!AQ$63:AQ$72,'INPUT Opex'!$A$63:$A$72,$A$1)/SUMIFS('INPUT Opex'!AP$63:AP$72,'INPUT Opex'!$A$63:$A$72,$A$1)-1,0)</f>
        <v>5.1096905203711351E-3</v>
      </c>
      <c r="V184" s="113">
        <f>IFERROR(SUMIFS('INPUT Opex'!AR$63:AR$72,'INPUT Opex'!$A$63:$A$72,$A$1)/SUMIFS('INPUT Opex'!AQ$63:AQ$72,'INPUT Opex'!$A$63:$A$72,$A$1)-1,0)</f>
        <v>5.4970830231502177E-3</v>
      </c>
      <c r="W184" s="113">
        <f>IFERROR(SUMIFS('INPUT Opex'!AS$63:AS$72,'INPUT Opex'!$A$63:$A$72,$A$1)/SUMIFS('INPUT Opex'!AR$63:AR$72,'INPUT Opex'!$A$63:$A$72,$A$1)-1,0)</f>
        <v>7.0865725913213939E-3</v>
      </c>
      <c r="X184" s="113">
        <f>IFERROR(SUMIFS('INPUT Opex'!AT$63:AT$72,'INPUT Opex'!$A$63:$A$72,$A$1)/SUMIFS('INPUT Opex'!AS$63:AS$72,'INPUT Opex'!$A$63:$A$72,$A$1)-1,0)</f>
        <v>1.4389484511050155E-2</v>
      </c>
      <c r="Y184" s="113">
        <f>IFERROR(SUMIFS('INPUT Opex'!AU$63:AU$72,'INPUT Opex'!$A$63:$A$72,$A$1)/SUMIFS('INPUT Opex'!AT$63:AT$72,'INPUT Opex'!$A$63:$A$72,$A$1)-1,0)</f>
        <v>-1.3369646905293409E-2</v>
      </c>
      <c r="Z184" s="113">
        <f>IFERROR(SUMIFS('INPUT Opex'!AV$63:AV$72,'INPUT Opex'!$A$63:$A$72,$A$1)/SUMIFS('INPUT Opex'!AU$63:AU$72,'INPUT Opex'!$A$63:$A$72,$A$1)-1,0)</f>
        <v>-1.6071666855051459E-2</v>
      </c>
      <c r="AA184" s="113">
        <f>IFERROR(SUMIFS('INPUT Opex'!AW$63:AW$72,'INPUT Opex'!$A$63:$A$72,$A$1)/SUMIFS('INPUT Opex'!AV$63:AV$72,'INPUT Opex'!$A$63:$A$72,$A$1)-1,0)</f>
        <v>-1.3176934058571677E-2</v>
      </c>
    </row>
    <row r="185" spans="1:27" x14ac:dyDescent="0.25">
      <c r="A185" s="101">
        <v>38</v>
      </c>
      <c r="E185" s="47" t="s">
        <v>699</v>
      </c>
      <c r="F185" s="47" t="s">
        <v>697</v>
      </c>
      <c r="G185" s="102">
        <f>SUMIFS('INPUT Opex'!AC$75:AC$80,'INPUT Opex'!$A$75:$A$80,$A$1)</f>
        <v>4.289574996288489</v>
      </c>
      <c r="H185" s="106">
        <f t="shared" ref="H185:AA185" si="99">G185*(1+$G$14)*(1+H184)</f>
        <v>4.1676238312971483</v>
      </c>
      <c r="I185" s="106">
        <f t="shared" si="99"/>
        <v>4.0809591599983071</v>
      </c>
      <c r="J185" s="106">
        <f t="shared" si="99"/>
        <v>4.0093884922005607</v>
      </c>
      <c r="K185" s="106">
        <f t="shared" si="99"/>
        <v>3.9409754455767136</v>
      </c>
      <c r="L185" s="106">
        <f t="shared" si="99"/>
        <v>3.8788577477859683</v>
      </c>
      <c r="M185" s="106">
        <f t="shared" si="99"/>
        <v>3.8226978482298692</v>
      </c>
      <c r="N185" s="106">
        <f t="shared" si="99"/>
        <v>3.7739321727537276</v>
      </c>
      <c r="O185" s="106">
        <f t="shared" si="99"/>
        <v>3.7392927919154104</v>
      </c>
      <c r="P185" s="106">
        <f t="shared" si="99"/>
        <v>3.695475982091637</v>
      </c>
      <c r="Q185" s="106">
        <f t="shared" si="99"/>
        <v>3.6489752754219036</v>
      </c>
      <c r="R185" s="106">
        <f t="shared" si="99"/>
        <v>3.6716104424822529</v>
      </c>
      <c r="S185" s="106">
        <f t="shared" si="99"/>
        <v>3.7025586833497091</v>
      </c>
      <c r="T185" s="106">
        <f t="shared" si="99"/>
        <v>3.7301529431605243</v>
      </c>
      <c r="U185" s="106">
        <f t="shared" si="99"/>
        <v>3.749212870293726</v>
      </c>
      <c r="V185" s="106">
        <f t="shared" si="99"/>
        <v>3.7698226047131937</v>
      </c>
      <c r="W185" s="106">
        <f t="shared" si="99"/>
        <v>3.7965377262578981</v>
      </c>
      <c r="X185" s="106">
        <f t="shared" si="99"/>
        <v>3.8511679470655036</v>
      </c>
      <c r="Y185" s="106">
        <f t="shared" si="99"/>
        <v>3.7996791914402541</v>
      </c>
      <c r="Z185" s="106">
        <f t="shared" si="99"/>
        <v>3.7386120133193552</v>
      </c>
      <c r="AA185" s="106">
        <f t="shared" si="99"/>
        <v>3.6893485693492623</v>
      </c>
    </row>
    <row r="186" spans="1:27" x14ac:dyDescent="0.25">
      <c r="A186" s="101">
        <v>39</v>
      </c>
      <c r="E186" s="47" t="s">
        <v>700</v>
      </c>
      <c r="F186" s="47" t="s">
        <v>639</v>
      </c>
      <c r="G186" s="106"/>
      <c r="H186" s="102">
        <f>SUMIFS('INPUT Opex'!AD$44:AD$53,'INPUT Opex'!$A$44:$A$53,$A$1)</f>
        <v>21373.566347579777</v>
      </c>
      <c r="I186" s="102">
        <f>SUMIFS('INPUT Opex'!AE$44:AE$53,'INPUT Opex'!$A$44:$A$53,$A$1)</f>
        <v>46664.743817585251</v>
      </c>
      <c r="J186" s="102">
        <f>SUMIFS('INPUT Opex'!AF$44:AF$53,'INPUT Opex'!$A$44:$A$53,$A$1)</f>
        <v>65972.642718439587</v>
      </c>
      <c r="K186" s="102">
        <f>SUMIFS('INPUT Opex'!AG$44:AG$53,'INPUT Opex'!$A$44:$A$53,$A$1)</f>
        <v>84369.308912872249</v>
      </c>
      <c r="L186" s="102">
        <f>SUMIFS('INPUT Opex'!AH$44:AH$53,'INPUT Opex'!$A$44:$A$53,$A$1)</f>
        <v>102706.81988711398</v>
      </c>
      <c r="M186" s="102">
        <f>SUMIFS('INPUT Opex'!AI$44:AI$53,'INPUT Opex'!$A$44:$A$53,$A$1)</f>
        <v>121807.09286632179</v>
      </c>
      <c r="N186" s="102">
        <f>SUMIFS('INPUT Opex'!AJ$44:AJ$53,'INPUT Opex'!$A$44:$A$53,$A$1)</f>
        <v>139742.52433582372</v>
      </c>
      <c r="O186" s="102">
        <f>SUMIFS('INPUT Opex'!AK$44:AK$53,'INPUT Opex'!$A$44:$A$53,$A$1)</f>
        <v>159408.64183720763</v>
      </c>
      <c r="P186" s="102">
        <f>SUMIFS('INPUT Opex'!AL$44:AL$53,'INPUT Opex'!$A$44:$A$53,$A$1)</f>
        <v>177045.92900863878</v>
      </c>
      <c r="Q186" s="102">
        <f>SUMIFS('INPUT Opex'!AM$44:AM$53,'INPUT Opex'!$A$44:$A$53,$A$1)</f>
        <v>193083.58145896587</v>
      </c>
      <c r="R186" s="102">
        <f>SUMIFS('INPUT Opex'!AN$44:AN$53,'INPUT Opex'!$A$44:$A$53,$A$1)</f>
        <v>216782.73976703073</v>
      </c>
      <c r="S186" s="102">
        <f>SUMIFS('INPUT Opex'!AO$44:AO$53,'INPUT Opex'!$A$44:$A$53,$A$1)</f>
        <v>240775.30603089888</v>
      </c>
      <c r="T186" s="102">
        <f>SUMIFS('INPUT Opex'!AP$44:AP$53,'INPUT Opex'!$A$44:$A$53,$A$1)</f>
        <v>263238.19315864198</v>
      </c>
      <c r="U186" s="102">
        <f>SUMIFS('INPUT Opex'!AQ$44:AQ$53,'INPUT Opex'!$A$44:$A$53,$A$1)</f>
        <v>283897.57407406601</v>
      </c>
      <c r="V186" s="102">
        <f>SUMIFS('INPUT Opex'!AR$44:AR$53,'INPUT Opex'!$A$44:$A$53,$A$1)</f>
        <v>304018.16620032041</v>
      </c>
      <c r="W186" s="102">
        <f>SUMIFS('INPUT Opex'!AS$44:AS$53,'INPUT Opex'!$A$44:$A$53,$A$1)</f>
        <v>324460.36227654363</v>
      </c>
      <c r="X186" s="102">
        <f>SUMIFS('INPUT Opex'!AT$44:AT$53,'INPUT Opex'!$A$44:$A$53,$A$1)</f>
        <v>348428.26464115659</v>
      </c>
      <c r="Y186" s="102">
        <f>SUMIFS('INPUT Opex'!AU$44:AU$53,'INPUT Opex'!$A$44:$A$53,$A$1)</f>
        <v>355222.66542702867</v>
      </c>
      <c r="Z186" s="102">
        <f>SUMIFS('INPUT Opex'!AV$44:AV$53,'INPUT Opex'!$A$44:$A$53,$A$1)</f>
        <v>358821.79078102432</v>
      </c>
      <c r="AA186" s="102">
        <f>SUMIFS('INPUT Opex'!AW$44:AW$53,'INPUT Opex'!$A$44:$A$53,$A$1)</f>
        <v>362530.34921319527</v>
      </c>
    </row>
    <row r="187" spans="1:27" x14ac:dyDescent="0.25">
      <c r="E187" s="47" t="s">
        <v>701</v>
      </c>
      <c r="F187" s="47" t="s">
        <v>639</v>
      </c>
      <c r="H187" s="106">
        <f>H185*H176+H186</f>
        <v>23785.16154029161</v>
      </c>
      <c r="I187" s="106">
        <f t="shared" ref="I187:AA187" si="100">I185*I176+I186</f>
        <v>51491.796543353332</v>
      </c>
      <c r="J187" s="106">
        <f t="shared" si="100"/>
        <v>72832.837348589848</v>
      </c>
      <c r="K187" s="106">
        <f t="shared" si="100"/>
        <v>93268.067662621441</v>
      </c>
      <c r="L187" s="106">
        <f t="shared" si="100"/>
        <v>113603.65257970217</v>
      </c>
      <c r="M187" s="106">
        <f t="shared" si="100"/>
        <v>134809.62782109223</v>
      </c>
      <c r="N187" s="106">
        <f t="shared" si="100"/>
        <v>154762.63093101198</v>
      </c>
      <c r="O187" s="106">
        <f t="shared" si="100"/>
        <v>176621.84011346626</v>
      </c>
      <c r="P187" s="106">
        <f t="shared" si="100"/>
        <v>196275.26393827741</v>
      </c>
      <c r="Q187" s="106">
        <f t="shared" si="100"/>
        <v>214292.85186166794</v>
      </c>
      <c r="R187" s="106">
        <f t="shared" si="100"/>
        <v>240330.6346972824</v>
      </c>
      <c r="S187" s="106">
        <f t="shared" si="100"/>
        <v>266775.00524626451</v>
      </c>
      <c r="T187" s="106">
        <f t="shared" si="100"/>
        <v>291478.92292273976</v>
      </c>
      <c r="U187" s="106">
        <f t="shared" si="100"/>
        <v>314381.84382898302</v>
      </c>
      <c r="V187" s="106">
        <f t="shared" si="100"/>
        <v>336740.47884909593</v>
      </c>
      <c r="W187" s="106">
        <f t="shared" si="100"/>
        <v>359553.82703072409</v>
      </c>
      <c r="X187" s="106">
        <f t="shared" si="100"/>
        <v>385853.90628970566</v>
      </c>
      <c r="Y187" s="106">
        <f t="shared" si="100"/>
        <v>394047.85475089232</v>
      </c>
      <c r="Z187" s="106">
        <f t="shared" si="100"/>
        <v>398779.97660908953</v>
      </c>
      <c r="AA187" s="106">
        <f t="shared" si="100"/>
        <v>403715.21388490364</v>
      </c>
    </row>
    <row r="188" spans="1:27" x14ac:dyDescent="0.25">
      <c r="H188" s="106"/>
      <c r="I188" s="106"/>
      <c r="J188" s="106"/>
      <c r="K188" s="106"/>
      <c r="L188" s="106"/>
      <c r="M188" s="106"/>
      <c r="N188" s="106"/>
      <c r="O188" s="106"/>
      <c r="P188" s="106"/>
      <c r="Q188" s="106"/>
      <c r="R188" s="106"/>
      <c r="S188" s="106"/>
      <c r="T188" s="106"/>
      <c r="U188" s="106"/>
      <c r="V188" s="106"/>
      <c r="W188" s="106"/>
      <c r="X188" s="106"/>
      <c r="Y188" s="106"/>
      <c r="Z188" s="106"/>
      <c r="AA188" s="106"/>
    </row>
    <row r="189" spans="1:27" x14ac:dyDescent="0.25">
      <c r="C189" s="100" t="s">
        <v>702</v>
      </c>
      <c r="G189" s="106"/>
    </row>
    <row r="190" spans="1:27" x14ac:dyDescent="0.25">
      <c r="C190" s="100"/>
      <c r="D190" s="47" t="s">
        <v>703</v>
      </c>
      <c r="G190" s="106"/>
    </row>
    <row r="191" spans="1:27" x14ac:dyDescent="0.25">
      <c r="A191" s="101">
        <v>40</v>
      </c>
      <c r="C191" s="100"/>
      <c r="E191" s="47" t="s">
        <v>704</v>
      </c>
      <c r="G191" s="106"/>
      <c r="H191" s="105">
        <f>SUMIFS('INPUT Opex'!AD$97:AD$100,'INPUT Opex'!$C$97:$C$100,$G$4)</f>
        <v>-1.9057359833210552E-2</v>
      </c>
      <c r="I191" s="105">
        <f>SUMIFS('INPUT Opex'!AE$97:AE$100,'INPUT Opex'!$C$97:$C$100,$G$4)</f>
        <v>-2.9278761105415385E-2</v>
      </c>
      <c r="J191" s="105">
        <f>SUMIFS('INPUT Opex'!AF$97:AF$100,'INPUT Opex'!$C$97:$C$100,$G$4)</f>
        <v>-2.5036762703973814E-2</v>
      </c>
      <c r="K191" s="105">
        <f>SUMIFS('INPUT Opex'!AG$97:AG$100,'INPUT Opex'!$C$97:$C$100,$G$4)</f>
        <v>-1.7460758340258731E-2</v>
      </c>
      <c r="L191" s="105">
        <f>SUMIFS('INPUT Opex'!AH$97:AH$100,'INPUT Opex'!$C$97:$C$100,$G$4)</f>
        <v>-1.4449368353551373E-2</v>
      </c>
      <c r="M191" s="105">
        <f>SUMIFS('INPUT Opex'!AI$97:AI$100,'INPUT Opex'!$C$97:$C$100,$G$4)</f>
        <v>-1.4414924226396675E-2</v>
      </c>
      <c r="N191" s="105">
        <f>SUMIFS('INPUT Opex'!AJ$97:AJ$100,'INPUT Opex'!$C$97:$C$100,$G$4)</f>
        <v>-1.4371220590543077E-2</v>
      </c>
      <c r="O191" s="105">
        <f>SUMIFS('INPUT Opex'!AK$97:AK$100,'INPUT Opex'!$C$97:$C$100,$G$4)</f>
        <v>-1.4368035038630489E-2</v>
      </c>
      <c r="P191" s="105">
        <f>SUMIFS('INPUT Opex'!AL$97:AL$100,'INPUT Opex'!$C$97:$C$100,$G$4)</f>
        <v>-1.4350252639717898E-2</v>
      </c>
      <c r="Q191" s="105">
        <f>SUMIFS('INPUT Opex'!AM$97:AM$100,'INPUT Opex'!$C$97:$C$100,$G$4)</f>
        <v>0</v>
      </c>
      <c r="R191" s="105">
        <f>SUMIFS('INPUT Opex'!AN$97:AN$100,'INPUT Opex'!$C$97:$C$100,$G$4)</f>
        <v>0</v>
      </c>
      <c r="S191" s="105">
        <f>SUMIFS('INPUT Opex'!AO$97:AO$100,'INPUT Opex'!$C$97:$C$100,$G$4)</f>
        <v>0</v>
      </c>
      <c r="T191" s="105">
        <f>SUMIFS('INPUT Opex'!AP$97:AP$100,'INPUT Opex'!$C$97:$C$100,$G$4)</f>
        <v>0</v>
      </c>
      <c r="U191" s="105">
        <f>SUMIFS('INPUT Opex'!AQ$97:AQ$100,'INPUT Opex'!$C$97:$C$100,$G$4)</f>
        <v>0</v>
      </c>
      <c r="V191" s="105">
        <f>SUMIFS('INPUT Opex'!AR$97:AR$100,'INPUT Opex'!$C$97:$C$100,$G$4)</f>
        <v>0</v>
      </c>
      <c r="W191" s="105">
        <f>SUMIFS('INPUT Opex'!AS$97:AS$100,'INPUT Opex'!$C$97:$C$100,$G$4)</f>
        <v>0</v>
      </c>
      <c r="X191" s="105">
        <f>SUMIFS('INPUT Opex'!AT$97:AT$100,'INPUT Opex'!$C$97:$C$100,$G$4)</f>
        <v>0</v>
      </c>
      <c r="Y191" s="105">
        <f>SUMIFS('INPUT Opex'!AU$97:AU$100,'INPUT Opex'!$C$97:$C$100,$G$4)</f>
        <v>0</v>
      </c>
      <c r="Z191" s="105">
        <f>SUMIFS('INPUT Opex'!AV$97:AV$100,'INPUT Opex'!$C$97:$C$100,$G$4)</f>
        <v>0</v>
      </c>
      <c r="AA191" s="105">
        <f>SUMIFS('INPUT Opex'!AW$97:AW$100,'INPUT Opex'!$C$97:$C$100,$G$4)</f>
        <v>0</v>
      </c>
    </row>
    <row r="192" spans="1:27" x14ac:dyDescent="0.25">
      <c r="A192" s="101">
        <v>41</v>
      </c>
      <c r="E192" s="47" t="s">
        <v>705</v>
      </c>
      <c r="F192" s="47" t="s">
        <v>695</v>
      </c>
      <c r="G192" s="114">
        <f>SUMIFS('INPUT Opex'!AC$97:AC$100,'INPUT Opex'!$C$97:$C$100,$G$4)</f>
        <v>147.47130701994882</v>
      </c>
      <c r="H192" s="106">
        <f t="shared" ref="H192:W193" si="101">G192*(1+$G$14)*(1+H$191)</f>
        <v>144.66089325699579</v>
      </c>
      <c r="I192" s="106">
        <f t="shared" si="101"/>
        <v>140.42540152202821</v>
      </c>
      <c r="J192" s="106">
        <f t="shared" si="101"/>
        <v>136.90960406651095</v>
      </c>
      <c r="K192" s="106">
        <f t="shared" si="101"/>
        <v>134.5190585554451</v>
      </c>
      <c r="L192" s="106">
        <f t="shared" si="101"/>
        <v>132.57534312780453</v>
      </c>
      <c r="M192" s="106">
        <f t="shared" si="101"/>
        <v>130.66427960232869</v>
      </c>
      <c r="N192" s="106">
        <f t="shared" si="101"/>
        <v>128.78647441685922</v>
      </c>
      <c r="O192" s="106">
        <f t="shared" si="101"/>
        <v>126.93606583993611</v>
      </c>
      <c r="P192" s="106">
        <f t="shared" si="101"/>
        <v>125.11450122604116</v>
      </c>
      <c r="Q192" s="106">
        <f t="shared" si="101"/>
        <v>125.11450122604116</v>
      </c>
      <c r="R192" s="106">
        <f t="shared" si="101"/>
        <v>125.11450122604116</v>
      </c>
      <c r="S192" s="106">
        <f t="shared" si="101"/>
        <v>125.11450122604116</v>
      </c>
      <c r="T192" s="106">
        <f t="shared" si="101"/>
        <v>125.11450122604116</v>
      </c>
      <c r="U192" s="106">
        <f t="shared" si="101"/>
        <v>125.11450122604116</v>
      </c>
      <c r="V192" s="106">
        <f t="shared" si="101"/>
        <v>125.11450122604116</v>
      </c>
      <c r="W192" s="106">
        <f t="shared" si="101"/>
        <v>125.11450122604116</v>
      </c>
      <c r="X192" s="106">
        <f t="shared" ref="X192:AA193" si="102">W192*(1+$G$14)*(1+X$191)</f>
        <v>125.11450122604116</v>
      </c>
      <c r="Y192" s="106">
        <f t="shared" si="102"/>
        <v>125.11450122604116</v>
      </c>
      <c r="Z192" s="106">
        <f t="shared" si="102"/>
        <v>125.11450122604116</v>
      </c>
      <c r="AA192" s="106">
        <f t="shared" si="102"/>
        <v>125.11450122604116</v>
      </c>
    </row>
    <row r="193" spans="1:29" x14ac:dyDescent="0.25">
      <c r="A193" s="101">
        <v>42</v>
      </c>
      <c r="E193" s="47" t="s">
        <v>706</v>
      </c>
      <c r="F193" s="47" t="s">
        <v>697</v>
      </c>
      <c r="G193" s="102"/>
      <c r="H193" s="106">
        <f>G193*(1+$G$14)*(1+H$191)</f>
        <v>0</v>
      </c>
      <c r="I193" s="106">
        <f t="shared" si="101"/>
        <v>0</v>
      </c>
      <c r="J193" s="106">
        <f t="shared" si="101"/>
        <v>0</v>
      </c>
      <c r="K193" s="106">
        <f t="shared" si="101"/>
        <v>0</v>
      </c>
      <c r="L193" s="106">
        <f t="shared" si="101"/>
        <v>0</v>
      </c>
      <c r="M193" s="106">
        <f t="shared" si="101"/>
        <v>0</v>
      </c>
      <c r="N193" s="106">
        <f t="shared" si="101"/>
        <v>0</v>
      </c>
      <c r="O193" s="106">
        <f t="shared" si="101"/>
        <v>0</v>
      </c>
      <c r="P193" s="106">
        <f t="shared" si="101"/>
        <v>0</v>
      </c>
      <c r="Q193" s="106">
        <f t="shared" si="101"/>
        <v>0</v>
      </c>
      <c r="R193" s="106">
        <f t="shared" si="101"/>
        <v>0</v>
      </c>
      <c r="S193" s="106">
        <f t="shared" si="101"/>
        <v>0</v>
      </c>
      <c r="T193" s="106">
        <f t="shared" si="101"/>
        <v>0</v>
      </c>
      <c r="U193" s="106">
        <f t="shared" si="101"/>
        <v>0</v>
      </c>
      <c r="V193" s="106">
        <f t="shared" si="101"/>
        <v>0</v>
      </c>
      <c r="W193" s="106">
        <f t="shared" si="101"/>
        <v>0</v>
      </c>
      <c r="X193" s="106">
        <f t="shared" si="102"/>
        <v>0</v>
      </c>
      <c r="Y193" s="106">
        <f t="shared" si="102"/>
        <v>0</v>
      </c>
      <c r="Z193" s="106">
        <f t="shared" si="102"/>
        <v>0</v>
      </c>
      <c r="AA193" s="106">
        <f t="shared" si="102"/>
        <v>0</v>
      </c>
    </row>
    <row r="194" spans="1:29" x14ac:dyDescent="0.25">
      <c r="A194" s="101">
        <v>43</v>
      </c>
      <c r="E194" s="47" t="s">
        <v>707</v>
      </c>
      <c r="F194" s="47" t="s">
        <v>639</v>
      </c>
      <c r="G194" s="106"/>
      <c r="H194" s="102"/>
      <c r="I194" s="102"/>
      <c r="J194" s="102"/>
      <c r="K194" s="102"/>
      <c r="L194" s="102"/>
      <c r="M194" s="102"/>
      <c r="N194" s="102"/>
      <c r="O194" s="102"/>
      <c r="P194" s="102"/>
      <c r="Q194" s="102"/>
      <c r="R194" s="102"/>
      <c r="S194" s="102"/>
      <c r="T194" s="102"/>
      <c r="U194" s="102"/>
      <c r="V194" s="102"/>
      <c r="W194" s="102"/>
      <c r="X194" s="102"/>
      <c r="Y194" s="102"/>
      <c r="Z194" s="102"/>
      <c r="AA194" s="102"/>
    </row>
    <row r="195" spans="1:29" x14ac:dyDescent="0.25">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row>
    <row r="196" spans="1:29" x14ac:dyDescent="0.25">
      <c r="D196" s="47" t="s">
        <v>708</v>
      </c>
      <c r="G196" s="101"/>
      <c r="H196" s="101"/>
      <c r="I196" s="101"/>
      <c r="J196" s="101"/>
      <c r="K196" s="101"/>
      <c r="L196" s="101"/>
      <c r="M196" s="101"/>
      <c r="N196" s="101"/>
      <c r="O196" s="101"/>
      <c r="P196" s="101"/>
      <c r="Q196" s="101"/>
      <c r="R196" s="101"/>
      <c r="S196" s="101"/>
      <c r="T196" s="101"/>
      <c r="U196" s="101"/>
      <c r="V196" s="101"/>
      <c r="W196" s="101"/>
      <c r="X196" s="101"/>
      <c r="Y196" s="101"/>
      <c r="Z196" s="101"/>
      <c r="AA196" s="101"/>
    </row>
    <row r="197" spans="1:29" x14ac:dyDescent="0.25">
      <c r="A197" s="101">
        <v>44</v>
      </c>
      <c r="E197" s="47" t="s">
        <v>706</v>
      </c>
      <c r="F197" s="47" t="s">
        <v>697</v>
      </c>
      <c r="G197" s="101"/>
      <c r="H197" s="102"/>
      <c r="I197" s="102"/>
      <c r="J197" s="102"/>
      <c r="K197" s="102"/>
      <c r="L197" s="102"/>
      <c r="M197" s="102"/>
      <c r="N197" s="102"/>
      <c r="O197" s="102"/>
      <c r="P197" s="102"/>
      <c r="Q197" s="102"/>
      <c r="R197" s="102"/>
      <c r="S197" s="102"/>
      <c r="T197" s="102"/>
      <c r="U197" s="102"/>
      <c r="V197" s="102"/>
      <c r="W197" s="102"/>
      <c r="X197" s="102"/>
      <c r="Y197" s="102"/>
      <c r="Z197" s="102"/>
      <c r="AA197" s="102"/>
    </row>
    <row r="198" spans="1:29" x14ac:dyDescent="0.25">
      <c r="A198" s="101">
        <v>45</v>
      </c>
      <c r="E198" s="47" t="s">
        <v>707</v>
      </c>
      <c r="F198" s="47" t="s">
        <v>639</v>
      </c>
      <c r="G198" s="106"/>
      <c r="H198" s="102"/>
      <c r="I198" s="102"/>
      <c r="J198" s="102"/>
      <c r="K198" s="102"/>
      <c r="L198" s="102"/>
      <c r="M198" s="102"/>
      <c r="N198" s="102"/>
      <c r="O198" s="102"/>
      <c r="P198" s="102"/>
      <c r="Q198" s="102"/>
      <c r="R198" s="102"/>
      <c r="S198" s="102"/>
      <c r="T198" s="102"/>
      <c r="U198" s="102"/>
      <c r="V198" s="102"/>
      <c r="W198" s="102"/>
      <c r="X198" s="102"/>
      <c r="Y198" s="102"/>
      <c r="Z198" s="102"/>
      <c r="AA198" s="102"/>
    </row>
    <row r="199" spans="1:29" x14ac:dyDescent="0.25">
      <c r="G199" s="106"/>
    </row>
    <row r="200" spans="1:29" x14ac:dyDescent="0.25">
      <c r="E200" s="47" t="s">
        <v>702</v>
      </c>
      <c r="F200" s="47" t="s">
        <v>639</v>
      </c>
      <c r="G200" s="106"/>
      <c r="H200" s="106">
        <f>H192*H175+(H193+H197)*H176+H194+H198</f>
        <v>703250.07455304242</v>
      </c>
      <c r="I200" s="106">
        <f t="shared" ref="I200:AA200" si="103">I192*I175+(I193+I197)*I176+I194+I198</f>
        <v>1422152.1095639924</v>
      </c>
      <c r="J200" s="106">
        <f t="shared" si="103"/>
        <v>2009478.5797107783</v>
      </c>
      <c r="K200" s="106">
        <f t="shared" si="103"/>
        <v>2603425.8910048772</v>
      </c>
      <c r="L200" s="106">
        <f t="shared" si="103"/>
        <v>3212763.1216384289</v>
      </c>
      <c r="M200" s="106">
        <f t="shared" si="103"/>
        <v>3849665.7838454582</v>
      </c>
      <c r="N200" s="106">
        <f t="shared" si="103"/>
        <v>4457448.9972438179</v>
      </c>
      <c r="O200" s="106">
        <f t="shared" si="103"/>
        <v>5089437.7886395222</v>
      </c>
      <c r="P200" s="106">
        <f t="shared" si="103"/>
        <v>5714640.1604214255</v>
      </c>
      <c r="Q200" s="106">
        <f t="shared" si="103"/>
        <v>6417025.9841055544</v>
      </c>
      <c r="R200" s="106">
        <f t="shared" si="103"/>
        <v>7119183.5017968779</v>
      </c>
      <c r="S200" s="106">
        <f t="shared" si="103"/>
        <v>7816046.4460648848</v>
      </c>
      <c r="T200" s="106">
        <f t="shared" si="103"/>
        <v>8498598.5450102352</v>
      </c>
      <c r="U200" s="106">
        <f t="shared" si="103"/>
        <v>9178383.7770022843</v>
      </c>
      <c r="V200" s="106">
        <f t="shared" si="103"/>
        <v>9851476.942763349</v>
      </c>
      <c r="W200" s="106">
        <f t="shared" si="103"/>
        <v>10516729.019204564</v>
      </c>
      <c r="X200" s="106">
        <f t="shared" si="103"/>
        <v>11170442.047587294</v>
      </c>
      <c r="Y200" s="106">
        <f t="shared" si="103"/>
        <v>11796258.951363552</v>
      </c>
      <c r="Z200" s="106">
        <f t="shared" si="103"/>
        <v>12388920.780721309</v>
      </c>
      <c r="AA200" s="106">
        <f t="shared" si="103"/>
        <v>12949758.523653284</v>
      </c>
    </row>
    <row r="201" spans="1:29" x14ac:dyDescent="0.25">
      <c r="G201" s="106"/>
      <c r="H201" s="106"/>
      <c r="I201" s="106"/>
      <c r="J201" s="106"/>
      <c r="K201" s="106"/>
      <c r="L201" s="106"/>
      <c r="M201" s="106"/>
      <c r="N201" s="106"/>
      <c r="O201" s="106"/>
      <c r="P201" s="106"/>
      <c r="Q201" s="106"/>
      <c r="R201" s="106"/>
      <c r="S201" s="106"/>
      <c r="T201" s="106"/>
      <c r="U201" s="106"/>
      <c r="V201" s="106"/>
      <c r="W201" s="106"/>
      <c r="X201" s="106"/>
      <c r="Y201" s="106"/>
      <c r="Z201" s="106"/>
      <c r="AA201" s="106"/>
    </row>
    <row r="202" spans="1:29" x14ac:dyDescent="0.25">
      <c r="C202" s="100" t="s">
        <v>709</v>
      </c>
      <c r="G202" s="106"/>
      <c r="H202" s="106"/>
      <c r="I202" s="106"/>
      <c r="J202" s="106"/>
      <c r="K202" s="106"/>
      <c r="L202" s="106"/>
      <c r="M202" s="106"/>
      <c r="N202" s="106"/>
      <c r="O202" s="106"/>
      <c r="P202" s="106"/>
      <c r="Q202" s="106"/>
      <c r="R202" s="106"/>
      <c r="S202" s="106"/>
      <c r="T202" s="106"/>
      <c r="U202" s="106"/>
      <c r="V202" s="106"/>
      <c r="W202" s="106"/>
      <c r="X202" s="106"/>
      <c r="Y202" s="106"/>
      <c r="Z202" s="106"/>
      <c r="AA202" s="106"/>
    </row>
    <row r="203" spans="1:29" x14ac:dyDescent="0.25">
      <c r="A203" s="101">
        <v>46</v>
      </c>
      <c r="E203" s="102" t="s">
        <v>710</v>
      </c>
      <c r="F203" s="47" t="s">
        <v>639</v>
      </c>
      <c r="G203" s="106"/>
      <c r="H203" s="102"/>
      <c r="I203" s="102"/>
      <c r="J203" s="102"/>
      <c r="K203" s="102"/>
      <c r="L203" s="102"/>
      <c r="M203" s="102"/>
      <c r="N203" s="102"/>
      <c r="O203" s="102"/>
      <c r="P203" s="102"/>
      <c r="Q203" s="102"/>
      <c r="R203" s="102"/>
      <c r="S203" s="102"/>
      <c r="T203" s="102"/>
      <c r="U203" s="102"/>
      <c r="V203" s="102"/>
      <c r="W203" s="102"/>
      <c r="X203" s="102"/>
      <c r="Y203" s="102"/>
      <c r="Z203" s="102"/>
      <c r="AA203" s="102"/>
    </row>
    <row r="204" spans="1:29" x14ac:dyDescent="0.25">
      <c r="A204" s="101">
        <v>47</v>
      </c>
      <c r="E204" s="102" t="s">
        <v>711</v>
      </c>
      <c r="F204" s="47" t="s">
        <v>639</v>
      </c>
      <c r="G204" s="106"/>
      <c r="H204" s="102"/>
      <c r="I204" s="102"/>
      <c r="J204" s="102"/>
      <c r="K204" s="102"/>
      <c r="L204" s="102"/>
      <c r="M204" s="102"/>
      <c r="N204" s="102"/>
      <c r="O204" s="102"/>
      <c r="P204" s="102"/>
      <c r="Q204" s="102"/>
      <c r="R204" s="102"/>
      <c r="S204" s="102"/>
      <c r="T204" s="102"/>
      <c r="U204" s="102"/>
      <c r="V204" s="102"/>
      <c r="W204" s="102"/>
      <c r="X204" s="102"/>
      <c r="Y204" s="102"/>
      <c r="Z204" s="102"/>
      <c r="AA204" s="102"/>
    </row>
    <row r="205" spans="1:29" x14ac:dyDescent="0.25">
      <c r="A205" s="101">
        <v>48</v>
      </c>
      <c r="E205" s="102" t="s">
        <v>712</v>
      </c>
      <c r="F205" s="47" t="s">
        <v>639</v>
      </c>
      <c r="G205" s="106"/>
      <c r="H205" s="102"/>
      <c r="I205" s="102"/>
      <c r="J205" s="102"/>
      <c r="K205" s="102"/>
      <c r="L205" s="102"/>
      <c r="M205" s="102"/>
      <c r="N205" s="102"/>
      <c r="O205" s="102"/>
      <c r="P205" s="102"/>
      <c r="Q205" s="102"/>
      <c r="R205" s="102"/>
      <c r="S205" s="102"/>
      <c r="T205" s="102"/>
      <c r="U205" s="102"/>
      <c r="V205" s="102"/>
      <c r="W205" s="102"/>
      <c r="X205" s="102"/>
      <c r="Y205" s="102"/>
      <c r="Z205" s="102"/>
      <c r="AA205" s="102"/>
    </row>
    <row r="206" spans="1:29" x14ac:dyDescent="0.25">
      <c r="A206" s="101">
        <v>49</v>
      </c>
      <c r="E206" s="102" t="s">
        <v>713</v>
      </c>
      <c r="F206" s="47" t="s">
        <v>639</v>
      </c>
      <c r="G206" s="106"/>
      <c r="H206" s="102"/>
      <c r="I206" s="102"/>
      <c r="J206" s="102"/>
      <c r="K206" s="102"/>
      <c r="L206" s="102"/>
      <c r="M206" s="102"/>
      <c r="N206" s="102"/>
      <c r="O206" s="102"/>
      <c r="P206" s="102"/>
      <c r="Q206" s="102"/>
      <c r="R206" s="102"/>
      <c r="S206" s="102"/>
      <c r="T206" s="102"/>
      <c r="U206" s="102"/>
      <c r="V206" s="102"/>
      <c r="W206" s="102"/>
      <c r="X206" s="102"/>
      <c r="Y206" s="102"/>
      <c r="Z206" s="102"/>
      <c r="AA206" s="102"/>
    </row>
    <row r="207" spans="1:29" x14ac:dyDescent="0.25">
      <c r="E207" s="47" t="s">
        <v>44</v>
      </c>
      <c r="G207" s="106"/>
      <c r="H207" s="106">
        <f>SUM(H203:H206)</f>
        <v>0</v>
      </c>
      <c r="I207" s="106">
        <f t="shared" ref="I207:AA207" si="104">SUM(I203:I206)</f>
        <v>0</v>
      </c>
      <c r="J207" s="106">
        <f t="shared" si="104"/>
        <v>0</v>
      </c>
      <c r="K207" s="106">
        <f t="shared" si="104"/>
        <v>0</v>
      </c>
      <c r="L207" s="106">
        <f t="shared" si="104"/>
        <v>0</v>
      </c>
      <c r="M207" s="106">
        <f t="shared" si="104"/>
        <v>0</v>
      </c>
      <c r="N207" s="106">
        <f t="shared" si="104"/>
        <v>0</v>
      </c>
      <c r="O207" s="106">
        <f t="shared" si="104"/>
        <v>0</v>
      </c>
      <c r="P207" s="106">
        <f t="shared" si="104"/>
        <v>0</v>
      </c>
      <c r="Q207" s="106">
        <f t="shared" si="104"/>
        <v>0</v>
      </c>
      <c r="R207" s="106">
        <f t="shared" si="104"/>
        <v>0</v>
      </c>
      <c r="S207" s="106">
        <f t="shared" si="104"/>
        <v>0</v>
      </c>
      <c r="T207" s="106">
        <f t="shared" si="104"/>
        <v>0</v>
      </c>
      <c r="U207" s="106">
        <f t="shared" si="104"/>
        <v>0</v>
      </c>
      <c r="V207" s="106">
        <f t="shared" si="104"/>
        <v>0</v>
      </c>
      <c r="W207" s="106">
        <f t="shared" si="104"/>
        <v>0</v>
      </c>
      <c r="X207" s="106">
        <f t="shared" si="104"/>
        <v>0</v>
      </c>
      <c r="Y207" s="106">
        <f t="shared" si="104"/>
        <v>0</v>
      </c>
      <c r="Z207" s="106">
        <f t="shared" si="104"/>
        <v>0</v>
      </c>
      <c r="AA207" s="106">
        <f t="shared" si="104"/>
        <v>0</v>
      </c>
    </row>
    <row r="208" spans="1:29" x14ac:dyDescent="0.25">
      <c r="G208" s="106"/>
      <c r="H208" s="106"/>
      <c r="I208" s="106"/>
      <c r="J208" s="106"/>
      <c r="K208" s="106"/>
      <c r="L208" s="106"/>
      <c r="M208" s="106"/>
      <c r="N208" s="106"/>
      <c r="O208" s="106"/>
      <c r="P208" s="106"/>
      <c r="Q208" s="106"/>
      <c r="R208" s="106"/>
      <c r="S208" s="106"/>
      <c r="T208" s="106"/>
      <c r="U208" s="106"/>
      <c r="V208" s="106"/>
      <c r="W208" s="106"/>
      <c r="X208" s="106"/>
      <c r="Y208" s="106"/>
      <c r="Z208" s="106"/>
      <c r="AA208" s="106"/>
    </row>
    <row r="209" spans="1:27" x14ac:dyDescent="0.25">
      <c r="C209" s="100" t="s">
        <v>714</v>
      </c>
      <c r="G209" s="106"/>
      <c r="H209" s="106"/>
      <c r="I209" s="106"/>
      <c r="J209" s="106"/>
      <c r="K209" s="106"/>
      <c r="L209" s="106"/>
      <c r="M209" s="106"/>
      <c r="N209" s="106"/>
      <c r="O209" s="106"/>
      <c r="P209" s="106"/>
      <c r="Q209" s="106"/>
      <c r="R209" s="106"/>
      <c r="S209" s="106"/>
      <c r="T209" s="106"/>
      <c r="U209" s="106"/>
      <c r="V209" s="106"/>
      <c r="W209" s="106"/>
      <c r="X209" s="106"/>
      <c r="Y209" s="106"/>
      <c r="Z209" s="106"/>
      <c r="AA209" s="106"/>
    </row>
    <row r="210" spans="1:27" x14ac:dyDescent="0.25">
      <c r="A210" s="101">
        <v>50</v>
      </c>
      <c r="E210" s="102" t="s">
        <v>715</v>
      </c>
      <c r="F210" s="47" t="s">
        <v>639</v>
      </c>
      <c r="G210" s="106"/>
      <c r="H210" s="102"/>
      <c r="I210" s="102"/>
      <c r="J210" s="102"/>
      <c r="K210" s="102"/>
      <c r="L210" s="102"/>
      <c r="M210" s="102"/>
      <c r="N210" s="102"/>
      <c r="O210" s="102"/>
      <c r="P210" s="102"/>
      <c r="Q210" s="102"/>
      <c r="R210" s="102"/>
      <c r="S210" s="102"/>
      <c r="T210" s="102"/>
      <c r="U210" s="102"/>
      <c r="V210" s="102"/>
      <c r="W210" s="102"/>
      <c r="X210" s="102"/>
      <c r="Y210" s="102"/>
      <c r="Z210" s="102"/>
      <c r="AA210" s="102"/>
    </row>
    <row r="211" spans="1:27" x14ac:dyDescent="0.25">
      <c r="A211" s="101">
        <v>51</v>
      </c>
      <c r="E211" s="102" t="s">
        <v>716</v>
      </c>
      <c r="F211" s="47" t="s">
        <v>639</v>
      </c>
      <c r="G211" s="106"/>
      <c r="H211" s="102"/>
      <c r="I211" s="102"/>
      <c r="J211" s="102"/>
      <c r="K211" s="102"/>
      <c r="L211" s="102"/>
      <c r="M211" s="102"/>
      <c r="N211" s="102"/>
      <c r="O211" s="102"/>
      <c r="P211" s="102"/>
      <c r="Q211" s="102"/>
      <c r="R211" s="102"/>
      <c r="S211" s="102"/>
      <c r="T211" s="102"/>
      <c r="U211" s="102"/>
      <c r="V211" s="102"/>
      <c r="W211" s="102"/>
      <c r="X211" s="102"/>
      <c r="Y211" s="102"/>
      <c r="Z211" s="102"/>
      <c r="AA211" s="102"/>
    </row>
    <row r="212" spans="1:27" x14ac:dyDescent="0.25">
      <c r="A212" s="101">
        <v>52</v>
      </c>
      <c r="E212" s="102" t="s">
        <v>717</v>
      </c>
      <c r="F212" s="47" t="s">
        <v>639</v>
      </c>
      <c r="G212" s="106"/>
      <c r="H212" s="102"/>
      <c r="I212" s="102"/>
      <c r="J212" s="102"/>
      <c r="K212" s="102"/>
      <c r="L212" s="102"/>
      <c r="M212" s="102"/>
      <c r="N212" s="102"/>
      <c r="O212" s="102"/>
      <c r="P212" s="102"/>
      <c r="Q212" s="102"/>
      <c r="R212" s="102"/>
      <c r="S212" s="102"/>
      <c r="T212" s="102"/>
      <c r="U212" s="102"/>
      <c r="V212" s="102"/>
      <c r="W212" s="102"/>
      <c r="X212" s="102"/>
      <c r="Y212" s="102"/>
      <c r="Z212" s="102"/>
      <c r="AA212" s="102"/>
    </row>
    <row r="213" spans="1:27" x14ac:dyDescent="0.25">
      <c r="A213" s="101">
        <v>53</v>
      </c>
      <c r="E213" s="102" t="s">
        <v>718</v>
      </c>
      <c r="F213" s="47" t="s">
        <v>639</v>
      </c>
      <c r="G213" s="106"/>
      <c r="H213" s="102"/>
      <c r="I213" s="102"/>
      <c r="J213" s="102"/>
      <c r="K213" s="102"/>
      <c r="L213" s="102"/>
      <c r="M213" s="102"/>
      <c r="N213" s="102"/>
      <c r="O213" s="102"/>
      <c r="P213" s="102"/>
      <c r="Q213" s="102"/>
      <c r="R213" s="102"/>
      <c r="S213" s="102"/>
      <c r="T213" s="102"/>
      <c r="U213" s="102"/>
      <c r="V213" s="102"/>
      <c r="W213" s="102"/>
      <c r="X213" s="102"/>
      <c r="Y213" s="102"/>
      <c r="Z213" s="102"/>
      <c r="AA213" s="102"/>
    </row>
    <row r="214" spans="1:27" x14ac:dyDescent="0.25">
      <c r="E214" s="47" t="s">
        <v>44</v>
      </c>
      <c r="G214" s="106"/>
      <c r="H214" s="106">
        <f>SUM(H210:H213)</f>
        <v>0</v>
      </c>
      <c r="I214" s="106">
        <f t="shared" ref="I214:AA214" si="105">SUM(I210:I213)</f>
        <v>0</v>
      </c>
      <c r="J214" s="106">
        <f t="shared" si="105"/>
        <v>0</v>
      </c>
      <c r="K214" s="106">
        <f t="shared" si="105"/>
        <v>0</v>
      </c>
      <c r="L214" s="106">
        <f t="shared" si="105"/>
        <v>0</v>
      </c>
      <c r="M214" s="106">
        <f t="shared" si="105"/>
        <v>0</v>
      </c>
      <c r="N214" s="106">
        <f t="shared" si="105"/>
        <v>0</v>
      </c>
      <c r="O214" s="106">
        <f t="shared" si="105"/>
        <v>0</v>
      </c>
      <c r="P214" s="106">
        <f t="shared" si="105"/>
        <v>0</v>
      </c>
      <c r="Q214" s="106">
        <f t="shared" si="105"/>
        <v>0</v>
      </c>
      <c r="R214" s="106">
        <f t="shared" si="105"/>
        <v>0</v>
      </c>
      <c r="S214" s="106">
        <f t="shared" si="105"/>
        <v>0</v>
      </c>
      <c r="T214" s="106">
        <f t="shared" si="105"/>
        <v>0</v>
      </c>
      <c r="U214" s="106">
        <f t="shared" si="105"/>
        <v>0</v>
      </c>
      <c r="V214" s="106">
        <f t="shared" si="105"/>
        <v>0</v>
      </c>
      <c r="W214" s="106">
        <f t="shared" si="105"/>
        <v>0</v>
      </c>
      <c r="X214" s="106">
        <f t="shared" si="105"/>
        <v>0</v>
      </c>
      <c r="Y214" s="106">
        <f t="shared" si="105"/>
        <v>0</v>
      </c>
      <c r="Z214" s="106">
        <f t="shared" si="105"/>
        <v>0</v>
      </c>
      <c r="AA214" s="106">
        <f t="shared" si="105"/>
        <v>0</v>
      </c>
    </row>
    <row r="215" spans="1:27" x14ac:dyDescent="0.25">
      <c r="G215" s="106"/>
      <c r="H215" s="106"/>
      <c r="I215" s="106"/>
      <c r="J215" s="106"/>
      <c r="K215" s="106"/>
      <c r="L215" s="106"/>
      <c r="M215" s="106"/>
      <c r="N215" s="106"/>
      <c r="O215" s="106"/>
      <c r="P215" s="106"/>
      <c r="Q215" s="106"/>
      <c r="R215" s="106"/>
      <c r="S215" s="106"/>
      <c r="T215" s="106"/>
      <c r="U215" s="106"/>
      <c r="V215" s="106"/>
      <c r="W215" s="106"/>
      <c r="X215" s="106"/>
      <c r="Y215" s="106"/>
      <c r="Z215" s="106"/>
      <c r="AA215" s="106"/>
    </row>
    <row r="216" spans="1:27" x14ac:dyDescent="0.25">
      <c r="C216" s="100" t="s">
        <v>719</v>
      </c>
      <c r="G216" s="106"/>
      <c r="H216" s="106"/>
      <c r="I216" s="106"/>
      <c r="J216" s="106"/>
      <c r="K216" s="106"/>
      <c r="L216" s="106"/>
      <c r="M216" s="106"/>
      <c r="N216" s="106"/>
      <c r="O216" s="106"/>
      <c r="P216" s="106"/>
      <c r="Q216" s="106"/>
      <c r="R216" s="106"/>
      <c r="S216" s="106"/>
      <c r="T216" s="106"/>
      <c r="U216" s="106"/>
      <c r="V216" s="106"/>
      <c r="W216" s="106"/>
      <c r="X216" s="106"/>
      <c r="Y216" s="106"/>
      <c r="Z216" s="106"/>
      <c r="AA216" s="106"/>
    </row>
    <row r="217" spans="1:27" x14ac:dyDescent="0.25">
      <c r="C217" s="100"/>
      <c r="D217" s="100"/>
      <c r="E217" s="47" t="s">
        <v>404</v>
      </c>
      <c r="F217" s="47" t="s">
        <v>655</v>
      </c>
      <c r="G217" s="106"/>
      <c r="H217" s="106">
        <f t="shared" ref="H217:AA217" si="106">H174</f>
        <v>4861.3696398493194</v>
      </c>
      <c r="I217" s="106">
        <f t="shared" si="106"/>
        <v>5266.0866048878725</v>
      </c>
      <c r="J217" s="106">
        <f t="shared" si="106"/>
        <v>4549.9551276203656</v>
      </c>
      <c r="K217" s="106">
        <f t="shared" si="106"/>
        <v>4676.1725655780147</v>
      </c>
      <c r="L217" s="106">
        <f t="shared" si="106"/>
        <v>4879.9050792588205</v>
      </c>
      <c r="M217" s="106">
        <f t="shared" si="106"/>
        <v>5228.7771473744997</v>
      </c>
      <c r="N217" s="106">
        <f t="shared" si="106"/>
        <v>5148.8917029555905</v>
      </c>
      <c r="O217" s="106">
        <f>O174</f>
        <v>5483.3397440306453</v>
      </c>
      <c r="P217" s="106">
        <f t="shared" si="106"/>
        <v>5580.7846652525122</v>
      </c>
      <c r="Q217" s="106">
        <f t="shared" si="106"/>
        <v>5613.9441615576334</v>
      </c>
      <c r="R217" s="106">
        <f t="shared" si="106"/>
        <v>5612.1193851282969</v>
      </c>
      <c r="S217" s="106">
        <f t="shared" si="106"/>
        <v>5569.8015612834715</v>
      </c>
      <c r="T217" s="106">
        <f t="shared" si="106"/>
        <v>5455.4195737247101</v>
      </c>
      <c r="U217" s="106">
        <f t="shared" si="106"/>
        <v>5433.3048953606158</v>
      </c>
      <c r="V217" s="106">
        <f t="shared" si="106"/>
        <v>5379.8173606191667</v>
      </c>
      <c r="W217" s="106">
        <f t="shared" si="106"/>
        <v>5317.146053592307</v>
      </c>
      <c r="X217" s="106">
        <f t="shared" si="106"/>
        <v>5224.9181507879985</v>
      </c>
      <c r="Y217" s="106">
        <f t="shared" si="106"/>
        <v>5001.9533918423222</v>
      </c>
      <c r="Z217" s="106">
        <f t="shared" si="106"/>
        <v>4736.9555371284296</v>
      </c>
      <c r="AA217" s="106">
        <f t="shared" si="106"/>
        <v>4482.5958416980338</v>
      </c>
    </row>
    <row r="218" spans="1:27" x14ac:dyDescent="0.25">
      <c r="E218" s="47" t="s">
        <v>720</v>
      </c>
      <c r="F218" s="47" t="s">
        <v>695</v>
      </c>
      <c r="G218" s="115">
        <f>MAX(0,-G245/(NPV($G$16,H217:AP217)))</f>
        <v>8597.467999870245</v>
      </c>
      <c r="H218" s="106">
        <f t="shared" ref="H218:AA218" si="107">G218*(1+$G$14)</f>
        <v>8597.467999870245</v>
      </c>
      <c r="I218" s="106">
        <f t="shared" si="107"/>
        <v>8597.467999870245</v>
      </c>
      <c r="J218" s="106">
        <f t="shared" si="107"/>
        <v>8597.467999870245</v>
      </c>
      <c r="K218" s="106">
        <f t="shared" si="107"/>
        <v>8597.467999870245</v>
      </c>
      <c r="L218" s="106">
        <f t="shared" si="107"/>
        <v>8597.467999870245</v>
      </c>
      <c r="M218" s="106">
        <f t="shared" si="107"/>
        <v>8597.467999870245</v>
      </c>
      <c r="N218" s="106">
        <f t="shared" si="107"/>
        <v>8597.467999870245</v>
      </c>
      <c r="O218" s="106">
        <f t="shared" si="107"/>
        <v>8597.467999870245</v>
      </c>
      <c r="P218" s="106">
        <f t="shared" si="107"/>
        <v>8597.467999870245</v>
      </c>
      <c r="Q218" s="106">
        <f t="shared" si="107"/>
        <v>8597.467999870245</v>
      </c>
      <c r="R218" s="106">
        <f t="shared" si="107"/>
        <v>8597.467999870245</v>
      </c>
      <c r="S218" s="106">
        <f t="shared" si="107"/>
        <v>8597.467999870245</v>
      </c>
      <c r="T218" s="106">
        <f t="shared" si="107"/>
        <v>8597.467999870245</v>
      </c>
      <c r="U218" s="106">
        <f t="shared" si="107"/>
        <v>8597.467999870245</v>
      </c>
      <c r="V218" s="106">
        <f t="shared" si="107"/>
        <v>8597.467999870245</v>
      </c>
      <c r="W218" s="106">
        <f t="shared" si="107"/>
        <v>8597.467999870245</v>
      </c>
      <c r="X218" s="106">
        <f t="shared" si="107"/>
        <v>8597.467999870245</v>
      </c>
      <c r="Y218" s="106">
        <f t="shared" si="107"/>
        <v>8597.467999870245</v>
      </c>
      <c r="Z218" s="106">
        <f t="shared" si="107"/>
        <v>8597.467999870245</v>
      </c>
      <c r="AA218" s="106">
        <f t="shared" si="107"/>
        <v>8597.467999870245</v>
      </c>
    </row>
    <row r="219" spans="1:27" x14ac:dyDescent="0.25">
      <c r="E219" s="47" t="s">
        <v>721</v>
      </c>
      <c r="F219" s="47" t="s">
        <v>639</v>
      </c>
      <c r="H219" s="106">
        <f>H218*H217</f>
        <v>41795469.914145261</v>
      </c>
      <c r="I219" s="106">
        <f t="shared" ref="I219:AA219" si="108">I218*I217</f>
        <v>45275011.070068829</v>
      </c>
      <c r="J219" s="106">
        <f t="shared" si="108"/>
        <v>39118093.610561632</v>
      </c>
      <c r="K219" s="106">
        <f t="shared" si="108"/>
        <v>40203243.994428128</v>
      </c>
      <c r="L219" s="106">
        <f t="shared" si="108"/>
        <v>41954827.761331983</v>
      </c>
      <c r="M219" s="106">
        <f t="shared" si="108"/>
        <v>44954244.203005083</v>
      </c>
      <c r="N219" s="106">
        <f t="shared" si="108"/>
        <v>44267431.650958098</v>
      </c>
      <c r="O219" s="106">
        <f t="shared" si="108"/>
        <v>47142837.981720172</v>
      </c>
      <c r="P219" s="106">
        <f t="shared" si="108"/>
        <v>47980617.573675051</v>
      </c>
      <c r="Q219" s="106">
        <f t="shared" si="108"/>
        <v>48265705.282050148</v>
      </c>
      <c r="R219" s="106">
        <f t="shared" si="108"/>
        <v>48250016.82509201</v>
      </c>
      <c r="S219" s="106">
        <f t="shared" si="108"/>
        <v>47886190.688761972</v>
      </c>
      <c r="T219" s="106">
        <f t="shared" si="108"/>
        <v>46902795.210963964</v>
      </c>
      <c r="U219" s="106">
        <f t="shared" si="108"/>
        <v>46712664.971401244</v>
      </c>
      <c r="V219" s="106">
        <f t="shared" si="108"/>
        <v>46252807.603069685</v>
      </c>
      <c r="W219" s="106">
        <f t="shared" si="108"/>
        <v>45713993.046396218</v>
      </c>
      <c r="X219" s="106">
        <f t="shared" si="108"/>
        <v>44921066.603341036</v>
      </c>
      <c r="Y219" s="106">
        <f t="shared" si="108"/>
        <v>43004134.223206796</v>
      </c>
      <c r="Z219" s="106">
        <f t="shared" si="108"/>
        <v>40725823.647269845</v>
      </c>
      <c r="AA219" s="106">
        <f t="shared" si="108"/>
        <v>38538974.305350274</v>
      </c>
    </row>
    <row r="221" spans="1:27" x14ac:dyDescent="0.25">
      <c r="D221" s="47" t="s">
        <v>722</v>
      </c>
    </row>
    <row r="222" spans="1:27" x14ac:dyDescent="0.25">
      <c r="E222" s="47" t="s">
        <v>573</v>
      </c>
      <c r="F222" s="47" t="s">
        <v>639</v>
      </c>
      <c r="G222" s="106">
        <f t="shared" ref="G222:AA222" si="109">G42</f>
        <v>0</v>
      </c>
      <c r="H222" s="106">
        <f t="shared" si="109"/>
        <v>38870166.630881675</v>
      </c>
      <c r="I222" s="106">
        <f t="shared" si="109"/>
        <v>40141474.782168381</v>
      </c>
      <c r="J222" s="106">
        <f t="shared" si="109"/>
        <v>39717987.338401109</v>
      </c>
      <c r="K222" s="106">
        <f t="shared" si="109"/>
        <v>40938974.50146085</v>
      </c>
      <c r="L222" s="106">
        <f t="shared" si="109"/>
        <v>39541908.886162557</v>
      </c>
      <c r="M222" s="106">
        <f t="shared" si="109"/>
        <v>42087218.097714916</v>
      </c>
      <c r="N222" s="106">
        <f t="shared" si="109"/>
        <v>41269013.60860689</v>
      </c>
      <c r="O222" s="106">
        <f t="shared" si="109"/>
        <v>43772530.498473428</v>
      </c>
      <c r="P222" s="106">
        <f t="shared" si="109"/>
        <v>44416241.299846351</v>
      </c>
      <c r="Q222" s="106">
        <f t="shared" si="109"/>
        <v>44588074.398570456</v>
      </c>
      <c r="R222" s="106">
        <f t="shared" si="109"/>
        <v>44603980.540237896</v>
      </c>
      <c r="S222" s="106">
        <f t="shared" si="109"/>
        <v>44365323.222940505</v>
      </c>
      <c r="T222" s="106">
        <f t="shared" si="109"/>
        <v>43493229.294844456</v>
      </c>
      <c r="U222" s="106">
        <f t="shared" si="109"/>
        <v>43396290.314801514</v>
      </c>
      <c r="V222" s="106">
        <f t="shared" si="109"/>
        <v>43052761.857167616</v>
      </c>
      <c r="W222" s="106">
        <f t="shared" si="109"/>
        <v>42936721.650992423</v>
      </c>
      <c r="X222" s="106">
        <f t="shared" si="109"/>
        <v>42496323.626946062</v>
      </c>
      <c r="Y222" s="106">
        <f t="shared" si="109"/>
        <v>41035898.346282206</v>
      </c>
      <c r="Z222" s="106">
        <f t="shared" si="109"/>
        <v>39068567.330252215</v>
      </c>
      <c r="AA222" s="106">
        <f t="shared" si="109"/>
        <v>36858428.054161616</v>
      </c>
    </row>
    <row r="223" spans="1:27" x14ac:dyDescent="0.25">
      <c r="E223" s="47" t="s">
        <v>723</v>
      </c>
      <c r="F223" s="47" t="s">
        <v>639</v>
      </c>
      <c r="G223" s="106">
        <f t="shared" ref="G223:AA223" si="110">G177</f>
        <v>0</v>
      </c>
      <c r="H223" s="106">
        <f t="shared" si="110"/>
        <v>2483836.7236137507</v>
      </c>
      <c r="I223" s="106">
        <f t="shared" si="110"/>
        <v>4971805.1390179936</v>
      </c>
      <c r="J223" s="106">
        <f t="shared" si="110"/>
        <v>6906377.3503501555</v>
      </c>
      <c r="K223" s="106">
        <f t="shared" si="110"/>
        <v>8712507.7001541667</v>
      </c>
      <c r="L223" s="106">
        <f t="shared" si="110"/>
        <v>10432030.348064309</v>
      </c>
      <c r="M223" s="106">
        <f t="shared" si="110"/>
        <v>12114635.49266321</v>
      </c>
      <c r="N223" s="106">
        <f t="shared" si="110"/>
        <v>13579480.822984746</v>
      </c>
      <c r="O223" s="106">
        <f t="shared" si="110"/>
        <v>14986341.503066478</v>
      </c>
      <c r="P223" s="106">
        <f t="shared" si="110"/>
        <v>16306756.954300888</v>
      </c>
      <c r="Q223" s="106">
        <f t="shared" si="110"/>
        <v>14975807.312850682</v>
      </c>
      <c r="R223" s="106">
        <f t="shared" si="110"/>
        <v>16595112.827922486</v>
      </c>
      <c r="S223" s="106">
        <f t="shared" si="110"/>
        <v>18204444.737122726</v>
      </c>
      <c r="T223" s="106">
        <f t="shared" si="110"/>
        <v>19781620.22520015</v>
      </c>
      <c r="U223" s="106">
        <f t="shared" si="110"/>
        <v>21354219.776650757</v>
      </c>
      <c r="V223" s="106">
        <f t="shared" si="110"/>
        <v>20249081.128577817</v>
      </c>
      <c r="W223" s="106">
        <f t="shared" si="110"/>
        <v>21618605.893025663</v>
      </c>
      <c r="X223" s="106">
        <f t="shared" si="110"/>
        <v>22970568.233779207</v>
      </c>
      <c r="Y223" s="106">
        <f t="shared" si="110"/>
        <v>24272020.760477524</v>
      </c>
      <c r="Z223" s="106">
        <f t="shared" si="110"/>
        <v>25508729.466101959</v>
      </c>
      <c r="AA223" s="106">
        <f t="shared" si="110"/>
        <v>26676746.315878056</v>
      </c>
    </row>
    <row r="224" spans="1:27" x14ac:dyDescent="0.25">
      <c r="E224" s="47" t="s">
        <v>701</v>
      </c>
      <c r="F224" s="47" t="s">
        <v>639</v>
      </c>
      <c r="G224" s="106">
        <f t="shared" ref="G224:AA224" si="111">-G187</f>
        <v>0</v>
      </c>
      <c r="H224" s="106">
        <f t="shared" si="111"/>
        <v>-23785.16154029161</v>
      </c>
      <c r="I224" s="106">
        <f t="shared" si="111"/>
        <v>-51491.796543353332</v>
      </c>
      <c r="J224" s="106">
        <f t="shared" si="111"/>
        <v>-72832.837348589848</v>
      </c>
      <c r="K224" s="106">
        <f t="shared" si="111"/>
        <v>-93268.067662621441</v>
      </c>
      <c r="L224" s="106">
        <f t="shared" si="111"/>
        <v>-113603.65257970217</v>
      </c>
      <c r="M224" s="106">
        <f t="shared" si="111"/>
        <v>-134809.62782109223</v>
      </c>
      <c r="N224" s="106">
        <f t="shared" si="111"/>
        <v>-154762.63093101198</v>
      </c>
      <c r="O224" s="106">
        <f t="shared" si="111"/>
        <v>-176621.84011346626</v>
      </c>
      <c r="P224" s="106">
        <f t="shared" si="111"/>
        <v>-196275.26393827741</v>
      </c>
      <c r="Q224" s="106">
        <f t="shared" si="111"/>
        <v>-214292.85186166794</v>
      </c>
      <c r="R224" s="106">
        <f t="shared" si="111"/>
        <v>-240330.6346972824</v>
      </c>
      <c r="S224" s="106">
        <f t="shared" si="111"/>
        <v>-266775.00524626451</v>
      </c>
      <c r="T224" s="106">
        <f t="shared" si="111"/>
        <v>-291478.92292273976</v>
      </c>
      <c r="U224" s="106">
        <f t="shared" si="111"/>
        <v>-314381.84382898302</v>
      </c>
      <c r="V224" s="106">
        <f t="shared" si="111"/>
        <v>-336740.47884909593</v>
      </c>
      <c r="W224" s="106">
        <f t="shared" si="111"/>
        <v>-359553.82703072409</v>
      </c>
      <c r="X224" s="106">
        <f t="shared" si="111"/>
        <v>-385853.90628970566</v>
      </c>
      <c r="Y224" s="106">
        <f t="shared" si="111"/>
        <v>-394047.85475089232</v>
      </c>
      <c r="Z224" s="106">
        <f t="shared" si="111"/>
        <v>-398779.97660908953</v>
      </c>
      <c r="AA224" s="106">
        <f t="shared" si="111"/>
        <v>-403715.21388490364</v>
      </c>
    </row>
    <row r="225" spans="4:28" x14ac:dyDescent="0.25">
      <c r="E225" s="47" t="s">
        <v>702</v>
      </c>
      <c r="F225" s="47" t="s">
        <v>639</v>
      </c>
      <c r="G225" s="106">
        <f t="shared" ref="G225:AA225" si="112">-G200</f>
        <v>0</v>
      </c>
      <c r="H225" s="106">
        <f t="shared" si="112"/>
        <v>-703250.07455304242</v>
      </c>
      <c r="I225" s="106">
        <f t="shared" si="112"/>
        <v>-1422152.1095639924</v>
      </c>
      <c r="J225" s="106">
        <f t="shared" si="112"/>
        <v>-2009478.5797107783</v>
      </c>
      <c r="K225" s="106">
        <f t="shared" si="112"/>
        <v>-2603425.8910048772</v>
      </c>
      <c r="L225" s="106">
        <f t="shared" si="112"/>
        <v>-3212763.1216384289</v>
      </c>
      <c r="M225" s="106">
        <f t="shared" si="112"/>
        <v>-3849665.7838454582</v>
      </c>
      <c r="N225" s="106">
        <f t="shared" si="112"/>
        <v>-4457448.9972438179</v>
      </c>
      <c r="O225" s="106">
        <f t="shared" si="112"/>
        <v>-5089437.7886395222</v>
      </c>
      <c r="P225" s="106">
        <f t="shared" si="112"/>
        <v>-5714640.1604214255</v>
      </c>
      <c r="Q225" s="106">
        <f t="shared" si="112"/>
        <v>-6417025.9841055544</v>
      </c>
      <c r="R225" s="106">
        <f t="shared" si="112"/>
        <v>-7119183.5017968779</v>
      </c>
      <c r="S225" s="106">
        <f t="shared" si="112"/>
        <v>-7816046.4460648848</v>
      </c>
      <c r="T225" s="106">
        <f t="shared" si="112"/>
        <v>-8498598.5450102352</v>
      </c>
      <c r="U225" s="106">
        <f t="shared" si="112"/>
        <v>-9178383.7770022843</v>
      </c>
      <c r="V225" s="106">
        <f t="shared" si="112"/>
        <v>-9851476.942763349</v>
      </c>
      <c r="W225" s="106">
        <f t="shared" si="112"/>
        <v>-10516729.019204564</v>
      </c>
      <c r="X225" s="106">
        <f t="shared" si="112"/>
        <v>-11170442.047587294</v>
      </c>
      <c r="Y225" s="106">
        <f t="shared" si="112"/>
        <v>-11796258.951363552</v>
      </c>
      <c r="Z225" s="106">
        <f t="shared" si="112"/>
        <v>-12388920.780721309</v>
      </c>
      <c r="AA225" s="106">
        <f t="shared" si="112"/>
        <v>-12949758.523653284</v>
      </c>
    </row>
    <row r="226" spans="4:28" x14ac:dyDescent="0.25">
      <c r="E226" s="47" t="s">
        <v>724</v>
      </c>
      <c r="F226" s="47" t="s">
        <v>639</v>
      </c>
      <c r="G226" s="106">
        <f t="shared" ref="G226:AA226" si="113">-G34-G50-G85</f>
        <v>0</v>
      </c>
      <c r="H226" s="106">
        <f t="shared" si="113"/>
        <v>-1145945.5909879019</v>
      </c>
      <c r="I226" s="106">
        <f t="shared" si="113"/>
        <v>-2246809.9047692716</v>
      </c>
      <c r="J226" s="106">
        <f t="shared" si="113"/>
        <v>-3314069.4550491809</v>
      </c>
      <c r="K226" s="106">
        <f t="shared" si="113"/>
        <v>-4469996.739047653</v>
      </c>
      <c r="L226" s="106">
        <f t="shared" si="113"/>
        <v>-5485409.221957298</v>
      </c>
      <c r="M226" s="106">
        <f t="shared" si="113"/>
        <v>-6544385.418406832</v>
      </c>
      <c r="N226" s="106">
        <f t="shared" si="113"/>
        <v>-7345588.1841876851</v>
      </c>
      <c r="O226" s="106">
        <f t="shared" si="113"/>
        <v>-8283299.1360195177</v>
      </c>
      <c r="P226" s="106">
        <f t="shared" si="113"/>
        <v>-9033449.8869762905</v>
      </c>
      <c r="Q226" s="106">
        <f t="shared" si="113"/>
        <v>-9972481.537899904</v>
      </c>
      <c r="R226" s="106">
        <f t="shared" si="113"/>
        <v>-10911689.923730932</v>
      </c>
      <c r="S226" s="106">
        <f t="shared" si="113"/>
        <v>-11848246.561591988</v>
      </c>
      <c r="T226" s="106">
        <f t="shared" si="113"/>
        <v>-12775113.266918646</v>
      </c>
      <c r="U226" s="106">
        <f t="shared" si="113"/>
        <v>-13700902.872467047</v>
      </c>
      <c r="V226" s="106">
        <f t="shared" si="113"/>
        <v>-14622875.49515285</v>
      </c>
      <c r="W226" s="106">
        <f t="shared" si="113"/>
        <v>-15543558.782214483</v>
      </c>
      <c r="X226" s="106">
        <f t="shared" si="113"/>
        <v>-16459348.757897824</v>
      </c>
      <c r="Y226" s="106">
        <f t="shared" si="113"/>
        <v>-17358911.78601823</v>
      </c>
      <c r="Z226" s="106">
        <f t="shared" si="113"/>
        <v>-18236615.580627196</v>
      </c>
      <c r="AA226" s="106">
        <f t="shared" si="113"/>
        <v>-19089762.272168487</v>
      </c>
    </row>
    <row r="227" spans="4:28" x14ac:dyDescent="0.25">
      <c r="E227" s="47" t="s">
        <v>709</v>
      </c>
      <c r="F227" s="47" t="s">
        <v>639</v>
      </c>
      <c r="G227" s="106">
        <f t="shared" ref="G227:AA227" si="114">G207</f>
        <v>0</v>
      </c>
      <c r="H227" s="106">
        <f t="shared" si="114"/>
        <v>0</v>
      </c>
      <c r="I227" s="106">
        <f t="shared" si="114"/>
        <v>0</v>
      </c>
      <c r="J227" s="106">
        <f t="shared" si="114"/>
        <v>0</v>
      </c>
      <c r="K227" s="106">
        <f t="shared" si="114"/>
        <v>0</v>
      </c>
      <c r="L227" s="106">
        <f t="shared" si="114"/>
        <v>0</v>
      </c>
      <c r="M227" s="106">
        <f t="shared" si="114"/>
        <v>0</v>
      </c>
      <c r="N227" s="106">
        <f t="shared" si="114"/>
        <v>0</v>
      </c>
      <c r="O227" s="106">
        <f t="shared" si="114"/>
        <v>0</v>
      </c>
      <c r="P227" s="106">
        <f t="shared" si="114"/>
        <v>0</v>
      </c>
      <c r="Q227" s="106">
        <f t="shared" si="114"/>
        <v>0</v>
      </c>
      <c r="R227" s="106">
        <f t="shared" si="114"/>
        <v>0</v>
      </c>
      <c r="S227" s="106">
        <f t="shared" si="114"/>
        <v>0</v>
      </c>
      <c r="T227" s="106">
        <f t="shared" si="114"/>
        <v>0</v>
      </c>
      <c r="U227" s="106">
        <f t="shared" si="114"/>
        <v>0</v>
      </c>
      <c r="V227" s="106">
        <f t="shared" si="114"/>
        <v>0</v>
      </c>
      <c r="W227" s="106">
        <f t="shared" si="114"/>
        <v>0</v>
      </c>
      <c r="X227" s="106">
        <f t="shared" si="114"/>
        <v>0</v>
      </c>
      <c r="Y227" s="106">
        <f t="shared" si="114"/>
        <v>0</v>
      </c>
      <c r="Z227" s="106">
        <f t="shared" si="114"/>
        <v>0</v>
      </c>
      <c r="AA227" s="106">
        <f t="shared" si="114"/>
        <v>0</v>
      </c>
    </row>
    <row r="228" spans="4:28" x14ac:dyDescent="0.25">
      <c r="E228" s="47" t="s">
        <v>725</v>
      </c>
      <c r="F228" s="47" t="s">
        <v>639</v>
      </c>
      <c r="H228" s="106">
        <f t="shared" ref="H228:AA228" si="115">H219</f>
        <v>41795469.914145261</v>
      </c>
      <c r="I228" s="106">
        <f t="shared" si="115"/>
        <v>45275011.070068829</v>
      </c>
      <c r="J228" s="106">
        <f t="shared" si="115"/>
        <v>39118093.610561632</v>
      </c>
      <c r="K228" s="106">
        <f t="shared" si="115"/>
        <v>40203243.994428128</v>
      </c>
      <c r="L228" s="106">
        <f t="shared" si="115"/>
        <v>41954827.761331983</v>
      </c>
      <c r="M228" s="106">
        <f t="shared" si="115"/>
        <v>44954244.203005083</v>
      </c>
      <c r="N228" s="106">
        <f t="shared" si="115"/>
        <v>44267431.650958098</v>
      </c>
      <c r="O228" s="106">
        <f t="shared" si="115"/>
        <v>47142837.981720172</v>
      </c>
      <c r="P228" s="106">
        <f t="shared" si="115"/>
        <v>47980617.573675051</v>
      </c>
      <c r="Q228" s="106">
        <f t="shared" si="115"/>
        <v>48265705.282050148</v>
      </c>
      <c r="R228" s="106">
        <f t="shared" si="115"/>
        <v>48250016.82509201</v>
      </c>
      <c r="S228" s="106">
        <f t="shared" si="115"/>
        <v>47886190.688761972</v>
      </c>
      <c r="T228" s="106">
        <f t="shared" si="115"/>
        <v>46902795.210963964</v>
      </c>
      <c r="U228" s="106">
        <f t="shared" si="115"/>
        <v>46712664.971401244</v>
      </c>
      <c r="V228" s="106">
        <f t="shared" si="115"/>
        <v>46252807.603069685</v>
      </c>
      <c r="W228" s="106">
        <f t="shared" si="115"/>
        <v>45713993.046396218</v>
      </c>
      <c r="X228" s="106">
        <f t="shared" si="115"/>
        <v>44921066.603341036</v>
      </c>
      <c r="Y228" s="106">
        <f t="shared" si="115"/>
        <v>43004134.223206796</v>
      </c>
      <c r="Z228" s="106">
        <f t="shared" si="115"/>
        <v>40725823.647269845</v>
      </c>
      <c r="AA228" s="106">
        <f t="shared" si="115"/>
        <v>38538974.305350274</v>
      </c>
    </row>
    <row r="230" spans="4:28" x14ac:dyDescent="0.25">
      <c r="E230" s="47" t="s">
        <v>726</v>
      </c>
      <c r="F230" s="47" t="s">
        <v>639</v>
      </c>
      <c r="G230" s="106">
        <f t="shared" ref="G230:AA230" si="116">SUM(G222:G228)</f>
        <v>0</v>
      </c>
      <c r="H230" s="106">
        <f t="shared" si="116"/>
        <v>81276492.441559464</v>
      </c>
      <c r="I230" s="106">
        <f t="shared" si="116"/>
        <v>86667837.180378586</v>
      </c>
      <c r="J230" s="106">
        <f t="shared" si="116"/>
        <v>80346077.427204341</v>
      </c>
      <c r="K230" s="106">
        <f t="shared" si="116"/>
        <v>82688035.498328</v>
      </c>
      <c r="L230" s="106">
        <f t="shared" si="116"/>
        <v>83116990.99938342</v>
      </c>
      <c r="M230" s="106">
        <f t="shared" si="116"/>
        <v>88627236.963309824</v>
      </c>
      <c r="N230" s="106">
        <f t="shared" si="116"/>
        <v>87158126.270187214</v>
      </c>
      <c r="O230" s="106">
        <f t="shared" si="116"/>
        <v>92352351.218487561</v>
      </c>
      <c r="P230" s="106">
        <f t="shared" si="116"/>
        <v>93759250.516486302</v>
      </c>
      <c r="Q230" s="106">
        <f t="shared" si="116"/>
        <v>91225786.619604155</v>
      </c>
      <c r="R230" s="106">
        <f t="shared" si="116"/>
        <v>91177906.1330273</v>
      </c>
      <c r="S230" s="106">
        <f t="shared" si="116"/>
        <v>90524890.635922074</v>
      </c>
      <c r="T230" s="106">
        <f t="shared" si="116"/>
        <v>88612453.996156961</v>
      </c>
      <c r="U230" s="106">
        <f t="shared" si="116"/>
        <v>88269506.569555193</v>
      </c>
      <c r="V230" s="106">
        <f t="shared" si="116"/>
        <v>84743557.67204982</v>
      </c>
      <c r="W230" s="106">
        <f t="shared" si="116"/>
        <v>83849478.961964533</v>
      </c>
      <c r="X230" s="106">
        <f t="shared" si="116"/>
        <v>82372313.752291471</v>
      </c>
      <c r="Y230" s="106">
        <f t="shared" si="116"/>
        <v>78762834.737833843</v>
      </c>
      <c r="Z230" s="106">
        <f t="shared" si="116"/>
        <v>74278804.105666429</v>
      </c>
      <c r="AA230" s="106">
        <f t="shared" si="116"/>
        <v>69630912.66568327</v>
      </c>
    </row>
    <row r="231" spans="4:28" x14ac:dyDescent="0.25">
      <c r="E231" s="47" t="s">
        <v>727</v>
      </c>
      <c r="F231" s="47" t="s">
        <v>639</v>
      </c>
      <c r="G231" s="106">
        <f>-G230*G$18</f>
        <v>0</v>
      </c>
      <c r="H231" s="106">
        <f t="shared" ref="H231:AA231" si="117">-H230*H$18</f>
        <v>-24382947.732467838</v>
      </c>
      <c r="I231" s="106">
        <f t="shared" si="117"/>
        <v>-26000351.154113576</v>
      </c>
      <c r="J231" s="106">
        <f t="shared" si="117"/>
        <v>-24103823.228161301</v>
      </c>
      <c r="K231" s="106">
        <f t="shared" si="117"/>
        <v>-24806410.649498399</v>
      </c>
      <c r="L231" s="106">
        <f t="shared" si="117"/>
        <v>-24935097.299815025</v>
      </c>
      <c r="M231" s="106">
        <f t="shared" si="117"/>
        <v>-26588171.088992946</v>
      </c>
      <c r="N231" s="106">
        <f t="shared" si="117"/>
        <v>-26147437.881056163</v>
      </c>
      <c r="O231" s="106">
        <f t="shared" si="117"/>
        <v>-27705705.365546267</v>
      </c>
      <c r="P231" s="106">
        <f t="shared" si="117"/>
        <v>-28127775.154945891</v>
      </c>
      <c r="Q231" s="106">
        <f t="shared" si="117"/>
        <v>-27367735.985881247</v>
      </c>
      <c r="R231" s="106">
        <f t="shared" si="117"/>
        <v>-27353371.83990819</v>
      </c>
      <c r="S231" s="106">
        <f t="shared" si="117"/>
        <v>-27157467.19077662</v>
      </c>
      <c r="T231" s="106">
        <f t="shared" si="117"/>
        <v>-26583736.198847089</v>
      </c>
      <c r="U231" s="106">
        <f t="shared" si="117"/>
        <v>-26480851.970866557</v>
      </c>
      <c r="V231" s="106">
        <f t="shared" si="117"/>
        <v>-25423067.301614944</v>
      </c>
      <c r="W231" s="106">
        <f t="shared" si="117"/>
        <v>-25154843.688589361</v>
      </c>
      <c r="X231" s="106">
        <f t="shared" si="117"/>
        <v>-24711694.125687439</v>
      </c>
      <c r="Y231" s="106">
        <f t="shared" si="117"/>
        <v>-23628850.421350151</v>
      </c>
      <c r="Z231" s="106">
        <f t="shared" si="117"/>
        <v>-22283641.231699929</v>
      </c>
      <c r="AA231" s="106">
        <f t="shared" si="117"/>
        <v>-20889273.79970498</v>
      </c>
    </row>
    <row r="233" spans="4:28" x14ac:dyDescent="0.25">
      <c r="D233" s="47" t="s">
        <v>728</v>
      </c>
    </row>
    <row r="234" spans="4:28" x14ac:dyDescent="0.25">
      <c r="E234" s="47" t="s">
        <v>638</v>
      </c>
      <c r="F234" s="47" t="s">
        <v>639</v>
      </c>
      <c r="G234" s="106">
        <f t="shared" ref="G234:AA234" si="118">-G26</f>
        <v>0</v>
      </c>
      <c r="H234" s="106">
        <f t="shared" si="118"/>
        <v>-51734141.284798563</v>
      </c>
      <c r="I234" s="106">
        <f t="shared" si="118"/>
        <v>-42967666.548791826</v>
      </c>
      <c r="J234" s="106">
        <f t="shared" si="118"/>
        <v>-43973792.180056989</v>
      </c>
      <c r="K234" s="106">
        <f t="shared" si="118"/>
        <v>-51826551.96545621</v>
      </c>
      <c r="L234" s="106">
        <f t="shared" si="118"/>
        <v>-50176542.038776077</v>
      </c>
      <c r="M234" s="106">
        <f t="shared" si="118"/>
        <v>-50884498.031042039</v>
      </c>
      <c r="N234" s="106">
        <f t="shared" si="118"/>
        <v>-28836828.267354675</v>
      </c>
      <c r="O234" s="106">
        <f t="shared" si="118"/>
        <v>-38619048.122076184</v>
      </c>
      <c r="P234" s="106">
        <f t="shared" si="118"/>
        <v>-21094919.241948035</v>
      </c>
      <c r="Q234" s="106">
        <f t="shared" si="118"/>
        <v>-37922367.140239403</v>
      </c>
      <c r="R234" s="106">
        <f>-R26</f>
        <v>-37922367.140239403</v>
      </c>
      <c r="S234" s="106">
        <f t="shared" si="118"/>
        <v>-37922367.140239403</v>
      </c>
      <c r="T234" s="106">
        <f t="shared" si="118"/>
        <v>-37922367.140239403</v>
      </c>
      <c r="U234" s="106">
        <f t="shared" si="118"/>
        <v>-37922367.140239403</v>
      </c>
      <c r="V234" s="106">
        <f t="shared" si="118"/>
        <v>-37922367.140239403</v>
      </c>
      <c r="W234" s="106">
        <f t="shared" si="118"/>
        <v>-37922367.140239403</v>
      </c>
      <c r="X234" s="106">
        <f t="shared" si="118"/>
        <v>-37922367.140239403</v>
      </c>
      <c r="Y234" s="106">
        <f t="shared" si="118"/>
        <v>-37922367.140239403</v>
      </c>
      <c r="Z234" s="106">
        <f t="shared" si="118"/>
        <v>-37922367.140239403</v>
      </c>
      <c r="AA234" s="106">
        <f t="shared" si="118"/>
        <v>-37922367.140239403</v>
      </c>
    </row>
    <row r="235" spans="4:28" x14ac:dyDescent="0.25">
      <c r="E235" s="47" t="s">
        <v>729</v>
      </c>
      <c r="F235" s="47" t="s">
        <v>639</v>
      </c>
      <c r="G235" s="106">
        <f t="shared" ref="G235:AA235" si="119">G84</f>
        <v>0</v>
      </c>
      <c r="H235" s="106">
        <f t="shared" si="119"/>
        <v>0</v>
      </c>
      <c r="I235" s="106">
        <f t="shared" si="119"/>
        <v>0</v>
      </c>
      <c r="J235" s="106">
        <f t="shared" si="119"/>
        <v>0</v>
      </c>
      <c r="K235" s="106">
        <f t="shared" si="119"/>
        <v>0</v>
      </c>
      <c r="L235" s="106">
        <f t="shared" si="119"/>
        <v>0</v>
      </c>
      <c r="M235" s="106">
        <f t="shared" si="119"/>
        <v>0</v>
      </c>
      <c r="N235" s="106">
        <f t="shared" si="119"/>
        <v>0</v>
      </c>
      <c r="O235" s="106">
        <f t="shared" si="119"/>
        <v>0</v>
      </c>
      <c r="P235" s="106">
        <f t="shared" si="119"/>
        <v>0</v>
      </c>
      <c r="Q235" s="106">
        <f t="shared" si="119"/>
        <v>0</v>
      </c>
      <c r="R235" s="106">
        <f t="shared" si="119"/>
        <v>0</v>
      </c>
      <c r="S235" s="106">
        <f t="shared" si="119"/>
        <v>0</v>
      </c>
      <c r="T235" s="106">
        <f t="shared" si="119"/>
        <v>0</v>
      </c>
      <c r="U235" s="106">
        <f t="shared" si="119"/>
        <v>0</v>
      </c>
      <c r="V235" s="106">
        <f t="shared" si="119"/>
        <v>0</v>
      </c>
      <c r="W235" s="106">
        <f t="shared" si="119"/>
        <v>0</v>
      </c>
      <c r="X235" s="106">
        <f t="shared" si="119"/>
        <v>0</v>
      </c>
      <c r="Y235" s="106">
        <f t="shared" si="119"/>
        <v>0</v>
      </c>
      <c r="Z235" s="106">
        <f t="shared" si="119"/>
        <v>0</v>
      </c>
      <c r="AA235" s="106">
        <f t="shared" si="119"/>
        <v>0</v>
      </c>
    </row>
    <row r="236" spans="4:28" x14ac:dyDescent="0.25">
      <c r="E236" s="47" t="s">
        <v>645</v>
      </c>
      <c r="F236" s="47" t="s">
        <v>639</v>
      </c>
      <c r="G236" s="106">
        <f t="shared" ref="G236:AA236" si="120">G53</f>
        <v>0</v>
      </c>
      <c r="H236" s="106">
        <f t="shared" si="120"/>
        <v>0</v>
      </c>
      <c r="I236" s="106">
        <f t="shared" si="120"/>
        <v>0</v>
      </c>
      <c r="J236" s="106">
        <f t="shared" si="120"/>
        <v>0</v>
      </c>
      <c r="K236" s="106">
        <f t="shared" si="120"/>
        <v>0</v>
      </c>
      <c r="L236" s="106">
        <f t="shared" si="120"/>
        <v>0</v>
      </c>
      <c r="M236" s="106">
        <f t="shared" si="120"/>
        <v>0</v>
      </c>
      <c r="N236" s="106">
        <f t="shared" si="120"/>
        <v>0</v>
      </c>
      <c r="O236" s="106">
        <f t="shared" si="120"/>
        <v>0</v>
      </c>
      <c r="P236" s="106">
        <f t="shared" si="120"/>
        <v>0</v>
      </c>
      <c r="Q236" s="106">
        <f t="shared" si="120"/>
        <v>0</v>
      </c>
      <c r="R236" s="106">
        <f t="shared" si="120"/>
        <v>0</v>
      </c>
      <c r="S236" s="106">
        <f t="shared" si="120"/>
        <v>0</v>
      </c>
      <c r="T236" s="106">
        <f t="shared" si="120"/>
        <v>0</v>
      </c>
      <c r="U236" s="106">
        <f t="shared" si="120"/>
        <v>0</v>
      </c>
      <c r="V236" s="106">
        <f t="shared" si="120"/>
        <v>0</v>
      </c>
      <c r="W236" s="106">
        <f t="shared" si="120"/>
        <v>0</v>
      </c>
      <c r="X236" s="106">
        <f t="shared" si="120"/>
        <v>0</v>
      </c>
      <c r="Y236" s="106">
        <f t="shared" si="120"/>
        <v>0</v>
      </c>
      <c r="Z236" s="106">
        <f t="shared" si="120"/>
        <v>0</v>
      </c>
      <c r="AA236" s="106">
        <f t="shared" si="120"/>
        <v>0</v>
      </c>
    </row>
    <row r="237" spans="4:28" x14ac:dyDescent="0.25">
      <c r="E237" s="47" t="s">
        <v>723</v>
      </c>
      <c r="F237" s="47" t="s">
        <v>639</v>
      </c>
      <c r="G237" s="106">
        <f t="shared" ref="G237:AA237" si="121">G177</f>
        <v>0</v>
      </c>
      <c r="H237" s="106">
        <f t="shared" si="121"/>
        <v>2483836.7236137507</v>
      </c>
      <c r="I237" s="106">
        <f t="shared" si="121"/>
        <v>4971805.1390179936</v>
      </c>
      <c r="J237" s="106">
        <f t="shared" si="121"/>
        <v>6906377.3503501555</v>
      </c>
      <c r="K237" s="106">
        <f t="shared" si="121"/>
        <v>8712507.7001541667</v>
      </c>
      <c r="L237" s="106">
        <f t="shared" si="121"/>
        <v>10432030.348064309</v>
      </c>
      <c r="M237" s="106">
        <f t="shared" si="121"/>
        <v>12114635.49266321</v>
      </c>
      <c r="N237" s="106">
        <f t="shared" si="121"/>
        <v>13579480.822984746</v>
      </c>
      <c r="O237" s="106">
        <f t="shared" si="121"/>
        <v>14986341.503066478</v>
      </c>
      <c r="P237" s="106">
        <f t="shared" si="121"/>
        <v>16306756.954300888</v>
      </c>
      <c r="Q237" s="106">
        <f t="shared" si="121"/>
        <v>14975807.312850682</v>
      </c>
      <c r="R237" s="106">
        <f t="shared" si="121"/>
        <v>16595112.827922486</v>
      </c>
      <c r="S237" s="106">
        <f t="shared" si="121"/>
        <v>18204444.737122726</v>
      </c>
      <c r="T237" s="106">
        <f t="shared" si="121"/>
        <v>19781620.22520015</v>
      </c>
      <c r="U237" s="106">
        <f t="shared" si="121"/>
        <v>21354219.776650757</v>
      </c>
      <c r="V237" s="106">
        <f t="shared" si="121"/>
        <v>20249081.128577817</v>
      </c>
      <c r="W237" s="106">
        <f t="shared" si="121"/>
        <v>21618605.893025663</v>
      </c>
      <c r="X237" s="106">
        <f t="shared" si="121"/>
        <v>22970568.233779207</v>
      </c>
      <c r="Y237" s="106">
        <f t="shared" si="121"/>
        <v>24272020.760477524</v>
      </c>
      <c r="Z237" s="106">
        <f t="shared" si="121"/>
        <v>25508729.466101959</v>
      </c>
      <c r="AA237" s="106">
        <f t="shared" si="121"/>
        <v>26676746.315878056</v>
      </c>
      <c r="AB237" s="106">
        <f t="shared" ref="AB237:AB241" si="122">IF(V237=0,0,IF($G$15&gt;(AA237/V237)^(1/5)-1+2%,AA237*(AA237/V237)^(1/5)/($G$15-((AA237/V237)^(1/5)-1)),AA237*(1+$G$14)/$G$16))</f>
        <v>1106918934.2687986</v>
      </c>
    </row>
    <row r="238" spans="4:28" x14ac:dyDescent="0.25">
      <c r="E238" s="47" t="s">
        <v>701</v>
      </c>
      <c r="F238" s="47" t="s">
        <v>639</v>
      </c>
      <c r="G238" s="106">
        <f t="shared" ref="G238:AA238" si="123">G224</f>
        <v>0</v>
      </c>
      <c r="H238" s="106">
        <f t="shared" si="123"/>
        <v>-23785.16154029161</v>
      </c>
      <c r="I238" s="106">
        <f t="shared" si="123"/>
        <v>-51491.796543353332</v>
      </c>
      <c r="J238" s="106">
        <f t="shared" si="123"/>
        <v>-72832.837348589848</v>
      </c>
      <c r="K238" s="106">
        <f t="shared" si="123"/>
        <v>-93268.067662621441</v>
      </c>
      <c r="L238" s="106">
        <f t="shared" si="123"/>
        <v>-113603.65257970217</v>
      </c>
      <c r="M238" s="106">
        <f t="shared" si="123"/>
        <v>-134809.62782109223</v>
      </c>
      <c r="N238" s="106">
        <f t="shared" si="123"/>
        <v>-154762.63093101198</v>
      </c>
      <c r="O238" s="106">
        <f t="shared" si="123"/>
        <v>-176621.84011346626</v>
      </c>
      <c r="P238" s="106">
        <f t="shared" si="123"/>
        <v>-196275.26393827741</v>
      </c>
      <c r="Q238" s="106">
        <f t="shared" si="123"/>
        <v>-214292.85186166794</v>
      </c>
      <c r="R238" s="106">
        <f t="shared" si="123"/>
        <v>-240330.6346972824</v>
      </c>
      <c r="S238" s="106">
        <f t="shared" si="123"/>
        <v>-266775.00524626451</v>
      </c>
      <c r="T238" s="106">
        <f t="shared" si="123"/>
        <v>-291478.92292273976</v>
      </c>
      <c r="U238" s="106">
        <f t="shared" si="123"/>
        <v>-314381.84382898302</v>
      </c>
      <c r="V238" s="106">
        <f t="shared" si="123"/>
        <v>-336740.47884909593</v>
      </c>
      <c r="W238" s="106">
        <f t="shared" si="123"/>
        <v>-359553.82703072409</v>
      </c>
      <c r="X238" s="106">
        <f t="shared" si="123"/>
        <v>-385853.90628970566</v>
      </c>
      <c r="Y238" s="106">
        <f t="shared" si="123"/>
        <v>-394047.85475089232</v>
      </c>
      <c r="Z238" s="106">
        <f t="shared" si="123"/>
        <v>-398779.97660908953</v>
      </c>
      <c r="AA238" s="106">
        <f t="shared" si="123"/>
        <v>-403715.21388490364</v>
      </c>
      <c r="AB238" s="106">
        <f t="shared" si="122"/>
        <v>-16751668.625929605</v>
      </c>
    </row>
    <row r="239" spans="4:28" x14ac:dyDescent="0.25">
      <c r="E239" s="47" t="s">
        <v>702</v>
      </c>
      <c r="F239" s="47" t="s">
        <v>639</v>
      </c>
      <c r="G239" s="106">
        <f t="shared" ref="G239:AA239" si="124">-G200</f>
        <v>0</v>
      </c>
      <c r="H239" s="106">
        <f t="shared" si="124"/>
        <v>-703250.07455304242</v>
      </c>
      <c r="I239" s="106">
        <f t="shared" si="124"/>
        <v>-1422152.1095639924</v>
      </c>
      <c r="J239" s="106">
        <f t="shared" si="124"/>
        <v>-2009478.5797107783</v>
      </c>
      <c r="K239" s="106">
        <f t="shared" si="124"/>
        <v>-2603425.8910048772</v>
      </c>
      <c r="L239" s="106">
        <f t="shared" si="124"/>
        <v>-3212763.1216384289</v>
      </c>
      <c r="M239" s="106">
        <f t="shared" si="124"/>
        <v>-3849665.7838454582</v>
      </c>
      <c r="N239" s="106">
        <f t="shared" si="124"/>
        <v>-4457448.9972438179</v>
      </c>
      <c r="O239" s="106">
        <f t="shared" si="124"/>
        <v>-5089437.7886395222</v>
      </c>
      <c r="P239" s="106">
        <f t="shared" si="124"/>
        <v>-5714640.1604214255</v>
      </c>
      <c r="Q239" s="106">
        <f t="shared" si="124"/>
        <v>-6417025.9841055544</v>
      </c>
      <c r="R239" s="106">
        <f t="shared" si="124"/>
        <v>-7119183.5017968779</v>
      </c>
      <c r="S239" s="106">
        <f t="shared" si="124"/>
        <v>-7816046.4460648848</v>
      </c>
      <c r="T239" s="106">
        <f t="shared" si="124"/>
        <v>-8498598.5450102352</v>
      </c>
      <c r="U239" s="106">
        <f t="shared" si="124"/>
        <v>-9178383.7770022843</v>
      </c>
      <c r="V239" s="106">
        <f t="shared" si="124"/>
        <v>-9851476.942763349</v>
      </c>
      <c r="W239" s="106">
        <f t="shared" si="124"/>
        <v>-10516729.019204564</v>
      </c>
      <c r="X239" s="106">
        <f t="shared" si="124"/>
        <v>-11170442.047587294</v>
      </c>
      <c r="Y239" s="106">
        <f t="shared" si="124"/>
        <v>-11796258.951363552</v>
      </c>
      <c r="Z239" s="106">
        <f t="shared" si="124"/>
        <v>-12388920.780721309</v>
      </c>
      <c r="AA239" s="106">
        <f t="shared" si="124"/>
        <v>-12949758.523653284</v>
      </c>
      <c r="AB239" s="106">
        <f t="shared" si="122"/>
        <v>-537334378.57482481</v>
      </c>
    </row>
    <row r="240" spans="4:28" x14ac:dyDescent="0.25">
      <c r="E240" s="47" t="s">
        <v>709</v>
      </c>
      <c r="F240" s="47" t="s">
        <v>639</v>
      </c>
      <c r="G240" s="106">
        <f t="shared" ref="G240:AA240" si="125">G207</f>
        <v>0</v>
      </c>
      <c r="H240" s="106">
        <f t="shared" si="125"/>
        <v>0</v>
      </c>
      <c r="I240" s="106">
        <f t="shared" si="125"/>
        <v>0</v>
      </c>
      <c r="J240" s="106">
        <f t="shared" si="125"/>
        <v>0</v>
      </c>
      <c r="K240" s="106">
        <f t="shared" si="125"/>
        <v>0</v>
      </c>
      <c r="L240" s="106">
        <f t="shared" si="125"/>
        <v>0</v>
      </c>
      <c r="M240" s="106">
        <f t="shared" si="125"/>
        <v>0</v>
      </c>
      <c r="N240" s="106">
        <f t="shared" si="125"/>
        <v>0</v>
      </c>
      <c r="O240" s="106">
        <f t="shared" si="125"/>
        <v>0</v>
      </c>
      <c r="P240" s="106">
        <f t="shared" si="125"/>
        <v>0</v>
      </c>
      <c r="Q240" s="106">
        <f t="shared" si="125"/>
        <v>0</v>
      </c>
      <c r="R240" s="106">
        <f t="shared" si="125"/>
        <v>0</v>
      </c>
      <c r="S240" s="106">
        <f t="shared" si="125"/>
        <v>0</v>
      </c>
      <c r="T240" s="106">
        <f t="shared" si="125"/>
        <v>0</v>
      </c>
      <c r="U240" s="106">
        <f t="shared" si="125"/>
        <v>0</v>
      </c>
      <c r="V240" s="106">
        <f t="shared" si="125"/>
        <v>0</v>
      </c>
      <c r="W240" s="106">
        <f t="shared" si="125"/>
        <v>0</v>
      </c>
      <c r="X240" s="106">
        <f t="shared" si="125"/>
        <v>0</v>
      </c>
      <c r="Y240" s="106">
        <f t="shared" si="125"/>
        <v>0</v>
      </c>
      <c r="Z240" s="106">
        <f t="shared" si="125"/>
        <v>0</v>
      </c>
      <c r="AA240" s="106">
        <f t="shared" si="125"/>
        <v>0</v>
      </c>
      <c r="AB240" s="106">
        <f t="shared" si="122"/>
        <v>0</v>
      </c>
    </row>
    <row r="241" spans="3:40" x14ac:dyDescent="0.25">
      <c r="E241" s="47" t="s">
        <v>714</v>
      </c>
      <c r="F241" s="47" t="s">
        <v>639</v>
      </c>
      <c r="G241" s="106">
        <f t="shared" ref="G241:AA241" si="126">G214</f>
        <v>0</v>
      </c>
      <c r="H241" s="106">
        <f t="shared" si="126"/>
        <v>0</v>
      </c>
      <c r="I241" s="106">
        <f t="shared" si="126"/>
        <v>0</v>
      </c>
      <c r="J241" s="106">
        <f t="shared" si="126"/>
        <v>0</v>
      </c>
      <c r="K241" s="106">
        <f t="shared" si="126"/>
        <v>0</v>
      </c>
      <c r="L241" s="106">
        <f t="shared" si="126"/>
        <v>0</v>
      </c>
      <c r="M241" s="106">
        <f t="shared" si="126"/>
        <v>0</v>
      </c>
      <c r="N241" s="106">
        <f t="shared" si="126"/>
        <v>0</v>
      </c>
      <c r="O241" s="106">
        <f t="shared" si="126"/>
        <v>0</v>
      </c>
      <c r="P241" s="106">
        <f t="shared" si="126"/>
        <v>0</v>
      </c>
      <c r="Q241" s="106">
        <f t="shared" si="126"/>
        <v>0</v>
      </c>
      <c r="R241" s="106">
        <f t="shared" si="126"/>
        <v>0</v>
      </c>
      <c r="S241" s="106">
        <f t="shared" si="126"/>
        <v>0</v>
      </c>
      <c r="T241" s="106">
        <f t="shared" si="126"/>
        <v>0</v>
      </c>
      <c r="U241" s="106">
        <f t="shared" si="126"/>
        <v>0</v>
      </c>
      <c r="V241" s="106">
        <f t="shared" si="126"/>
        <v>0</v>
      </c>
      <c r="W241" s="106">
        <f t="shared" si="126"/>
        <v>0</v>
      </c>
      <c r="X241" s="106">
        <f t="shared" si="126"/>
        <v>0</v>
      </c>
      <c r="Y241" s="106">
        <f t="shared" si="126"/>
        <v>0</v>
      </c>
      <c r="Z241" s="106">
        <f t="shared" si="126"/>
        <v>0</v>
      </c>
      <c r="AA241" s="106">
        <f t="shared" si="126"/>
        <v>0</v>
      </c>
      <c r="AB241" s="106">
        <f t="shared" si="122"/>
        <v>0</v>
      </c>
    </row>
    <row r="242" spans="3:40" x14ac:dyDescent="0.25">
      <c r="E242" s="47" t="s">
        <v>458</v>
      </c>
      <c r="F242" s="47" t="s">
        <v>639</v>
      </c>
      <c r="G242" s="106">
        <f t="shared" ref="G242:AA242" si="127">G231</f>
        <v>0</v>
      </c>
      <c r="H242" s="106">
        <f t="shared" si="127"/>
        <v>-24382947.732467838</v>
      </c>
      <c r="I242" s="106">
        <f t="shared" si="127"/>
        <v>-26000351.154113576</v>
      </c>
      <c r="J242" s="106">
        <f t="shared" si="127"/>
        <v>-24103823.228161301</v>
      </c>
      <c r="K242" s="106">
        <f t="shared" si="127"/>
        <v>-24806410.649498399</v>
      </c>
      <c r="L242" s="106">
        <f t="shared" si="127"/>
        <v>-24935097.299815025</v>
      </c>
      <c r="M242" s="106">
        <f t="shared" si="127"/>
        <v>-26588171.088992946</v>
      </c>
      <c r="N242" s="106">
        <f t="shared" si="127"/>
        <v>-26147437.881056163</v>
      </c>
      <c r="O242" s="106">
        <f t="shared" si="127"/>
        <v>-27705705.365546267</v>
      </c>
      <c r="P242" s="106">
        <f t="shared" si="127"/>
        <v>-28127775.154945891</v>
      </c>
      <c r="Q242" s="106">
        <f t="shared" si="127"/>
        <v>-27367735.985881247</v>
      </c>
      <c r="R242" s="106">
        <f t="shared" si="127"/>
        <v>-27353371.83990819</v>
      </c>
      <c r="S242" s="106">
        <f t="shared" si="127"/>
        <v>-27157467.19077662</v>
      </c>
      <c r="T242" s="106">
        <f t="shared" si="127"/>
        <v>-26583736.198847089</v>
      </c>
      <c r="U242" s="106">
        <f t="shared" si="127"/>
        <v>-26480851.970866557</v>
      </c>
      <c r="V242" s="106">
        <f t="shared" si="127"/>
        <v>-25423067.301614944</v>
      </c>
      <c r="W242" s="106">
        <f t="shared" si="127"/>
        <v>-25154843.688589361</v>
      </c>
      <c r="X242" s="106">
        <f t="shared" si="127"/>
        <v>-24711694.125687439</v>
      </c>
      <c r="Y242" s="106">
        <f t="shared" si="127"/>
        <v>-23628850.421350151</v>
      </c>
      <c r="Z242" s="106">
        <f t="shared" si="127"/>
        <v>-22283641.231699929</v>
      </c>
      <c r="AA242" s="106">
        <f t="shared" si="127"/>
        <v>-20889273.79970498</v>
      </c>
      <c r="AB242" s="106">
        <f>IF(V242=0,0,IF($G$15&gt;(AA242/V242)^(1/5)-1+2%,AA242*(AA242/V242)^(1/5)/($G$15-((AA242/V242)^(1/5)-1)),AA242*(1+$G$14)/$G$16))</f>
        <v>-320723886.17867154</v>
      </c>
      <c r="AN242" s="104"/>
    </row>
    <row r="243" spans="3:40" x14ac:dyDescent="0.25">
      <c r="E243" s="47" t="s">
        <v>730</v>
      </c>
      <c r="F243" s="47" t="s">
        <v>639</v>
      </c>
      <c r="G243" s="106">
        <f>-$G$17*G242</f>
        <v>0</v>
      </c>
      <c r="H243" s="106">
        <f t="shared" ref="H243:AA243" si="128">-$G$17*H242</f>
        <v>12191473.866233919</v>
      </c>
      <c r="I243" s="106">
        <f t="shared" si="128"/>
        <v>13000175.577056788</v>
      </c>
      <c r="J243" s="106">
        <f t="shared" si="128"/>
        <v>12051911.614080651</v>
      </c>
      <c r="K243" s="106">
        <f t="shared" si="128"/>
        <v>12403205.3247492</v>
      </c>
      <c r="L243" s="106">
        <f t="shared" si="128"/>
        <v>12467548.649907513</v>
      </c>
      <c r="M243" s="106">
        <f t="shared" si="128"/>
        <v>13294085.544496473</v>
      </c>
      <c r="N243" s="106">
        <f t="shared" si="128"/>
        <v>13073718.940528082</v>
      </c>
      <c r="O243" s="106">
        <f t="shared" si="128"/>
        <v>13852852.682773134</v>
      </c>
      <c r="P243" s="106">
        <f t="shared" si="128"/>
        <v>14063887.577472946</v>
      </c>
      <c r="Q243" s="106">
        <f t="shared" si="128"/>
        <v>13683867.992940623</v>
      </c>
      <c r="R243" s="106">
        <f t="shared" si="128"/>
        <v>13676685.919954095</v>
      </c>
      <c r="S243" s="106">
        <f t="shared" si="128"/>
        <v>13578733.59538831</v>
      </c>
      <c r="T243" s="106">
        <f t="shared" si="128"/>
        <v>13291868.099423544</v>
      </c>
      <c r="U243" s="106">
        <f t="shared" si="128"/>
        <v>13240425.985433279</v>
      </c>
      <c r="V243" s="106">
        <f t="shared" si="128"/>
        <v>12711533.650807472</v>
      </c>
      <c r="W243" s="106">
        <f t="shared" si="128"/>
        <v>12577421.84429468</v>
      </c>
      <c r="X243" s="106">
        <f t="shared" si="128"/>
        <v>12355847.062843719</v>
      </c>
      <c r="Y243" s="106">
        <f t="shared" si="128"/>
        <v>11814425.210675076</v>
      </c>
      <c r="Z243" s="106">
        <f t="shared" si="128"/>
        <v>11141820.615849964</v>
      </c>
      <c r="AA243" s="106">
        <f t="shared" si="128"/>
        <v>10444636.89985249</v>
      </c>
      <c r="AB243" s="106">
        <f t="shared" ref="AB243" si="129">IF(V243=0,0,IF($G$15&gt;(AA243/V243)^(1/5)-1+2%,AA243*(AA243/V243)^(1/5)/($G$15-((AA243/V243)^(1/5)-1)),AA243*(1+$G$14)/$G$16))</f>
        <v>160361943.08933577</v>
      </c>
    </row>
    <row r="244" spans="3:40" x14ac:dyDescent="0.25">
      <c r="E244" s="47" t="s">
        <v>731</v>
      </c>
      <c r="F244" s="47" t="s">
        <v>639</v>
      </c>
      <c r="G244" s="116">
        <f>SUM(G234:G243)</f>
        <v>0</v>
      </c>
      <c r="H244" s="116">
        <f>SUM(H234:H243)</f>
        <v>-62168813.663512066</v>
      </c>
      <c r="I244" s="116">
        <f t="shared" ref="I244:Z244" si="130">SUM(I234:I243)</f>
        <v>-52469680.892937966</v>
      </c>
      <c r="J244" s="116">
        <f t="shared" si="130"/>
        <v>-51201637.860846847</v>
      </c>
      <c r="K244" s="116">
        <f t="shared" si="130"/>
        <v>-58213943.548718736</v>
      </c>
      <c r="L244" s="116">
        <f t="shared" si="130"/>
        <v>-55538427.114837408</v>
      </c>
      <c r="M244" s="116">
        <f t="shared" si="130"/>
        <v>-56048423.494541854</v>
      </c>
      <c r="N244" s="116">
        <f t="shared" si="130"/>
        <v>-32943278.013072848</v>
      </c>
      <c r="O244" s="116">
        <f t="shared" si="130"/>
        <v>-42751618.930535823</v>
      </c>
      <c r="P244" s="116">
        <f t="shared" si="130"/>
        <v>-24762965.289479792</v>
      </c>
      <c r="Q244" s="116">
        <f t="shared" si="130"/>
        <v>-43261746.656296566</v>
      </c>
      <c r="R244" s="116">
        <f t="shared" si="130"/>
        <v>-42363454.368765175</v>
      </c>
      <c r="S244" s="116">
        <f t="shared" si="130"/>
        <v>-41379477.449816138</v>
      </c>
      <c r="T244" s="116">
        <f t="shared" si="130"/>
        <v>-40222692.482395776</v>
      </c>
      <c r="U244" s="116">
        <f t="shared" si="130"/>
        <v>-39301338.969853193</v>
      </c>
      <c r="V244" s="116">
        <f t="shared" si="130"/>
        <v>-40573037.084081501</v>
      </c>
      <c r="W244" s="116">
        <f t="shared" si="130"/>
        <v>-39757465.937743708</v>
      </c>
      <c r="X244" s="116">
        <f t="shared" si="130"/>
        <v>-38863941.923180915</v>
      </c>
      <c r="Y244" s="116">
        <f t="shared" si="130"/>
        <v>-37655078.3965514</v>
      </c>
      <c r="Z244" s="116">
        <f t="shared" si="130"/>
        <v>-36343159.04731781</v>
      </c>
      <c r="AA244" s="116">
        <f>SUM(AA234:AA243)</f>
        <v>-35043731.46175202</v>
      </c>
      <c r="AB244" s="116">
        <f>SUM(AB234:AB243)</f>
        <v>392470943.97870839</v>
      </c>
    </row>
    <row r="245" spans="3:40" x14ac:dyDescent="0.25">
      <c r="E245" s="47" t="s">
        <v>732</v>
      </c>
      <c r="F245" s="47" t="s">
        <v>639</v>
      </c>
      <c r="G245" s="116">
        <f>NPV($G$15,H244:AA244)+G244</f>
        <v>-698769580.40951335</v>
      </c>
      <c r="H245" s="48"/>
      <c r="I245" s="48"/>
      <c r="J245" s="48"/>
      <c r="K245" s="48"/>
      <c r="L245" s="48"/>
      <c r="M245" s="48"/>
      <c r="N245" s="48"/>
      <c r="O245" s="48"/>
      <c r="P245" s="48"/>
      <c r="Q245" s="48"/>
      <c r="R245" s="48"/>
      <c r="S245" s="48"/>
      <c r="T245" s="48"/>
      <c r="U245" s="48"/>
      <c r="V245" s="48"/>
      <c r="W245" s="48"/>
      <c r="X245" s="48"/>
      <c r="Y245" s="48"/>
      <c r="Z245" s="48"/>
      <c r="AA245" s="48"/>
      <c r="AB245" s="48"/>
    </row>
    <row r="246" spans="3:40" x14ac:dyDescent="0.25">
      <c r="G246" s="48"/>
      <c r="H246" s="48"/>
      <c r="I246" s="48"/>
      <c r="J246" s="48"/>
      <c r="K246" s="48"/>
      <c r="L246" s="48"/>
      <c r="M246" s="48"/>
      <c r="N246" s="48"/>
      <c r="O246" s="48"/>
      <c r="P246" s="48"/>
      <c r="Q246" s="48"/>
      <c r="R246" s="48"/>
      <c r="S246" s="48"/>
      <c r="T246" s="48"/>
      <c r="U246" s="48"/>
      <c r="V246" s="48"/>
      <c r="W246" s="48"/>
      <c r="X246" s="48"/>
      <c r="Y246" s="48"/>
      <c r="Z246" s="48"/>
      <c r="AA246" s="48"/>
      <c r="AB246" s="48"/>
    </row>
    <row r="247" spans="3:40" x14ac:dyDescent="0.25">
      <c r="E247" s="47" t="s">
        <v>725</v>
      </c>
      <c r="F247" s="47" t="s">
        <v>639</v>
      </c>
      <c r="G247" s="48"/>
      <c r="H247" s="116">
        <f t="shared" ref="H247:AA247" si="131">H219</f>
        <v>41795469.914145261</v>
      </c>
      <c r="I247" s="116">
        <f t="shared" si="131"/>
        <v>45275011.070068829</v>
      </c>
      <c r="J247" s="116">
        <f t="shared" si="131"/>
        <v>39118093.610561632</v>
      </c>
      <c r="K247" s="116">
        <f t="shared" si="131"/>
        <v>40203243.994428128</v>
      </c>
      <c r="L247" s="116">
        <f t="shared" si="131"/>
        <v>41954827.761331983</v>
      </c>
      <c r="M247" s="116">
        <f t="shared" si="131"/>
        <v>44954244.203005083</v>
      </c>
      <c r="N247" s="116">
        <f t="shared" si="131"/>
        <v>44267431.650958098</v>
      </c>
      <c r="O247" s="116">
        <f t="shared" si="131"/>
        <v>47142837.981720172</v>
      </c>
      <c r="P247" s="116">
        <f t="shared" si="131"/>
        <v>47980617.573675051</v>
      </c>
      <c r="Q247" s="116">
        <f t="shared" si="131"/>
        <v>48265705.282050148</v>
      </c>
      <c r="R247" s="116">
        <f t="shared" si="131"/>
        <v>48250016.82509201</v>
      </c>
      <c r="S247" s="116">
        <f t="shared" si="131"/>
        <v>47886190.688761972</v>
      </c>
      <c r="T247" s="116">
        <f t="shared" si="131"/>
        <v>46902795.210963964</v>
      </c>
      <c r="U247" s="116">
        <f t="shared" si="131"/>
        <v>46712664.971401244</v>
      </c>
      <c r="V247" s="116">
        <f t="shared" si="131"/>
        <v>46252807.603069685</v>
      </c>
      <c r="W247" s="116">
        <f t="shared" si="131"/>
        <v>45713993.046396218</v>
      </c>
      <c r="X247" s="116">
        <f t="shared" si="131"/>
        <v>44921066.603341036</v>
      </c>
      <c r="Y247" s="116">
        <f t="shared" si="131"/>
        <v>43004134.223206796</v>
      </c>
      <c r="Z247" s="116">
        <f t="shared" si="131"/>
        <v>40725823.647269845</v>
      </c>
      <c r="AA247" s="116">
        <f t="shared" si="131"/>
        <v>38538974.305350274</v>
      </c>
      <c r="AB247" s="48"/>
    </row>
    <row r="248" spans="3:40" x14ac:dyDescent="0.25">
      <c r="E248" s="47" t="s">
        <v>733</v>
      </c>
      <c r="F248" s="47" t="s">
        <v>639</v>
      </c>
      <c r="G248" s="117">
        <f>NPV($G$15,H247:AA247)+G247</f>
        <v>698769580.40951324</v>
      </c>
      <c r="H248" s="48"/>
      <c r="I248" s="48"/>
      <c r="J248" s="48"/>
      <c r="K248" s="48"/>
      <c r="L248" s="48"/>
      <c r="M248" s="48"/>
      <c r="N248" s="48"/>
      <c r="O248" s="48"/>
      <c r="P248" s="48"/>
      <c r="Q248" s="48"/>
      <c r="R248" s="48"/>
      <c r="S248" s="48"/>
      <c r="T248" s="48"/>
      <c r="U248" s="48"/>
      <c r="V248" s="48"/>
      <c r="W248" s="48"/>
      <c r="X248" s="48"/>
      <c r="Y248" s="48"/>
      <c r="Z248" s="48"/>
      <c r="AA248" s="48"/>
      <c r="AB248" s="48"/>
    </row>
    <row r="249" spans="3:40" x14ac:dyDescent="0.25">
      <c r="E249" s="111" t="s">
        <v>734</v>
      </c>
      <c r="F249" s="111"/>
      <c r="G249" s="118" t="str">
        <f>IF(G245&gt;0,"N/A",IF(ABS(G245+G248)&gt;1,"Error","OK"))</f>
        <v>OK</v>
      </c>
    </row>
    <row r="251" spans="3:40" hidden="1" x14ac:dyDescent="0.25">
      <c r="C251" s="100" t="s">
        <v>735</v>
      </c>
      <c r="D251" s="100"/>
    </row>
    <row r="252" spans="3:40" hidden="1" x14ac:dyDescent="0.25">
      <c r="C252" s="100"/>
      <c r="D252" s="100"/>
    </row>
    <row r="253" spans="3:40" hidden="1" x14ac:dyDescent="0.25">
      <c r="C253" s="100"/>
      <c r="D253" s="47" t="s">
        <v>735</v>
      </c>
      <c r="F253" s="47" t="s">
        <v>639</v>
      </c>
      <c r="G253" s="115" t="e">
        <f>MAX(0,-G279)</f>
        <v>#REF!</v>
      </c>
    </row>
    <row r="254" spans="3:40" hidden="1" x14ac:dyDescent="0.25"/>
    <row r="255" spans="3:40" hidden="1" x14ac:dyDescent="0.25">
      <c r="D255" s="47" t="s">
        <v>722</v>
      </c>
    </row>
    <row r="256" spans="3:40" hidden="1" x14ac:dyDescent="0.25">
      <c r="E256" s="47" t="s">
        <v>573</v>
      </c>
      <c r="F256" s="47" t="s">
        <v>639</v>
      </c>
      <c r="G256" s="106">
        <f t="shared" ref="G256:AA261" si="132">G222</f>
        <v>0</v>
      </c>
      <c r="H256" s="106">
        <f t="shared" si="132"/>
        <v>38870166.630881675</v>
      </c>
      <c r="I256" s="106">
        <f t="shared" si="132"/>
        <v>40141474.782168381</v>
      </c>
      <c r="J256" s="106">
        <f t="shared" si="132"/>
        <v>39717987.338401109</v>
      </c>
      <c r="K256" s="106">
        <f t="shared" si="132"/>
        <v>40938974.50146085</v>
      </c>
      <c r="L256" s="106">
        <f t="shared" si="132"/>
        <v>39541908.886162557</v>
      </c>
      <c r="M256" s="106">
        <f t="shared" si="132"/>
        <v>42087218.097714916</v>
      </c>
      <c r="N256" s="106">
        <f t="shared" si="132"/>
        <v>41269013.60860689</v>
      </c>
      <c r="O256" s="106">
        <f t="shared" si="132"/>
        <v>43772530.498473428</v>
      </c>
      <c r="P256" s="106">
        <f t="shared" si="132"/>
        <v>44416241.299846351</v>
      </c>
      <c r="Q256" s="106">
        <f t="shared" si="132"/>
        <v>44588074.398570456</v>
      </c>
      <c r="R256" s="106">
        <f t="shared" si="132"/>
        <v>44603980.540237896</v>
      </c>
      <c r="S256" s="106">
        <f t="shared" si="132"/>
        <v>44365323.222940505</v>
      </c>
      <c r="T256" s="106">
        <f t="shared" si="132"/>
        <v>43493229.294844456</v>
      </c>
      <c r="U256" s="106">
        <f t="shared" si="132"/>
        <v>43396290.314801514</v>
      </c>
      <c r="V256" s="106">
        <f t="shared" si="132"/>
        <v>43052761.857167616</v>
      </c>
      <c r="W256" s="106">
        <f t="shared" si="132"/>
        <v>42936721.650992423</v>
      </c>
      <c r="X256" s="106">
        <f t="shared" si="132"/>
        <v>42496323.626946062</v>
      </c>
      <c r="Y256" s="106">
        <f t="shared" si="132"/>
        <v>41035898.346282206</v>
      </c>
      <c r="Z256" s="106">
        <f t="shared" si="132"/>
        <v>39068567.330252215</v>
      </c>
      <c r="AA256" s="106">
        <f t="shared" si="132"/>
        <v>36858428.054161616</v>
      </c>
    </row>
    <row r="257" spans="4:28" hidden="1" x14ac:dyDescent="0.25">
      <c r="E257" s="47" t="s">
        <v>723</v>
      </c>
      <c r="F257" s="47" t="s">
        <v>639</v>
      </c>
      <c r="G257" s="106">
        <f t="shared" si="132"/>
        <v>0</v>
      </c>
      <c r="H257" s="106">
        <f t="shared" si="132"/>
        <v>2483836.7236137507</v>
      </c>
      <c r="I257" s="106">
        <f t="shared" si="132"/>
        <v>4971805.1390179936</v>
      </c>
      <c r="J257" s="106">
        <f t="shared" si="132"/>
        <v>6906377.3503501555</v>
      </c>
      <c r="K257" s="106">
        <f t="shared" si="132"/>
        <v>8712507.7001541667</v>
      </c>
      <c r="L257" s="106">
        <f t="shared" si="132"/>
        <v>10432030.348064309</v>
      </c>
      <c r="M257" s="106">
        <f t="shared" si="132"/>
        <v>12114635.49266321</v>
      </c>
      <c r="N257" s="106">
        <f t="shared" si="132"/>
        <v>13579480.822984746</v>
      </c>
      <c r="O257" s="106">
        <f t="shared" si="132"/>
        <v>14986341.503066478</v>
      </c>
      <c r="P257" s="106">
        <f t="shared" si="132"/>
        <v>16306756.954300888</v>
      </c>
      <c r="Q257" s="106">
        <f t="shared" si="132"/>
        <v>14975807.312850682</v>
      </c>
      <c r="R257" s="106">
        <f t="shared" si="132"/>
        <v>16595112.827922486</v>
      </c>
      <c r="S257" s="106">
        <f t="shared" si="132"/>
        <v>18204444.737122726</v>
      </c>
      <c r="T257" s="106">
        <f t="shared" si="132"/>
        <v>19781620.22520015</v>
      </c>
      <c r="U257" s="106">
        <f t="shared" si="132"/>
        <v>21354219.776650757</v>
      </c>
      <c r="V257" s="106">
        <f t="shared" si="132"/>
        <v>20249081.128577817</v>
      </c>
      <c r="W257" s="106">
        <f t="shared" si="132"/>
        <v>21618605.893025663</v>
      </c>
      <c r="X257" s="106">
        <f t="shared" si="132"/>
        <v>22970568.233779207</v>
      </c>
      <c r="Y257" s="106">
        <f t="shared" si="132"/>
        <v>24272020.760477524</v>
      </c>
      <c r="Z257" s="106">
        <f t="shared" si="132"/>
        <v>25508729.466101959</v>
      </c>
      <c r="AA257" s="106">
        <f t="shared" si="132"/>
        <v>26676746.315878056</v>
      </c>
    </row>
    <row r="258" spans="4:28" hidden="1" x14ac:dyDescent="0.25">
      <c r="E258" s="47" t="s">
        <v>701</v>
      </c>
      <c r="F258" s="47" t="s">
        <v>639</v>
      </c>
      <c r="G258" s="106">
        <f t="shared" si="132"/>
        <v>0</v>
      </c>
      <c r="H258" s="106">
        <f t="shared" si="132"/>
        <v>-23785.16154029161</v>
      </c>
      <c r="I258" s="106">
        <f t="shared" si="132"/>
        <v>-51491.796543353332</v>
      </c>
      <c r="J258" s="106">
        <f t="shared" si="132"/>
        <v>-72832.837348589848</v>
      </c>
      <c r="K258" s="106">
        <f t="shared" si="132"/>
        <v>-93268.067662621441</v>
      </c>
      <c r="L258" s="106">
        <f t="shared" si="132"/>
        <v>-113603.65257970217</v>
      </c>
      <c r="M258" s="106">
        <f t="shared" si="132"/>
        <v>-134809.62782109223</v>
      </c>
      <c r="N258" s="106">
        <f t="shared" si="132"/>
        <v>-154762.63093101198</v>
      </c>
      <c r="O258" s="106">
        <f t="shared" si="132"/>
        <v>-176621.84011346626</v>
      </c>
      <c r="P258" s="106">
        <f t="shared" si="132"/>
        <v>-196275.26393827741</v>
      </c>
      <c r="Q258" s="106">
        <f t="shared" si="132"/>
        <v>-214292.85186166794</v>
      </c>
      <c r="R258" s="106">
        <f t="shared" si="132"/>
        <v>-240330.6346972824</v>
      </c>
      <c r="S258" s="106">
        <f t="shared" si="132"/>
        <v>-266775.00524626451</v>
      </c>
      <c r="T258" s="106">
        <f t="shared" si="132"/>
        <v>-291478.92292273976</v>
      </c>
      <c r="U258" s="106">
        <f t="shared" si="132"/>
        <v>-314381.84382898302</v>
      </c>
      <c r="V258" s="106">
        <f t="shared" si="132"/>
        <v>-336740.47884909593</v>
      </c>
      <c r="W258" s="106">
        <f t="shared" si="132"/>
        <v>-359553.82703072409</v>
      </c>
      <c r="X258" s="106">
        <f t="shared" si="132"/>
        <v>-385853.90628970566</v>
      </c>
      <c r="Y258" s="106">
        <f t="shared" si="132"/>
        <v>-394047.85475089232</v>
      </c>
      <c r="Z258" s="106">
        <f t="shared" si="132"/>
        <v>-398779.97660908953</v>
      </c>
      <c r="AA258" s="106">
        <f t="shared" si="132"/>
        <v>-403715.21388490364</v>
      </c>
    </row>
    <row r="259" spans="4:28" hidden="1" x14ac:dyDescent="0.25">
      <c r="E259" s="47" t="s">
        <v>702</v>
      </c>
      <c r="F259" s="47" t="s">
        <v>639</v>
      </c>
      <c r="G259" s="106">
        <f t="shared" si="132"/>
        <v>0</v>
      </c>
      <c r="H259" s="106">
        <f t="shared" si="132"/>
        <v>-703250.07455304242</v>
      </c>
      <c r="I259" s="106">
        <f t="shared" si="132"/>
        <v>-1422152.1095639924</v>
      </c>
      <c r="J259" s="106">
        <f t="shared" si="132"/>
        <v>-2009478.5797107783</v>
      </c>
      <c r="K259" s="106">
        <f t="shared" si="132"/>
        <v>-2603425.8910048772</v>
      </c>
      <c r="L259" s="106">
        <f t="shared" si="132"/>
        <v>-3212763.1216384289</v>
      </c>
      <c r="M259" s="106">
        <f t="shared" si="132"/>
        <v>-3849665.7838454582</v>
      </c>
      <c r="N259" s="106">
        <f t="shared" si="132"/>
        <v>-4457448.9972438179</v>
      </c>
      <c r="O259" s="106">
        <f t="shared" si="132"/>
        <v>-5089437.7886395222</v>
      </c>
      <c r="P259" s="106">
        <f t="shared" si="132"/>
        <v>-5714640.1604214255</v>
      </c>
      <c r="Q259" s="106">
        <f t="shared" si="132"/>
        <v>-6417025.9841055544</v>
      </c>
      <c r="R259" s="106">
        <f t="shared" si="132"/>
        <v>-7119183.5017968779</v>
      </c>
      <c r="S259" s="106">
        <f t="shared" si="132"/>
        <v>-7816046.4460648848</v>
      </c>
      <c r="T259" s="106">
        <f t="shared" si="132"/>
        <v>-8498598.5450102352</v>
      </c>
      <c r="U259" s="106">
        <f t="shared" si="132"/>
        <v>-9178383.7770022843</v>
      </c>
      <c r="V259" s="106">
        <f t="shared" si="132"/>
        <v>-9851476.942763349</v>
      </c>
      <c r="W259" s="106">
        <f t="shared" si="132"/>
        <v>-10516729.019204564</v>
      </c>
      <c r="X259" s="106">
        <f t="shared" si="132"/>
        <v>-11170442.047587294</v>
      </c>
      <c r="Y259" s="106">
        <f t="shared" si="132"/>
        <v>-11796258.951363552</v>
      </c>
      <c r="Z259" s="106">
        <f t="shared" si="132"/>
        <v>-12388920.780721309</v>
      </c>
      <c r="AA259" s="106">
        <f t="shared" si="132"/>
        <v>-12949758.523653284</v>
      </c>
    </row>
    <row r="260" spans="4:28" hidden="1" x14ac:dyDescent="0.25">
      <c r="E260" s="47" t="s">
        <v>724</v>
      </c>
      <c r="F260" s="47" t="s">
        <v>639</v>
      </c>
      <c r="G260" s="106">
        <f t="shared" si="132"/>
        <v>0</v>
      </c>
      <c r="H260" s="106">
        <f t="shared" si="132"/>
        <v>-1145945.5909879019</v>
      </c>
      <c r="I260" s="106">
        <f t="shared" si="132"/>
        <v>-2246809.9047692716</v>
      </c>
      <c r="J260" s="106">
        <f t="shared" si="132"/>
        <v>-3314069.4550491809</v>
      </c>
      <c r="K260" s="106">
        <f t="shared" si="132"/>
        <v>-4469996.739047653</v>
      </c>
      <c r="L260" s="106">
        <f t="shared" si="132"/>
        <v>-5485409.221957298</v>
      </c>
      <c r="M260" s="106">
        <f t="shared" si="132"/>
        <v>-6544385.418406832</v>
      </c>
      <c r="N260" s="106">
        <f t="shared" si="132"/>
        <v>-7345588.1841876851</v>
      </c>
      <c r="O260" s="106">
        <f t="shared" si="132"/>
        <v>-8283299.1360195177</v>
      </c>
      <c r="P260" s="106">
        <f t="shared" si="132"/>
        <v>-9033449.8869762905</v>
      </c>
      <c r="Q260" s="106">
        <f t="shared" si="132"/>
        <v>-9972481.537899904</v>
      </c>
      <c r="R260" s="106">
        <f t="shared" si="132"/>
        <v>-10911689.923730932</v>
      </c>
      <c r="S260" s="106">
        <f t="shared" si="132"/>
        <v>-11848246.561591988</v>
      </c>
      <c r="T260" s="106">
        <f t="shared" si="132"/>
        <v>-12775113.266918646</v>
      </c>
      <c r="U260" s="106">
        <f t="shared" si="132"/>
        <v>-13700902.872467047</v>
      </c>
      <c r="V260" s="106">
        <f t="shared" si="132"/>
        <v>-14622875.49515285</v>
      </c>
      <c r="W260" s="106">
        <f t="shared" si="132"/>
        <v>-15543558.782214483</v>
      </c>
      <c r="X260" s="106">
        <f t="shared" si="132"/>
        <v>-16459348.757897824</v>
      </c>
      <c r="Y260" s="106">
        <f t="shared" si="132"/>
        <v>-17358911.78601823</v>
      </c>
      <c r="Z260" s="106">
        <f t="shared" si="132"/>
        <v>-18236615.580627196</v>
      </c>
      <c r="AA260" s="106">
        <f t="shared" si="132"/>
        <v>-19089762.272168487</v>
      </c>
    </row>
    <row r="261" spans="4:28" hidden="1" x14ac:dyDescent="0.25">
      <c r="E261" s="47" t="s">
        <v>709</v>
      </c>
      <c r="F261" s="47" t="s">
        <v>639</v>
      </c>
      <c r="G261" s="106">
        <f t="shared" si="132"/>
        <v>0</v>
      </c>
      <c r="H261" s="106">
        <f t="shared" si="132"/>
        <v>0</v>
      </c>
      <c r="I261" s="106">
        <f t="shared" si="132"/>
        <v>0</v>
      </c>
      <c r="J261" s="106">
        <f t="shared" si="132"/>
        <v>0</v>
      </c>
      <c r="K261" s="106">
        <f t="shared" si="132"/>
        <v>0</v>
      </c>
      <c r="L261" s="106">
        <f t="shared" si="132"/>
        <v>0</v>
      </c>
      <c r="M261" s="106">
        <f t="shared" si="132"/>
        <v>0</v>
      </c>
      <c r="N261" s="106">
        <f t="shared" si="132"/>
        <v>0</v>
      </c>
      <c r="O261" s="106">
        <f t="shared" si="132"/>
        <v>0</v>
      </c>
      <c r="P261" s="106">
        <f t="shared" si="132"/>
        <v>0</v>
      </c>
      <c r="Q261" s="106">
        <f t="shared" si="132"/>
        <v>0</v>
      </c>
      <c r="R261" s="106">
        <f t="shared" si="132"/>
        <v>0</v>
      </c>
      <c r="S261" s="106">
        <f t="shared" si="132"/>
        <v>0</v>
      </c>
      <c r="T261" s="106">
        <f t="shared" si="132"/>
        <v>0</v>
      </c>
      <c r="U261" s="106">
        <f t="shared" si="132"/>
        <v>0</v>
      </c>
      <c r="V261" s="106">
        <f t="shared" si="132"/>
        <v>0</v>
      </c>
      <c r="W261" s="106">
        <f t="shared" si="132"/>
        <v>0</v>
      </c>
      <c r="X261" s="106">
        <f t="shared" si="132"/>
        <v>0</v>
      </c>
      <c r="Y261" s="106">
        <f t="shared" si="132"/>
        <v>0</v>
      </c>
      <c r="Z261" s="106">
        <f t="shared" si="132"/>
        <v>0</v>
      </c>
      <c r="AA261" s="106">
        <f t="shared" si="132"/>
        <v>0</v>
      </c>
    </row>
    <row r="262" spans="4:28" hidden="1" x14ac:dyDescent="0.25">
      <c r="E262" s="47" t="s">
        <v>725</v>
      </c>
      <c r="F262" s="47" t="s">
        <v>639</v>
      </c>
      <c r="G262" s="106" t="e">
        <f>G253</f>
        <v>#REF!</v>
      </c>
      <c r="H262" s="106"/>
      <c r="I262" s="106"/>
      <c r="J262" s="106"/>
      <c r="K262" s="106"/>
      <c r="L262" s="106"/>
      <c r="M262" s="106"/>
      <c r="N262" s="106"/>
      <c r="O262" s="106"/>
      <c r="P262" s="106"/>
      <c r="Q262" s="106"/>
      <c r="R262" s="106"/>
      <c r="S262" s="106"/>
      <c r="T262" s="106"/>
      <c r="U262" s="106"/>
      <c r="V262" s="106"/>
      <c r="W262" s="106"/>
      <c r="X262" s="106"/>
      <c r="Y262" s="106"/>
      <c r="Z262" s="106"/>
      <c r="AA262" s="106"/>
    </row>
    <row r="263" spans="4:28" hidden="1" x14ac:dyDescent="0.25"/>
    <row r="264" spans="4:28" hidden="1" x14ac:dyDescent="0.25">
      <c r="E264" s="47" t="s">
        <v>726</v>
      </c>
      <c r="F264" s="47" t="s">
        <v>639</v>
      </c>
      <c r="G264" s="106" t="e">
        <f t="shared" ref="G264:AA264" si="133">SUM(G256:G262)</f>
        <v>#REF!</v>
      </c>
      <c r="H264" s="106">
        <f t="shared" si="133"/>
        <v>39481022.527414195</v>
      </c>
      <c r="I264" s="106">
        <f t="shared" si="133"/>
        <v>41392826.110309757</v>
      </c>
      <c r="J264" s="106">
        <f t="shared" si="133"/>
        <v>41227983.816642717</v>
      </c>
      <c r="K264" s="106">
        <f t="shared" si="133"/>
        <v>42484791.503899872</v>
      </c>
      <c r="L264" s="106">
        <f t="shared" si="133"/>
        <v>41162163.238051437</v>
      </c>
      <c r="M264" s="106">
        <f t="shared" si="133"/>
        <v>43672992.760304749</v>
      </c>
      <c r="N264" s="106">
        <f t="shared" si="133"/>
        <v>42890694.619229116</v>
      </c>
      <c r="O264" s="106">
        <f t="shared" si="133"/>
        <v>45209513.236767396</v>
      </c>
      <c r="P264" s="106">
        <f t="shared" si="133"/>
        <v>45778632.942811251</v>
      </c>
      <c r="Q264" s="106">
        <f t="shared" si="133"/>
        <v>42960081.337554008</v>
      </c>
      <c r="R264" s="106">
        <f t="shared" si="133"/>
        <v>42927889.30793529</v>
      </c>
      <c r="S264" s="106">
        <f t="shared" si="133"/>
        <v>42638699.947160095</v>
      </c>
      <c r="T264" s="106">
        <f t="shared" si="133"/>
        <v>41709658.785192996</v>
      </c>
      <c r="U264" s="106">
        <f t="shared" si="133"/>
        <v>41556841.598153956</v>
      </c>
      <c r="V264" s="106">
        <f t="shared" si="133"/>
        <v>38490750.068980128</v>
      </c>
      <c r="W264" s="106">
        <f t="shared" si="133"/>
        <v>38135485.915568314</v>
      </c>
      <c r="X264" s="106">
        <f t="shared" si="133"/>
        <v>37451247.148950443</v>
      </c>
      <c r="Y264" s="106">
        <f t="shared" si="133"/>
        <v>35758700.514627047</v>
      </c>
      <c r="Z264" s="106">
        <f t="shared" si="133"/>
        <v>33552980.458396584</v>
      </c>
      <c r="AA264" s="106">
        <f t="shared" si="133"/>
        <v>31091938.360332996</v>
      </c>
    </row>
    <row r="265" spans="4:28" hidden="1" x14ac:dyDescent="0.25">
      <c r="E265" s="47" t="s">
        <v>727</v>
      </c>
      <c r="F265" s="47" t="s">
        <v>639</v>
      </c>
      <c r="G265" s="106" t="e">
        <f>-G264*G$18</f>
        <v>#REF!</v>
      </c>
      <c r="H265" s="106">
        <f t="shared" ref="H265:AA265" si="134">-H264*H$18</f>
        <v>-11844306.758224258</v>
      </c>
      <c r="I265" s="106">
        <f t="shared" si="134"/>
        <v>-12417847.833092926</v>
      </c>
      <c r="J265" s="106">
        <f t="shared" si="134"/>
        <v>-12368395.144992815</v>
      </c>
      <c r="K265" s="106">
        <f t="shared" si="134"/>
        <v>-12745437.451169962</v>
      </c>
      <c r="L265" s="106">
        <f t="shared" si="134"/>
        <v>-12348648.97141543</v>
      </c>
      <c r="M265" s="106">
        <f t="shared" si="134"/>
        <v>-13101897.828091424</v>
      </c>
      <c r="N265" s="106">
        <f t="shared" si="134"/>
        <v>-12867208.385768734</v>
      </c>
      <c r="O265" s="106">
        <f t="shared" si="134"/>
        <v>-13562853.971030219</v>
      </c>
      <c r="P265" s="106">
        <f t="shared" si="134"/>
        <v>-13733589.882843375</v>
      </c>
      <c r="Q265" s="106">
        <f t="shared" si="134"/>
        <v>-12888024.401266202</v>
      </c>
      <c r="R265" s="106">
        <f t="shared" si="134"/>
        <v>-12878366.792380586</v>
      </c>
      <c r="S265" s="106">
        <f t="shared" si="134"/>
        <v>-12791609.984148027</v>
      </c>
      <c r="T265" s="106">
        <f t="shared" si="134"/>
        <v>-12512897.635557899</v>
      </c>
      <c r="U265" s="106">
        <f t="shared" si="134"/>
        <v>-12467052.479446186</v>
      </c>
      <c r="V265" s="106">
        <f t="shared" si="134"/>
        <v>-11547225.020694038</v>
      </c>
      <c r="W265" s="106">
        <f t="shared" si="134"/>
        <v>-11440645.774670495</v>
      </c>
      <c r="X265" s="106">
        <f t="shared" si="134"/>
        <v>-11235374.144685132</v>
      </c>
      <c r="Y265" s="106">
        <f t="shared" si="134"/>
        <v>-10727610.154388113</v>
      </c>
      <c r="Z265" s="106">
        <f t="shared" si="134"/>
        <v>-10065894.137518974</v>
      </c>
      <c r="AA265" s="106">
        <f t="shared" si="134"/>
        <v>-9327581.5080998987</v>
      </c>
    </row>
    <row r="266" spans="4:28" hidden="1" x14ac:dyDescent="0.25"/>
    <row r="267" spans="4:28" hidden="1" x14ac:dyDescent="0.25">
      <c r="D267" s="47" t="s">
        <v>728</v>
      </c>
    </row>
    <row r="268" spans="4:28" hidden="1" x14ac:dyDescent="0.25">
      <c r="E268" s="47" t="s">
        <v>638</v>
      </c>
      <c r="F268" s="47" t="s">
        <v>639</v>
      </c>
      <c r="G268" s="106">
        <f t="shared" ref="G268:AA275" si="135">G234</f>
        <v>0</v>
      </c>
      <c r="H268" s="106">
        <f t="shared" si="135"/>
        <v>-51734141.284798563</v>
      </c>
      <c r="I268" s="106">
        <f t="shared" si="135"/>
        <v>-42967666.548791826</v>
      </c>
      <c r="J268" s="106">
        <f t="shared" si="135"/>
        <v>-43973792.180056989</v>
      </c>
      <c r="K268" s="106">
        <f t="shared" si="135"/>
        <v>-51826551.96545621</v>
      </c>
      <c r="L268" s="106">
        <f t="shared" si="135"/>
        <v>-50176542.038776077</v>
      </c>
      <c r="M268" s="106">
        <f t="shared" si="135"/>
        <v>-50884498.031042039</v>
      </c>
      <c r="N268" s="106">
        <f t="shared" si="135"/>
        <v>-28836828.267354675</v>
      </c>
      <c r="O268" s="106">
        <f t="shared" si="135"/>
        <v>-38619048.122076184</v>
      </c>
      <c r="P268" s="106">
        <f t="shared" si="135"/>
        <v>-21094919.241948035</v>
      </c>
      <c r="Q268" s="106">
        <f t="shared" si="135"/>
        <v>-37922367.140239403</v>
      </c>
      <c r="R268" s="106">
        <f t="shared" si="135"/>
        <v>-37922367.140239403</v>
      </c>
      <c r="S268" s="106">
        <f t="shared" si="135"/>
        <v>-37922367.140239403</v>
      </c>
      <c r="T268" s="106">
        <f t="shared" si="135"/>
        <v>-37922367.140239403</v>
      </c>
      <c r="U268" s="106">
        <f t="shared" si="135"/>
        <v>-37922367.140239403</v>
      </c>
      <c r="V268" s="106">
        <f t="shared" si="135"/>
        <v>-37922367.140239403</v>
      </c>
      <c r="W268" s="106">
        <f t="shared" si="135"/>
        <v>-37922367.140239403</v>
      </c>
      <c r="X268" s="106">
        <f t="shared" si="135"/>
        <v>-37922367.140239403</v>
      </c>
      <c r="Y268" s="106">
        <f t="shared" si="135"/>
        <v>-37922367.140239403</v>
      </c>
      <c r="Z268" s="106">
        <f t="shared" si="135"/>
        <v>-37922367.140239403</v>
      </c>
      <c r="AA268" s="106">
        <f t="shared" si="135"/>
        <v>-37922367.140239403</v>
      </c>
    </row>
    <row r="269" spans="4:28" hidden="1" x14ac:dyDescent="0.25">
      <c r="E269" s="47" t="s">
        <v>729</v>
      </c>
      <c r="F269" s="47" t="s">
        <v>639</v>
      </c>
      <c r="G269" s="106">
        <f t="shared" si="135"/>
        <v>0</v>
      </c>
      <c r="H269" s="106">
        <f t="shared" si="135"/>
        <v>0</v>
      </c>
      <c r="I269" s="106">
        <f t="shared" si="135"/>
        <v>0</v>
      </c>
      <c r="J269" s="106">
        <f t="shared" si="135"/>
        <v>0</v>
      </c>
      <c r="K269" s="106">
        <f t="shared" si="135"/>
        <v>0</v>
      </c>
      <c r="L269" s="106">
        <f t="shared" si="135"/>
        <v>0</v>
      </c>
      <c r="M269" s="106">
        <f t="shared" si="135"/>
        <v>0</v>
      </c>
      <c r="N269" s="106">
        <f t="shared" si="135"/>
        <v>0</v>
      </c>
      <c r="O269" s="106">
        <f t="shared" si="135"/>
        <v>0</v>
      </c>
      <c r="P269" s="106">
        <f t="shared" si="135"/>
        <v>0</v>
      </c>
      <c r="Q269" s="106">
        <f t="shared" si="135"/>
        <v>0</v>
      </c>
      <c r="R269" s="106">
        <f t="shared" si="135"/>
        <v>0</v>
      </c>
      <c r="S269" s="106">
        <f t="shared" si="135"/>
        <v>0</v>
      </c>
      <c r="T269" s="106">
        <f t="shared" si="135"/>
        <v>0</v>
      </c>
      <c r="U269" s="106">
        <f t="shared" si="135"/>
        <v>0</v>
      </c>
      <c r="V269" s="106">
        <f t="shared" si="135"/>
        <v>0</v>
      </c>
      <c r="W269" s="106">
        <f t="shared" si="135"/>
        <v>0</v>
      </c>
      <c r="X269" s="106">
        <f t="shared" si="135"/>
        <v>0</v>
      </c>
      <c r="Y269" s="106">
        <f t="shared" si="135"/>
        <v>0</v>
      </c>
      <c r="Z269" s="106">
        <f t="shared" si="135"/>
        <v>0</v>
      </c>
      <c r="AA269" s="106">
        <f t="shared" si="135"/>
        <v>0</v>
      </c>
    </row>
    <row r="270" spans="4:28" hidden="1" x14ac:dyDescent="0.25">
      <c r="E270" s="47" t="s">
        <v>645</v>
      </c>
      <c r="F270" s="47" t="s">
        <v>639</v>
      </c>
      <c r="G270" s="106">
        <f t="shared" si="135"/>
        <v>0</v>
      </c>
      <c r="H270" s="106">
        <f t="shared" si="135"/>
        <v>0</v>
      </c>
      <c r="I270" s="106">
        <f t="shared" si="135"/>
        <v>0</v>
      </c>
      <c r="J270" s="106">
        <f t="shared" si="135"/>
        <v>0</v>
      </c>
      <c r="K270" s="106">
        <f t="shared" si="135"/>
        <v>0</v>
      </c>
      <c r="L270" s="106">
        <f t="shared" si="135"/>
        <v>0</v>
      </c>
      <c r="M270" s="106">
        <f t="shared" si="135"/>
        <v>0</v>
      </c>
      <c r="N270" s="106">
        <f t="shared" si="135"/>
        <v>0</v>
      </c>
      <c r="O270" s="106">
        <f t="shared" si="135"/>
        <v>0</v>
      </c>
      <c r="P270" s="106">
        <f t="shared" si="135"/>
        <v>0</v>
      </c>
      <c r="Q270" s="106">
        <f t="shared" si="135"/>
        <v>0</v>
      </c>
      <c r="R270" s="106">
        <f t="shared" si="135"/>
        <v>0</v>
      </c>
      <c r="S270" s="106">
        <f t="shared" si="135"/>
        <v>0</v>
      </c>
      <c r="T270" s="106">
        <f t="shared" si="135"/>
        <v>0</v>
      </c>
      <c r="U270" s="106">
        <f t="shared" si="135"/>
        <v>0</v>
      </c>
      <c r="V270" s="106">
        <f t="shared" si="135"/>
        <v>0</v>
      </c>
      <c r="W270" s="106">
        <f t="shared" si="135"/>
        <v>0</v>
      </c>
      <c r="X270" s="106">
        <f t="shared" si="135"/>
        <v>0</v>
      </c>
      <c r="Y270" s="106">
        <f t="shared" si="135"/>
        <v>0</v>
      </c>
      <c r="Z270" s="106">
        <f t="shared" si="135"/>
        <v>0</v>
      </c>
      <c r="AA270" s="106">
        <f t="shared" si="135"/>
        <v>0</v>
      </c>
    </row>
    <row r="271" spans="4:28" hidden="1" x14ac:dyDescent="0.25">
      <c r="E271" s="47" t="s">
        <v>723</v>
      </c>
      <c r="F271" s="47" t="s">
        <v>639</v>
      </c>
      <c r="G271" s="106">
        <f t="shared" si="135"/>
        <v>0</v>
      </c>
      <c r="H271" s="106">
        <f t="shared" si="135"/>
        <v>2483836.7236137507</v>
      </c>
      <c r="I271" s="106">
        <f t="shared" si="135"/>
        <v>4971805.1390179936</v>
      </c>
      <c r="J271" s="106">
        <f t="shared" si="135"/>
        <v>6906377.3503501555</v>
      </c>
      <c r="K271" s="106">
        <f t="shared" si="135"/>
        <v>8712507.7001541667</v>
      </c>
      <c r="L271" s="106">
        <f t="shared" si="135"/>
        <v>10432030.348064309</v>
      </c>
      <c r="M271" s="106">
        <f t="shared" si="135"/>
        <v>12114635.49266321</v>
      </c>
      <c r="N271" s="106">
        <f t="shared" si="135"/>
        <v>13579480.822984746</v>
      </c>
      <c r="O271" s="106">
        <f t="shared" si="135"/>
        <v>14986341.503066478</v>
      </c>
      <c r="P271" s="106">
        <f t="shared" si="135"/>
        <v>16306756.954300888</v>
      </c>
      <c r="Q271" s="106">
        <f t="shared" si="135"/>
        <v>14975807.312850682</v>
      </c>
      <c r="R271" s="106">
        <f t="shared" si="135"/>
        <v>16595112.827922486</v>
      </c>
      <c r="S271" s="106">
        <f t="shared" si="135"/>
        <v>18204444.737122726</v>
      </c>
      <c r="T271" s="106">
        <f t="shared" si="135"/>
        <v>19781620.22520015</v>
      </c>
      <c r="U271" s="106">
        <f t="shared" si="135"/>
        <v>21354219.776650757</v>
      </c>
      <c r="V271" s="106">
        <f t="shared" si="135"/>
        <v>20249081.128577817</v>
      </c>
      <c r="W271" s="106">
        <f t="shared" si="135"/>
        <v>21618605.893025663</v>
      </c>
      <c r="X271" s="106">
        <f t="shared" si="135"/>
        <v>22970568.233779207</v>
      </c>
      <c r="Y271" s="106">
        <f t="shared" si="135"/>
        <v>24272020.760477524</v>
      </c>
      <c r="Z271" s="106">
        <f t="shared" si="135"/>
        <v>25508729.466101959</v>
      </c>
      <c r="AA271" s="106">
        <f t="shared" si="135"/>
        <v>26676746.315878056</v>
      </c>
      <c r="AB271" s="106">
        <f t="shared" ref="AB271:AB275" si="136">IF(V271=0,0,IF($G$15&gt;(AA271/V271)^(1/5)-1+2%,AA271*(AA271/V271)^(1/5)/($G$15-((AA271/V271)^(1/5)-1)),AA271*(1+$G$14)/$G$16))</f>
        <v>1106918934.2687986</v>
      </c>
    </row>
    <row r="272" spans="4:28" hidden="1" x14ac:dyDescent="0.25">
      <c r="E272" s="47" t="s">
        <v>701</v>
      </c>
      <c r="F272" s="47" t="s">
        <v>639</v>
      </c>
      <c r="G272" s="106">
        <f t="shared" si="135"/>
        <v>0</v>
      </c>
      <c r="H272" s="106">
        <f t="shared" si="135"/>
        <v>-23785.16154029161</v>
      </c>
      <c r="I272" s="106">
        <f t="shared" si="135"/>
        <v>-51491.796543353332</v>
      </c>
      <c r="J272" s="106">
        <f t="shared" si="135"/>
        <v>-72832.837348589848</v>
      </c>
      <c r="K272" s="106">
        <f t="shared" si="135"/>
        <v>-93268.067662621441</v>
      </c>
      <c r="L272" s="106">
        <f t="shared" si="135"/>
        <v>-113603.65257970217</v>
      </c>
      <c r="M272" s="106">
        <f t="shared" si="135"/>
        <v>-134809.62782109223</v>
      </c>
      <c r="N272" s="106">
        <f t="shared" si="135"/>
        <v>-154762.63093101198</v>
      </c>
      <c r="O272" s="106">
        <f t="shared" si="135"/>
        <v>-176621.84011346626</v>
      </c>
      <c r="P272" s="106">
        <f t="shared" si="135"/>
        <v>-196275.26393827741</v>
      </c>
      <c r="Q272" s="106">
        <f t="shared" si="135"/>
        <v>-214292.85186166794</v>
      </c>
      <c r="R272" s="106">
        <f t="shared" si="135"/>
        <v>-240330.6346972824</v>
      </c>
      <c r="S272" s="106">
        <f t="shared" si="135"/>
        <v>-266775.00524626451</v>
      </c>
      <c r="T272" s="106">
        <f t="shared" si="135"/>
        <v>-291478.92292273976</v>
      </c>
      <c r="U272" s="106">
        <f t="shared" si="135"/>
        <v>-314381.84382898302</v>
      </c>
      <c r="V272" s="106">
        <f t="shared" si="135"/>
        <v>-336740.47884909593</v>
      </c>
      <c r="W272" s="106">
        <f t="shared" si="135"/>
        <v>-359553.82703072409</v>
      </c>
      <c r="X272" s="106">
        <f t="shared" si="135"/>
        <v>-385853.90628970566</v>
      </c>
      <c r="Y272" s="106">
        <f t="shared" si="135"/>
        <v>-394047.85475089232</v>
      </c>
      <c r="Z272" s="106">
        <f t="shared" si="135"/>
        <v>-398779.97660908953</v>
      </c>
      <c r="AA272" s="106">
        <f t="shared" si="135"/>
        <v>-403715.21388490364</v>
      </c>
      <c r="AB272" s="106">
        <f t="shared" si="136"/>
        <v>-16751668.625929605</v>
      </c>
    </row>
    <row r="273" spans="1:28" hidden="1" x14ac:dyDescent="0.25">
      <c r="E273" s="47" t="s">
        <v>702</v>
      </c>
      <c r="F273" s="47" t="s">
        <v>639</v>
      </c>
      <c r="G273" s="106">
        <f t="shared" si="135"/>
        <v>0</v>
      </c>
      <c r="H273" s="106">
        <f t="shared" si="135"/>
        <v>-703250.07455304242</v>
      </c>
      <c r="I273" s="106">
        <f t="shared" si="135"/>
        <v>-1422152.1095639924</v>
      </c>
      <c r="J273" s="106">
        <f t="shared" si="135"/>
        <v>-2009478.5797107783</v>
      </c>
      <c r="K273" s="106">
        <f t="shared" si="135"/>
        <v>-2603425.8910048772</v>
      </c>
      <c r="L273" s="106">
        <f t="shared" si="135"/>
        <v>-3212763.1216384289</v>
      </c>
      <c r="M273" s="106">
        <f t="shared" si="135"/>
        <v>-3849665.7838454582</v>
      </c>
      <c r="N273" s="106">
        <f t="shared" si="135"/>
        <v>-4457448.9972438179</v>
      </c>
      <c r="O273" s="106">
        <f t="shared" si="135"/>
        <v>-5089437.7886395222</v>
      </c>
      <c r="P273" s="106">
        <f t="shared" si="135"/>
        <v>-5714640.1604214255</v>
      </c>
      <c r="Q273" s="106">
        <f t="shared" si="135"/>
        <v>-6417025.9841055544</v>
      </c>
      <c r="R273" s="106">
        <f t="shared" si="135"/>
        <v>-7119183.5017968779</v>
      </c>
      <c r="S273" s="106">
        <f t="shared" si="135"/>
        <v>-7816046.4460648848</v>
      </c>
      <c r="T273" s="106">
        <f t="shared" si="135"/>
        <v>-8498598.5450102352</v>
      </c>
      <c r="U273" s="106">
        <f t="shared" si="135"/>
        <v>-9178383.7770022843</v>
      </c>
      <c r="V273" s="106">
        <f t="shared" si="135"/>
        <v>-9851476.942763349</v>
      </c>
      <c r="W273" s="106">
        <f t="shared" si="135"/>
        <v>-10516729.019204564</v>
      </c>
      <c r="X273" s="106">
        <f t="shared" si="135"/>
        <v>-11170442.047587294</v>
      </c>
      <c r="Y273" s="106">
        <f t="shared" si="135"/>
        <v>-11796258.951363552</v>
      </c>
      <c r="Z273" s="106">
        <f t="shared" si="135"/>
        <v>-12388920.780721309</v>
      </c>
      <c r="AA273" s="106">
        <f t="shared" si="135"/>
        <v>-12949758.523653284</v>
      </c>
      <c r="AB273" s="106">
        <f t="shared" si="136"/>
        <v>-537334378.57482481</v>
      </c>
    </row>
    <row r="274" spans="1:28" hidden="1" x14ac:dyDescent="0.25">
      <c r="E274" s="47" t="s">
        <v>709</v>
      </c>
      <c r="F274" s="47" t="s">
        <v>639</v>
      </c>
      <c r="G274" s="106">
        <f t="shared" si="135"/>
        <v>0</v>
      </c>
      <c r="H274" s="106">
        <f t="shared" si="135"/>
        <v>0</v>
      </c>
      <c r="I274" s="106">
        <f t="shared" si="135"/>
        <v>0</v>
      </c>
      <c r="J274" s="106">
        <f t="shared" si="135"/>
        <v>0</v>
      </c>
      <c r="K274" s="106">
        <f t="shared" si="135"/>
        <v>0</v>
      </c>
      <c r="L274" s="106">
        <f t="shared" si="135"/>
        <v>0</v>
      </c>
      <c r="M274" s="106">
        <f t="shared" si="135"/>
        <v>0</v>
      </c>
      <c r="N274" s="106">
        <f t="shared" si="135"/>
        <v>0</v>
      </c>
      <c r="O274" s="106">
        <f t="shared" si="135"/>
        <v>0</v>
      </c>
      <c r="P274" s="106">
        <f t="shared" si="135"/>
        <v>0</v>
      </c>
      <c r="Q274" s="106">
        <f t="shared" si="135"/>
        <v>0</v>
      </c>
      <c r="R274" s="106">
        <f t="shared" si="135"/>
        <v>0</v>
      </c>
      <c r="S274" s="106">
        <f t="shared" si="135"/>
        <v>0</v>
      </c>
      <c r="T274" s="106">
        <f t="shared" si="135"/>
        <v>0</v>
      </c>
      <c r="U274" s="106">
        <f t="shared" si="135"/>
        <v>0</v>
      </c>
      <c r="V274" s="106">
        <f t="shared" si="135"/>
        <v>0</v>
      </c>
      <c r="W274" s="106">
        <f t="shared" si="135"/>
        <v>0</v>
      </c>
      <c r="X274" s="106">
        <f t="shared" si="135"/>
        <v>0</v>
      </c>
      <c r="Y274" s="106">
        <f t="shared" si="135"/>
        <v>0</v>
      </c>
      <c r="Z274" s="106">
        <f t="shared" si="135"/>
        <v>0</v>
      </c>
      <c r="AA274" s="106">
        <f t="shared" si="135"/>
        <v>0</v>
      </c>
      <c r="AB274" s="106">
        <f t="shared" si="136"/>
        <v>0</v>
      </c>
    </row>
    <row r="275" spans="1:28" hidden="1" x14ac:dyDescent="0.25">
      <c r="E275" s="47" t="s">
        <v>714</v>
      </c>
      <c r="F275" s="47" t="s">
        <v>639</v>
      </c>
      <c r="G275" s="106">
        <f t="shared" si="135"/>
        <v>0</v>
      </c>
      <c r="H275" s="106">
        <f t="shared" si="135"/>
        <v>0</v>
      </c>
      <c r="I275" s="106">
        <f t="shared" si="135"/>
        <v>0</v>
      </c>
      <c r="J275" s="106">
        <f t="shared" si="135"/>
        <v>0</v>
      </c>
      <c r="K275" s="106">
        <f t="shared" si="135"/>
        <v>0</v>
      </c>
      <c r="L275" s="106">
        <f t="shared" si="135"/>
        <v>0</v>
      </c>
      <c r="M275" s="106">
        <f t="shared" si="135"/>
        <v>0</v>
      </c>
      <c r="N275" s="106">
        <f t="shared" si="135"/>
        <v>0</v>
      </c>
      <c r="O275" s="106">
        <f t="shared" si="135"/>
        <v>0</v>
      </c>
      <c r="P275" s="106">
        <f t="shared" si="135"/>
        <v>0</v>
      </c>
      <c r="Q275" s="106">
        <f t="shared" si="135"/>
        <v>0</v>
      </c>
      <c r="R275" s="106">
        <f t="shared" si="135"/>
        <v>0</v>
      </c>
      <c r="S275" s="106">
        <f t="shared" si="135"/>
        <v>0</v>
      </c>
      <c r="T275" s="106">
        <f t="shared" si="135"/>
        <v>0</v>
      </c>
      <c r="U275" s="106">
        <f t="shared" si="135"/>
        <v>0</v>
      </c>
      <c r="V275" s="106">
        <f t="shared" si="135"/>
        <v>0</v>
      </c>
      <c r="W275" s="106">
        <f t="shared" si="135"/>
        <v>0</v>
      </c>
      <c r="X275" s="106">
        <f t="shared" si="135"/>
        <v>0</v>
      </c>
      <c r="Y275" s="106">
        <f t="shared" si="135"/>
        <v>0</v>
      </c>
      <c r="Z275" s="106">
        <f t="shared" si="135"/>
        <v>0</v>
      </c>
      <c r="AA275" s="106">
        <f t="shared" si="135"/>
        <v>0</v>
      </c>
      <c r="AB275" s="106">
        <f t="shared" si="136"/>
        <v>0</v>
      </c>
    </row>
    <row r="276" spans="1:28" hidden="1" x14ac:dyDescent="0.25">
      <c r="E276" s="47" t="s">
        <v>458</v>
      </c>
      <c r="F276" s="47" t="s">
        <v>639</v>
      </c>
      <c r="G276" s="106" t="e">
        <f t="shared" ref="G276:AA276" si="137">G265</f>
        <v>#REF!</v>
      </c>
      <c r="H276" s="106">
        <f t="shared" si="137"/>
        <v>-11844306.758224258</v>
      </c>
      <c r="I276" s="106">
        <f t="shared" si="137"/>
        <v>-12417847.833092926</v>
      </c>
      <c r="J276" s="106">
        <f t="shared" si="137"/>
        <v>-12368395.144992815</v>
      </c>
      <c r="K276" s="106">
        <f t="shared" si="137"/>
        <v>-12745437.451169962</v>
      </c>
      <c r="L276" s="106">
        <f t="shared" si="137"/>
        <v>-12348648.97141543</v>
      </c>
      <c r="M276" s="106">
        <f t="shared" si="137"/>
        <v>-13101897.828091424</v>
      </c>
      <c r="N276" s="106">
        <f t="shared" si="137"/>
        <v>-12867208.385768734</v>
      </c>
      <c r="O276" s="106">
        <f t="shared" si="137"/>
        <v>-13562853.971030219</v>
      </c>
      <c r="P276" s="106">
        <f t="shared" si="137"/>
        <v>-13733589.882843375</v>
      </c>
      <c r="Q276" s="106">
        <f t="shared" si="137"/>
        <v>-12888024.401266202</v>
      </c>
      <c r="R276" s="106">
        <f t="shared" si="137"/>
        <v>-12878366.792380586</v>
      </c>
      <c r="S276" s="106">
        <f t="shared" si="137"/>
        <v>-12791609.984148027</v>
      </c>
      <c r="T276" s="106">
        <f t="shared" si="137"/>
        <v>-12512897.635557899</v>
      </c>
      <c r="U276" s="106">
        <f t="shared" si="137"/>
        <v>-12467052.479446186</v>
      </c>
      <c r="V276" s="106">
        <f t="shared" si="137"/>
        <v>-11547225.020694038</v>
      </c>
      <c r="W276" s="106">
        <f t="shared" si="137"/>
        <v>-11440645.774670495</v>
      </c>
      <c r="X276" s="106">
        <f t="shared" si="137"/>
        <v>-11235374.144685132</v>
      </c>
      <c r="Y276" s="106">
        <f t="shared" si="137"/>
        <v>-10727610.154388113</v>
      </c>
      <c r="Z276" s="106">
        <f t="shared" si="137"/>
        <v>-10065894.137518974</v>
      </c>
      <c r="AA276" s="106">
        <f t="shared" si="137"/>
        <v>-9327581.5080998987</v>
      </c>
      <c r="AB276" s="106">
        <f>IF(V276=0,0,IF($G$15&gt;(AA276/V276)^(1/5)-1+2%,AA276*(AA276/V276)^(1/5)/($G$15-((AA276/V276)^(1/5)-1)),AA276*(1+$G$14)/$G$16))</f>
        <v>-135635297.29857886</v>
      </c>
    </row>
    <row r="277" spans="1:28" hidden="1" x14ac:dyDescent="0.25">
      <c r="E277" s="47" t="s">
        <v>730</v>
      </c>
      <c r="F277" s="47" t="s">
        <v>639</v>
      </c>
      <c r="G277" s="106" t="e">
        <f>-$G$17*G276</f>
        <v>#REF!</v>
      </c>
      <c r="H277" s="106">
        <f t="shared" ref="H277:AA277" si="138">-$G$17*H276</f>
        <v>5922153.3791121291</v>
      </c>
      <c r="I277" s="106">
        <f t="shared" si="138"/>
        <v>6208923.916546463</v>
      </c>
      <c r="J277" s="106">
        <f t="shared" si="138"/>
        <v>6184197.5724964077</v>
      </c>
      <c r="K277" s="106">
        <f t="shared" si="138"/>
        <v>6372718.725584981</v>
      </c>
      <c r="L277" s="106">
        <f t="shared" si="138"/>
        <v>6174324.4857077152</v>
      </c>
      <c r="M277" s="106">
        <f t="shared" si="138"/>
        <v>6550948.914045712</v>
      </c>
      <c r="N277" s="106">
        <f t="shared" si="138"/>
        <v>6433604.192884367</v>
      </c>
      <c r="O277" s="106">
        <f t="shared" si="138"/>
        <v>6781426.9855151093</v>
      </c>
      <c r="P277" s="106">
        <f t="shared" si="138"/>
        <v>6866794.9414216876</v>
      </c>
      <c r="Q277" s="106">
        <f t="shared" si="138"/>
        <v>6444012.2006331012</v>
      </c>
      <c r="R277" s="106">
        <f t="shared" si="138"/>
        <v>6439183.3961902931</v>
      </c>
      <c r="S277" s="106">
        <f t="shared" si="138"/>
        <v>6395804.9920740137</v>
      </c>
      <c r="T277" s="106">
        <f t="shared" si="138"/>
        <v>6256448.8177789496</v>
      </c>
      <c r="U277" s="106">
        <f t="shared" si="138"/>
        <v>6233526.2397230929</v>
      </c>
      <c r="V277" s="106">
        <f t="shared" si="138"/>
        <v>5773612.5103470189</v>
      </c>
      <c r="W277" s="106">
        <f t="shared" si="138"/>
        <v>5720322.8873352474</v>
      </c>
      <c r="X277" s="106">
        <f t="shared" si="138"/>
        <v>5617687.0723425662</v>
      </c>
      <c r="Y277" s="106">
        <f t="shared" si="138"/>
        <v>5363805.0771940565</v>
      </c>
      <c r="Z277" s="106">
        <f t="shared" si="138"/>
        <v>5032947.068759487</v>
      </c>
      <c r="AA277" s="106">
        <f t="shared" si="138"/>
        <v>4663790.7540499493</v>
      </c>
      <c r="AB277" s="106">
        <f t="shared" ref="AB277" si="139">IF(V277=0,0,IF($G$15&gt;(AA277/V277)^(1/5)-1+2%,AA277*(AA277/V277)^(1/5)/($G$15-((AA277/V277)^(1/5)-1)),AA277*(1+$G$14)/$G$16))</f>
        <v>67817648.649289429</v>
      </c>
    </row>
    <row r="278" spans="1:28" hidden="1" x14ac:dyDescent="0.25">
      <c r="E278" s="47" t="s">
        <v>731</v>
      </c>
      <c r="F278" s="47" t="s">
        <v>639</v>
      </c>
      <c r="G278" s="106" t="e">
        <f t="shared" ref="G278:AA278" si="140">SUM(G268:G277)</f>
        <v>#REF!</v>
      </c>
      <c r="H278" s="106">
        <f t="shared" si="140"/>
        <v>-55899493.176390268</v>
      </c>
      <c r="I278" s="106">
        <f t="shared" si="140"/>
        <v>-45678429.232427642</v>
      </c>
      <c r="J278" s="106">
        <f t="shared" si="140"/>
        <v>-45333923.819262609</v>
      </c>
      <c r="K278" s="106">
        <f t="shared" si="140"/>
        <v>-52183456.949554518</v>
      </c>
      <c r="L278" s="106">
        <f t="shared" si="140"/>
        <v>-49245202.950637616</v>
      </c>
      <c r="M278" s="106">
        <f t="shared" si="140"/>
        <v>-49305286.864091091</v>
      </c>
      <c r="N278" s="106">
        <f t="shared" si="140"/>
        <v>-26303163.265429128</v>
      </c>
      <c r="O278" s="106">
        <f t="shared" si="140"/>
        <v>-35680193.233277798</v>
      </c>
      <c r="P278" s="106">
        <f t="shared" si="140"/>
        <v>-17565872.653428536</v>
      </c>
      <c r="Q278" s="106">
        <f t="shared" si="140"/>
        <v>-36021890.86398904</v>
      </c>
      <c r="R278" s="106">
        <f t="shared" si="140"/>
        <v>-35125951.84500137</v>
      </c>
      <c r="S278" s="106">
        <f t="shared" si="140"/>
        <v>-34196548.846501842</v>
      </c>
      <c r="T278" s="106">
        <f t="shared" si="140"/>
        <v>-33187273.200751182</v>
      </c>
      <c r="U278" s="106">
        <f t="shared" si="140"/>
        <v>-32294439.224143006</v>
      </c>
      <c r="V278" s="106">
        <f t="shared" si="140"/>
        <v>-33635115.943621054</v>
      </c>
      <c r="W278" s="106">
        <f t="shared" si="140"/>
        <v>-32900366.980784275</v>
      </c>
      <c r="X278" s="106">
        <f t="shared" si="140"/>
        <v>-32125781.932679765</v>
      </c>
      <c r="Y278" s="106">
        <f t="shared" si="140"/>
        <v>-31204458.263070382</v>
      </c>
      <c r="Z278" s="106">
        <f t="shared" si="140"/>
        <v>-30234285.500227332</v>
      </c>
      <c r="AA278" s="106">
        <f t="shared" si="140"/>
        <v>-29262885.315949485</v>
      </c>
      <c r="AB278" s="106" t="e">
        <f>SUM(AB268:AB277)*IF(DASH!#REF!="yes",1,0)</f>
        <v>#REF!</v>
      </c>
    </row>
    <row r="279" spans="1:28" hidden="1" x14ac:dyDescent="0.25">
      <c r="E279" s="47" t="s">
        <v>732</v>
      </c>
      <c r="F279" s="47" t="s">
        <v>639</v>
      </c>
      <c r="G279" s="106" t="e">
        <f>NPV($G$15,H278:AQ278)+G278</f>
        <v>#REF!</v>
      </c>
    </row>
    <row r="280" spans="1:28" hidden="1" x14ac:dyDescent="0.25">
      <c r="E280" s="111" t="s">
        <v>734</v>
      </c>
      <c r="F280" s="111"/>
      <c r="G280" s="118" t="e">
        <f>IF(G279&gt;0,"N/A",IF(ABS(G279+G253)&gt;1,"Error","OK"))</f>
        <v>#REF!</v>
      </c>
    </row>
    <row r="281" spans="1:28" hidden="1" x14ac:dyDescent="0.25"/>
    <row r="282" spans="1:28" hidden="1" x14ac:dyDescent="0.25">
      <c r="C282" s="100" t="s">
        <v>736</v>
      </c>
      <c r="D282" s="100"/>
    </row>
    <row r="283" spans="1:28" hidden="1" x14ac:dyDescent="0.25">
      <c r="A283" s="101">
        <v>54</v>
      </c>
      <c r="C283" s="100"/>
      <c r="D283" s="100"/>
      <c r="E283" s="47" t="s">
        <v>737</v>
      </c>
      <c r="F283" s="47" t="s">
        <v>655</v>
      </c>
      <c r="G283" s="102">
        <v>1</v>
      </c>
      <c r="H283" s="102">
        <v>1</v>
      </c>
      <c r="I283" s="102">
        <v>1</v>
      </c>
      <c r="J283" s="102">
        <v>1</v>
      </c>
      <c r="K283" s="102">
        <v>1</v>
      </c>
      <c r="L283" s="102">
        <v>1</v>
      </c>
      <c r="M283" s="102">
        <v>0</v>
      </c>
      <c r="N283" s="102">
        <v>0</v>
      </c>
      <c r="O283" s="102">
        <v>0</v>
      </c>
      <c r="P283" s="102">
        <v>0</v>
      </c>
      <c r="Q283" s="102">
        <v>0</v>
      </c>
      <c r="R283" s="102">
        <v>0</v>
      </c>
      <c r="S283" s="102">
        <v>0</v>
      </c>
      <c r="T283" s="102">
        <v>0</v>
      </c>
      <c r="U283" s="102">
        <v>0</v>
      </c>
      <c r="V283" s="102">
        <v>0</v>
      </c>
      <c r="W283" s="102">
        <v>0</v>
      </c>
      <c r="X283" s="102">
        <v>0</v>
      </c>
      <c r="Y283" s="102">
        <v>0</v>
      </c>
      <c r="Z283" s="102">
        <v>0</v>
      </c>
      <c r="AA283" s="102">
        <v>0</v>
      </c>
    </row>
    <row r="284" spans="1:28" hidden="1" x14ac:dyDescent="0.25">
      <c r="E284" s="47" t="s">
        <v>738</v>
      </c>
      <c r="F284" s="47" t="s">
        <v>739</v>
      </c>
      <c r="G284" s="115" t="e">
        <f>MAX(0,-G311/(NPV($G$16,H283:AA283)+G283))</f>
        <v>#VALUE!</v>
      </c>
      <c r="H284" s="106" t="e">
        <f t="shared" ref="H284:AA284" si="141">G284*(1+$G$14)</f>
        <v>#VALUE!</v>
      </c>
      <c r="I284" s="106" t="e">
        <f t="shared" si="141"/>
        <v>#VALUE!</v>
      </c>
      <c r="J284" s="106" t="e">
        <f t="shared" si="141"/>
        <v>#VALUE!</v>
      </c>
      <c r="K284" s="106" t="e">
        <f t="shared" si="141"/>
        <v>#VALUE!</v>
      </c>
      <c r="L284" s="106" t="e">
        <f t="shared" si="141"/>
        <v>#VALUE!</v>
      </c>
      <c r="M284" s="106" t="e">
        <f t="shared" si="141"/>
        <v>#VALUE!</v>
      </c>
      <c r="N284" s="106" t="e">
        <f t="shared" si="141"/>
        <v>#VALUE!</v>
      </c>
      <c r="O284" s="106" t="e">
        <f t="shared" si="141"/>
        <v>#VALUE!</v>
      </c>
      <c r="P284" s="106" t="e">
        <f t="shared" si="141"/>
        <v>#VALUE!</v>
      </c>
      <c r="Q284" s="106" t="e">
        <f t="shared" si="141"/>
        <v>#VALUE!</v>
      </c>
      <c r="R284" s="106" t="e">
        <f t="shared" si="141"/>
        <v>#VALUE!</v>
      </c>
      <c r="S284" s="106" t="e">
        <f t="shared" si="141"/>
        <v>#VALUE!</v>
      </c>
      <c r="T284" s="106" t="e">
        <f t="shared" si="141"/>
        <v>#VALUE!</v>
      </c>
      <c r="U284" s="106" t="e">
        <f t="shared" si="141"/>
        <v>#VALUE!</v>
      </c>
      <c r="V284" s="106" t="e">
        <f t="shared" si="141"/>
        <v>#VALUE!</v>
      </c>
      <c r="W284" s="106" t="e">
        <f t="shared" si="141"/>
        <v>#VALUE!</v>
      </c>
      <c r="X284" s="106" t="e">
        <f t="shared" si="141"/>
        <v>#VALUE!</v>
      </c>
      <c r="Y284" s="106" t="e">
        <f t="shared" si="141"/>
        <v>#VALUE!</v>
      </c>
      <c r="Z284" s="106" t="e">
        <f t="shared" si="141"/>
        <v>#VALUE!</v>
      </c>
      <c r="AA284" s="106" t="e">
        <f t="shared" si="141"/>
        <v>#VALUE!</v>
      </c>
    </row>
    <row r="285" spans="1:28" hidden="1" x14ac:dyDescent="0.25">
      <c r="E285" s="47" t="s">
        <v>721</v>
      </c>
      <c r="F285" s="47" t="s">
        <v>639</v>
      </c>
      <c r="G285" s="106" t="e">
        <f>G283*G284</f>
        <v>#VALUE!</v>
      </c>
      <c r="H285" s="106" t="e">
        <f t="shared" ref="H285:AA285" si="142">H283*H284</f>
        <v>#VALUE!</v>
      </c>
      <c r="I285" s="106" t="e">
        <f t="shared" si="142"/>
        <v>#VALUE!</v>
      </c>
      <c r="J285" s="106" t="e">
        <f t="shared" si="142"/>
        <v>#VALUE!</v>
      </c>
      <c r="K285" s="106" t="e">
        <f t="shared" si="142"/>
        <v>#VALUE!</v>
      </c>
      <c r="L285" s="106" t="e">
        <f t="shared" si="142"/>
        <v>#VALUE!</v>
      </c>
      <c r="M285" s="106" t="e">
        <f t="shared" si="142"/>
        <v>#VALUE!</v>
      </c>
      <c r="N285" s="106" t="e">
        <f t="shared" si="142"/>
        <v>#VALUE!</v>
      </c>
      <c r="O285" s="106" t="e">
        <f t="shared" si="142"/>
        <v>#VALUE!</v>
      </c>
      <c r="P285" s="106" t="e">
        <f t="shared" si="142"/>
        <v>#VALUE!</v>
      </c>
      <c r="Q285" s="106" t="e">
        <f t="shared" si="142"/>
        <v>#VALUE!</v>
      </c>
      <c r="R285" s="106" t="e">
        <f t="shared" si="142"/>
        <v>#VALUE!</v>
      </c>
      <c r="S285" s="106" t="e">
        <f t="shared" si="142"/>
        <v>#VALUE!</v>
      </c>
      <c r="T285" s="106" t="e">
        <f t="shared" si="142"/>
        <v>#VALUE!</v>
      </c>
      <c r="U285" s="106" t="e">
        <f t="shared" si="142"/>
        <v>#VALUE!</v>
      </c>
      <c r="V285" s="106" t="e">
        <f t="shared" si="142"/>
        <v>#VALUE!</v>
      </c>
      <c r="W285" s="106" t="e">
        <f t="shared" si="142"/>
        <v>#VALUE!</v>
      </c>
      <c r="X285" s="106" t="e">
        <f t="shared" si="142"/>
        <v>#VALUE!</v>
      </c>
      <c r="Y285" s="106" t="e">
        <f t="shared" si="142"/>
        <v>#VALUE!</v>
      </c>
      <c r="Z285" s="106" t="e">
        <f t="shared" si="142"/>
        <v>#VALUE!</v>
      </c>
      <c r="AA285" s="106" t="e">
        <f t="shared" si="142"/>
        <v>#VALUE!</v>
      </c>
    </row>
    <row r="286" spans="1:28" hidden="1" x14ac:dyDescent="0.25"/>
    <row r="287" spans="1:28" hidden="1" x14ac:dyDescent="0.25">
      <c r="D287" s="47" t="s">
        <v>722</v>
      </c>
    </row>
    <row r="288" spans="1:28" hidden="1" x14ac:dyDescent="0.25">
      <c r="E288" s="47" t="s">
        <v>573</v>
      </c>
      <c r="F288" s="47" t="s">
        <v>639</v>
      </c>
      <c r="G288" s="106">
        <f t="shared" ref="G288:AA293" si="143">G222</f>
        <v>0</v>
      </c>
      <c r="H288" s="106">
        <f t="shared" si="143"/>
        <v>38870166.630881675</v>
      </c>
      <c r="I288" s="106">
        <f t="shared" si="143"/>
        <v>40141474.782168381</v>
      </c>
      <c r="J288" s="106">
        <f t="shared" si="143"/>
        <v>39717987.338401109</v>
      </c>
      <c r="K288" s="106">
        <f t="shared" si="143"/>
        <v>40938974.50146085</v>
      </c>
      <c r="L288" s="106">
        <f t="shared" si="143"/>
        <v>39541908.886162557</v>
      </c>
      <c r="M288" s="106">
        <f t="shared" si="143"/>
        <v>42087218.097714916</v>
      </c>
      <c r="N288" s="106">
        <f t="shared" si="143"/>
        <v>41269013.60860689</v>
      </c>
      <c r="O288" s="106">
        <f t="shared" si="143"/>
        <v>43772530.498473428</v>
      </c>
      <c r="P288" s="106">
        <f t="shared" si="143"/>
        <v>44416241.299846351</v>
      </c>
      <c r="Q288" s="106">
        <f t="shared" si="143"/>
        <v>44588074.398570456</v>
      </c>
      <c r="R288" s="106">
        <f t="shared" si="143"/>
        <v>44603980.540237896</v>
      </c>
      <c r="S288" s="106">
        <f t="shared" si="143"/>
        <v>44365323.222940505</v>
      </c>
      <c r="T288" s="106">
        <f t="shared" si="143"/>
        <v>43493229.294844456</v>
      </c>
      <c r="U288" s="106">
        <f t="shared" si="143"/>
        <v>43396290.314801514</v>
      </c>
      <c r="V288" s="106">
        <f t="shared" si="143"/>
        <v>43052761.857167616</v>
      </c>
      <c r="W288" s="106">
        <f t="shared" si="143"/>
        <v>42936721.650992423</v>
      </c>
      <c r="X288" s="106">
        <f t="shared" si="143"/>
        <v>42496323.626946062</v>
      </c>
      <c r="Y288" s="106">
        <f t="shared" si="143"/>
        <v>41035898.346282206</v>
      </c>
      <c r="Z288" s="106">
        <f t="shared" si="143"/>
        <v>39068567.330252215</v>
      </c>
      <c r="AA288" s="106">
        <f t="shared" si="143"/>
        <v>36858428.054161616</v>
      </c>
    </row>
    <row r="289" spans="4:28" hidden="1" x14ac:dyDescent="0.25">
      <c r="E289" s="47" t="s">
        <v>723</v>
      </c>
      <c r="F289" s="47" t="s">
        <v>639</v>
      </c>
      <c r="G289" s="106">
        <f t="shared" si="143"/>
        <v>0</v>
      </c>
      <c r="H289" s="106">
        <f t="shared" si="143"/>
        <v>2483836.7236137507</v>
      </c>
      <c r="I289" s="106">
        <f t="shared" si="143"/>
        <v>4971805.1390179936</v>
      </c>
      <c r="J289" s="106">
        <f t="shared" si="143"/>
        <v>6906377.3503501555</v>
      </c>
      <c r="K289" s="106">
        <f t="shared" si="143"/>
        <v>8712507.7001541667</v>
      </c>
      <c r="L289" s="106">
        <f t="shared" si="143"/>
        <v>10432030.348064309</v>
      </c>
      <c r="M289" s="106">
        <f t="shared" si="143"/>
        <v>12114635.49266321</v>
      </c>
      <c r="N289" s="106">
        <f t="shared" si="143"/>
        <v>13579480.822984746</v>
      </c>
      <c r="O289" s="106">
        <f t="shared" si="143"/>
        <v>14986341.503066478</v>
      </c>
      <c r="P289" s="106">
        <f t="shared" si="143"/>
        <v>16306756.954300888</v>
      </c>
      <c r="Q289" s="106">
        <f t="shared" si="143"/>
        <v>14975807.312850682</v>
      </c>
      <c r="R289" s="106">
        <f t="shared" si="143"/>
        <v>16595112.827922486</v>
      </c>
      <c r="S289" s="106">
        <f t="shared" si="143"/>
        <v>18204444.737122726</v>
      </c>
      <c r="T289" s="106">
        <f t="shared" si="143"/>
        <v>19781620.22520015</v>
      </c>
      <c r="U289" s="106">
        <f t="shared" si="143"/>
        <v>21354219.776650757</v>
      </c>
      <c r="V289" s="106">
        <f t="shared" si="143"/>
        <v>20249081.128577817</v>
      </c>
      <c r="W289" s="106">
        <f t="shared" si="143"/>
        <v>21618605.893025663</v>
      </c>
      <c r="X289" s="106">
        <f t="shared" si="143"/>
        <v>22970568.233779207</v>
      </c>
      <c r="Y289" s="106">
        <f t="shared" si="143"/>
        <v>24272020.760477524</v>
      </c>
      <c r="Z289" s="106">
        <f t="shared" si="143"/>
        <v>25508729.466101959</v>
      </c>
      <c r="AA289" s="106">
        <f t="shared" si="143"/>
        <v>26676746.315878056</v>
      </c>
    </row>
    <row r="290" spans="4:28" hidden="1" x14ac:dyDescent="0.25">
      <c r="E290" s="47" t="s">
        <v>701</v>
      </c>
      <c r="F290" s="47" t="s">
        <v>639</v>
      </c>
      <c r="G290" s="106">
        <f t="shared" si="143"/>
        <v>0</v>
      </c>
      <c r="H290" s="106">
        <f t="shared" si="143"/>
        <v>-23785.16154029161</v>
      </c>
      <c r="I290" s="106">
        <f t="shared" si="143"/>
        <v>-51491.796543353332</v>
      </c>
      <c r="J290" s="106">
        <f t="shared" si="143"/>
        <v>-72832.837348589848</v>
      </c>
      <c r="K290" s="106">
        <f t="shared" si="143"/>
        <v>-93268.067662621441</v>
      </c>
      <c r="L290" s="106">
        <f t="shared" si="143"/>
        <v>-113603.65257970217</v>
      </c>
      <c r="M290" s="106">
        <f t="shared" si="143"/>
        <v>-134809.62782109223</v>
      </c>
      <c r="N290" s="106">
        <f t="shared" si="143"/>
        <v>-154762.63093101198</v>
      </c>
      <c r="O290" s="106">
        <f t="shared" si="143"/>
        <v>-176621.84011346626</v>
      </c>
      <c r="P290" s="106">
        <f t="shared" si="143"/>
        <v>-196275.26393827741</v>
      </c>
      <c r="Q290" s="106">
        <f t="shared" si="143"/>
        <v>-214292.85186166794</v>
      </c>
      <c r="R290" s="106">
        <f t="shared" si="143"/>
        <v>-240330.6346972824</v>
      </c>
      <c r="S290" s="106">
        <f t="shared" si="143"/>
        <v>-266775.00524626451</v>
      </c>
      <c r="T290" s="106">
        <f t="shared" si="143"/>
        <v>-291478.92292273976</v>
      </c>
      <c r="U290" s="106">
        <f t="shared" si="143"/>
        <v>-314381.84382898302</v>
      </c>
      <c r="V290" s="106">
        <f t="shared" si="143"/>
        <v>-336740.47884909593</v>
      </c>
      <c r="W290" s="106">
        <f t="shared" si="143"/>
        <v>-359553.82703072409</v>
      </c>
      <c r="X290" s="106">
        <f t="shared" si="143"/>
        <v>-385853.90628970566</v>
      </c>
      <c r="Y290" s="106">
        <f t="shared" si="143"/>
        <v>-394047.85475089232</v>
      </c>
      <c r="Z290" s="106">
        <f t="shared" si="143"/>
        <v>-398779.97660908953</v>
      </c>
      <c r="AA290" s="106">
        <f t="shared" si="143"/>
        <v>-403715.21388490364</v>
      </c>
    </row>
    <row r="291" spans="4:28" hidden="1" x14ac:dyDescent="0.25">
      <c r="E291" s="47" t="s">
        <v>702</v>
      </c>
      <c r="F291" s="47" t="s">
        <v>639</v>
      </c>
      <c r="G291" s="106">
        <f t="shared" si="143"/>
        <v>0</v>
      </c>
      <c r="H291" s="106">
        <f t="shared" si="143"/>
        <v>-703250.07455304242</v>
      </c>
      <c r="I291" s="106">
        <f t="shared" si="143"/>
        <v>-1422152.1095639924</v>
      </c>
      <c r="J291" s="106">
        <f t="shared" si="143"/>
        <v>-2009478.5797107783</v>
      </c>
      <c r="K291" s="106">
        <f t="shared" si="143"/>
        <v>-2603425.8910048772</v>
      </c>
      <c r="L291" s="106">
        <f t="shared" si="143"/>
        <v>-3212763.1216384289</v>
      </c>
      <c r="M291" s="106">
        <f t="shared" si="143"/>
        <v>-3849665.7838454582</v>
      </c>
      <c r="N291" s="106">
        <f t="shared" si="143"/>
        <v>-4457448.9972438179</v>
      </c>
      <c r="O291" s="106">
        <f t="shared" si="143"/>
        <v>-5089437.7886395222</v>
      </c>
      <c r="P291" s="106">
        <f t="shared" si="143"/>
        <v>-5714640.1604214255</v>
      </c>
      <c r="Q291" s="106">
        <f t="shared" si="143"/>
        <v>-6417025.9841055544</v>
      </c>
      <c r="R291" s="106">
        <f t="shared" si="143"/>
        <v>-7119183.5017968779</v>
      </c>
      <c r="S291" s="106">
        <f t="shared" si="143"/>
        <v>-7816046.4460648848</v>
      </c>
      <c r="T291" s="106">
        <f t="shared" si="143"/>
        <v>-8498598.5450102352</v>
      </c>
      <c r="U291" s="106">
        <f t="shared" si="143"/>
        <v>-9178383.7770022843</v>
      </c>
      <c r="V291" s="106">
        <f t="shared" si="143"/>
        <v>-9851476.942763349</v>
      </c>
      <c r="W291" s="106">
        <f t="shared" si="143"/>
        <v>-10516729.019204564</v>
      </c>
      <c r="X291" s="106">
        <f t="shared" si="143"/>
        <v>-11170442.047587294</v>
      </c>
      <c r="Y291" s="106">
        <f t="shared" si="143"/>
        <v>-11796258.951363552</v>
      </c>
      <c r="Z291" s="106">
        <f t="shared" si="143"/>
        <v>-12388920.780721309</v>
      </c>
      <c r="AA291" s="106">
        <f t="shared" si="143"/>
        <v>-12949758.523653284</v>
      </c>
    </row>
    <row r="292" spans="4:28" hidden="1" x14ac:dyDescent="0.25">
      <c r="E292" s="47" t="s">
        <v>724</v>
      </c>
      <c r="F292" s="47" t="s">
        <v>639</v>
      </c>
      <c r="G292" s="106">
        <f t="shared" si="143"/>
        <v>0</v>
      </c>
      <c r="H292" s="106">
        <f t="shared" si="143"/>
        <v>-1145945.5909879019</v>
      </c>
      <c r="I292" s="106">
        <f t="shared" si="143"/>
        <v>-2246809.9047692716</v>
      </c>
      <c r="J292" s="106">
        <f t="shared" si="143"/>
        <v>-3314069.4550491809</v>
      </c>
      <c r="K292" s="106">
        <f t="shared" si="143"/>
        <v>-4469996.739047653</v>
      </c>
      <c r="L292" s="106">
        <f t="shared" si="143"/>
        <v>-5485409.221957298</v>
      </c>
      <c r="M292" s="106">
        <f t="shared" si="143"/>
        <v>-6544385.418406832</v>
      </c>
      <c r="N292" s="106">
        <f t="shared" si="143"/>
        <v>-7345588.1841876851</v>
      </c>
      <c r="O292" s="106">
        <f t="shared" si="143"/>
        <v>-8283299.1360195177</v>
      </c>
      <c r="P292" s="106">
        <f t="shared" si="143"/>
        <v>-9033449.8869762905</v>
      </c>
      <c r="Q292" s="106">
        <f t="shared" si="143"/>
        <v>-9972481.537899904</v>
      </c>
      <c r="R292" s="106">
        <f t="shared" si="143"/>
        <v>-10911689.923730932</v>
      </c>
      <c r="S292" s="106">
        <f t="shared" si="143"/>
        <v>-11848246.561591988</v>
      </c>
      <c r="T292" s="106">
        <f t="shared" si="143"/>
        <v>-12775113.266918646</v>
      </c>
      <c r="U292" s="106">
        <f t="shared" si="143"/>
        <v>-13700902.872467047</v>
      </c>
      <c r="V292" s="106">
        <f t="shared" si="143"/>
        <v>-14622875.49515285</v>
      </c>
      <c r="W292" s="106">
        <f t="shared" si="143"/>
        <v>-15543558.782214483</v>
      </c>
      <c r="X292" s="106">
        <f t="shared" si="143"/>
        <v>-16459348.757897824</v>
      </c>
      <c r="Y292" s="106">
        <f t="shared" si="143"/>
        <v>-17358911.78601823</v>
      </c>
      <c r="Z292" s="106">
        <f t="shared" si="143"/>
        <v>-18236615.580627196</v>
      </c>
      <c r="AA292" s="106">
        <f t="shared" si="143"/>
        <v>-19089762.272168487</v>
      </c>
    </row>
    <row r="293" spans="4:28" hidden="1" x14ac:dyDescent="0.25">
      <c r="E293" s="47" t="s">
        <v>709</v>
      </c>
      <c r="F293" s="47" t="s">
        <v>639</v>
      </c>
      <c r="G293" s="106">
        <f t="shared" si="143"/>
        <v>0</v>
      </c>
      <c r="H293" s="106">
        <f t="shared" si="143"/>
        <v>0</v>
      </c>
      <c r="I293" s="106">
        <f t="shared" si="143"/>
        <v>0</v>
      </c>
      <c r="J293" s="106">
        <f t="shared" si="143"/>
        <v>0</v>
      </c>
      <c r="K293" s="106">
        <f t="shared" si="143"/>
        <v>0</v>
      </c>
      <c r="L293" s="106">
        <f t="shared" si="143"/>
        <v>0</v>
      </c>
      <c r="M293" s="106">
        <f t="shared" si="143"/>
        <v>0</v>
      </c>
      <c r="N293" s="106">
        <f t="shared" si="143"/>
        <v>0</v>
      </c>
      <c r="O293" s="106">
        <f t="shared" si="143"/>
        <v>0</v>
      </c>
      <c r="P293" s="106">
        <f t="shared" si="143"/>
        <v>0</v>
      </c>
      <c r="Q293" s="106">
        <f t="shared" si="143"/>
        <v>0</v>
      </c>
      <c r="R293" s="106">
        <f t="shared" si="143"/>
        <v>0</v>
      </c>
      <c r="S293" s="106">
        <f t="shared" si="143"/>
        <v>0</v>
      </c>
      <c r="T293" s="106">
        <f t="shared" si="143"/>
        <v>0</v>
      </c>
      <c r="U293" s="106">
        <f t="shared" si="143"/>
        <v>0</v>
      </c>
      <c r="V293" s="106">
        <f t="shared" si="143"/>
        <v>0</v>
      </c>
      <c r="W293" s="106">
        <f t="shared" si="143"/>
        <v>0</v>
      </c>
      <c r="X293" s="106">
        <f t="shared" si="143"/>
        <v>0</v>
      </c>
      <c r="Y293" s="106">
        <f t="shared" si="143"/>
        <v>0</v>
      </c>
      <c r="Z293" s="106">
        <f t="shared" si="143"/>
        <v>0</v>
      </c>
      <c r="AA293" s="106">
        <f t="shared" si="143"/>
        <v>0</v>
      </c>
    </row>
    <row r="294" spans="4:28" hidden="1" x14ac:dyDescent="0.25">
      <c r="E294" s="47" t="s">
        <v>725</v>
      </c>
      <c r="F294" s="47" t="s">
        <v>639</v>
      </c>
      <c r="G294" s="106" t="e">
        <f t="shared" ref="G294:AA294" si="144">G285</f>
        <v>#VALUE!</v>
      </c>
      <c r="H294" s="106" t="e">
        <f t="shared" si="144"/>
        <v>#VALUE!</v>
      </c>
      <c r="I294" s="106" t="e">
        <f t="shared" si="144"/>
        <v>#VALUE!</v>
      </c>
      <c r="J294" s="106" t="e">
        <f t="shared" si="144"/>
        <v>#VALUE!</v>
      </c>
      <c r="K294" s="106" t="e">
        <f t="shared" si="144"/>
        <v>#VALUE!</v>
      </c>
      <c r="L294" s="106" t="e">
        <f t="shared" si="144"/>
        <v>#VALUE!</v>
      </c>
      <c r="M294" s="106" t="e">
        <f t="shared" si="144"/>
        <v>#VALUE!</v>
      </c>
      <c r="N294" s="106" t="e">
        <f t="shared" si="144"/>
        <v>#VALUE!</v>
      </c>
      <c r="O294" s="106" t="e">
        <f t="shared" si="144"/>
        <v>#VALUE!</v>
      </c>
      <c r="P294" s="106" t="e">
        <f t="shared" si="144"/>
        <v>#VALUE!</v>
      </c>
      <c r="Q294" s="106" t="e">
        <f t="shared" si="144"/>
        <v>#VALUE!</v>
      </c>
      <c r="R294" s="106" t="e">
        <f t="shared" si="144"/>
        <v>#VALUE!</v>
      </c>
      <c r="S294" s="106" t="e">
        <f t="shared" si="144"/>
        <v>#VALUE!</v>
      </c>
      <c r="T294" s="106" t="e">
        <f t="shared" si="144"/>
        <v>#VALUE!</v>
      </c>
      <c r="U294" s="106" t="e">
        <f t="shared" si="144"/>
        <v>#VALUE!</v>
      </c>
      <c r="V294" s="106" t="e">
        <f t="shared" si="144"/>
        <v>#VALUE!</v>
      </c>
      <c r="W294" s="106" t="e">
        <f t="shared" si="144"/>
        <v>#VALUE!</v>
      </c>
      <c r="X294" s="106" t="e">
        <f t="shared" si="144"/>
        <v>#VALUE!</v>
      </c>
      <c r="Y294" s="106" t="e">
        <f t="shared" si="144"/>
        <v>#VALUE!</v>
      </c>
      <c r="Z294" s="106" t="e">
        <f t="shared" si="144"/>
        <v>#VALUE!</v>
      </c>
      <c r="AA294" s="106" t="e">
        <f t="shared" si="144"/>
        <v>#VALUE!</v>
      </c>
    </row>
    <row r="295" spans="4:28" hidden="1" x14ac:dyDescent="0.25"/>
    <row r="296" spans="4:28" hidden="1" x14ac:dyDescent="0.25">
      <c r="E296" s="47" t="s">
        <v>726</v>
      </c>
      <c r="F296" s="47" t="s">
        <v>639</v>
      </c>
      <c r="G296" s="106" t="e">
        <f t="shared" ref="G296:AA296" si="145">SUM(G288:G294)</f>
        <v>#VALUE!</v>
      </c>
      <c r="H296" s="106" t="e">
        <f t="shared" si="145"/>
        <v>#VALUE!</v>
      </c>
      <c r="I296" s="106" t="e">
        <f t="shared" si="145"/>
        <v>#VALUE!</v>
      </c>
      <c r="J296" s="106" t="e">
        <f t="shared" si="145"/>
        <v>#VALUE!</v>
      </c>
      <c r="K296" s="106" t="e">
        <f t="shared" si="145"/>
        <v>#VALUE!</v>
      </c>
      <c r="L296" s="106" t="e">
        <f t="shared" si="145"/>
        <v>#VALUE!</v>
      </c>
      <c r="M296" s="106" t="e">
        <f t="shared" si="145"/>
        <v>#VALUE!</v>
      </c>
      <c r="N296" s="106" t="e">
        <f t="shared" si="145"/>
        <v>#VALUE!</v>
      </c>
      <c r="O296" s="106" t="e">
        <f t="shared" si="145"/>
        <v>#VALUE!</v>
      </c>
      <c r="P296" s="106" t="e">
        <f t="shared" si="145"/>
        <v>#VALUE!</v>
      </c>
      <c r="Q296" s="106" t="e">
        <f t="shared" si="145"/>
        <v>#VALUE!</v>
      </c>
      <c r="R296" s="106" t="e">
        <f t="shared" si="145"/>
        <v>#VALUE!</v>
      </c>
      <c r="S296" s="106" t="e">
        <f t="shared" si="145"/>
        <v>#VALUE!</v>
      </c>
      <c r="T296" s="106" t="e">
        <f t="shared" si="145"/>
        <v>#VALUE!</v>
      </c>
      <c r="U296" s="106" t="e">
        <f t="shared" si="145"/>
        <v>#VALUE!</v>
      </c>
      <c r="V296" s="106" t="e">
        <f t="shared" si="145"/>
        <v>#VALUE!</v>
      </c>
      <c r="W296" s="106" t="e">
        <f t="shared" si="145"/>
        <v>#VALUE!</v>
      </c>
      <c r="X296" s="106" t="e">
        <f t="shared" si="145"/>
        <v>#VALUE!</v>
      </c>
      <c r="Y296" s="106" t="e">
        <f t="shared" si="145"/>
        <v>#VALUE!</v>
      </c>
      <c r="Z296" s="106" t="e">
        <f t="shared" si="145"/>
        <v>#VALUE!</v>
      </c>
      <c r="AA296" s="106" t="e">
        <f t="shared" si="145"/>
        <v>#VALUE!</v>
      </c>
    </row>
    <row r="297" spans="4:28" hidden="1" x14ac:dyDescent="0.25">
      <c r="E297" s="47" t="s">
        <v>727</v>
      </c>
      <c r="F297" s="47" t="s">
        <v>639</v>
      </c>
      <c r="G297" s="106" t="e">
        <f t="shared" ref="G297:AA297" si="146">-G296*G$18</f>
        <v>#VALUE!</v>
      </c>
      <c r="H297" s="106" t="e">
        <f t="shared" si="146"/>
        <v>#VALUE!</v>
      </c>
      <c r="I297" s="106" t="e">
        <f t="shared" si="146"/>
        <v>#VALUE!</v>
      </c>
      <c r="J297" s="106" t="e">
        <f t="shared" si="146"/>
        <v>#VALUE!</v>
      </c>
      <c r="K297" s="106" t="e">
        <f t="shared" si="146"/>
        <v>#VALUE!</v>
      </c>
      <c r="L297" s="106" t="e">
        <f t="shared" si="146"/>
        <v>#VALUE!</v>
      </c>
      <c r="M297" s="106" t="e">
        <f t="shared" si="146"/>
        <v>#VALUE!</v>
      </c>
      <c r="N297" s="106" t="e">
        <f t="shared" si="146"/>
        <v>#VALUE!</v>
      </c>
      <c r="O297" s="106" t="e">
        <f t="shared" si="146"/>
        <v>#VALUE!</v>
      </c>
      <c r="P297" s="106" t="e">
        <f t="shared" si="146"/>
        <v>#VALUE!</v>
      </c>
      <c r="Q297" s="106" t="e">
        <f t="shared" si="146"/>
        <v>#VALUE!</v>
      </c>
      <c r="R297" s="106" t="e">
        <f t="shared" si="146"/>
        <v>#VALUE!</v>
      </c>
      <c r="S297" s="106" t="e">
        <f t="shared" si="146"/>
        <v>#VALUE!</v>
      </c>
      <c r="T297" s="106" t="e">
        <f t="shared" si="146"/>
        <v>#VALUE!</v>
      </c>
      <c r="U297" s="106" t="e">
        <f t="shared" si="146"/>
        <v>#VALUE!</v>
      </c>
      <c r="V297" s="106" t="e">
        <f t="shared" si="146"/>
        <v>#VALUE!</v>
      </c>
      <c r="W297" s="106" t="e">
        <f t="shared" si="146"/>
        <v>#VALUE!</v>
      </c>
      <c r="X297" s="106" t="e">
        <f t="shared" si="146"/>
        <v>#VALUE!</v>
      </c>
      <c r="Y297" s="106" t="e">
        <f t="shared" si="146"/>
        <v>#VALUE!</v>
      </c>
      <c r="Z297" s="106" t="e">
        <f t="shared" si="146"/>
        <v>#VALUE!</v>
      </c>
      <c r="AA297" s="106" t="e">
        <f t="shared" si="146"/>
        <v>#VALUE!</v>
      </c>
    </row>
    <row r="298" spans="4:28" hidden="1" x14ac:dyDescent="0.25"/>
    <row r="299" spans="4:28" hidden="1" x14ac:dyDescent="0.25">
      <c r="D299" s="47" t="s">
        <v>728</v>
      </c>
    </row>
    <row r="300" spans="4:28" hidden="1" x14ac:dyDescent="0.25">
      <c r="E300" s="47" t="s">
        <v>638</v>
      </c>
      <c r="F300" s="47" t="s">
        <v>639</v>
      </c>
      <c r="G300" s="106">
        <f t="shared" ref="G300:AA307" si="147">G234</f>
        <v>0</v>
      </c>
      <c r="H300" s="106">
        <f t="shared" si="147"/>
        <v>-51734141.284798563</v>
      </c>
      <c r="I300" s="106">
        <f t="shared" si="147"/>
        <v>-42967666.548791826</v>
      </c>
      <c r="J300" s="106">
        <f t="shared" si="147"/>
        <v>-43973792.180056989</v>
      </c>
      <c r="K300" s="106">
        <f t="shared" si="147"/>
        <v>-51826551.96545621</v>
      </c>
      <c r="L300" s="106">
        <f t="shared" si="147"/>
        <v>-50176542.038776077</v>
      </c>
      <c r="M300" s="106">
        <f t="shared" si="147"/>
        <v>-50884498.031042039</v>
      </c>
      <c r="N300" s="106">
        <f t="shared" si="147"/>
        <v>-28836828.267354675</v>
      </c>
      <c r="O300" s="106">
        <f t="shared" si="147"/>
        <v>-38619048.122076184</v>
      </c>
      <c r="P300" s="106">
        <f t="shared" si="147"/>
        <v>-21094919.241948035</v>
      </c>
      <c r="Q300" s="106">
        <f t="shared" si="147"/>
        <v>-37922367.140239403</v>
      </c>
      <c r="R300" s="106">
        <f t="shared" si="147"/>
        <v>-37922367.140239403</v>
      </c>
      <c r="S300" s="106">
        <f t="shared" si="147"/>
        <v>-37922367.140239403</v>
      </c>
      <c r="T300" s="106">
        <f t="shared" si="147"/>
        <v>-37922367.140239403</v>
      </c>
      <c r="U300" s="106">
        <f t="shared" si="147"/>
        <v>-37922367.140239403</v>
      </c>
      <c r="V300" s="106">
        <f t="shared" si="147"/>
        <v>-37922367.140239403</v>
      </c>
      <c r="W300" s="106">
        <f t="shared" si="147"/>
        <v>-37922367.140239403</v>
      </c>
      <c r="X300" s="106">
        <f t="shared" si="147"/>
        <v>-37922367.140239403</v>
      </c>
      <c r="Y300" s="106">
        <f t="shared" si="147"/>
        <v>-37922367.140239403</v>
      </c>
      <c r="Z300" s="106">
        <f t="shared" si="147"/>
        <v>-37922367.140239403</v>
      </c>
      <c r="AA300" s="106">
        <f t="shared" si="147"/>
        <v>-37922367.140239403</v>
      </c>
    </row>
    <row r="301" spans="4:28" hidden="1" x14ac:dyDescent="0.25">
      <c r="E301" s="47" t="s">
        <v>729</v>
      </c>
      <c r="F301" s="47" t="s">
        <v>639</v>
      </c>
      <c r="G301" s="106">
        <f t="shared" si="147"/>
        <v>0</v>
      </c>
      <c r="H301" s="106">
        <f t="shared" si="147"/>
        <v>0</v>
      </c>
      <c r="I301" s="106">
        <f t="shared" si="147"/>
        <v>0</v>
      </c>
      <c r="J301" s="106">
        <f t="shared" si="147"/>
        <v>0</v>
      </c>
      <c r="K301" s="106">
        <f t="shared" si="147"/>
        <v>0</v>
      </c>
      <c r="L301" s="106">
        <f t="shared" si="147"/>
        <v>0</v>
      </c>
      <c r="M301" s="106">
        <f t="shared" si="147"/>
        <v>0</v>
      </c>
      <c r="N301" s="106">
        <f t="shared" si="147"/>
        <v>0</v>
      </c>
      <c r="O301" s="106">
        <f t="shared" si="147"/>
        <v>0</v>
      </c>
      <c r="P301" s="106">
        <f t="shared" si="147"/>
        <v>0</v>
      </c>
      <c r="Q301" s="106">
        <f t="shared" si="147"/>
        <v>0</v>
      </c>
      <c r="R301" s="106">
        <f t="shared" si="147"/>
        <v>0</v>
      </c>
      <c r="S301" s="106">
        <f t="shared" si="147"/>
        <v>0</v>
      </c>
      <c r="T301" s="106">
        <f t="shared" si="147"/>
        <v>0</v>
      </c>
      <c r="U301" s="106">
        <f t="shared" si="147"/>
        <v>0</v>
      </c>
      <c r="V301" s="106">
        <f t="shared" si="147"/>
        <v>0</v>
      </c>
      <c r="W301" s="106">
        <f t="shared" si="147"/>
        <v>0</v>
      </c>
      <c r="X301" s="106">
        <f t="shared" si="147"/>
        <v>0</v>
      </c>
      <c r="Y301" s="106">
        <f t="shared" si="147"/>
        <v>0</v>
      </c>
      <c r="Z301" s="106">
        <f t="shared" si="147"/>
        <v>0</v>
      </c>
      <c r="AA301" s="106">
        <f t="shared" si="147"/>
        <v>0</v>
      </c>
    </row>
    <row r="302" spans="4:28" hidden="1" x14ac:dyDescent="0.25">
      <c r="E302" s="47" t="s">
        <v>645</v>
      </c>
      <c r="F302" s="47" t="s">
        <v>639</v>
      </c>
      <c r="G302" s="106">
        <f t="shared" si="147"/>
        <v>0</v>
      </c>
      <c r="H302" s="106">
        <f t="shared" si="147"/>
        <v>0</v>
      </c>
      <c r="I302" s="106">
        <f t="shared" si="147"/>
        <v>0</v>
      </c>
      <c r="J302" s="106">
        <f t="shared" si="147"/>
        <v>0</v>
      </c>
      <c r="K302" s="106">
        <f t="shared" si="147"/>
        <v>0</v>
      </c>
      <c r="L302" s="106">
        <f t="shared" si="147"/>
        <v>0</v>
      </c>
      <c r="M302" s="106">
        <f t="shared" si="147"/>
        <v>0</v>
      </c>
      <c r="N302" s="106">
        <f t="shared" si="147"/>
        <v>0</v>
      </c>
      <c r="O302" s="106">
        <f t="shared" si="147"/>
        <v>0</v>
      </c>
      <c r="P302" s="106">
        <f t="shared" si="147"/>
        <v>0</v>
      </c>
      <c r="Q302" s="106">
        <f t="shared" si="147"/>
        <v>0</v>
      </c>
      <c r="R302" s="106">
        <f t="shared" si="147"/>
        <v>0</v>
      </c>
      <c r="S302" s="106">
        <f t="shared" si="147"/>
        <v>0</v>
      </c>
      <c r="T302" s="106">
        <f t="shared" si="147"/>
        <v>0</v>
      </c>
      <c r="U302" s="106">
        <f t="shared" si="147"/>
        <v>0</v>
      </c>
      <c r="V302" s="106">
        <f t="shared" si="147"/>
        <v>0</v>
      </c>
      <c r="W302" s="106">
        <f t="shared" si="147"/>
        <v>0</v>
      </c>
      <c r="X302" s="106">
        <f t="shared" si="147"/>
        <v>0</v>
      </c>
      <c r="Y302" s="106">
        <f t="shared" si="147"/>
        <v>0</v>
      </c>
      <c r="Z302" s="106">
        <f t="shared" si="147"/>
        <v>0</v>
      </c>
      <c r="AA302" s="106">
        <f t="shared" si="147"/>
        <v>0</v>
      </c>
    </row>
    <row r="303" spans="4:28" hidden="1" x14ac:dyDescent="0.25">
      <c r="E303" s="47" t="s">
        <v>723</v>
      </c>
      <c r="F303" s="47" t="s">
        <v>639</v>
      </c>
      <c r="G303" s="106">
        <f t="shared" si="147"/>
        <v>0</v>
      </c>
      <c r="H303" s="106">
        <f t="shared" si="147"/>
        <v>2483836.7236137507</v>
      </c>
      <c r="I303" s="106">
        <f t="shared" si="147"/>
        <v>4971805.1390179936</v>
      </c>
      <c r="J303" s="106">
        <f t="shared" si="147"/>
        <v>6906377.3503501555</v>
      </c>
      <c r="K303" s="106">
        <f t="shared" si="147"/>
        <v>8712507.7001541667</v>
      </c>
      <c r="L303" s="106">
        <f t="shared" si="147"/>
        <v>10432030.348064309</v>
      </c>
      <c r="M303" s="106">
        <f t="shared" si="147"/>
        <v>12114635.49266321</v>
      </c>
      <c r="N303" s="106">
        <f t="shared" si="147"/>
        <v>13579480.822984746</v>
      </c>
      <c r="O303" s="106">
        <f t="shared" si="147"/>
        <v>14986341.503066478</v>
      </c>
      <c r="P303" s="106">
        <f t="shared" si="147"/>
        <v>16306756.954300888</v>
      </c>
      <c r="Q303" s="106">
        <f t="shared" si="147"/>
        <v>14975807.312850682</v>
      </c>
      <c r="R303" s="106">
        <f t="shared" si="147"/>
        <v>16595112.827922486</v>
      </c>
      <c r="S303" s="106">
        <f t="shared" si="147"/>
        <v>18204444.737122726</v>
      </c>
      <c r="T303" s="106">
        <f t="shared" si="147"/>
        <v>19781620.22520015</v>
      </c>
      <c r="U303" s="106">
        <f t="shared" si="147"/>
        <v>21354219.776650757</v>
      </c>
      <c r="V303" s="106">
        <f t="shared" si="147"/>
        <v>20249081.128577817</v>
      </c>
      <c r="W303" s="106">
        <f t="shared" si="147"/>
        <v>21618605.893025663</v>
      </c>
      <c r="X303" s="106">
        <f t="shared" si="147"/>
        <v>22970568.233779207</v>
      </c>
      <c r="Y303" s="106">
        <f t="shared" si="147"/>
        <v>24272020.760477524</v>
      </c>
      <c r="Z303" s="106">
        <f t="shared" si="147"/>
        <v>25508729.466101959</v>
      </c>
      <c r="AA303" s="106">
        <f t="shared" si="147"/>
        <v>26676746.315878056</v>
      </c>
      <c r="AB303" s="106">
        <f t="shared" ref="AB303:AB307" si="148">IF(V303=0,0,IF($G$15&gt;(AA303/V303)^(1/5)-1+2%,AA303*(AA303/V303)^(1/5)/($G$15-((AA303/V303)^(1/5)-1)),AA303*(1+$G$14)/$G$16))</f>
        <v>1106918934.2687986</v>
      </c>
    </row>
    <row r="304" spans="4:28" hidden="1" x14ac:dyDescent="0.25">
      <c r="E304" s="47" t="s">
        <v>701</v>
      </c>
      <c r="F304" s="47" t="s">
        <v>639</v>
      </c>
      <c r="G304" s="106">
        <f t="shared" si="147"/>
        <v>0</v>
      </c>
      <c r="H304" s="106">
        <f t="shared" si="147"/>
        <v>-23785.16154029161</v>
      </c>
      <c r="I304" s="106">
        <f t="shared" si="147"/>
        <v>-51491.796543353332</v>
      </c>
      <c r="J304" s="106">
        <f t="shared" si="147"/>
        <v>-72832.837348589848</v>
      </c>
      <c r="K304" s="106">
        <f t="shared" si="147"/>
        <v>-93268.067662621441</v>
      </c>
      <c r="L304" s="106">
        <f t="shared" si="147"/>
        <v>-113603.65257970217</v>
      </c>
      <c r="M304" s="106">
        <f t="shared" si="147"/>
        <v>-134809.62782109223</v>
      </c>
      <c r="N304" s="106">
        <f t="shared" si="147"/>
        <v>-154762.63093101198</v>
      </c>
      <c r="O304" s="106">
        <f t="shared" si="147"/>
        <v>-176621.84011346626</v>
      </c>
      <c r="P304" s="106">
        <f t="shared" si="147"/>
        <v>-196275.26393827741</v>
      </c>
      <c r="Q304" s="106">
        <f t="shared" si="147"/>
        <v>-214292.85186166794</v>
      </c>
      <c r="R304" s="106">
        <f t="shared" si="147"/>
        <v>-240330.6346972824</v>
      </c>
      <c r="S304" s="106">
        <f t="shared" si="147"/>
        <v>-266775.00524626451</v>
      </c>
      <c r="T304" s="106">
        <f t="shared" si="147"/>
        <v>-291478.92292273976</v>
      </c>
      <c r="U304" s="106">
        <f t="shared" si="147"/>
        <v>-314381.84382898302</v>
      </c>
      <c r="V304" s="106">
        <f t="shared" si="147"/>
        <v>-336740.47884909593</v>
      </c>
      <c r="W304" s="106">
        <f t="shared" si="147"/>
        <v>-359553.82703072409</v>
      </c>
      <c r="X304" s="106">
        <f t="shared" si="147"/>
        <v>-385853.90628970566</v>
      </c>
      <c r="Y304" s="106">
        <f t="shared" si="147"/>
        <v>-394047.85475089232</v>
      </c>
      <c r="Z304" s="106">
        <f t="shared" si="147"/>
        <v>-398779.97660908953</v>
      </c>
      <c r="AA304" s="106">
        <f t="shared" si="147"/>
        <v>-403715.21388490364</v>
      </c>
      <c r="AB304" s="106">
        <f t="shared" si="148"/>
        <v>-16751668.625929605</v>
      </c>
    </row>
    <row r="305" spans="1:28" hidden="1" x14ac:dyDescent="0.25">
      <c r="E305" s="47" t="s">
        <v>702</v>
      </c>
      <c r="F305" s="47" t="s">
        <v>639</v>
      </c>
      <c r="G305" s="106">
        <f t="shared" si="147"/>
        <v>0</v>
      </c>
      <c r="H305" s="106">
        <f t="shared" si="147"/>
        <v>-703250.07455304242</v>
      </c>
      <c r="I305" s="106">
        <f t="shared" si="147"/>
        <v>-1422152.1095639924</v>
      </c>
      <c r="J305" s="106">
        <f t="shared" si="147"/>
        <v>-2009478.5797107783</v>
      </c>
      <c r="K305" s="106">
        <f t="shared" si="147"/>
        <v>-2603425.8910048772</v>
      </c>
      <c r="L305" s="106">
        <f t="shared" si="147"/>
        <v>-3212763.1216384289</v>
      </c>
      <c r="M305" s="106">
        <f t="shared" si="147"/>
        <v>-3849665.7838454582</v>
      </c>
      <c r="N305" s="106">
        <f t="shared" si="147"/>
        <v>-4457448.9972438179</v>
      </c>
      <c r="O305" s="106">
        <f t="shared" si="147"/>
        <v>-5089437.7886395222</v>
      </c>
      <c r="P305" s="106">
        <f t="shared" si="147"/>
        <v>-5714640.1604214255</v>
      </c>
      <c r="Q305" s="106">
        <f t="shared" si="147"/>
        <v>-6417025.9841055544</v>
      </c>
      <c r="R305" s="106">
        <f t="shared" si="147"/>
        <v>-7119183.5017968779</v>
      </c>
      <c r="S305" s="106">
        <f t="shared" si="147"/>
        <v>-7816046.4460648848</v>
      </c>
      <c r="T305" s="106">
        <f t="shared" si="147"/>
        <v>-8498598.5450102352</v>
      </c>
      <c r="U305" s="106">
        <f t="shared" si="147"/>
        <v>-9178383.7770022843</v>
      </c>
      <c r="V305" s="106">
        <f t="shared" si="147"/>
        <v>-9851476.942763349</v>
      </c>
      <c r="W305" s="106">
        <f t="shared" si="147"/>
        <v>-10516729.019204564</v>
      </c>
      <c r="X305" s="106">
        <f t="shared" si="147"/>
        <v>-11170442.047587294</v>
      </c>
      <c r="Y305" s="106">
        <f t="shared" si="147"/>
        <v>-11796258.951363552</v>
      </c>
      <c r="Z305" s="106">
        <f t="shared" si="147"/>
        <v>-12388920.780721309</v>
      </c>
      <c r="AA305" s="106">
        <f t="shared" si="147"/>
        <v>-12949758.523653284</v>
      </c>
      <c r="AB305" s="106">
        <f t="shared" si="148"/>
        <v>-537334378.57482481</v>
      </c>
    </row>
    <row r="306" spans="1:28" hidden="1" x14ac:dyDescent="0.25">
      <c r="E306" s="47" t="s">
        <v>709</v>
      </c>
      <c r="F306" s="47" t="s">
        <v>639</v>
      </c>
      <c r="G306" s="106">
        <f t="shared" si="147"/>
        <v>0</v>
      </c>
      <c r="H306" s="106">
        <f t="shared" si="147"/>
        <v>0</v>
      </c>
      <c r="I306" s="106">
        <f t="shared" si="147"/>
        <v>0</v>
      </c>
      <c r="J306" s="106">
        <f t="shared" si="147"/>
        <v>0</v>
      </c>
      <c r="K306" s="106">
        <f t="shared" si="147"/>
        <v>0</v>
      </c>
      <c r="L306" s="106">
        <f t="shared" si="147"/>
        <v>0</v>
      </c>
      <c r="M306" s="106">
        <f t="shared" si="147"/>
        <v>0</v>
      </c>
      <c r="N306" s="106">
        <f t="shared" si="147"/>
        <v>0</v>
      </c>
      <c r="O306" s="106">
        <f t="shared" si="147"/>
        <v>0</v>
      </c>
      <c r="P306" s="106">
        <f t="shared" si="147"/>
        <v>0</v>
      </c>
      <c r="Q306" s="106">
        <f t="shared" si="147"/>
        <v>0</v>
      </c>
      <c r="R306" s="106">
        <f t="shared" si="147"/>
        <v>0</v>
      </c>
      <c r="S306" s="106">
        <f t="shared" si="147"/>
        <v>0</v>
      </c>
      <c r="T306" s="106">
        <f t="shared" si="147"/>
        <v>0</v>
      </c>
      <c r="U306" s="106">
        <f t="shared" si="147"/>
        <v>0</v>
      </c>
      <c r="V306" s="106">
        <f t="shared" si="147"/>
        <v>0</v>
      </c>
      <c r="W306" s="106">
        <f t="shared" si="147"/>
        <v>0</v>
      </c>
      <c r="X306" s="106">
        <f t="shared" si="147"/>
        <v>0</v>
      </c>
      <c r="Y306" s="106">
        <f t="shared" si="147"/>
        <v>0</v>
      </c>
      <c r="Z306" s="106">
        <f t="shared" si="147"/>
        <v>0</v>
      </c>
      <c r="AA306" s="106">
        <f t="shared" si="147"/>
        <v>0</v>
      </c>
      <c r="AB306" s="106">
        <f t="shared" si="148"/>
        <v>0</v>
      </c>
    </row>
    <row r="307" spans="1:28" hidden="1" x14ac:dyDescent="0.25">
      <c r="E307" s="47" t="s">
        <v>714</v>
      </c>
      <c r="F307" s="47" t="s">
        <v>639</v>
      </c>
      <c r="G307" s="106">
        <f t="shared" si="147"/>
        <v>0</v>
      </c>
      <c r="H307" s="106">
        <f t="shared" si="147"/>
        <v>0</v>
      </c>
      <c r="I307" s="106">
        <f t="shared" si="147"/>
        <v>0</v>
      </c>
      <c r="J307" s="106">
        <f t="shared" si="147"/>
        <v>0</v>
      </c>
      <c r="K307" s="106">
        <f t="shared" si="147"/>
        <v>0</v>
      </c>
      <c r="L307" s="106">
        <f t="shared" si="147"/>
        <v>0</v>
      </c>
      <c r="M307" s="106">
        <f t="shared" si="147"/>
        <v>0</v>
      </c>
      <c r="N307" s="106">
        <f t="shared" si="147"/>
        <v>0</v>
      </c>
      <c r="O307" s="106">
        <f t="shared" si="147"/>
        <v>0</v>
      </c>
      <c r="P307" s="106">
        <f t="shared" si="147"/>
        <v>0</v>
      </c>
      <c r="Q307" s="106">
        <f t="shared" si="147"/>
        <v>0</v>
      </c>
      <c r="R307" s="106">
        <f t="shared" si="147"/>
        <v>0</v>
      </c>
      <c r="S307" s="106">
        <f t="shared" si="147"/>
        <v>0</v>
      </c>
      <c r="T307" s="106">
        <f t="shared" si="147"/>
        <v>0</v>
      </c>
      <c r="U307" s="106">
        <f t="shared" si="147"/>
        <v>0</v>
      </c>
      <c r="V307" s="106">
        <f t="shared" si="147"/>
        <v>0</v>
      </c>
      <c r="W307" s="106">
        <f t="shared" si="147"/>
        <v>0</v>
      </c>
      <c r="X307" s="106">
        <f t="shared" si="147"/>
        <v>0</v>
      </c>
      <c r="Y307" s="106">
        <f t="shared" si="147"/>
        <v>0</v>
      </c>
      <c r="Z307" s="106">
        <f t="shared" si="147"/>
        <v>0</v>
      </c>
      <c r="AA307" s="106">
        <f t="shared" si="147"/>
        <v>0</v>
      </c>
      <c r="AB307" s="106">
        <f t="shared" si="148"/>
        <v>0</v>
      </c>
    </row>
    <row r="308" spans="1:28" hidden="1" x14ac:dyDescent="0.25">
      <c r="E308" s="47" t="s">
        <v>458</v>
      </c>
      <c r="F308" s="47" t="s">
        <v>639</v>
      </c>
      <c r="G308" s="106" t="e">
        <f t="shared" ref="G308:AA308" si="149">G297</f>
        <v>#VALUE!</v>
      </c>
      <c r="H308" s="106" t="e">
        <f t="shared" si="149"/>
        <v>#VALUE!</v>
      </c>
      <c r="I308" s="106" t="e">
        <f t="shared" si="149"/>
        <v>#VALUE!</v>
      </c>
      <c r="J308" s="106" t="e">
        <f t="shared" si="149"/>
        <v>#VALUE!</v>
      </c>
      <c r="K308" s="106" t="e">
        <f t="shared" si="149"/>
        <v>#VALUE!</v>
      </c>
      <c r="L308" s="106" t="e">
        <f t="shared" si="149"/>
        <v>#VALUE!</v>
      </c>
      <c r="M308" s="106" t="e">
        <f t="shared" si="149"/>
        <v>#VALUE!</v>
      </c>
      <c r="N308" s="106" t="e">
        <f t="shared" si="149"/>
        <v>#VALUE!</v>
      </c>
      <c r="O308" s="106" t="e">
        <f t="shared" si="149"/>
        <v>#VALUE!</v>
      </c>
      <c r="P308" s="106" t="e">
        <f t="shared" si="149"/>
        <v>#VALUE!</v>
      </c>
      <c r="Q308" s="106" t="e">
        <f t="shared" si="149"/>
        <v>#VALUE!</v>
      </c>
      <c r="R308" s="106" t="e">
        <f t="shared" si="149"/>
        <v>#VALUE!</v>
      </c>
      <c r="S308" s="106" t="e">
        <f t="shared" si="149"/>
        <v>#VALUE!</v>
      </c>
      <c r="T308" s="106" t="e">
        <f t="shared" si="149"/>
        <v>#VALUE!</v>
      </c>
      <c r="U308" s="106" t="e">
        <f t="shared" si="149"/>
        <v>#VALUE!</v>
      </c>
      <c r="V308" s="106" t="e">
        <f t="shared" si="149"/>
        <v>#VALUE!</v>
      </c>
      <c r="W308" s="106" t="e">
        <f t="shared" si="149"/>
        <v>#VALUE!</v>
      </c>
      <c r="X308" s="106" t="e">
        <f t="shared" si="149"/>
        <v>#VALUE!</v>
      </c>
      <c r="Y308" s="106" t="e">
        <f t="shared" si="149"/>
        <v>#VALUE!</v>
      </c>
      <c r="Z308" s="106" t="e">
        <f t="shared" si="149"/>
        <v>#VALUE!</v>
      </c>
      <c r="AA308" s="106" t="e">
        <f t="shared" si="149"/>
        <v>#VALUE!</v>
      </c>
      <c r="AB308" s="106" t="e">
        <f>IF(V308=0,0,IF($G$15&gt;(AA308/V308)^(1/5)-1+2%,AA308*(AA308/V308)^(1/5)/($G$15-((AA308/V308)^(1/5)-1)),AA308*(1+$G$14)/$G$16))</f>
        <v>#VALUE!</v>
      </c>
    </row>
    <row r="309" spans="1:28" hidden="1" x14ac:dyDescent="0.25">
      <c r="E309" s="47" t="s">
        <v>730</v>
      </c>
      <c r="F309" s="47" t="s">
        <v>639</v>
      </c>
      <c r="G309" s="106" t="e">
        <f>-$G$17*G308</f>
        <v>#VALUE!</v>
      </c>
      <c r="H309" s="106" t="e">
        <f t="shared" ref="H309:AA309" si="150">-$G$17*H308</f>
        <v>#VALUE!</v>
      </c>
      <c r="I309" s="106" t="e">
        <f t="shared" si="150"/>
        <v>#VALUE!</v>
      </c>
      <c r="J309" s="106" t="e">
        <f t="shared" si="150"/>
        <v>#VALUE!</v>
      </c>
      <c r="K309" s="106" t="e">
        <f t="shared" si="150"/>
        <v>#VALUE!</v>
      </c>
      <c r="L309" s="106" t="e">
        <f t="shared" si="150"/>
        <v>#VALUE!</v>
      </c>
      <c r="M309" s="106" t="e">
        <f t="shared" si="150"/>
        <v>#VALUE!</v>
      </c>
      <c r="N309" s="106" t="e">
        <f t="shared" si="150"/>
        <v>#VALUE!</v>
      </c>
      <c r="O309" s="106" t="e">
        <f t="shared" si="150"/>
        <v>#VALUE!</v>
      </c>
      <c r="P309" s="106" t="e">
        <f t="shared" si="150"/>
        <v>#VALUE!</v>
      </c>
      <c r="Q309" s="106" t="e">
        <f t="shared" si="150"/>
        <v>#VALUE!</v>
      </c>
      <c r="R309" s="106" t="e">
        <f t="shared" si="150"/>
        <v>#VALUE!</v>
      </c>
      <c r="S309" s="106" t="e">
        <f t="shared" si="150"/>
        <v>#VALUE!</v>
      </c>
      <c r="T309" s="106" t="e">
        <f t="shared" si="150"/>
        <v>#VALUE!</v>
      </c>
      <c r="U309" s="106" t="e">
        <f t="shared" si="150"/>
        <v>#VALUE!</v>
      </c>
      <c r="V309" s="106" t="e">
        <f t="shared" si="150"/>
        <v>#VALUE!</v>
      </c>
      <c r="W309" s="106" t="e">
        <f t="shared" si="150"/>
        <v>#VALUE!</v>
      </c>
      <c r="X309" s="106" t="e">
        <f t="shared" si="150"/>
        <v>#VALUE!</v>
      </c>
      <c r="Y309" s="106" t="e">
        <f t="shared" si="150"/>
        <v>#VALUE!</v>
      </c>
      <c r="Z309" s="106" t="e">
        <f t="shared" si="150"/>
        <v>#VALUE!</v>
      </c>
      <c r="AA309" s="106" t="e">
        <f t="shared" si="150"/>
        <v>#VALUE!</v>
      </c>
      <c r="AB309" s="106" t="e">
        <f t="shared" ref="AB309" si="151">IF(V309=0,0,IF($G$15&gt;(AA309/V309)^(1/5)-1+2%,AA309*(AA309/V309)^(1/5)/($G$15-((AA309/V309)^(1/5)-1)),AA309*(1+$G$14)/$G$16))</f>
        <v>#VALUE!</v>
      </c>
    </row>
    <row r="310" spans="1:28" hidden="1" x14ac:dyDescent="0.25">
      <c r="E310" s="47" t="s">
        <v>731</v>
      </c>
      <c r="F310" s="47" t="s">
        <v>639</v>
      </c>
      <c r="G310" s="106" t="e">
        <f t="shared" ref="G310:AA310" si="152">SUM(G300:G309)</f>
        <v>#VALUE!</v>
      </c>
      <c r="H310" s="106" t="e">
        <f t="shared" si="152"/>
        <v>#VALUE!</v>
      </c>
      <c r="I310" s="106" t="e">
        <f t="shared" si="152"/>
        <v>#VALUE!</v>
      </c>
      <c r="J310" s="106" t="e">
        <f t="shared" si="152"/>
        <v>#VALUE!</v>
      </c>
      <c r="K310" s="106" t="e">
        <f t="shared" si="152"/>
        <v>#VALUE!</v>
      </c>
      <c r="L310" s="106" t="e">
        <f t="shared" si="152"/>
        <v>#VALUE!</v>
      </c>
      <c r="M310" s="106" t="e">
        <f t="shared" si="152"/>
        <v>#VALUE!</v>
      </c>
      <c r="N310" s="106" t="e">
        <f t="shared" si="152"/>
        <v>#VALUE!</v>
      </c>
      <c r="O310" s="106" t="e">
        <f t="shared" si="152"/>
        <v>#VALUE!</v>
      </c>
      <c r="P310" s="106" t="e">
        <f t="shared" si="152"/>
        <v>#VALUE!</v>
      </c>
      <c r="Q310" s="106" t="e">
        <f t="shared" si="152"/>
        <v>#VALUE!</v>
      </c>
      <c r="R310" s="106" t="e">
        <f t="shared" si="152"/>
        <v>#VALUE!</v>
      </c>
      <c r="S310" s="106" t="e">
        <f t="shared" si="152"/>
        <v>#VALUE!</v>
      </c>
      <c r="T310" s="106" t="e">
        <f t="shared" si="152"/>
        <v>#VALUE!</v>
      </c>
      <c r="U310" s="106" t="e">
        <f t="shared" si="152"/>
        <v>#VALUE!</v>
      </c>
      <c r="V310" s="106" t="e">
        <f t="shared" si="152"/>
        <v>#VALUE!</v>
      </c>
      <c r="W310" s="106" t="e">
        <f t="shared" si="152"/>
        <v>#VALUE!</v>
      </c>
      <c r="X310" s="106" t="e">
        <f t="shared" si="152"/>
        <v>#VALUE!</v>
      </c>
      <c r="Y310" s="106" t="e">
        <f t="shared" si="152"/>
        <v>#VALUE!</v>
      </c>
      <c r="Z310" s="106" t="e">
        <f t="shared" si="152"/>
        <v>#VALUE!</v>
      </c>
      <c r="AA310" s="106" t="e">
        <f t="shared" si="152"/>
        <v>#VALUE!</v>
      </c>
      <c r="AB310" s="106" t="e">
        <f>SUM(AB300:AB309)*IF(DASH!#REF!="yes",1,0)</f>
        <v>#VALUE!</v>
      </c>
    </row>
    <row r="311" spans="1:28" hidden="1" x14ac:dyDescent="0.25">
      <c r="E311" s="47" t="s">
        <v>732</v>
      </c>
      <c r="F311" s="47" t="s">
        <v>639</v>
      </c>
      <c r="G311" s="106" t="e">
        <f>NPV($G$15,H310:AQ310)+G310</f>
        <v>#VALUE!</v>
      </c>
    </row>
    <row r="312" spans="1:28" hidden="1" x14ac:dyDescent="0.25"/>
    <row r="313" spans="1:28" hidden="1" x14ac:dyDescent="0.25">
      <c r="E313" s="47" t="s">
        <v>725</v>
      </c>
      <c r="F313" s="47" t="s">
        <v>639</v>
      </c>
      <c r="G313" s="106" t="e">
        <f t="shared" ref="G313:AA313" si="153">G285</f>
        <v>#VALUE!</v>
      </c>
      <c r="H313" s="106" t="e">
        <f t="shared" si="153"/>
        <v>#VALUE!</v>
      </c>
      <c r="I313" s="106" t="e">
        <f t="shared" si="153"/>
        <v>#VALUE!</v>
      </c>
      <c r="J313" s="106" t="e">
        <f t="shared" si="153"/>
        <v>#VALUE!</v>
      </c>
      <c r="K313" s="106" t="e">
        <f t="shared" si="153"/>
        <v>#VALUE!</v>
      </c>
      <c r="L313" s="106" t="e">
        <f t="shared" si="153"/>
        <v>#VALUE!</v>
      </c>
      <c r="M313" s="106" t="e">
        <f t="shared" si="153"/>
        <v>#VALUE!</v>
      </c>
      <c r="N313" s="106" t="e">
        <f t="shared" si="153"/>
        <v>#VALUE!</v>
      </c>
      <c r="O313" s="106" t="e">
        <f t="shared" si="153"/>
        <v>#VALUE!</v>
      </c>
      <c r="P313" s="106" t="e">
        <f t="shared" si="153"/>
        <v>#VALUE!</v>
      </c>
      <c r="Q313" s="106" t="e">
        <f t="shared" si="153"/>
        <v>#VALUE!</v>
      </c>
      <c r="R313" s="106" t="e">
        <f t="shared" si="153"/>
        <v>#VALUE!</v>
      </c>
      <c r="S313" s="106" t="e">
        <f t="shared" si="153"/>
        <v>#VALUE!</v>
      </c>
      <c r="T313" s="106" t="e">
        <f t="shared" si="153"/>
        <v>#VALUE!</v>
      </c>
      <c r="U313" s="106" t="e">
        <f t="shared" si="153"/>
        <v>#VALUE!</v>
      </c>
      <c r="V313" s="106" t="e">
        <f t="shared" si="153"/>
        <v>#VALUE!</v>
      </c>
      <c r="W313" s="106" t="e">
        <f t="shared" si="153"/>
        <v>#VALUE!</v>
      </c>
      <c r="X313" s="106" t="e">
        <f t="shared" si="153"/>
        <v>#VALUE!</v>
      </c>
      <c r="Y313" s="106" t="e">
        <f t="shared" si="153"/>
        <v>#VALUE!</v>
      </c>
      <c r="Z313" s="106" t="e">
        <f t="shared" si="153"/>
        <v>#VALUE!</v>
      </c>
      <c r="AA313" s="106" t="e">
        <f t="shared" si="153"/>
        <v>#VALUE!</v>
      </c>
    </row>
    <row r="314" spans="1:28" hidden="1" x14ac:dyDescent="0.25">
      <c r="E314" s="47" t="s">
        <v>733</v>
      </c>
      <c r="F314" s="47" t="s">
        <v>639</v>
      </c>
      <c r="G314" s="106" t="e">
        <f>NPV($G$15,H313:AP313)+G313</f>
        <v>#VALUE!</v>
      </c>
    </row>
    <row r="315" spans="1:28" hidden="1" x14ac:dyDescent="0.25">
      <c r="E315" s="111" t="s">
        <v>734</v>
      </c>
      <c r="F315" s="111"/>
      <c r="G315" s="118" t="e">
        <f>IF(G311&gt;0,"N/A",IF(ABS(G311+G314)&gt;1,"Error","OK"))</f>
        <v>#VALUE!</v>
      </c>
    </row>
    <row r="316" spans="1:28" hidden="1" x14ac:dyDescent="0.25"/>
    <row r="318" spans="1:28" x14ac:dyDescent="0.25">
      <c r="C318" s="100" t="s">
        <v>740</v>
      </c>
    </row>
    <row r="319" spans="1:28" x14ac:dyDescent="0.25">
      <c r="E319" s="47" t="s">
        <v>741</v>
      </c>
      <c r="F319" s="47" t="s">
        <v>742</v>
      </c>
    </row>
    <row r="320" spans="1:28" x14ac:dyDescent="0.25">
      <c r="A320" s="101">
        <v>55</v>
      </c>
      <c r="E320" s="119" t="s">
        <v>301</v>
      </c>
      <c r="F320" s="119" t="s">
        <v>743</v>
      </c>
    </row>
    <row r="321" spans="5:6" x14ac:dyDescent="0.25">
      <c r="E321" s="119" t="s">
        <v>303</v>
      </c>
      <c r="F321" s="119" t="s">
        <v>744</v>
      </c>
    </row>
    <row r="322" spans="5:6" x14ac:dyDescent="0.25">
      <c r="E322" s="119" t="s">
        <v>310</v>
      </c>
      <c r="F322" s="119" t="s">
        <v>745</v>
      </c>
    </row>
    <row r="323" spans="5:6" x14ac:dyDescent="0.25">
      <c r="E323" s="119" t="s">
        <v>305</v>
      </c>
      <c r="F323" s="119" t="s">
        <v>746</v>
      </c>
    </row>
  </sheetData>
  <mergeCells count="1">
    <mergeCell ref="G4:H4"/>
  </mergeCells>
  <dataValidations count="1">
    <dataValidation type="list" showInputMessage="1" showErrorMessage="1" sqref="G4:H4" xr:uid="{55E5378C-35DA-42CE-8670-3CE2C2C0D272}">
      <formula1>$E$320:$E$323</formula1>
    </dataValidation>
  </dataValidations>
  <pageMargins left="0.75" right="0.75" top="1" bottom="1" header="0.5" footer="0.5"/>
  <pageSetup paperSize="9" orientation="portrait" horizontalDpi="4294967292" verticalDpi="429496729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25650-7395-421C-9696-338C4FA3ACAD}">
  <sheetPr codeName="Sheet43">
    <tabColor rgb="FF8EA9DB"/>
  </sheetPr>
  <dimension ref="A1:AN323"/>
  <sheetViews>
    <sheetView zoomScale="80" zoomScaleNormal="80" workbookViewId="0">
      <pane xSplit="5" ySplit="2" topLeftCell="F222" activePane="bottomRight" state="frozenSplit"/>
      <selection pane="topRight" activeCell="A2" sqref="A2:A1048576"/>
      <selection pane="bottomLeft" activeCell="A2" sqref="A2:A1048576"/>
      <selection pane="bottomRight" activeCell="G245" sqref="G245"/>
    </sheetView>
  </sheetViews>
  <sheetFormatPr defaultColWidth="14" defaultRowHeight="15.75" x14ac:dyDescent="0.25"/>
  <cols>
    <col min="1" max="1" width="12.83203125" style="101" customWidth="1"/>
    <col min="2" max="2" width="3.83203125" style="47" customWidth="1"/>
    <col min="3" max="3" width="4.33203125" style="47" customWidth="1"/>
    <col min="4" max="4" width="3.6640625" style="47" customWidth="1"/>
    <col min="5" max="5" width="46.5" style="47" bestFit="1" customWidth="1"/>
    <col min="6" max="6" width="22.33203125" style="47" customWidth="1"/>
    <col min="7" max="7" width="16.5" style="47" customWidth="1"/>
    <col min="8" max="27" width="14" style="47"/>
    <col min="28" max="28" width="14.1640625" style="47" customWidth="1"/>
    <col min="29" max="16384" width="14" style="47"/>
  </cols>
  <sheetData>
    <row r="1" spans="1:27" ht="28.5" x14ac:dyDescent="0.45">
      <c r="A1" s="95" t="str" cm="1">
        <f t="array" ref="A1">RIGHT(CELL("filename",A1),LEN(CELL("filename",A1))-SEARCH("]",CELL("filename",A1)))</f>
        <v>GA</v>
      </c>
      <c r="E1" s="96" t="str">
        <f>INDEX(TariffName,MATCH(A1,TariffCode,0))</f>
        <v>Western Greenfield - Water and Sewer</v>
      </c>
      <c r="F1" s="97">
        <f>G218</f>
        <v>14831.461840506377</v>
      </c>
      <c r="G1" s="98" t="str">
        <f>'INPUT Opex'!AC7</f>
        <v>2023-24</v>
      </c>
      <c r="H1" s="98" t="str">
        <f>'INPUT Opex'!AD7</f>
        <v>2024-25</v>
      </c>
      <c r="I1" s="98" t="str">
        <f>'INPUT Opex'!AE7</f>
        <v>2025-26</v>
      </c>
      <c r="J1" s="98" t="str">
        <f>'INPUT Opex'!AF7</f>
        <v>2026-27</v>
      </c>
      <c r="K1" s="98" t="str">
        <f>'INPUT Opex'!AG7</f>
        <v>2027-28</v>
      </c>
      <c r="L1" s="98" t="str">
        <f>'INPUT Opex'!AH7</f>
        <v>2028-29</v>
      </c>
      <c r="M1" s="98" t="str">
        <f>'INPUT Opex'!AI7</f>
        <v>2029-30</v>
      </c>
      <c r="N1" s="98" t="str">
        <f>'INPUT Opex'!AJ7</f>
        <v>2030-31</v>
      </c>
      <c r="O1" s="98" t="str">
        <f>'INPUT Opex'!AK7</f>
        <v>2031-32</v>
      </c>
      <c r="P1" s="98" t="str">
        <f>'INPUT Opex'!AL7</f>
        <v>2032-33</v>
      </c>
      <c r="Q1" s="98" t="str">
        <f>'INPUT Opex'!AM7</f>
        <v>2033-34</v>
      </c>
      <c r="R1" s="98" t="str">
        <f>'INPUT Opex'!AN7</f>
        <v>2034-35</v>
      </c>
      <c r="S1" s="98" t="str">
        <f>'INPUT Opex'!AO7</f>
        <v>2035-36</v>
      </c>
      <c r="T1" s="98" t="str">
        <f>'INPUT Opex'!AP7</f>
        <v>2036-37</v>
      </c>
      <c r="U1" s="98" t="str">
        <f>'INPUT Opex'!AQ7</f>
        <v>2037-38</v>
      </c>
      <c r="V1" s="98" t="str">
        <f>'INPUT Opex'!AR7</f>
        <v>2038-39</v>
      </c>
      <c r="W1" s="98" t="str">
        <f>'INPUT Opex'!AS7</f>
        <v>2039-40</v>
      </c>
      <c r="X1" s="98" t="str">
        <f>'INPUT Opex'!AT7</f>
        <v>2040-41</v>
      </c>
      <c r="Y1" s="98" t="str">
        <f>'INPUT Opex'!AU7</f>
        <v>2041-42</v>
      </c>
      <c r="Z1" s="98" t="str">
        <f>'INPUT Opex'!AV7</f>
        <v>2042-43</v>
      </c>
      <c r="AA1" s="98" t="str">
        <f>'INPUT Opex'!AW7</f>
        <v>2043-44</v>
      </c>
    </row>
    <row r="2" spans="1:27" x14ac:dyDescent="0.25">
      <c r="A2" s="99"/>
      <c r="C2" s="100" t="s">
        <v>625</v>
      </c>
      <c r="D2" s="100"/>
      <c r="E2" s="106"/>
      <c r="F2" s="97"/>
      <c r="G2" s="47">
        <v>0</v>
      </c>
      <c r="H2" s="47">
        <v>1</v>
      </c>
      <c r="I2" s="47">
        <v>2</v>
      </c>
      <c r="J2" s="47">
        <v>3</v>
      </c>
      <c r="K2" s="47">
        <v>4</v>
      </c>
      <c r="L2" s="47">
        <v>5</v>
      </c>
      <c r="M2" s="47">
        <v>6</v>
      </c>
      <c r="N2" s="47">
        <v>7</v>
      </c>
      <c r="O2" s="47">
        <v>8</v>
      </c>
      <c r="P2" s="47">
        <v>9</v>
      </c>
      <c r="Q2" s="47">
        <v>10</v>
      </c>
      <c r="R2" s="47">
        <v>11</v>
      </c>
      <c r="S2" s="47">
        <v>12</v>
      </c>
      <c r="T2" s="47">
        <v>13</v>
      </c>
      <c r="U2" s="47">
        <v>14</v>
      </c>
      <c r="V2" s="47">
        <v>15</v>
      </c>
      <c r="W2" s="47">
        <v>16</v>
      </c>
      <c r="X2" s="47">
        <v>17</v>
      </c>
      <c r="Y2" s="47">
        <v>18</v>
      </c>
      <c r="Z2" s="47">
        <v>19</v>
      </c>
      <c r="AA2" s="47">
        <v>20</v>
      </c>
    </row>
    <row r="4" spans="1:27" x14ac:dyDescent="0.25">
      <c r="A4" s="101">
        <v>1</v>
      </c>
      <c r="C4" s="100" t="s">
        <v>626</v>
      </c>
      <c r="F4" s="47" t="s">
        <v>627</v>
      </c>
      <c r="G4" s="310" t="str">
        <f>INDEX(TariffProduct,MATCH(A1,TariffCode,0))</f>
        <v>Water and Sewer</v>
      </c>
      <c r="H4" s="310"/>
    </row>
    <row r="6" spans="1:27" x14ac:dyDescent="0.25">
      <c r="C6" s="100" t="s">
        <v>628</v>
      </c>
    </row>
    <row r="7" spans="1:27" x14ac:dyDescent="0.25">
      <c r="A7" s="101">
        <v>2</v>
      </c>
      <c r="E7" s="102" t="s">
        <v>616</v>
      </c>
      <c r="F7" s="47" t="s">
        <v>629</v>
      </c>
      <c r="G7" s="102">
        <f>Assumptions!H23</f>
        <v>90</v>
      </c>
    </row>
    <row r="8" spans="1:27" x14ac:dyDescent="0.25">
      <c r="A8" s="101">
        <v>3</v>
      </c>
      <c r="E8" s="102" t="s">
        <v>617</v>
      </c>
      <c r="F8" s="47" t="s">
        <v>629</v>
      </c>
      <c r="G8" s="102">
        <f>Assumptions!H24</f>
        <v>30</v>
      </c>
    </row>
    <row r="9" spans="1:27" x14ac:dyDescent="0.25">
      <c r="A9" s="101">
        <v>4</v>
      </c>
      <c r="E9" s="102" t="s">
        <v>144</v>
      </c>
      <c r="F9" s="47" t="s">
        <v>629</v>
      </c>
      <c r="G9" s="102">
        <f>Assumptions!H25</f>
        <v>80</v>
      </c>
    </row>
    <row r="10" spans="1:27" x14ac:dyDescent="0.25">
      <c r="A10" s="101">
        <v>5</v>
      </c>
      <c r="E10" s="47" t="s">
        <v>630</v>
      </c>
      <c r="F10" s="47" t="s">
        <v>629</v>
      </c>
      <c r="G10" s="102">
        <f>Assumptions!H26</f>
        <v>5</v>
      </c>
    </row>
    <row r="13" spans="1:27" x14ac:dyDescent="0.25">
      <c r="C13" s="100" t="s">
        <v>631</v>
      </c>
    </row>
    <row r="14" spans="1:27" x14ac:dyDescent="0.25">
      <c r="A14" s="101">
        <v>6</v>
      </c>
      <c r="E14" s="47" t="s">
        <v>632</v>
      </c>
      <c r="F14" s="47" t="s">
        <v>633</v>
      </c>
      <c r="G14" s="103">
        <f>Assumptions!H16</f>
        <v>0</v>
      </c>
    </row>
    <row r="15" spans="1:27" x14ac:dyDescent="0.25">
      <c r="A15" s="101">
        <v>7</v>
      </c>
      <c r="E15" s="47" t="s">
        <v>634</v>
      </c>
      <c r="F15" s="47" t="s">
        <v>633</v>
      </c>
      <c r="G15" s="103">
        <f>'INPUT Reg'!AD20</f>
        <v>2.41E-2</v>
      </c>
    </row>
    <row r="16" spans="1:27" x14ac:dyDescent="0.25">
      <c r="E16" s="47" t="s">
        <v>635</v>
      </c>
      <c r="F16" s="47" t="s">
        <v>633</v>
      </c>
      <c r="G16" s="104">
        <f>(1+G15)/(1+G14)-1</f>
        <v>2.410000000000001E-2</v>
      </c>
    </row>
    <row r="17" spans="1:27" x14ac:dyDescent="0.25">
      <c r="E17" s="47" t="s">
        <v>636</v>
      </c>
      <c r="F17" s="47" t="s">
        <v>633</v>
      </c>
      <c r="G17" s="105">
        <f>'INPUT Reg'!E22</f>
        <v>0.5</v>
      </c>
    </row>
    <row r="18" spans="1:27" x14ac:dyDescent="0.25">
      <c r="A18" s="101">
        <v>9</v>
      </c>
      <c r="E18" s="47" t="s">
        <v>637</v>
      </c>
      <c r="F18" s="47" t="s">
        <v>633</v>
      </c>
      <c r="G18" s="105">
        <f>'INPUT Reg'!E23</f>
        <v>0.3</v>
      </c>
      <c r="H18" s="105">
        <f>G18</f>
        <v>0.3</v>
      </c>
      <c r="I18" s="105">
        <f t="shared" ref="I18:AA18" si="0">H18</f>
        <v>0.3</v>
      </c>
      <c r="J18" s="105">
        <f t="shared" si="0"/>
        <v>0.3</v>
      </c>
      <c r="K18" s="105">
        <f t="shared" si="0"/>
        <v>0.3</v>
      </c>
      <c r="L18" s="105">
        <f t="shared" si="0"/>
        <v>0.3</v>
      </c>
      <c r="M18" s="105">
        <f t="shared" si="0"/>
        <v>0.3</v>
      </c>
      <c r="N18" s="105">
        <f t="shared" si="0"/>
        <v>0.3</v>
      </c>
      <c r="O18" s="105">
        <f t="shared" si="0"/>
        <v>0.3</v>
      </c>
      <c r="P18" s="105">
        <f t="shared" si="0"/>
        <v>0.3</v>
      </c>
      <c r="Q18" s="105">
        <f t="shared" si="0"/>
        <v>0.3</v>
      </c>
      <c r="R18" s="105">
        <f t="shared" si="0"/>
        <v>0.3</v>
      </c>
      <c r="S18" s="105">
        <f t="shared" si="0"/>
        <v>0.3</v>
      </c>
      <c r="T18" s="105">
        <f t="shared" si="0"/>
        <v>0.3</v>
      </c>
      <c r="U18" s="105">
        <f t="shared" si="0"/>
        <v>0.3</v>
      </c>
      <c r="V18" s="105">
        <f t="shared" si="0"/>
        <v>0.3</v>
      </c>
      <c r="W18" s="105">
        <f t="shared" si="0"/>
        <v>0.3</v>
      </c>
      <c r="X18" s="105">
        <f t="shared" si="0"/>
        <v>0.3</v>
      </c>
      <c r="Y18" s="105">
        <f t="shared" si="0"/>
        <v>0.3</v>
      </c>
      <c r="Z18" s="105">
        <f t="shared" si="0"/>
        <v>0.3</v>
      </c>
      <c r="AA18" s="105">
        <f t="shared" si="0"/>
        <v>0.3</v>
      </c>
    </row>
    <row r="20" spans="1:27" x14ac:dyDescent="0.25">
      <c r="A20" s="101">
        <v>10</v>
      </c>
      <c r="C20" s="100" t="s">
        <v>638</v>
      </c>
      <c r="D20" s="100"/>
    </row>
    <row r="21" spans="1:27" x14ac:dyDescent="0.25">
      <c r="E21" s="106" t="str">
        <f>E7</f>
        <v>Pipes / Storage</v>
      </c>
      <c r="F21" s="47" t="s">
        <v>639</v>
      </c>
      <c r="G21" s="102">
        <f>GS!G21+GW!G21</f>
        <v>0</v>
      </c>
      <c r="H21" s="102">
        <f>GS!H21+GW!H21</f>
        <v>61390749.576737061</v>
      </c>
      <c r="I21" s="102">
        <f>GS!I21+GW!I21</f>
        <v>43619894.862626299</v>
      </c>
      <c r="J21" s="102">
        <f>GS!J21+GW!J21</f>
        <v>46828769.545394838</v>
      </c>
      <c r="K21" s="102">
        <f>GS!K21+GW!K21</f>
        <v>38805835.173151672</v>
      </c>
      <c r="L21" s="102">
        <f>GS!L21+GW!L21</f>
        <v>69917374.104211807</v>
      </c>
      <c r="M21" s="102">
        <f>GS!M21+GW!M21</f>
        <v>64625642.958517477</v>
      </c>
      <c r="N21" s="102">
        <f>GS!N21+GW!N21</f>
        <v>49270201.179643773</v>
      </c>
      <c r="O21" s="102">
        <f>GS!O21+GW!O21</f>
        <v>48544303.965898015</v>
      </c>
      <c r="P21" s="102">
        <f>GS!P21+GW!P21</f>
        <v>30104588.445194311</v>
      </c>
      <c r="Q21" s="102">
        <f>GS!Q21+GW!Q21</f>
        <v>52492422.130693078</v>
      </c>
      <c r="R21" s="102">
        <f>GS!R21+GW!R21</f>
        <v>52492422.130693078</v>
      </c>
      <c r="S21" s="102">
        <f>GS!S21+GW!S21</f>
        <v>52492422.130693078</v>
      </c>
      <c r="T21" s="102">
        <f>GS!T21+GW!T21</f>
        <v>52492422.130693078</v>
      </c>
      <c r="U21" s="102">
        <f>GS!U21+GW!U21</f>
        <v>52492422.130693078</v>
      </c>
      <c r="V21" s="102">
        <f>GS!V21+GW!V21</f>
        <v>52492422.130693078</v>
      </c>
      <c r="W21" s="102">
        <f>GS!W21+GW!W21</f>
        <v>52492422.130693078</v>
      </c>
      <c r="X21" s="102">
        <f>GS!X21+GW!X21</f>
        <v>52492422.130693078</v>
      </c>
      <c r="Y21" s="102">
        <f>GS!Y21+GW!Y21</f>
        <v>52492422.130693078</v>
      </c>
      <c r="Z21" s="102">
        <f>GS!Z21+GW!Z21</f>
        <v>52492422.130693078</v>
      </c>
      <c r="AA21" s="102">
        <f>GS!AA21+GW!AA21</f>
        <v>52492422.130693078</v>
      </c>
    </row>
    <row r="22" spans="1:27" x14ac:dyDescent="0.25">
      <c r="E22" s="106" t="str">
        <f>E8</f>
        <v>Pumps / Valves</v>
      </c>
      <c r="F22" s="47" t="s">
        <v>639</v>
      </c>
      <c r="G22" s="102">
        <f>GS!G22+GW!G22</f>
        <v>0</v>
      </c>
      <c r="H22" s="102">
        <f>GS!H22+GW!H22</f>
        <v>10605538.498789299</v>
      </c>
      <c r="I22" s="102">
        <f>GS!I22+GW!I22</f>
        <v>16600738.740920022</v>
      </c>
      <c r="J22" s="102">
        <f>GS!J22+GW!J22</f>
        <v>22659188.861985382</v>
      </c>
      <c r="K22" s="102">
        <f>GS!K22+GW!K22</f>
        <v>13214515.738498729</v>
      </c>
      <c r="L22" s="102">
        <f>GS!L22+GW!L22</f>
        <v>0</v>
      </c>
      <c r="M22" s="102">
        <f>GS!M22+GW!M22</f>
        <v>0</v>
      </c>
      <c r="N22" s="102">
        <f>GS!N22+GW!N22</f>
        <v>0</v>
      </c>
      <c r="O22" s="102">
        <f>GS!O22+GW!O22</f>
        <v>0</v>
      </c>
      <c r="P22" s="102">
        <f>GS!P22+GW!P22</f>
        <v>0</v>
      </c>
      <c r="Q22" s="102">
        <f>GS!Q22+GW!Q22</f>
        <v>0</v>
      </c>
      <c r="R22" s="102">
        <f>GS!R22+GW!R22</f>
        <v>0</v>
      </c>
      <c r="S22" s="102">
        <f>GS!S22+GW!S22</f>
        <v>0</v>
      </c>
      <c r="T22" s="102">
        <f>GS!T22+GW!T22</f>
        <v>0</v>
      </c>
      <c r="U22" s="102">
        <f>GS!U22+GW!U22</f>
        <v>0</v>
      </c>
      <c r="V22" s="102">
        <f>GS!V22+GW!V22</f>
        <v>0</v>
      </c>
      <c r="W22" s="102">
        <f>GS!W22+GW!W22</f>
        <v>0</v>
      </c>
      <c r="X22" s="102">
        <f>GS!X22+GW!X22</f>
        <v>0</v>
      </c>
      <c r="Y22" s="102">
        <f>GS!Y22+GW!Y22</f>
        <v>0</v>
      </c>
      <c r="Z22" s="102">
        <f>GS!Z22+GW!Z22</f>
        <v>0</v>
      </c>
      <c r="AA22" s="102">
        <f>GS!AA22+GW!AA22</f>
        <v>0</v>
      </c>
    </row>
    <row r="23" spans="1:27" x14ac:dyDescent="0.25">
      <c r="E23" s="106" t="str">
        <f>E9</f>
        <v>Treatment</v>
      </c>
      <c r="F23" s="47" t="s">
        <v>639</v>
      </c>
      <c r="G23" s="102">
        <f>GS!G23+GW!G23</f>
        <v>0</v>
      </c>
      <c r="H23" s="102">
        <f>GS!H23+GW!H23</f>
        <v>36045210.359331802</v>
      </c>
      <c r="I23" s="102">
        <f>GS!I23+GW!I23</f>
        <v>34229621.973792762</v>
      </c>
      <c r="J23" s="102">
        <f>GS!J23+GW!J23</f>
        <v>32597284.817448281</v>
      </c>
      <c r="K23" s="102">
        <f>GS!K23+GW!K23</f>
        <v>24105283.140442632</v>
      </c>
      <c r="L23" s="102">
        <f>GS!L23+GW!L23</f>
        <v>20446832.895572212</v>
      </c>
      <c r="M23" s="102">
        <f>GS!M23+GW!M23</f>
        <v>28321389.513795208</v>
      </c>
      <c r="N23" s="102">
        <f>GS!N23+GW!N23</f>
        <v>25651513.454708237</v>
      </c>
      <c r="O23" s="102">
        <f>GS!O23+GW!O23</f>
        <v>20581904.454610117</v>
      </c>
      <c r="P23" s="102">
        <f>GS!P23+GW!P23</f>
        <v>20581904.454610117</v>
      </c>
      <c r="Q23" s="102">
        <f>GS!Q23+GW!Q23</f>
        <v>23116708.954659179</v>
      </c>
      <c r="R23" s="102">
        <f>GS!R23+GW!R23</f>
        <v>23116708.954659179</v>
      </c>
      <c r="S23" s="102">
        <f>GS!S23+GW!S23</f>
        <v>23116708.954659179</v>
      </c>
      <c r="T23" s="102">
        <f>GS!T23+GW!T23</f>
        <v>23116708.954659179</v>
      </c>
      <c r="U23" s="102">
        <f>GS!U23+GW!U23</f>
        <v>23116708.954659179</v>
      </c>
      <c r="V23" s="102">
        <f>GS!V23+GW!V23</f>
        <v>23116708.954659179</v>
      </c>
      <c r="W23" s="102">
        <f>GS!W23+GW!W23</f>
        <v>23116708.954659179</v>
      </c>
      <c r="X23" s="102">
        <f>GS!X23+GW!X23</f>
        <v>23116708.954659179</v>
      </c>
      <c r="Y23" s="102">
        <f>GS!Y23+GW!Y23</f>
        <v>23116708.954659179</v>
      </c>
      <c r="Z23" s="102">
        <f>GS!Z23+GW!Z23</f>
        <v>23116708.954659179</v>
      </c>
      <c r="AA23" s="102">
        <f>GS!AA23+GW!AA23</f>
        <v>23116708.954659179</v>
      </c>
    </row>
    <row r="24" spans="1:27" x14ac:dyDescent="0.25">
      <c r="E24" s="47" t="s">
        <v>630</v>
      </c>
      <c r="F24" s="47" t="s">
        <v>639</v>
      </c>
      <c r="G24" s="102"/>
      <c r="H24" s="102"/>
      <c r="I24" s="102"/>
      <c r="J24" s="102"/>
      <c r="K24" s="102"/>
      <c r="L24" s="102"/>
      <c r="M24" s="102"/>
      <c r="N24" s="102"/>
      <c r="O24" s="102"/>
      <c r="P24" s="102"/>
      <c r="Q24" s="102"/>
      <c r="R24" s="102"/>
      <c r="S24" s="102"/>
      <c r="T24" s="102"/>
      <c r="U24" s="102"/>
      <c r="V24" s="102"/>
      <c r="W24" s="102"/>
      <c r="X24" s="102"/>
      <c r="Y24" s="102"/>
      <c r="Z24" s="102"/>
      <c r="AA24" s="102"/>
    </row>
    <row r="25" spans="1:27" x14ac:dyDescent="0.25">
      <c r="E25" s="47" t="s">
        <v>640</v>
      </c>
      <c r="F25" s="47" t="s">
        <v>639</v>
      </c>
      <c r="G25" s="102"/>
      <c r="H25" s="102"/>
      <c r="I25" s="102"/>
      <c r="J25" s="102"/>
      <c r="K25" s="102"/>
      <c r="L25" s="102"/>
      <c r="M25" s="102"/>
      <c r="N25" s="102"/>
      <c r="O25" s="102"/>
      <c r="P25" s="102"/>
      <c r="Q25" s="102"/>
      <c r="R25" s="102"/>
      <c r="S25" s="102"/>
      <c r="T25" s="102"/>
      <c r="U25" s="102"/>
      <c r="V25" s="102"/>
      <c r="W25" s="102"/>
      <c r="X25" s="102"/>
      <c r="Y25" s="102"/>
      <c r="Z25" s="102"/>
      <c r="AA25" s="102"/>
    </row>
    <row r="26" spans="1:27" x14ac:dyDescent="0.25">
      <c r="G26" s="106">
        <f>SUM(G21:G25)</f>
        <v>0</v>
      </c>
      <c r="H26" s="106">
        <f t="shared" ref="H26:AA26" si="1">SUM(H21:H25)</f>
        <v>108041498.43485816</v>
      </c>
      <c r="I26" s="106">
        <f t="shared" si="1"/>
        <v>94450255.577339083</v>
      </c>
      <c r="J26" s="106">
        <f t="shared" si="1"/>
        <v>102085243.22482851</v>
      </c>
      <c r="K26" s="106">
        <f t="shared" si="1"/>
        <v>76125634.052093029</v>
      </c>
      <c r="L26" s="106">
        <f t="shared" si="1"/>
        <v>90364206.999784023</v>
      </c>
      <c r="M26" s="106">
        <f t="shared" si="1"/>
        <v>92947032.472312689</v>
      </c>
      <c r="N26" s="106">
        <f t="shared" si="1"/>
        <v>74921714.634352013</v>
      </c>
      <c r="O26" s="106">
        <f t="shared" si="1"/>
        <v>69126208.420508131</v>
      </c>
      <c r="P26" s="106">
        <f t="shared" si="1"/>
        <v>50686492.899804428</v>
      </c>
      <c r="Q26" s="106">
        <f t="shared" si="1"/>
        <v>75609131.085352257</v>
      </c>
      <c r="R26" s="106">
        <f t="shared" si="1"/>
        <v>75609131.085352257</v>
      </c>
      <c r="S26" s="106">
        <f t="shared" si="1"/>
        <v>75609131.085352257</v>
      </c>
      <c r="T26" s="106">
        <f t="shared" si="1"/>
        <v>75609131.085352257</v>
      </c>
      <c r="U26" s="106">
        <f t="shared" si="1"/>
        <v>75609131.085352257</v>
      </c>
      <c r="V26" s="106">
        <f t="shared" si="1"/>
        <v>75609131.085352257</v>
      </c>
      <c r="W26" s="106">
        <f t="shared" si="1"/>
        <v>75609131.085352257</v>
      </c>
      <c r="X26" s="106">
        <f t="shared" si="1"/>
        <v>75609131.085352257</v>
      </c>
      <c r="Y26" s="106">
        <f t="shared" si="1"/>
        <v>75609131.085352257</v>
      </c>
      <c r="Z26" s="106">
        <f t="shared" si="1"/>
        <v>75609131.085352257</v>
      </c>
      <c r="AA26" s="106">
        <f t="shared" si="1"/>
        <v>75609131.085352257</v>
      </c>
    </row>
    <row r="27" spans="1:27" x14ac:dyDescent="0.25">
      <c r="G27" s="106"/>
      <c r="H27" s="106"/>
      <c r="I27" s="106"/>
      <c r="J27" s="106"/>
      <c r="K27" s="106"/>
      <c r="L27" s="106"/>
      <c r="M27" s="106"/>
      <c r="N27" s="106"/>
      <c r="O27" s="106"/>
      <c r="P27" s="106"/>
      <c r="Q27" s="106"/>
    </row>
    <row r="28" spans="1:27" x14ac:dyDescent="0.25">
      <c r="D28" s="47" t="s">
        <v>641</v>
      </c>
      <c r="G28" s="106"/>
      <c r="H28" s="106"/>
      <c r="I28" s="106"/>
      <c r="J28" s="106"/>
      <c r="K28" s="106"/>
      <c r="L28" s="106"/>
      <c r="M28" s="106"/>
      <c r="N28" s="106"/>
      <c r="O28" s="106"/>
      <c r="P28" s="106"/>
      <c r="Q28" s="106"/>
    </row>
    <row r="29" spans="1:27" x14ac:dyDescent="0.25">
      <c r="E29" s="106" t="str">
        <f>E21</f>
        <v>Pipes / Storage</v>
      </c>
      <c r="F29" s="47" t="s">
        <v>639</v>
      </c>
      <c r="G29" s="106">
        <f>G21/$G7+IF((G$2-$G7+1)&gt;0,-INDEX($G21:$AP21,1,(G$2-$G7+1))/$G7,0)</f>
        <v>0</v>
      </c>
      <c r="H29" s="106">
        <f t="shared" ref="H29:AA29" si="2">H21/$G7+IF((H$2-$G7+1)&gt;0,-INDEX($G21:$AP21,1,(H$2-$G7+1))/$G7,0)</f>
        <v>682119.43974152289</v>
      </c>
      <c r="I29" s="106">
        <f t="shared" si="2"/>
        <v>484665.49847362557</v>
      </c>
      <c r="J29" s="106">
        <f t="shared" si="2"/>
        <v>520319.66161549819</v>
      </c>
      <c r="K29" s="106">
        <f t="shared" si="2"/>
        <v>431175.94636835193</v>
      </c>
      <c r="L29" s="106">
        <f t="shared" si="2"/>
        <v>776859.71226902003</v>
      </c>
      <c r="M29" s="106">
        <f t="shared" si="2"/>
        <v>718062.69953908306</v>
      </c>
      <c r="N29" s="106">
        <f t="shared" si="2"/>
        <v>547446.67977381975</v>
      </c>
      <c r="O29" s="106">
        <f t="shared" si="2"/>
        <v>539381.15517664456</v>
      </c>
      <c r="P29" s="106">
        <f t="shared" si="2"/>
        <v>334495.4271688257</v>
      </c>
      <c r="Q29" s="106">
        <f t="shared" si="2"/>
        <v>583249.1347854787</v>
      </c>
      <c r="R29" s="106">
        <f t="shared" si="2"/>
        <v>583249.1347854787</v>
      </c>
      <c r="S29" s="106">
        <f t="shared" si="2"/>
        <v>583249.1347854787</v>
      </c>
      <c r="T29" s="106">
        <f t="shared" si="2"/>
        <v>583249.1347854787</v>
      </c>
      <c r="U29" s="106">
        <f t="shared" si="2"/>
        <v>583249.1347854787</v>
      </c>
      <c r="V29" s="106">
        <f t="shared" si="2"/>
        <v>583249.1347854787</v>
      </c>
      <c r="W29" s="106">
        <f t="shared" si="2"/>
        <v>583249.1347854787</v>
      </c>
      <c r="X29" s="106">
        <f t="shared" si="2"/>
        <v>583249.1347854787</v>
      </c>
      <c r="Y29" s="106">
        <f t="shared" si="2"/>
        <v>583249.1347854787</v>
      </c>
      <c r="Z29" s="106">
        <f t="shared" si="2"/>
        <v>583249.1347854787</v>
      </c>
      <c r="AA29" s="106">
        <f t="shared" si="2"/>
        <v>583249.1347854787</v>
      </c>
    </row>
    <row r="30" spans="1:27" x14ac:dyDescent="0.25">
      <c r="E30" s="106" t="str">
        <f t="shared" ref="E30:E32" si="3">E22</f>
        <v>Pumps / Valves</v>
      </c>
      <c r="F30" s="47" t="s">
        <v>639</v>
      </c>
      <c r="G30" s="106">
        <f t="shared" ref="G30:AA32" si="4">G22/$G8+IF((G$2-$G8+1)&gt;0,-INDEX($G22:$AP22,1,(G$2-$G8+1))/$G8,0)</f>
        <v>0</v>
      </c>
      <c r="H30" s="106">
        <f t="shared" si="4"/>
        <v>353517.9499596433</v>
      </c>
      <c r="I30" s="106">
        <f t="shared" si="4"/>
        <v>553357.95803066739</v>
      </c>
      <c r="J30" s="106">
        <f t="shared" si="4"/>
        <v>755306.29539951275</v>
      </c>
      <c r="K30" s="106">
        <f t="shared" si="4"/>
        <v>440483.8579499576</v>
      </c>
      <c r="L30" s="106">
        <f t="shared" si="4"/>
        <v>0</v>
      </c>
      <c r="M30" s="106">
        <f t="shared" si="4"/>
        <v>0</v>
      </c>
      <c r="N30" s="106">
        <f t="shared" si="4"/>
        <v>0</v>
      </c>
      <c r="O30" s="106">
        <f t="shared" si="4"/>
        <v>0</v>
      </c>
      <c r="P30" s="106">
        <f t="shared" si="4"/>
        <v>0</v>
      </c>
      <c r="Q30" s="106">
        <f t="shared" si="4"/>
        <v>0</v>
      </c>
      <c r="R30" s="106">
        <f t="shared" si="4"/>
        <v>0</v>
      </c>
      <c r="S30" s="106">
        <f t="shared" si="4"/>
        <v>0</v>
      </c>
      <c r="T30" s="106">
        <f t="shared" si="4"/>
        <v>0</v>
      </c>
      <c r="U30" s="106">
        <f t="shared" si="4"/>
        <v>0</v>
      </c>
      <c r="V30" s="106">
        <f t="shared" si="4"/>
        <v>0</v>
      </c>
      <c r="W30" s="106">
        <f t="shared" si="4"/>
        <v>0</v>
      </c>
      <c r="X30" s="106">
        <f t="shared" si="4"/>
        <v>0</v>
      </c>
      <c r="Y30" s="106">
        <f t="shared" si="4"/>
        <v>0</v>
      </c>
      <c r="Z30" s="106">
        <f t="shared" si="4"/>
        <v>0</v>
      </c>
      <c r="AA30" s="106">
        <f t="shared" si="4"/>
        <v>0</v>
      </c>
    </row>
    <row r="31" spans="1:27" x14ac:dyDescent="0.25">
      <c r="E31" s="106" t="str">
        <f t="shared" si="3"/>
        <v>Treatment</v>
      </c>
      <c r="F31" s="47" t="s">
        <v>639</v>
      </c>
      <c r="G31" s="106">
        <f t="shared" si="4"/>
        <v>0</v>
      </c>
      <c r="H31" s="106">
        <f t="shared" si="4"/>
        <v>450565.12949164753</v>
      </c>
      <c r="I31" s="106">
        <f t="shared" si="4"/>
        <v>427870.27467240952</v>
      </c>
      <c r="J31" s="106">
        <f t="shared" si="4"/>
        <v>407466.06021810352</v>
      </c>
      <c r="K31" s="106">
        <f t="shared" si="4"/>
        <v>301316.0392555329</v>
      </c>
      <c r="L31" s="106">
        <f t="shared" si="4"/>
        <v>255585.41119465264</v>
      </c>
      <c r="M31" s="106">
        <f t="shared" si="4"/>
        <v>354017.3689224401</v>
      </c>
      <c r="N31" s="106">
        <f t="shared" si="4"/>
        <v>320643.91818385298</v>
      </c>
      <c r="O31" s="106">
        <f t="shared" si="4"/>
        <v>257273.80568262647</v>
      </c>
      <c r="P31" s="106">
        <f t="shared" si="4"/>
        <v>257273.80568262647</v>
      </c>
      <c r="Q31" s="106">
        <f t="shared" si="4"/>
        <v>288958.86193323974</v>
      </c>
      <c r="R31" s="106">
        <f t="shared" si="4"/>
        <v>288958.86193323974</v>
      </c>
      <c r="S31" s="106">
        <f t="shared" si="4"/>
        <v>288958.86193323974</v>
      </c>
      <c r="T31" s="106">
        <f t="shared" si="4"/>
        <v>288958.86193323974</v>
      </c>
      <c r="U31" s="106">
        <f t="shared" si="4"/>
        <v>288958.86193323974</v>
      </c>
      <c r="V31" s="106">
        <f t="shared" si="4"/>
        <v>288958.86193323974</v>
      </c>
      <c r="W31" s="106">
        <f t="shared" si="4"/>
        <v>288958.86193323974</v>
      </c>
      <c r="X31" s="106">
        <f t="shared" si="4"/>
        <v>288958.86193323974</v>
      </c>
      <c r="Y31" s="106">
        <f t="shared" si="4"/>
        <v>288958.86193323974</v>
      </c>
      <c r="Z31" s="106">
        <f t="shared" si="4"/>
        <v>288958.86193323974</v>
      </c>
      <c r="AA31" s="106">
        <f t="shared" si="4"/>
        <v>288958.86193323974</v>
      </c>
    </row>
    <row r="32" spans="1:27" x14ac:dyDescent="0.25">
      <c r="E32" s="106" t="str">
        <f t="shared" si="3"/>
        <v>Temporary Assets</v>
      </c>
      <c r="F32" s="47" t="s">
        <v>639</v>
      </c>
      <c r="G32" s="106">
        <f t="shared" si="4"/>
        <v>0</v>
      </c>
      <c r="H32" s="106">
        <f t="shared" si="4"/>
        <v>0</v>
      </c>
      <c r="I32" s="106">
        <f t="shared" si="4"/>
        <v>0</v>
      </c>
      <c r="J32" s="106">
        <f t="shared" si="4"/>
        <v>0</v>
      </c>
      <c r="K32" s="106">
        <f t="shared" si="4"/>
        <v>0</v>
      </c>
      <c r="L32" s="106">
        <f t="shared" si="4"/>
        <v>0</v>
      </c>
      <c r="M32" s="106">
        <f t="shared" si="4"/>
        <v>0</v>
      </c>
      <c r="N32" s="106">
        <f t="shared" si="4"/>
        <v>0</v>
      </c>
      <c r="O32" s="106">
        <f t="shared" si="4"/>
        <v>0</v>
      </c>
      <c r="P32" s="106">
        <f t="shared" si="4"/>
        <v>0</v>
      </c>
      <c r="Q32" s="106">
        <f t="shared" si="4"/>
        <v>0</v>
      </c>
      <c r="R32" s="106">
        <f t="shared" si="4"/>
        <v>0</v>
      </c>
      <c r="S32" s="106">
        <f t="shared" si="4"/>
        <v>0</v>
      </c>
      <c r="T32" s="106">
        <f t="shared" si="4"/>
        <v>0</v>
      </c>
      <c r="U32" s="106">
        <f t="shared" si="4"/>
        <v>0</v>
      </c>
      <c r="V32" s="106">
        <f t="shared" si="4"/>
        <v>0</v>
      </c>
      <c r="W32" s="106">
        <f t="shared" si="4"/>
        <v>0</v>
      </c>
      <c r="X32" s="106">
        <f t="shared" si="4"/>
        <v>0</v>
      </c>
      <c r="Y32" s="106">
        <f t="shared" si="4"/>
        <v>0</v>
      </c>
      <c r="Z32" s="106">
        <f t="shared" si="4"/>
        <v>0</v>
      </c>
      <c r="AA32" s="106">
        <f t="shared" si="4"/>
        <v>0</v>
      </c>
    </row>
    <row r="33" spans="1:27" x14ac:dyDescent="0.25">
      <c r="G33" s="106"/>
      <c r="H33" s="106"/>
      <c r="I33" s="106"/>
      <c r="J33" s="106"/>
      <c r="K33" s="106"/>
      <c r="L33" s="106"/>
      <c r="M33" s="106"/>
      <c r="N33" s="106"/>
      <c r="O33" s="106"/>
      <c r="P33" s="106"/>
      <c r="Q33" s="106"/>
    </row>
    <row r="34" spans="1:27" x14ac:dyDescent="0.25">
      <c r="D34" s="47" t="s">
        <v>642</v>
      </c>
      <c r="F34" s="47" t="s">
        <v>639</v>
      </c>
      <c r="G34" s="106">
        <f>SUM($G$29:G32)</f>
        <v>0</v>
      </c>
      <c r="H34" s="106">
        <f>SUM($G$29:H32)</f>
        <v>1486202.5191928137</v>
      </c>
      <c r="I34" s="106">
        <f>SUM($G$29:I32)</f>
        <v>2952096.2503695162</v>
      </c>
      <c r="J34" s="106">
        <f>SUM($G$29:J32)</f>
        <v>4635188.26760263</v>
      </c>
      <c r="K34" s="106">
        <f>SUM($G$29:K32)</f>
        <v>5808164.1111764722</v>
      </c>
      <c r="L34" s="106">
        <f>SUM($G$29:L32)</f>
        <v>6840609.2346401457</v>
      </c>
      <c r="M34" s="106">
        <f>SUM($G$29:M32)</f>
        <v>7912689.3031016681</v>
      </c>
      <c r="N34" s="106">
        <f>SUM($G$29:N32)</f>
        <v>8780779.9010593425</v>
      </c>
      <c r="O34" s="106">
        <f>SUM($G$29:O32)</f>
        <v>9577434.8619186115</v>
      </c>
      <c r="P34" s="106">
        <f>SUM($G$29:P32)</f>
        <v>10169204.094770065</v>
      </c>
      <c r="Q34" s="106">
        <f>SUM($G$29:Q32)</f>
        <v>11041412.091488782</v>
      </c>
      <c r="R34" s="106">
        <f>SUM($G$29:R32)</f>
        <v>11913620.088207498</v>
      </c>
      <c r="S34" s="106">
        <f>SUM($G$29:S32)</f>
        <v>12785828.084926218</v>
      </c>
      <c r="T34" s="106">
        <f>SUM($G$29:T32)</f>
        <v>13658036.081644934</v>
      </c>
      <c r="U34" s="106">
        <f>SUM($G$29:U32)</f>
        <v>14530244.078363653</v>
      </c>
      <c r="V34" s="106">
        <f>SUM($G$29:V32)</f>
        <v>15402452.075082369</v>
      </c>
      <c r="W34" s="106">
        <f>SUM($G$29:W32)</f>
        <v>16274660.071801089</v>
      </c>
      <c r="X34" s="106">
        <f>SUM($G$29:X32)</f>
        <v>17146868.068519805</v>
      </c>
      <c r="Y34" s="106">
        <f>SUM($G$29:Y32)</f>
        <v>18019076.065238524</v>
      </c>
      <c r="Z34" s="106">
        <f>SUM($G$29:Z32)</f>
        <v>18891284.06195724</v>
      </c>
      <c r="AA34" s="106">
        <f>SUM($G$29:AA32)</f>
        <v>19763492.05867596</v>
      </c>
    </row>
    <row r="35" spans="1:27" x14ac:dyDescent="0.25">
      <c r="G35" s="106"/>
      <c r="H35" s="106"/>
      <c r="I35" s="106"/>
      <c r="J35" s="106"/>
      <c r="K35" s="106"/>
      <c r="L35" s="106"/>
      <c r="M35" s="106"/>
      <c r="N35" s="106"/>
      <c r="O35" s="106"/>
      <c r="P35" s="106"/>
      <c r="Q35" s="106"/>
      <c r="R35" s="106"/>
      <c r="S35" s="106"/>
      <c r="T35" s="106"/>
      <c r="U35" s="106"/>
      <c r="V35" s="106"/>
      <c r="W35" s="106"/>
      <c r="X35" s="106"/>
      <c r="Y35" s="106"/>
      <c r="Z35" s="106"/>
      <c r="AA35" s="106"/>
    </row>
    <row r="36" spans="1:27" x14ac:dyDescent="0.25">
      <c r="A36" s="101">
        <v>11</v>
      </c>
      <c r="C36" s="100" t="s">
        <v>573</v>
      </c>
      <c r="D36" s="100"/>
    </row>
    <row r="37" spans="1:27" x14ac:dyDescent="0.25">
      <c r="E37" s="106" t="str">
        <f>E7</f>
        <v>Pipes / Storage</v>
      </c>
      <c r="F37" s="47" t="s">
        <v>639</v>
      </c>
      <c r="G37" s="102">
        <f>GS!G37+GW!G37</f>
        <v>0</v>
      </c>
      <c r="H37" s="102">
        <f>GS!H37+GW!H37</f>
        <v>51602078.051148698</v>
      </c>
      <c r="I37" s="102">
        <f>GS!I37+GW!I37</f>
        <v>53290001.108287737</v>
      </c>
      <c r="J37" s="102">
        <f>GS!J37+GW!J37</f>
        <v>52727881.734018296</v>
      </c>
      <c r="K37" s="102">
        <f>GS!K37+GW!K37</f>
        <v>54348335.955898404</v>
      </c>
      <c r="L37" s="102">
        <f>GS!L37+GW!L37</f>
        <v>52493865.327404477</v>
      </c>
      <c r="M37" s="102">
        <f>GS!M37+GW!M37</f>
        <v>55872890.840626143</v>
      </c>
      <c r="N37" s="102">
        <f>GS!N37+GW!N37</f>
        <v>54786683.384502426</v>
      </c>
      <c r="O37" s="102">
        <f>GS!O37+GW!O37</f>
        <v>58110227.49664633</v>
      </c>
      <c r="P37" s="102">
        <f>GS!P37+GW!P37</f>
        <v>58964785.839146852</v>
      </c>
      <c r="Q37" s="102">
        <f>GS!Q37+GW!Q37</f>
        <v>59192902.887546867</v>
      </c>
      <c r="R37" s="102">
        <f>GS!R37+GW!R37</f>
        <v>59214019.087601095</v>
      </c>
      <c r="S37" s="102">
        <f>GS!S37+GW!S37</f>
        <v>58897189.540760815</v>
      </c>
      <c r="T37" s="102">
        <f>GS!T37+GW!T37</f>
        <v>57739441.154204175</v>
      </c>
      <c r="U37" s="102">
        <f>GS!U37+GW!U37</f>
        <v>57610749.80098705</v>
      </c>
      <c r="V37" s="102">
        <f>GS!V37+GW!V37</f>
        <v>57154698.560692005</v>
      </c>
      <c r="W37" s="102">
        <f>GS!W37+GW!W37</f>
        <v>57000649.372701071</v>
      </c>
      <c r="X37" s="102">
        <f>GS!X37+GW!X37</f>
        <v>56415998.929261521</v>
      </c>
      <c r="Y37" s="102">
        <f>GS!Y37+GW!Y37</f>
        <v>54477211.193327636</v>
      </c>
      <c r="Z37" s="102">
        <f>GS!Z37+GW!Z37</f>
        <v>51865480.694751553</v>
      </c>
      <c r="AA37" s="102">
        <f>GS!AA37+GW!AA37</f>
        <v>48931410.064830668</v>
      </c>
    </row>
    <row r="38" spans="1:27" x14ac:dyDescent="0.25">
      <c r="E38" s="106" t="str">
        <f>E8</f>
        <v>Pumps / Valves</v>
      </c>
      <c r="F38" s="47" t="s">
        <v>639</v>
      </c>
      <c r="G38" s="102"/>
      <c r="H38" s="102"/>
      <c r="I38" s="102"/>
      <c r="J38" s="102"/>
      <c r="K38" s="102"/>
      <c r="L38" s="102"/>
      <c r="M38" s="102"/>
      <c r="N38" s="102"/>
      <c r="O38" s="102"/>
      <c r="P38" s="102"/>
      <c r="Q38" s="102"/>
      <c r="R38" s="102"/>
      <c r="S38" s="102"/>
      <c r="T38" s="102"/>
      <c r="U38" s="102"/>
      <c r="V38" s="102"/>
      <c r="W38" s="102"/>
      <c r="X38" s="102"/>
      <c r="Y38" s="102"/>
      <c r="Z38" s="102"/>
      <c r="AA38" s="102"/>
    </row>
    <row r="39" spans="1:27" x14ac:dyDescent="0.25">
      <c r="E39" s="106" t="str">
        <f>E9</f>
        <v>Treatment</v>
      </c>
      <c r="F39" s="47" t="s">
        <v>639</v>
      </c>
      <c r="G39" s="102"/>
      <c r="H39" s="102"/>
      <c r="I39" s="102"/>
      <c r="J39" s="102"/>
      <c r="K39" s="102"/>
      <c r="L39" s="102"/>
      <c r="M39" s="102"/>
      <c r="N39" s="102"/>
      <c r="O39" s="102"/>
      <c r="P39" s="102"/>
      <c r="Q39" s="102"/>
      <c r="R39" s="102"/>
      <c r="S39" s="102"/>
      <c r="T39" s="102"/>
      <c r="U39" s="102"/>
      <c r="V39" s="102"/>
      <c r="W39" s="102"/>
      <c r="X39" s="102"/>
      <c r="Y39" s="102"/>
      <c r="Z39" s="102"/>
      <c r="AA39" s="102"/>
    </row>
    <row r="40" spans="1:27" x14ac:dyDescent="0.25">
      <c r="E40" s="106" t="str">
        <f>E10</f>
        <v>Temporary Assets</v>
      </c>
      <c r="F40" s="47" t="s">
        <v>639</v>
      </c>
      <c r="G40" s="102"/>
      <c r="H40" s="102"/>
      <c r="I40" s="102"/>
      <c r="J40" s="102"/>
      <c r="K40" s="102"/>
      <c r="L40" s="102"/>
      <c r="M40" s="102"/>
      <c r="N40" s="102"/>
      <c r="O40" s="102"/>
      <c r="P40" s="102"/>
      <c r="Q40" s="102"/>
      <c r="R40" s="102"/>
      <c r="S40" s="102"/>
      <c r="T40" s="102"/>
      <c r="U40" s="102"/>
      <c r="V40" s="102"/>
      <c r="W40" s="102"/>
      <c r="X40" s="102"/>
      <c r="Y40" s="102"/>
      <c r="Z40" s="102"/>
      <c r="AA40" s="102"/>
    </row>
    <row r="41" spans="1:27" x14ac:dyDescent="0.25">
      <c r="E41" s="47" t="s">
        <v>640</v>
      </c>
      <c r="F41" s="47" t="s">
        <v>639</v>
      </c>
      <c r="G41" s="102"/>
      <c r="H41" s="102"/>
      <c r="I41" s="102"/>
      <c r="J41" s="102"/>
      <c r="K41" s="102"/>
      <c r="L41" s="102"/>
      <c r="M41" s="102"/>
      <c r="N41" s="102"/>
      <c r="O41" s="102"/>
      <c r="P41" s="102"/>
      <c r="Q41" s="102"/>
      <c r="R41" s="102"/>
      <c r="S41" s="102"/>
      <c r="T41" s="102"/>
      <c r="U41" s="102"/>
      <c r="V41" s="102"/>
      <c r="W41" s="102"/>
      <c r="X41" s="102"/>
      <c r="Y41" s="102"/>
      <c r="Z41" s="102"/>
      <c r="AA41" s="102"/>
    </row>
    <row r="42" spans="1:27" x14ac:dyDescent="0.25">
      <c r="G42" s="106">
        <f>SUM(G37:G41)</f>
        <v>0</v>
      </c>
      <c r="H42" s="106">
        <f t="shared" ref="H42:AA42" si="5">SUM(H37:H41)</f>
        <v>51602078.051148698</v>
      </c>
      <c r="I42" s="106">
        <f t="shared" si="5"/>
        <v>53290001.108287737</v>
      </c>
      <c r="J42" s="106">
        <f t="shared" si="5"/>
        <v>52727881.734018296</v>
      </c>
      <c r="K42" s="106">
        <f t="shared" si="5"/>
        <v>54348335.955898404</v>
      </c>
      <c r="L42" s="106">
        <f t="shared" si="5"/>
        <v>52493865.327404477</v>
      </c>
      <c r="M42" s="106">
        <f t="shared" si="5"/>
        <v>55872890.840626143</v>
      </c>
      <c r="N42" s="106">
        <f t="shared" si="5"/>
        <v>54786683.384502426</v>
      </c>
      <c r="O42" s="106">
        <f t="shared" si="5"/>
        <v>58110227.49664633</v>
      </c>
      <c r="P42" s="106">
        <f t="shared" si="5"/>
        <v>58964785.839146852</v>
      </c>
      <c r="Q42" s="106">
        <f t="shared" si="5"/>
        <v>59192902.887546867</v>
      </c>
      <c r="R42" s="106">
        <f t="shared" si="5"/>
        <v>59214019.087601095</v>
      </c>
      <c r="S42" s="106">
        <f t="shared" si="5"/>
        <v>58897189.540760815</v>
      </c>
      <c r="T42" s="106">
        <f t="shared" si="5"/>
        <v>57739441.154204175</v>
      </c>
      <c r="U42" s="106">
        <f t="shared" si="5"/>
        <v>57610749.80098705</v>
      </c>
      <c r="V42" s="106">
        <f t="shared" si="5"/>
        <v>57154698.560692005</v>
      </c>
      <c r="W42" s="106">
        <f t="shared" si="5"/>
        <v>57000649.372701071</v>
      </c>
      <c r="X42" s="106">
        <f t="shared" si="5"/>
        <v>56415998.929261521</v>
      </c>
      <c r="Y42" s="106">
        <f t="shared" si="5"/>
        <v>54477211.193327636</v>
      </c>
      <c r="Z42" s="106">
        <f t="shared" si="5"/>
        <v>51865480.694751553</v>
      </c>
      <c r="AA42" s="106">
        <f t="shared" si="5"/>
        <v>48931410.064830668</v>
      </c>
    </row>
    <row r="43" spans="1:27" x14ac:dyDescent="0.25">
      <c r="G43" s="106"/>
      <c r="H43" s="106"/>
      <c r="I43" s="106"/>
      <c r="J43" s="106"/>
      <c r="K43" s="106"/>
      <c r="L43" s="106"/>
      <c r="M43" s="106"/>
      <c r="N43" s="106"/>
      <c r="O43" s="106"/>
      <c r="P43" s="106"/>
      <c r="Q43" s="106"/>
    </row>
    <row r="44" spans="1:27" x14ac:dyDescent="0.25">
      <c r="D44" s="47" t="s">
        <v>643</v>
      </c>
      <c r="G44" s="106"/>
      <c r="H44" s="106"/>
      <c r="I44" s="106"/>
      <c r="J44" s="106"/>
      <c r="K44" s="106"/>
      <c r="L44" s="106"/>
      <c r="M44" s="106"/>
      <c r="N44" s="106"/>
      <c r="O44" s="106"/>
      <c r="P44" s="106"/>
      <c r="Q44" s="106"/>
    </row>
    <row r="45" spans="1:27" x14ac:dyDescent="0.25">
      <c r="E45" s="106" t="str">
        <f>E37</f>
        <v>Pipes / Storage</v>
      </c>
      <c r="F45" s="47" t="s">
        <v>639</v>
      </c>
      <c r="G45" s="106">
        <f>G37/$G7+IF((G$2-$G7+1)&gt;0,-INDEX($G37:$AP37,1,(G$2-$G7+1))/$G7,0)</f>
        <v>0</v>
      </c>
      <c r="H45" s="106">
        <f t="shared" ref="H45:AA45" si="6">H37/$G7+IF((H$2-$G7+1)&gt;0,-INDEX($G37:$AP37,1,(H$2-$G7+1))/$G7,0)</f>
        <v>573356.42279054108</v>
      </c>
      <c r="I45" s="106">
        <f t="shared" si="6"/>
        <v>592111.12342541933</v>
      </c>
      <c r="J45" s="106">
        <f t="shared" si="6"/>
        <v>585865.35260020324</v>
      </c>
      <c r="K45" s="106">
        <f t="shared" si="6"/>
        <v>603870.39950998232</v>
      </c>
      <c r="L45" s="106">
        <f t="shared" si="6"/>
        <v>583265.17030449421</v>
      </c>
      <c r="M45" s="106">
        <f t="shared" si="6"/>
        <v>620809.89822917932</v>
      </c>
      <c r="N45" s="106">
        <f t="shared" si="6"/>
        <v>608740.92649447138</v>
      </c>
      <c r="O45" s="106">
        <f t="shared" si="6"/>
        <v>645669.19440718147</v>
      </c>
      <c r="P45" s="106">
        <f t="shared" si="6"/>
        <v>655164.28710163175</v>
      </c>
      <c r="Q45" s="106">
        <f t="shared" si="6"/>
        <v>657698.92097274296</v>
      </c>
      <c r="R45" s="106">
        <f t="shared" si="6"/>
        <v>657933.54541778995</v>
      </c>
      <c r="S45" s="106">
        <f t="shared" si="6"/>
        <v>654413.21711956465</v>
      </c>
      <c r="T45" s="106">
        <f t="shared" si="6"/>
        <v>641549.34615782415</v>
      </c>
      <c r="U45" s="106">
        <f t="shared" si="6"/>
        <v>640119.44223318947</v>
      </c>
      <c r="V45" s="106">
        <f t="shared" si="6"/>
        <v>635052.20622991119</v>
      </c>
      <c r="W45" s="106">
        <f t="shared" si="6"/>
        <v>633340.54858556751</v>
      </c>
      <c r="X45" s="106">
        <f t="shared" si="6"/>
        <v>626844.43254735018</v>
      </c>
      <c r="Y45" s="106">
        <f t="shared" si="6"/>
        <v>605302.34659252933</v>
      </c>
      <c r="Z45" s="106">
        <f t="shared" si="6"/>
        <v>576283.11883057281</v>
      </c>
      <c r="AA45" s="106">
        <f t="shared" si="6"/>
        <v>543682.33405367413</v>
      </c>
    </row>
    <row r="46" spans="1:27" x14ac:dyDescent="0.25">
      <c r="E46" s="106" t="str">
        <f t="shared" ref="E46:E48" si="7">E38</f>
        <v>Pumps / Valves</v>
      </c>
      <c r="F46" s="47" t="s">
        <v>639</v>
      </c>
      <c r="G46" s="106">
        <f t="shared" ref="G46:AA48" si="8">G38/$G8+IF((G$2-$G8+1)&gt;0,-INDEX($G38:$AP38,1,(G$2-$G8+1))/$G8,0)</f>
        <v>0</v>
      </c>
      <c r="H46" s="106">
        <f t="shared" si="8"/>
        <v>0</v>
      </c>
      <c r="I46" s="106">
        <f t="shared" si="8"/>
        <v>0</v>
      </c>
      <c r="J46" s="106">
        <f t="shared" si="8"/>
        <v>0</v>
      </c>
      <c r="K46" s="106">
        <f t="shared" si="8"/>
        <v>0</v>
      </c>
      <c r="L46" s="106">
        <f t="shared" si="8"/>
        <v>0</v>
      </c>
      <c r="M46" s="106">
        <f t="shared" si="8"/>
        <v>0</v>
      </c>
      <c r="N46" s="106">
        <f t="shared" si="8"/>
        <v>0</v>
      </c>
      <c r="O46" s="106">
        <f t="shared" si="8"/>
        <v>0</v>
      </c>
      <c r="P46" s="106">
        <f t="shared" si="8"/>
        <v>0</v>
      </c>
      <c r="Q46" s="106">
        <f t="shared" si="8"/>
        <v>0</v>
      </c>
      <c r="R46" s="106">
        <f t="shared" si="8"/>
        <v>0</v>
      </c>
      <c r="S46" s="106">
        <f t="shared" si="8"/>
        <v>0</v>
      </c>
      <c r="T46" s="106">
        <f t="shared" si="8"/>
        <v>0</v>
      </c>
      <c r="U46" s="106">
        <f t="shared" si="8"/>
        <v>0</v>
      </c>
      <c r="V46" s="106">
        <f t="shared" si="8"/>
        <v>0</v>
      </c>
      <c r="W46" s="106">
        <f t="shared" si="8"/>
        <v>0</v>
      </c>
      <c r="X46" s="106">
        <f t="shared" si="8"/>
        <v>0</v>
      </c>
      <c r="Y46" s="106">
        <f t="shared" si="8"/>
        <v>0</v>
      </c>
      <c r="Z46" s="106">
        <f t="shared" si="8"/>
        <v>0</v>
      </c>
      <c r="AA46" s="106">
        <f t="shared" si="8"/>
        <v>0</v>
      </c>
    </row>
    <row r="47" spans="1:27" x14ac:dyDescent="0.25">
      <c r="E47" s="106" t="str">
        <f t="shared" si="7"/>
        <v>Treatment</v>
      </c>
      <c r="F47" s="47" t="s">
        <v>639</v>
      </c>
      <c r="G47" s="106">
        <f t="shared" si="8"/>
        <v>0</v>
      </c>
      <c r="H47" s="106">
        <f t="shared" si="8"/>
        <v>0</v>
      </c>
      <c r="I47" s="106">
        <f t="shared" si="8"/>
        <v>0</v>
      </c>
      <c r="J47" s="106">
        <f t="shared" si="8"/>
        <v>0</v>
      </c>
      <c r="K47" s="106">
        <f t="shared" si="8"/>
        <v>0</v>
      </c>
      <c r="L47" s="106">
        <f t="shared" si="8"/>
        <v>0</v>
      </c>
      <c r="M47" s="106">
        <f t="shared" si="8"/>
        <v>0</v>
      </c>
      <c r="N47" s="106">
        <f t="shared" si="8"/>
        <v>0</v>
      </c>
      <c r="O47" s="106">
        <f t="shared" si="8"/>
        <v>0</v>
      </c>
      <c r="P47" s="106">
        <f t="shared" si="8"/>
        <v>0</v>
      </c>
      <c r="Q47" s="106">
        <f t="shared" si="8"/>
        <v>0</v>
      </c>
      <c r="R47" s="106">
        <f t="shared" si="8"/>
        <v>0</v>
      </c>
      <c r="S47" s="106">
        <f t="shared" si="8"/>
        <v>0</v>
      </c>
      <c r="T47" s="106">
        <f t="shared" si="8"/>
        <v>0</v>
      </c>
      <c r="U47" s="106">
        <f t="shared" si="8"/>
        <v>0</v>
      </c>
      <c r="V47" s="106">
        <f t="shared" si="8"/>
        <v>0</v>
      </c>
      <c r="W47" s="106">
        <f t="shared" si="8"/>
        <v>0</v>
      </c>
      <c r="X47" s="106">
        <f t="shared" si="8"/>
        <v>0</v>
      </c>
      <c r="Y47" s="106">
        <f t="shared" si="8"/>
        <v>0</v>
      </c>
      <c r="Z47" s="106">
        <f t="shared" si="8"/>
        <v>0</v>
      </c>
      <c r="AA47" s="106">
        <f t="shared" si="8"/>
        <v>0</v>
      </c>
    </row>
    <row r="48" spans="1:27" x14ac:dyDescent="0.25">
      <c r="E48" s="106" t="str">
        <f t="shared" si="7"/>
        <v>Temporary Assets</v>
      </c>
      <c r="F48" s="47" t="s">
        <v>639</v>
      </c>
      <c r="G48" s="106">
        <f t="shared" si="8"/>
        <v>0</v>
      </c>
      <c r="H48" s="106">
        <f t="shared" si="8"/>
        <v>0</v>
      </c>
      <c r="I48" s="106">
        <f t="shared" si="8"/>
        <v>0</v>
      </c>
      <c r="J48" s="106">
        <f t="shared" si="8"/>
        <v>0</v>
      </c>
      <c r="K48" s="106">
        <f t="shared" si="8"/>
        <v>0</v>
      </c>
      <c r="L48" s="106">
        <f t="shared" si="8"/>
        <v>0</v>
      </c>
      <c r="M48" s="106">
        <f t="shared" si="8"/>
        <v>0</v>
      </c>
      <c r="N48" s="106">
        <f t="shared" si="8"/>
        <v>0</v>
      </c>
      <c r="O48" s="106">
        <f t="shared" si="8"/>
        <v>0</v>
      </c>
      <c r="P48" s="106">
        <f t="shared" si="8"/>
        <v>0</v>
      </c>
      <c r="Q48" s="106">
        <f t="shared" si="8"/>
        <v>0</v>
      </c>
      <c r="R48" s="106">
        <f t="shared" si="8"/>
        <v>0</v>
      </c>
      <c r="S48" s="106">
        <f t="shared" si="8"/>
        <v>0</v>
      </c>
      <c r="T48" s="106">
        <f t="shared" si="8"/>
        <v>0</v>
      </c>
      <c r="U48" s="106">
        <f t="shared" si="8"/>
        <v>0</v>
      </c>
      <c r="V48" s="106">
        <f t="shared" si="8"/>
        <v>0</v>
      </c>
      <c r="W48" s="106">
        <f t="shared" si="8"/>
        <v>0</v>
      </c>
      <c r="X48" s="106">
        <f t="shared" si="8"/>
        <v>0</v>
      </c>
      <c r="Y48" s="106">
        <f t="shared" si="8"/>
        <v>0</v>
      </c>
      <c r="Z48" s="106">
        <f t="shared" si="8"/>
        <v>0</v>
      </c>
      <c r="AA48" s="106">
        <f t="shared" si="8"/>
        <v>0</v>
      </c>
    </row>
    <row r="49" spans="1:27" x14ac:dyDescent="0.25">
      <c r="G49" s="106"/>
      <c r="H49" s="106"/>
      <c r="I49" s="106"/>
      <c r="J49" s="106"/>
      <c r="K49" s="106"/>
      <c r="L49" s="106"/>
      <c r="M49" s="106"/>
      <c r="N49" s="106"/>
      <c r="O49" s="106"/>
      <c r="P49" s="106"/>
      <c r="Q49" s="106"/>
    </row>
    <row r="50" spans="1:27" x14ac:dyDescent="0.25">
      <c r="D50" s="47" t="s">
        <v>644</v>
      </c>
      <c r="F50" s="47" t="s">
        <v>639</v>
      </c>
      <c r="G50" s="106">
        <f>SUM($G$45:G48)</f>
        <v>0</v>
      </c>
      <c r="H50" s="106">
        <f>SUM($G$45:H48)</f>
        <v>573356.42279054108</v>
      </c>
      <c r="I50" s="106">
        <f>SUM($G$45:I48)</f>
        <v>1165467.5462159603</v>
      </c>
      <c r="J50" s="106">
        <f>SUM($G$45:J48)</f>
        <v>1751332.8988161637</v>
      </c>
      <c r="K50" s="106">
        <f>SUM($G$45:K48)</f>
        <v>2355203.2983261459</v>
      </c>
      <c r="L50" s="106">
        <f>SUM($G$45:L48)</f>
        <v>2938468.4686306398</v>
      </c>
      <c r="M50" s="106">
        <f>SUM($G$45:M48)</f>
        <v>3559278.3668598193</v>
      </c>
      <c r="N50" s="106">
        <f>SUM($G$45:N48)</f>
        <v>4168019.2933542905</v>
      </c>
      <c r="O50" s="106">
        <f>SUM($G$45:O48)</f>
        <v>4813688.4877614724</v>
      </c>
      <c r="P50" s="106">
        <f>SUM($G$45:P48)</f>
        <v>5468852.7748631043</v>
      </c>
      <c r="Q50" s="106">
        <f>SUM($G$45:Q48)</f>
        <v>6126551.6958358474</v>
      </c>
      <c r="R50" s="106">
        <f>SUM($G$45:R48)</f>
        <v>6784485.2412536377</v>
      </c>
      <c r="S50" s="106">
        <f>SUM($G$45:S48)</f>
        <v>7438898.458373202</v>
      </c>
      <c r="T50" s="106">
        <f>SUM($G$45:T48)</f>
        <v>8080447.8045310266</v>
      </c>
      <c r="U50" s="106">
        <f>SUM($G$45:U48)</f>
        <v>8720567.2467642166</v>
      </c>
      <c r="V50" s="106">
        <f>SUM($G$45:V48)</f>
        <v>9355619.4529941268</v>
      </c>
      <c r="W50" s="106">
        <f>SUM($G$45:W48)</f>
        <v>9988960.0015796944</v>
      </c>
      <c r="X50" s="106">
        <f>SUM($G$45:X48)</f>
        <v>10615804.434127044</v>
      </c>
      <c r="Y50" s="106">
        <f>SUM($G$45:Y48)</f>
        <v>11221106.780719573</v>
      </c>
      <c r="Z50" s="106">
        <f>SUM($G$45:Z48)</f>
        <v>11797389.899550145</v>
      </c>
      <c r="AA50" s="106">
        <f>SUM($G$45:AA48)</f>
        <v>12341072.23360382</v>
      </c>
    </row>
    <row r="51" spans="1:27" x14ac:dyDescent="0.25">
      <c r="G51" s="106"/>
      <c r="H51" s="106"/>
      <c r="I51" s="106"/>
      <c r="J51" s="106"/>
      <c r="K51" s="106"/>
      <c r="L51" s="106"/>
      <c r="M51" s="106"/>
      <c r="N51" s="106"/>
      <c r="O51" s="106"/>
      <c r="P51" s="106"/>
      <c r="Q51" s="106"/>
      <c r="R51" s="106"/>
      <c r="S51" s="106"/>
      <c r="T51" s="106"/>
      <c r="U51" s="106"/>
      <c r="V51" s="106"/>
      <c r="W51" s="106"/>
      <c r="X51" s="106"/>
      <c r="Y51" s="106"/>
      <c r="Z51" s="106"/>
      <c r="AA51" s="106"/>
    </row>
    <row r="52" spans="1:27" x14ac:dyDescent="0.25">
      <c r="A52" s="101">
        <v>12</v>
      </c>
      <c r="C52" s="100" t="s">
        <v>645</v>
      </c>
      <c r="G52" s="106"/>
      <c r="H52" s="106"/>
      <c r="I52" s="106"/>
      <c r="J52" s="106"/>
      <c r="K52" s="106"/>
      <c r="L52" s="106"/>
      <c r="M52" s="106"/>
      <c r="N52" s="106"/>
      <c r="O52" s="106"/>
      <c r="P52" s="106"/>
      <c r="Q52" s="106"/>
      <c r="R52" s="106"/>
      <c r="S52" s="106"/>
      <c r="T52" s="106"/>
      <c r="U52" s="106"/>
      <c r="V52" s="106"/>
      <c r="W52" s="106"/>
      <c r="X52" s="106"/>
      <c r="Y52" s="106"/>
      <c r="Z52" s="106"/>
      <c r="AA52" s="106"/>
    </row>
    <row r="53" spans="1:27" x14ac:dyDescent="0.25">
      <c r="E53" s="47" t="s">
        <v>645</v>
      </c>
      <c r="F53" s="47" t="s">
        <v>639</v>
      </c>
      <c r="G53" s="102"/>
      <c r="H53" s="102"/>
      <c r="I53" s="102"/>
      <c r="J53" s="102"/>
      <c r="K53" s="102"/>
      <c r="L53" s="102"/>
      <c r="M53" s="102"/>
      <c r="N53" s="102"/>
      <c r="O53" s="102"/>
      <c r="P53" s="102"/>
      <c r="Q53" s="102"/>
      <c r="R53" s="102"/>
      <c r="S53" s="102"/>
      <c r="T53" s="102"/>
      <c r="U53" s="102"/>
      <c r="V53" s="102"/>
      <c r="W53" s="102"/>
      <c r="X53" s="102"/>
      <c r="Y53" s="102"/>
      <c r="Z53" s="102"/>
      <c r="AA53" s="102"/>
    </row>
    <row r="55" spans="1:27" x14ac:dyDescent="0.25">
      <c r="C55" s="100" t="s">
        <v>646</v>
      </c>
      <c r="D55" s="100"/>
    </row>
    <row r="56" spans="1:27" x14ac:dyDescent="0.25">
      <c r="A56" s="101">
        <v>13</v>
      </c>
      <c r="D56" s="47" t="s">
        <v>647</v>
      </c>
    </row>
    <row r="57" spans="1:27" x14ac:dyDescent="0.25">
      <c r="E57" s="106" t="str">
        <f>E7</f>
        <v>Pipes / Storage</v>
      </c>
      <c r="F57" s="47" t="s">
        <v>639</v>
      </c>
      <c r="G57" s="102"/>
      <c r="H57" s="102"/>
      <c r="I57" s="102"/>
      <c r="J57" s="102"/>
      <c r="K57" s="102"/>
      <c r="L57" s="102"/>
      <c r="M57" s="102"/>
      <c r="N57" s="102"/>
      <c r="O57" s="102"/>
      <c r="P57" s="102"/>
      <c r="Q57" s="102"/>
      <c r="R57" s="102"/>
      <c r="S57" s="102"/>
      <c r="T57" s="102"/>
      <c r="U57" s="102"/>
      <c r="V57" s="102"/>
      <c r="W57" s="102"/>
      <c r="X57" s="102"/>
      <c r="Y57" s="102"/>
      <c r="Z57" s="102"/>
      <c r="AA57" s="102"/>
    </row>
    <row r="58" spans="1:27" x14ac:dyDescent="0.25">
      <c r="E58" s="106" t="str">
        <f>E8</f>
        <v>Pumps / Valves</v>
      </c>
      <c r="F58" s="47" t="s">
        <v>639</v>
      </c>
      <c r="G58" s="102"/>
      <c r="H58" s="102"/>
      <c r="I58" s="102"/>
      <c r="J58" s="102"/>
      <c r="K58" s="102"/>
      <c r="L58" s="102"/>
      <c r="M58" s="102"/>
      <c r="N58" s="102"/>
      <c r="O58" s="102"/>
      <c r="P58" s="102"/>
      <c r="Q58" s="102"/>
      <c r="R58" s="102"/>
      <c r="S58" s="102"/>
      <c r="T58" s="102"/>
      <c r="U58" s="102"/>
      <c r="V58" s="102"/>
      <c r="W58" s="102"/>
      <c r="X58" s="102"/>
      <c r="Y58" s="102"/>
      <c r="Z58" s="102"/>
      <c r="AA58" s="102"/>
    </row>
    <row r="59" spans="1:27" x14ac:dyDescent="0.25">
      <c r="E59" s="106" t="str">
        <f>E9</f>
        <v>Treatment</v>
      </c>
      <c r="F59" s="47" t="s">
        <v>639</v>
      </c>
      <c r="G59" s="102"/>
      <c r="H59" s="102"/>
      <c r="I59" s="102"/>
      <c r="J59" s="102"/>
      <c r="K59" s="102"/>
      <c r="L59" s="102"/>
      <c r="M59" s="102"/>
      <c r="N59" s="102"/>
      <c r="O59" s="102"/>
      <c r="P59" s="102"/>
      <c r="Q59" s="102"/>
      <c r="R59" s="102"/>
      <c r="S59" s="102"/>
      <c r="T59" s="102"/>
      <c r="U59" s="102"/>
      <c r="V59" s="102"/>
      <c r="W59" s="102"/>
      <c r="X59" s="102"/>
      <c r="Y59" s="102"/>
      <c r="Z59" s="102"/>
      <c r="AA59" s="102"/>
    </row>
    <row r="60" spans="1:27" x14ac:dyDescent="0.25">
      <c r="E60" s="47" t="s">
        <v>640</v>
      </c>
      <c r="F60" s="47" t="s">
        <v>639</v>
      </c>
      <c r="G60" s="102"/>
      <c r="H60" s="102"/>
      <c r="I60" s="102"/>
      <c r="J60" s="102"/>
      <c r="K60" s="102"/>
      <c r="L60" s="102"/>
      <c r="M60" s="102"/>
      <c r="N60" s="102"/>
      <c r="O60" s="102"/>
      <c r="P60" s="102"/>
      <c r="Q60" s="102"/>
      <c r="R60" s="102"/>
      <c r="S60" s="102"/>
      <c r="T60" s="102"/>
      <c r="U60" s="102"/>
      <c r="V60" s="102"/>
      <c r="W60" s="102"/>
      <c r="X60" s="102"/>
      <c r="Y60" s="102"/>
      <c r="Z60" s="102"/>
      <c r="AA60" s="102"/>
    </row>
    <row r="61" spans="1:27" x14ac:dyDescent="0.25">
      <c r="G61" s="106">
        <f>SUM(G57:G60)</f>
        <v>0</v>
      </c>
      <c r="H61" s="106">
        <f t="shared" ref="H61:AA61" si="9">SUM(H57:H60)</f>
        <v>0</v>
      </c>
      <c r="I61" s="106">
        <f t="shared" si="9"/>
        <v>0</v>
      </c>
      <c r="J61" s="106">
        <f t="shared" si="9"/>
        <v>0</v>
      </c>
      <c r="K61" s="106">
        <f t="shared" si="9"/>
        <v>0</v>
      </c>
      <c r="L61" s="106">
        <f t="shared" si="9"/>
        <v>0</v>
      </c>
      <c r="M61" s="106">
        <f t="shared" si="9"/>
        <v>0</v>
      </c>
      <c r="N61" s="106">
        <f t="shared" si="9"/>
        <v>0</v>
      </c>
      <c r="O61" s="106">
        <f t="shared" si="9"/>
        <v>0</v>
      </c>
      <c r="P61" s="106">
        <f t="shared" si="9"/>
        <v>0</v>
      </c>
      <c r="Q61" s="106">
        <f t="shared" si="9"/>
        <v>0</v>
      </c>
      <c r="R61" s="106">
        <f t="shared" si="9"/>
        <v>0</v>
      </c>
      <c r="S61" s="106">
        <f t="shared" si="9"/>
        <v>0</v>
      </c>
      <c r="T61" s="106">
        <f t="shared" si="9"/>
        <v>0</v>
      </c>
      <c r="U61" s="106">
        <f t="shared" si="9"/>
        <v>0</v>
      </c>
      <c r="V61" s="106">
        <f t="shared" si="9"/>
        <v>0</v>
      </c>
      <c r="W61" s="106">
        <f t="shared" si="9"/>
        <v>0</v>
      </c>
      <c r="X61" s="106">
        <f t="shared" si="9"/>
        <v>0</v>
      </c>
      <c r="Y61" s="106">
        <f t="shared" si="9"/>
        <v>0</v>
      </c>
      <c r="Z61" s="106">
        <f t="shared" si="9"/>
        <v>0</v>
      </c>
      <c r="AA61" s="106">
        <f t="shared" si="9"/>
        <v>0</v>
      </c>
    </row>
    <row r="63" spans="1:27" x14ac:dyDescent="0.25">
      <c r="D63" s="47" t="s">
        <v>648</v>
      </c>
      <c r="G63" s="106"/>
      <c r="H63" s="106"/>
      <c r="I63" s="106"/>
      <c r="J63" s="106"/>
      <c r="K63" s="106"/>
      <c r="L63" s="106"/>
      <c r="M63" s="106"/>
      <c r="N63" s="106"/>
      <c r="O63" s="106"/>
      <c r="P63" s="106"/>
      <c r="Q63" s="106"/>
    </row>
    <row r="64" spans="1:27" x14ac:dyDescent="0.25">
      <c r="E64" s="106" t="str">
        <f>E57</f>
        <v>Pipes / Storage</v>
      </c>
      <c r="F64" s="47" t="s">
        <v>639</v>
      </c>
      <c r="G64" s="106">
        <f>G57/$G7+IF((G$2-$G7+1)&gt;0,-INDEX($G57:$AP57,1,(G$2-$G7+1))/$G7,0)</f>
        <v>0</v>
      </c>
      <c r="H64" s="106">
        <f t="shared" ref="H64:AA64" si="10">H57/$G7+IF((H$2-$G7+1)&gt;0,-INDEX($G57:$AP57,1,(H$2-$G7+1))/$G7,0)</f>
        <v>0</v>
      </c>
      <c r="I64" s="106">
        <f t="shared" si="10"/>
        <v>0</v>
      </c>
      <c r="J64" s="106">
        <f t="shared" si="10"/>
        <v>0</v>
      </c>
      <c r="K64" s="106">
        <f t="shared" si="10"/>
        <v>0</v>
      </c>
      <c r="L64" s="106">
        <f t="shared" si="10"/>
        <v>0</v>
      </c>
      <c r="M64" s="106">
        <f t="shared" si="10"/>
        <v>0</v>
      </c>
      <c r="N64" s="106">
        <f t="shared" si="10"/>
        <v>0</v>
      </c>
      <c r="O64" s="106">
        <f t="shared" si="10"/>
        <v>0</v>
      </c>
      <c r="P64" s="106">
        <f t="shared" si="10"/>
        <v>0</v>
      </c>
      <c r="Q64" s="106">
        <f t="shared" si="10"/>
        <v>0</v>
      </c>
      <c r="R64" s="106">
        <f t="shared" si="10"/>
        <v>0</v>
      </c>
      <c r="S64" s="106">
        <f t="shared" si="10"/>
        <v>0</v>
      </c>
      <c r="T64" s="106">
        <f t="shared" si="10"/>
        <v>0</v>
      </c>
      <c r="U64" s="106">
        <f t="shared" si="10"/>
        <v>0</v>
      </c>
      <c r="V64" s="106">
        <f t="shared" si="10"/>
        <v>0</v>
      </c>
      <c r="W64" s="106">
        <f t="shared" si="10"/>
        <v>0</v>
      </c>
      <c r="X64" s="106">
        <f t="shared" si="10"/>
        <v>0</v>
      </c>
      <c r="Y64" s="106">
        <f t="shared" si="10"/>
        <v>0</v>
      </c>
      <c r="Z64" s="106">
        <f t="shared" si="10"/>
        <v>0</v>
      </c>
      <c r="AA64" s="106">
        <f t="shared" si="10"/>
        <v>0</v>
      </c>
    </row>
    <row r="65" spans="1:27" x14ac:dyDescent="0.25">
      <c r="E65" s="106" t="str">
        <f t="shared" ref="E65:E66" si="11">E58</f>
        <v>Pumps / Valves</v>
      </c>
      <c r="F65" s="47" t="s">
        <v>639</v>
      </c>
      <c r="G65" s="106">
        <f t="shared" ref="G65:AA66" si="12">G58/$G8+IF((G$2-$G8+1)&gt;0,-INDEX($G58:$AP58,1,(G$2-$G8+1))/$G8,0)</f>
        <v>0</v>
      </c>
      <c r="H65" s="106">
        <f t="shared" si="12"/>
        <v>0</v>
      </c>
      <c r="I65" s="106">
        <f t="shared" si="12"/>
        <v>0</v>
      </c>
      <c r="J65" s="106">
        <f t="shared" si="12"/>
        <v>0</v>
      </c>
      <c r="K65" s="106">
        <f t="shared" si="12"/>
        <v>0</v>
      </c>
      <c r="L65" s="106">
        <f t="shared" si="12"/>
        <v>0</v>
      </c>
      <c r="M65" s="106">
        <f t="shared" si="12"/>
        <v>0</v>
      </c>
      <c r="N65" s="106">
        <f t="shared" si="12"/>
        <v>0</v>
      </c>
      <c r="O65" s="106">
        <f t="shared" si="12"/>
        <v>0</v>
      </c>
      <c r="P65" s="106">
        <f t="shared" si="12"/>
        <v>0</v>
      </c>
      <c r="Q65" s="106">
        <f t="shared" si="12"/>
        <v>0</v>
      </c>
      <c r="R65" s="106">
        <f t="shared" si="12"/>
        <v>0</v>
      </c>
      <c r="S65" s="106">
        <f t="shared" si="12"/>
        <v>0</v>
      </c>
      <c r="T65" s="106">
        <f t="shared" si="12"/>
        <v>0</v>
      </c>
      <c r="U65" s="106">
        <f t="shared" si="12"/>
        <v>0</v>
      </c>
      <c r="V65" s="106">
        <f t="shared" si="12"/>
        <v>0</v>
      </c>
      <c r="W65" s="106">
        <f t="shared" si="12"/>
        <v>0</v>
      </c>
      <c r="X65" s="106">
        <f t="shared" si="12"/>
        <v>0</v>
      </c>
      <c r="Y65" s="106">
        <f t="shared" si="12"/>
        <v>0</v>
      </c>
      <c r="Z65" s="106">
        <f t="shared" si="12"/>
        <v>0</v>
      </c>
      <c r="AA65" s="106">
        <f t="shared" si="12"/>
        <v>0</v>
      </c>
    </row>
    <row r="66" spans="1:27" x14ac:dyDescent="0.25">
      <c r="E66" s="106" t="str">
        <f t="shared" si="11"/>
        <v>Treatment</v>
      </c>
      <c r="F66" s="47" t="s">
        <v>639</v>
      </c>
      <c r="G66" s="106">
        <f t="shared" si="12"/>
        <v>0</v>
      </c>
      <c r="H66" s="106">
        <f t="shared" si="12"/>
        <v>0</v>
      </c>
      <c r="I66" s="106">
        <f t="shared" si="12"/>
        <v>0</v>
      </c>
      <c r="J66" s="106">
        <f t="shared" si="12"/>
        <v>0</v>
      </c>
      <c r="K66" s="106">
        <f t="shared" si="12"/>
        <v>0</v>
      </c>
      <c r="L66" s="106">
        <f t="shared" si="12"/>
        <v>0</v>
      </c>
      <c r="M66" s="106">
        <f t="shared" si="12"/>
        <v>0</v>
      </c>
      <c r="N66" s="106">
        <f t="shared" si="12"/>
        <v>0</v>
      </c>
      <c r="O66" s="106">
        <f t="shared" si="12"/>
        <v>0</v>
      </c>
      <c r="P66" s="106">
        <f t="shared" si="12"/>
        <v>0</v>
      </c>
      <c r="Q66" s="106">
        <f t="shared" si="12"/>
        <v>0</v>
      </c>
      <c r="R66" s="106">
        <f t="shared" si="12"/>
        <v>0</v>
      </c>
      <c r="S66" s="106">
        <f t="shared" si="12"/>
        <v>0</v>
      </c>
      <c r="T66" s="106">
        <f t="shared" si="12"/>
        <v>0</v>
      </c>
      <c r="U66" s="106">
        <f t="shared" si="12"/>
        <v>0</v>
      </c>
      <c r="V66" s="106">
        <f t="shared" si="12"/>
        <v>0</v>
      </c>
      <c r="W66" s="106">
        <f t="shared" si="12"/>
        <v>0</v>
      </c>
      <c r="X66" s="106">
        <f t="shared" si="12"/>
        <v>0</v>
      </c>
      <c r="Y66" s="106">
        <f t="shared" si="12"/>
        <v>0</v>
      </c>
      <c r="Z66" s="106">
        <f t="shared" si="12"/>
        <v>0</v>
      </c>
      <c r="AA66" s="106">
        <f t="shared" si="12"/>
        <v>0</v>
      </c>
    </row>
    <row r="68" spans="1:27" x14ac:dyDescent="0.25">
      <c r="D68" s="47" t="s">
        <v>649</v>
      </c>
      <c r="F68" s="47" t="s">
        <v>639</v>
      </c>
      <c r="G68" s="106">
        <f>SUM($G$64:G66)</f>
        <v>0</v>
      </c>
      <c r="H68" s="106">
        <f>SUM($G$64:H66)</f>
        <v>0</v>
      </c>
      <c r="I68" s="106">
        <f>SUM($G$64:I66)</f>
        <v>0</v>
      </c>
      <c r="J68" s="106">
        <f>SUM($G$64:J66)</f>
        <v>0</v>
      </c>
      <c r="K68" s="106">
        <f>SUM($G$64:K66)</f>
        <v>0</v>
      </c>
      <c r="L68" s="106">
        <f>SUM($G$64:L66)</f>
        <v>0</v>
      </c>
      <c r="M68" s="106">
        <f>SUM($G$64:M66)</f>
        <v>0</v>
      </c>
      <c r="N68" s="106">
        <f>SUM($G$64:N66)</f>
        <v>0</v>
      </c>
      <c r="O68" s="106">
        <f>SUM($G$64:O66)</f>
        <v>0</v>
      </c>
      <c r="P68" s="106">
        <f>SUM($G$64:P66)</f>
        <v>0</v>
      </c>
      <c r="Q68" s="106">
        <f>SUM($G$64:Q66)</f>
        <v>0</v>
      </c>
      <c r="R68" s="106">
        <f>SUM($G$64:R66)</f>
        <v>0</v>
      </c>
      <c r="S68" s="106">
        <f>SUM($G$64:S66)</f>
        <v>0</v>
      </c>
      <c r="T68" s="106">
        <f>SUM($G$64:T66)</f>
        <v>0</v>
      </c>
      <c r="U68" s="106">
        <f>SUM($G$64:U66)</f>
        <v>0</v>
      </c>
      <c r="V68" s="106">
        <f>SUM($G$64:V66)</f>
        <v>0</v>
      </c>
      <c r="W68" s="106">
        <f>SUM($G$64:W66)</f>
        <v>0</v>
      </c>
      <c r="X68" s="106">
        <f>SUM($G$64:X66)</f>
        <v>0</v>
      </c>
      <c r="Y68" s="106">
        <f>SUM($G$64:Y66)</f>
        <v>0</v>
      </c>
      <c r="Z68" s="106">
        <f>SUM($G$64:Z66)</f>
        <v>0</v>
      </c>
      <c r="AA68" s="106">
        <f>SUM($G$64:AA66)</f>
        <v>0</v>
      </c>
    </row>
    <row r="70" spans="1:27" x14ac:dyDescent="0.25">
      <c r="A70" s="101">
        <v>14</v>
      </c>
      <c r="D70" s="47" t="s">
        <v>650</v>
      </c>
    </row>
    <row r="71" spans="1:27" x14ac:dyDescent="0.25">
      <c r="E71" s="106" t="str">
        <f>E7</f>
        <v>Pipes / Storage</v>
      </c>
      <c r="F71" s="47" t="s">
        <v>639</v>
      </c>
      <c r="G71" s="102"/>
      <c r="H71" s="102"/>
      <c r="I71" s="102"/>
      <c r="J71" s="102"/>
      <c r="K71" s="102"/>
      <c r="L71" s="102"/>
      <c r="M71" s="102"/>
      <c r="N71" s="102"/>
      <c r="O71" s="102"/>
      <c r="P71" s="102"/>
      <c r="Q71" s="102"/>
      <c r="R71" s="102"/>
      <c r="S71" s="102"/>
      <c r="T71" s="102"/>
      <c r="U71" s="102"/>
      <c r="V71" s="102"/>
      <c r="W71" s="102"/>
      <c r="X71" s="102"/>
      <c r="Y71" s="102"/>
      <c r="Z71" s="102"/>
      <c r="AA71" s="102"/>
    </row>
    <row r="72" spans="1:27" x14ac:dyDescent="0.25">
      <c r="E72" s="106" t="str">
        <f>E8</f>
        <v>Pumps / Valves</v>
      </c>
      <c r="F72" s="47" t="s">
        <v>639</v>
      </c>
      <c r="G72" s="102"/>
      <c r="H72" s="102"/>
      <c r="I72" s="102"/>
      <c r="J72" s="102"/>
      <c r="K72" s="102"/>
      <c r="L72" s="102"/>
      <c r="M72" s="102"/>
      <c r="N72" s="102"/>
      <c r="O72" s="102"/>
      <c r="P72" s="102"/>
      <c r="Q72" s="102"/>
      <c r="R72" s="102"/>
      <c r="S72" s="102"/>
      <c r="T72" s="102"/>
      <c r="U72" s="102"/>
      <c r="V72" s="102"/>
      <c r="W72" s="102"/>
      <c r="X72" s="102"/>
      <c r="Y72" s="102"/>
      <c r="Z72" s="102"/>
      <c r="AA72" s="102"/>
    </row>
    <row r="73" spans="1:27" x14ac:dyDescent="0.25">
      <c r="E73" s="106" t="str">
        <f>E9</f>
        <v>Treatment</v>
      </c>
      <c r="F73" s="47" t="s">
        <v>639</v>
      </c>
      <c r="G73" s="102"/>
      <c r="H73" s="102"/>
      <c r="I73" s="102"/>
      <c r="J73" s="102"/>
      <c r="K73" s="102"/>
      <c r="L73" s="102"/>
      <c r="M73" s="102"/>
      <c r="N73" s="102"/>
      <c r="O73" s="102"/>
      <c r="P73" s="102"/>
      <c r="Q73" s="102"/>
      <c r="R73" s="102"/>
      <c r="S73" s="102"/>
      <c r="T73" s="102"/>
      <c r="U73" s="102"/>
      <c r="V73" s="102"/>
      <c r="W73" s="102"/>
      <c r="X73" s="102"/>
      <c r="Y73" s="102"/>
      <c r="Z73" s="102"/>
      <c r="AA73" s="102"/>
    </row>
    <row r="74" spans="1:27" x14ac:dyDescent="0.25">
      <c r="E74" s="47" t="s">
        <v>640</v>
      </c>
      <c r="F74" s="47" t="s">
        <v>639</v>
      </c>
      <c r="G74" s="102"/>
      <c r="H74" s="102"/>
      <c r="I74" s="102"/>
      <c r="J74" s="102"/>
      <c r="K74" s="102"/>
      <c r="L74" s="102"/>
      <c r="M74" s="102"/>
      <c r="N74" s="102"/>
      <c r="O74" s="102"/>
      <c r="P74" s="102"/>
      <c r="Q74" s="102"/>
      <c r="R74" s="102"/>
      <c r="S74" s="102"/>
      <c r="T74" s="102"/>
      <c r="U74" s="102"/>
      <c r="V74" s="102"/>
      <c r="W74" s="102"/>
      <c r="X74" s="102"/>
      <c r="Y74" s="102"/>
      <c r="Z74" s="102"/>
      <c r="AA74" s="102"/>
    </row>
    <row r="75" spans="1:27" x14ac:dyDescent="0.25">
      <c r="G75" s="106">
        <f>SUM(G71:G74)</f>
        <v>0</v>
      </c>
      <c r="H75" s="106">
        <f t="shared" ref="H75:AA75" si="13">SUM(H71:H74)</f>
        <v>0</v>
      </c>
      <c r="I75" s="106">
        <f t="shared" si="13"/>
        <v>0</v>
      </c>
      <c r="J75" s="106">
        <f t="shared" si="13"/>
        <v>0</v>
      </c>
      <c r="K75" s="106">
        <f t="shared" si="13"/>
        <v>0</v>
      </c>
      <c r="L75" s="106">
        <f t="shared" si="13"/>
        <v>0</v>
      </c>
      <c r="M75" s="106">
        <f t="shared" si="13"/>
        <v>0</v>
      </c>
      <c r="N75" s="106">
        <f t="shared" si="13"/>
        <v>0</v>
      </c>
      <c r="O75" s="106">
        <f t="shared" si="13"/>
        <v>0</v>
      </c>
      <c r="P75" s="106">
        <f t="shared" si="13"/>
        <v>0</v>
      </c>
      <c r="Q75" s="106">
        <f t="shared" si="13"/>
        <v>0</v>
      </c>
      <c r="R75" s="106">
        <f t="shared" si="13"/>
        <v>0</v>
      </c>
      <c r="S75" s="106">
        <f t="shared" si="13"/>
        <v>0</v>
      </c>
      <c r="T75" s="106">
        <f t="shared" si="13"/>
        <v>0</v>
      </c>
      <c r="U75" s="106">
        <f t="shared" si="13"/>
        <v>0</v>
      </c>
      <c r="V75" s="106">
        <f t="shared" si="13"/>
        <v>0</v>
      </c>
      <c r="W75" s="106">
        <f t="shared" si="13"/>
        <v>0</v>
      </c>
      <c r="X75" s="106">
        <f t="shared" si="13"/>
        <v>0</v>
      </c>
      <c r="Y75" s="106">
        <f t="shared" si="13"/>
        <v>0</v>
      </c>
      <c r="Z75" s="106">
        <f t="shared" si="13"/>
        <v>0</v>
      </c>
      <c r="AA75" s="106">
        <f t="shared" si="13"/>
        <v>0</v>
      </c>
    </row>
    <row r="76" spans="1:27" x14ac:dyDescent="0.25">
      <c r="G76" s="106"/>
      <c r="H76" s="106"/>
      <c r="I76" s="106"/>
      <c r="J76" s="106"/>
      <c r="K76" s="106"/>
      <c r="L76" s="106"/>
      <c r="M76" s="106"/>
      <c r="N76" s="106"/>
      <c r="O76" s="106"/>
      <c r="P76" s="106"/>
      <c r="Q76" s="106"/>
      <c r="R76" s="106"/>
      <c r="S76" s="106"/>
      <c r="T76" s="106"/>
      <c r="U76" s="106"/>
      <c r="V76" s="106"/>
      <c r="W76" s="106"/>
      <c r="X76" s="106"/>
      <c r="Y76" s="106"/>
      <c r="Z76" s="106"/>
      <c r="AA76" s="106"/>
    </row>
    <row r="77" spans="1:27" x14ac:dyDescent="0.25">
      <c r="D77" s="47" t="s">
        <v>648</v>
      </c>
      <c r="G77" s="106"/>
      <c r="H77" s="106"/>
      <c r="I77" s="106"/>
      <c r="J77" s="106"/>
      <c r="K77" s="106"/>
      <c r="L77" s="106"/>
      <c r="M77" s="106"/>
      <c r="N77" s="106"/>
      <c r="O77" s="106"/>
      <c r="P77" s="106"/>
      <c r="Q77" s="106"/>
    </row>
    <row r="78" spans="1:27" x14ac:dyDescent="0.25">
      <c r="E78" s="106" t="str">
        <f>E71</f>
        <v>Pipes / Storage</v>
      </c>
      <c r="F78" s="47" t="s">
        <v>639</v>
      </c>
      <c r="G78" s="106">
        <f t="shared" ref="G78:AA80" si="14">G71/$G7+IF((G$2-$G7+1)&gt;0,-INDEX($G71:$AP71,1,(G$2-$G7+1))/$G7,0)</f>
        <v>0</v>
      </c>
      <c r="H78" s="106">
        <f t="shared" si="14"/>
        <v>0</v>
      </c>
      <c r="I78" s="106">
        <f t="shared" si="14"/>
        <v>0</v>
      </c>
      <c r="J78" s="106">
        <f t="shared" si="14"/>
        <v>0</v>
      </c>
      <c r="K78" s="106">
        <f t="shared" si="14"/>
        <v>0</v>
      </c>
      <c r="L78" s="106">
        <f t="shared" si="14"/>
        <v>0</v>
      </c>
      <c r="M78" s="106">
        <f t="shared" si="14"/>
        <v>0</v>
      </c>
      <c r="N78" s="106">
        <f t="shared" si="14"/>
        <v>0</v>
      </c>
      <c r="O78" s="106">
        <f t="shared" si="14"/>
        <v>0</v>
      </c>
      <c r="P78" s="106">
        <f t="shared" si="14"/>
        <v>0</v>
      </c>
      <c r="Q78" s="106">
        <f t="shared" si="14"/>
        <v>0</v>
      </c>
      <c r="R78" s="106">
        <f t="shared" si="14"/>
        <v>0</v>
      </c>
      <c r="S78" s="106">
        <f t="shared" si="14"/>
        <v>0</v>
      </c>
      <c r="T78" s="106">
        <f t="shared" si="14"/>
        <v>0</v>
      </c>
      <c r="U78" s="106">
        <f t="shared" si="14"/>
        <v>0</v>
      </c>
      <c r="V78" s="106">
        <f t="shared" si="14"/>
        <v>0</v>
      </c>
      <c r="W78" s="106">
        <f t="shared" si="14"/>
        <v>0</v>
      </c>
      <c r="X78" s="106">
        <f t="shared" si="14"/>
        <v>0</v>
      </c>
      <c r="Y78" s="106">
        <f t="shared" si="14"/>
        <v>0</v>
      </c>
      <c r="Z78" s="106">
        <f t="shared" si="14"/>
        <v>0</v>
      </c>
      <c r="AA78" s="106">
        <f t="shared" si="14"/>
        <v>0</v>
      </c>
    </row>
    <row r="79" spans="1:27" x14ac:dyDescent="0.25">
      <c r="E79" s="106" t="str">
        <f t="shared" ref="E79:E80" si="15">E72</f>
        <v>Pumps / Valves</v>
      </c>
      <c r="F79" s="47" t="s">
        <v>639</v>
      </c>
      <c r="G79" s="106">
        <f t="shared" si="14"/>
        <v>0</v>
      </c>
      <c r="H79" s="106">
        <f t="shared" si="14"/>
        <v>0</v>
      </c>
      <c r="I79" s="106">
        <f t="shared" si="14"/>
        <v>0</v>
      </c>
      <c r="J79" s="106">
        <f t="shared" si="14"/>
        <v>0</v>
      </c>
      <c r="K79" s="106">
        <f t="shared" si="14"/>
        <v>0</v>
      </c>
      <c r="L79" s="106">
        <f t="shared" si="14"/>
        <v>0</v>
      </c>
      <c r="M79" s="106">
        <f t="shared" si="14"/>
        <v>0</v>
      </c>
      <c r="N79" s="106">
        <f t="shared" si="14"/>
        <v>0</v>
      </c>
      <c r="O79" s="106">
        <f t="shared" si="14"/>
        <v>0</v>
      </c>
      <c r="P79" s="106">
        <f t="shared" si="14"/>
        <v>0</v>
      </c>
      <c r="Q79" s="106">
        <f t="shared" si="14"/>
        <v>0</v>
      </c>
      <c r="R79" s="106">
        <f t="shared" si="14"/>
        <v>0</v>
      </c>
      <c r="S79" s="106">
        <f t="shared" si="14"/>
        <v>0</v>
      </c>
      <c r="T79" s="106">
        <f t="shared" si="14"/>
        <v>0</v>
      </c>
      <c r="U79" s="106">
        <f t="shared" si="14"/>
        <v>0</v>
      </c>
      <c r="V79" s="106">
        <f t="shared" si="14"/>
        <v>0</v>
      </c>
      <c r="W79" s="106">
        <f t="shared" si="14"/>
        <v>0</v>
      </c>
      <c r="X79" s="106">
        <f t="shared" si="14"/>
        <v>0</v>
      </c>
      <c r="Y79" s="106">
        <f t="shared" si="14"/>
        <v>0</v>
      </c>
      <c r="Z79" s="106">
        <f t="shared" si="14"/>
        <v>0</v>
      </c>
      <c r="AA79" s="106">
        <f t="shared" si="14"/>
        <v>0</v>
      </c>
    </row>
    <row r="80" spans="1:27" x14ac:dyDescent="0.25">
      <c r="E80" s="106" t="str">
        <f t="shared" si="15"/>
        <v>Treatment</v>
      </c>
      <c r="F80" s="47" t="s">
        <v>639</v>
      </c>
      <c r="G80" s="106">
        <f t="shared" si="14"/>
        <v>0</v>
      </c>
      <c r="H80" s="106">
        <f t="shared" si="14"/>
        <v>0</v>
      </c>
      <c r="I80" s="106">
        <f t="shared" si="14"/>
        <v>0</v>
      </c>
      <c r="J80" s="106">
        <f t="shared" si="14"/>
        <v>0</v>
      </c>
      <c r="K80" s="106">
        <f t="shared" si="14"/>
        <v>0</v>
      </c>
      <c r="L80" s="106">
        <f t="shared" si="14"/>
        <v>0</v>
      </c>
      <c r="M80" s="106">
        <f t="shared" si="14"/>
        <v>0</v>
      </c>
      <c r="N80" s="106">
        <f t="shared" si="14"/>
        <v>0</v>
      </c>
      <c r="O80" s="106">
        <f t="shared" si="14"/>
        <v>0</v>
      </c>
      <c r="P80" s="106">
        <f t="shared" si="14"/>
        <v>0</v>
      </c>
      <c r="Q80" s="106">
        <f t="shared" si="14"/>
        <v>0</v>
      </c>
      <c r="R80" s="106">
        <f t="shared" si="14"/>
        <v>0</v>
      </c>
      <c r="S80" s="106">
        <f t="shared" si="14"/>
        <v>0</v>
      </c>
      <c r="T80" s="106">
        <f t="shared" si="14"/>
        <v>0</v>
      </c>
      <c r="U80" s="106">
        <f t="shared" si="14"/>
        <v>0</v>
      </c>
      <c r="V80" s="106">
        <f t="shared" si="14"/>
        <v>0</v>
      </c>
      <c r="W80" s="106">
        <f t="shared" si="14"/>
        <v>0</v>
      </c>
      <c r="X80" s="106">
        <f t="shared" si="14"/>
        <v>0</v>
      </c>
      <c r="Y80" s="106">
        <f t="shared" si="14"/>
        <v>0</v>
      </c>
      <c r="Z80" s="106">
        <f t="shared" si="14"/>
        <v>0</v>
      </c>
      <c r="AA80" s="106">
        <f t="shared" si="14"/>
        <v>0</v>
      </c>
    </row>
    <row r="82" spans="1:27" x14ac:dyDescent="0.25">
      <c r="D82" s="47" t="s">
        <v>649</v>
      </c>
      <c r="F82" s="47" t="s">
        <v>639</v>
      </c>
      <c r="G82" s="106">
        <f>SUM($G$77:G80)</f>
        <v>0</v>
      </c>
      <c r="H82" s="106">
        <f>SUM($G$77:H80)</f>
        <v>0</v>
      </c>
      <c r="I82" s="106">
        <f>SUM($G$77:I80)</f>
        <v>0</v>
      </c>
      <c r="J82" s="106">
        <f>SUM($G$77:J80)</f>
        <v>0</v>
      </c>
      <c r="K82" s="106">
        <f>SUM($G$77:K80)</f>
        <v>0</v>
      </c>
      <c r="L82" s="106">
        <f>SUM($G$77:L80)</f>
        <v>0</v>
      </c>
      <c r="M82" s="106">
        <f>SUM($G$77:M80)</f>
        <v>0</v>
      </c>
      <c r="N82" s="106">
        <f>SUM($G$77:N80)</f>
        <v>0</v>
      </c>
      <c r="O82" s="106">
        <f>SUM($G$77:O80)</f>
        <v>0</v>
      </c>
      <c r="P82" s="106">
        <f>SUM($G$77:P80)</f>
        <v>0</v>
      </c>
      <c r="Q82" s="106">
        <f>SUM($G$77:Q80)</f>
        <v>0</v>
      </c>
      <c r="R82" s="106">
        <f>SUM($G$77:R80)</f>
        <v>0</v>
      </c>
      <c r="S82" s="106">
        <f>SUM($G$77:S80)</f>
        <v>0</v>
      </c>
      <c r="T82" s="106">
        <f>SUM($G$77:T80)</f>
        <v>0</v>
      </c>
      <c r="U82" s="106">
        <f>SUM($G$77:U80)</f>
        <v>0</v>
      </c>
      <c r="V82" s="106">
        <f>SUM($G$77:V80)</f>
        <v>0</v>
      </c>
      <c r="W82" s="106">
        <f>SUM($G$77:W80)</f>
        <v>0</v>
      </c>
      <c r="X82" s="106">
        <f>SUM($G$77:X80)</f>
        <v>0</v>
      </c>
      <c r="Y82" s="106">
        <f>SUM($G$77:Y80)</f>
        <v>0</v>
      </c>
      <c r="Z82" s="106">
        <f>SUM($G$77:Z80)</f>
        <v>0</v>
      </c>
      <c r="AA82" s="106">
        <f>SUM($G$77:AA80)</f>
        <v>0</v>
      </c>
    </row>
    <row r="83" spans="1:27" x14ac:dyDescent="0.25">
      <c r="G83" s="106"/>
      <c r="H83" s="106"/>
      <c r="I83" s="106"/>
      <c r="J83" s="106"/>
      <c r="K83" s="106"/>
      <c r="L83" s="106"/>
      <c r="M83" s="106"/>
      <c r="N83" s="106"/>
      <c r="O83" s="106"/>
      <c r="P83" s="106"/>
      <c r="Q83" s="106"/>
      <c r="R83" s="106"/>
      <c r="S83" s="106"/>
      <c r="T83" s="106"/>
      <c r="U83" s="106"/>
      <c r="V83" s="106"/>
      <c r="W83" s="106"/>
      <c r="X83" s="106"/>
      <c r="Y83" s="106"/>
      <c r="Z83" s="106"/>
      <c r="AA83" s="106"/>
    </row>
    <row r="84" spans="1:27" x14ac:dyDescent="0.25">
      <c r="D84" s="47" t="s">
        <v>651</v>
      </c>
      <c r="F84" s="47" t="s">
        <v>639</v>
      </c>
      <c r="G84" s="106">
        <f t="shared" ref="G84:AA84" si="16">G61-G75</f>
        <v>0</v>
      </c>
      <c r="H84" s="106">
        <f t="shared" si="16"/>
        <v>0</v>
      </c>
      <c r="I84" s="106">
        <f t="shared" si="16"/>
        <v>0</v>
      </c>
      <c r="J84" s="106">
        <f t="shared" si="16"/>
        <v>0</v>
      </c>
      <c r="K84" s="106">
        <f t="shared" si="16"/>
        <v>0</v>
      </c>
      <c r="L84" s="106">
        <f t="shared" si="16"/>
        <v>0</v>
      </c>
      <c r="M84" s="106">
        <f t="shared" si="16"/>
        <v>0</v>
      </c>
      <c r="N84" s="106">
        <f t="shared" si="16"/>
        <v>0</v>
      </c>
      <c r="O84" s="106">
        <f t="shared" si="16"/>
        <v>0</v>
      </c>
      <c r="P84" s="106">
        <f t="shared" si="16"/>
        <v>0</v>
      </c>
      <c r="Q84" s="106">
        <f t="shared" si="16"/>
        <v>0</v>
      </c>
      <c r="R84" s="106">
        <f t="shared" si="16"/>
        <v>0</v>
      </c>
      <c r="S84" s="106">
        <f t="shared" si="16"/>
        <v>0</v>
      </c>
      <c r="T84" s="106">
        <f t="shared" si="16"/>
        <v>0</v>
      </c>
      <c r="U84" s="106">
        <f t="shared" si="16"/>
        <v>0</v>
      </c>
      <c r="V84" s="106">
        <f t="shared" si="16"/>
        <v>0</v>
      </c>
      <c r="W84" s="106">
        <f t="shared" si="16"/>
        <v>0</v>
      </c>
      <c r="X84" s="106">
        <f t="shared" si="16"/>
        <v>0</v>
      </c>
      <c r="Y84" s="106">
        <f t="shared" si="16"/>
        <v>0</v>
      </c>
      <c r="Z84" s="106">
        <f t="shared" si="16"/>
        <v>0</v>
      </c>
      <c r="AA84" s="106">
        <f t="shared" si="16"/>
        <v>0</v>
      </c>
    </row>
    <row r="85" spans="1:27" x14ac:dyDescent="0.25">
      <c r="D85" s="47" t="s">
        <v>652</v>
      </c>
      <c r="F85" s="47" t="s">
        <v>639</v>
      </c>
      <c r="G85" s="106">
        <f t="shared" ref="G85:AA85" si="17">-G68+G82</f>
        <v>0</v>
      </c>
      <c r="H85" s="106">
        <f t="shared" si="17"/>
        <v>0</v>
      </c>
      <c r="I85" s="106">
        <f t="shared" si="17"/>
        <v>0</v>
      </c>
      <c r="J85" s="106">
        <f t="shared" si="17"/>
        <v>0</v>
      </c>
      <c r="K85" s="106">
        <f t="shared" si="17"/>
        <v>0</v>
      </c>
      <c r="L85" s="106">
        <f t="shared" si="17"/>
        <v>0</v>
      </c>
      <c r="M85" s="106">
        <f t="shared" si="17"/>
        <v>0</v>
      </c>
      <c r="N85" s="106">
        <f t="shared" si="17"/>
        <v>0</v>
      </c>
      <c r="O85" s="106">
        <f t="shared" si="17"/>
        <v>0</v>
      </c>
      <c r="P85" s="106">
        <f t="shared" si="17"/>
        <v>0</v>
      </c>
      <c r="Q85" s="106">
        <f t="shared" si="17"/>
        <v>0</v>
      </c>
      <c r="R85" s="106">
        <f t="shared" si="17"/>
        <v>0</v>
      </c>
      <c r="S85" s="106">
        <f t="shared" si="17"/>
        <v>0</v>
      </c>
      <c r="T85" s="106">
        <f t="shared" si="17"/>
        <v>0</v>
      </c>
      <c r="U85" s="106">
        <f t="shared" si="17"/>
        <v>0</v>
      </c>
      <c r="V85" s="106">
        <f t="shared" si="17"/>
        <v>0</v>
      </c>
      <c r="W85" s="106">
        <f t="shared" si="17"/>
        <v>0</v>
      </c>
      <c r="X85" s="106">
        <f t="shared" si="17"/>
        <v>0</v>
      </c>
      <c r="Y85" s="106">
        <f t="shared" si="17"/>
        <v>0</v>
      </c>
      <c r="Z85" s="106">
        <f t="shared" si="17"/>
        <v>0</v>
      </c>
      <c r="AA85" s="106">
        <f t="shared" si="17"/>
        <v>0</v>
      </c>
    </row>
    <row r="87" spans="1:27" x14ac:dyDescent="0.25">
      <c r="C87" s="100" t="str">
        <f>"Incremental "&amp;G4&amp;" Service Revenue"</f>
        <v>Incremental Water and Sewer Service Revenue</v>
      </c>
      <c r="D87" s="100"/>
    </row>
    <row r="88" spans="1:27" x14ac:dyDescent="0.25">
      <c r="C88" s="100"/>
      <c r="D88" s="100"/>
    </row>
    <row r="89" spans="1:27" x14ac:dyDescent="0.25">
      <c r="C89" s="100"/>
      <c r="D89" s="47" t="s">
        <v>653</v>
      </c>
    </row>
    <row r="90" spans="1:27" x14ac:dyDescent="0.25">
      <c r="A90" s="101">
        <v>15</v>
      </c>
      <c r="B90" s="107" t="s">
        <v>262</v>
      </c>
      <c r="C90" s="47" t="s">
        <v>405</v>
      </c>
      <c r="D90" s="100" t="str">
        <f>$G$4</f>
        <v>Water and Sewer</v>
      </c>
      <c r="E90" s="47" t="s">
        <v>654</v>
      </c>
      <c r="F90" s="47" t="s">
        <v>655</v>
      </c>
      <c r="H90" s="102">
        <f>IF($G$4="Water and sewer",SUMIFS('INPUT Growth'!AD$64:AD$115,'INPUT Growth'!$B$64:$B$115,$A$1,'INPUT Growth'!$F$64:$F$115,$B90,'INPUT Growth'!$E$64:$E$115,$C90),SUMIFS('INPUT Growth'!AD$64:AD$115,'INPUT Growth'!$A$64:$A$115,$A$1,'INPUT Growth'!$F$64:$F$115,$B90,'INPUT Growth'!$E$64:$E$115,$C90))</f>
        <v>0</v>
      </c>
      <c r="I90" s="102">
        <f>IF($G$4="Water and sewer",SUMIFS('INPUT Growth'!AE$64:AE$115,'INPUT Growth'!$B$64:$B$115,$A$1,'INPUT Growth'!$F$64:$F$115,$B90,'INPUT Growth'!$E$64:$E$115,$C90),SUMIFS('INPUT Growth'!AE$64:AE$115,'INPUT Growth'!$A$64:$A$115,$A$1,'INPUT Growth'!$F$64:$F$115,$B90,'INPUT Growth'!$E$64:$E$115,$C90))</f>
        <v>0</v>
      </c>
      <c r="J90" s="102">
        <f>IF($G$4="Water and sewer",SUMIFS('INPUT Growth'!AF$64:AF$115,'INPUT Growth'!$B$64:$B$115,$A$1,'INPUT Growth'!$F$64:$F$115,$B90,'INPUT Growth'!$E$64:$E$115,$C90),SUMIFS('INPUT Growth'!AF$64:AF$115,'INPUT Growth'!$A$64:$A$115,$A$1,'INPUT Growth'!$F$64:$F$115,$B90,'INPUT Growth'!$E$64:$E$115,$C90))</f>
        <v>0</v>
      </c>
      <c r="K90" s="102">
        <f>IF($G$4="Water and sewer",SUMIFS('INPUT Growth'!AG$64:AG$115,'INPUT Growth'!$B$64:$B$115,$A$1,'INPUT Growth'!$F$64:$F$115,$B90,'INPUT Growth'!$E$64:$E$115,$C90),SUMIFS('INPUT Growth'!AG$64:AG$115,'INPUT Growth'!$A$64:$A$115,$A$1,'INPUT Growth'!$F$64:$F$115,$B90,'INPUT Growth'!$E$64:$E$115,$C90))</f>
        <v>0</v>
      </c>
      <c r="L90" s="102">
        <f>IF($G$4="Water and sewer",SUMIFS('INPUT Growth'!AH$64:AH$115,'INPUT Growth'!$B$64:$B$115,$A$1,'INPUT Growth'!$F$64:$F$115,$B90,'INPUT Growth'!$E$64:$E$115,$C90),SUMIFS('INPUT Growth'!AH$64:AH$115,'INPUT Growth'!$A$64:$A$115,$A$1,'INPUT Growth'!$F$64:$F$115,$B90,'INPUT Growth'!$E$64:$E$115,$C90))</f>
        <v>0</v>
      </c>
      <c r="M90" s="102">
        <f>IF($G$4="Water and sewer",SUMIFS('INPUT Growth'!AI$64:AI$115,'INPUT Growth'!$B$64:$B$115,$A$1,'INPUT Growth'!$F$64:$F$115,$B90,'INPUT Growth'!$E$64:$E$115,$C90),SUMIFS('INPUT Growth'!AI$64:AI$115,'INPUT Growth'!$A$64:$A$115,$A$1,'INPUT Growth'!$F$64:$F$115,$B90,'INPUT Growth'!$E$64:$E$115,$C90))</f>
        <v>0</v>
      </c>
      <c r="N90" s="102">
        <f>IF($G$4="Water and sewer",SUMIFS('INPUT Growth'!AJ$64:AJ$115,'INPUT Growth'!$B$64:$B$115,$A$1,'INPUT Growth'!$F$64:$F$115,$B90,'INPUT Growth'!$E$64:$E$115,$C90),SUMIFS('INPUT Growth'!AJ$64:AJ$115,'INPUT Growth'!$A$64:$A$115,$A$1,'INPUT Growth'!$F$64:$F$115,$B90,'INPUT Growth'!$E$64:$E$115,$C90))</f>
        <v>0</v>
      </c>
      <c r="O90" s="102">
        <f>IF($G$4="Water and sewer",SUMIFS('INPUT Growth'!AK$64:AK$115,'INPUT Growth'!$B$64:$B$115,$A$1,'INPUT Growth'!$F$64:$F$115,$B90,'INPUT Growth'!$E$64:$E$115,$C90),SUMIFS('INPUT Growth'!AK$64:AK$115,'INPUT Growth'!$A$64:$A$115,$A$1,'INPUT Growth'!$F$64:$F$115,$B90,'INPUT Growth'!$E$64:$E$115,$C90))</f>
        <v>0</v>
      </c>
      <c r="P90" s="102">
        <f>IF($G$4="Water and sewer",SUMIFS('INPUT Growth'!AL$64:AL$115,'INPUT Growth'!$B$64:$B$115,$A$1,'INPUT Growth'!$F$64:$F$115,$B90,'INPUT Growth'!$E$64:$E$115,$C90),SUMIFS('INPUT Growth'!AL$64:AL$115,'INPUT Growth'!$A$64:$A$115,$A$1,'INPUT Growth'!$F$64:$F$115,$B90,'INPUT Growth'!$E$64:$E$115,$C90))</f>
        <v>0</v>
      </c>
      <c r="Q90" s="102">
        <f>IF($G$4="Water and sewer",SUMIFS('INPUT Growth'!AM$64:AM$115,'INPUT Growth'!$B$64:$B$115,$A$1,'INPUT Growth'!$F$64:$F$115,$B90,'INPUT Growth'!$E$64:$E$115,$C90),SUMIFS('INPUT Growth'!AM$64:AM$115,'INPUT Growth'!$A$64:$A$115,$A$1,'INPUT Growth'!$F$64:$F$115,$B90,'INPUT Growth'!$E$64:$E$115,$C90))</f>
        <v>0</v>
      </c>
      <c r="R90" s="102">
        <f>IF($G$4="Water and sewer",SUMIFS('INPUT Growth'!AN$64:AN$115,'INPUT Growth'!$B$64:$B$115,$A$1,'INPUT Growth'!$F$64:$F$115,$B90,'INPUT Growth'!$E$64:$E$115,$C90),SUMIFS('INPUT Growth'!AN$64:AN$115,'INPUT Growth'!$A$64:$A$115,$A$1,'INPUT Growth'!$F$64:$F$115,$B90,'INPUT Growth'!$E$64:$E$115,$C90))</f>
        <v>0</v>
      </c>
      <c r="S90" s="102">
        <f>IF($G$4="Water and sewer",SUMIFS('INPUT Growth'!AO$64:AO$115,'INPUT Growth'!$B$64:$B$115,$A$1,'INPUT Growth'!$F$64:$F$115,$B90,'INPUT Growth'!$E$64:$E$115,$C90),SUMIFS('INPUT Growth'!AO$64:AO$115,'INPUT Growth'!$A$64:$A$115,$A$1,'INPUT Growth'!$F$64:$F$115,$B90,'INPUT Growth'!$E$64:$E$115,$C90))</f>
        <v>0</v>
      </c>
      <c r="T90" s="102">
        <f>IF($G$4="Water and sewer",SUMIFS('INPUT Growth'!AP$64:AP$115,'INPUT Growth'!$B$64:$B$115,$A$1,'INPUT Growth'!$F$64:$F$115,$B90,'INPUT Growth'!$E$64:$E$115,$C90),SUMIFS('INPUT Growth'!AP$64:AP$115,'INPUT Growth'!$A$64:$A$115,$A$1,'INPUT Growth'!$F$64:$F$115,$B90,'INPUT Growth'!$E$64:$E$115,$C90))</f>
        <v>0</v>
      </c>
      <c r="U90" s="102">
        <f>IF($G$4="Water and sewer",SUMIFS('INPUT Growth'!AQ$64:AQ$115,'INPUT Growth'!$B$64:$B$115,$A$1,'INPUT Growth'!$F$64:$F$115,$B90,'INPUT Growth'!$E$64:$E$115,$C90),SUMIFS('INPUT Growth'!AQ$64:AQ$115,'INPUT Growth'!$A$64:$A$115,$A$1,'INPUT Growth'!$F$64:$F$115,$B90,'INPUT Growth'!$E$64:$E$115,$C90))</f>
        <v>0</v>
      </c>
      <c r="V90" s="102">
        <f>IF($G$4="Water and sewer",SUMIFS('INPUT Growth'!AR$64:AR$115,'INPUT Growth'!$B$64:$B$115,$A$1,'INPUT Growth'!$F$64:$F$115,$B90,'INPUT Growth'!$E$64:$E$115,$C90),SUMIFS('INPUT Growth'!AR$64:AR$115,'INPUT Growth'!$A$64:$A$115,$A$1,'INPUT Growth'!$F$64:$F$115,$B90,'INPUT Growth'!$E$64:$E$115,$C90))</f>
        <v>0</v>
      </c>
      <c r="W90" s="102">
        <f>IF($G$4="Water and sewer",SUMIFS('INPUT Growth'!AS$64:AS$115,'INPUT Growth'!$B$64:$B$115,$A$1,'INPUT Growth'!$F$64:$F$115,$B90,'INPUT Growth'!$E$64:$E$115,$C90),SUMIFS('INPUT Growth'!AS$64:AS$115,'INPUT Growth'!$A$64:$A$115,$A$1,'INPUT Growth'!$F$64:$F$115,$B90,'INPUT Growth'!$E$64:$E$115,$C90))</f>
        <v>0</v>
      </c>
      <c r="X90" s="102">
        <f>IF($G$4="Water and sewer",SUMIFS('INPUT Growth'!AT$64:AT$115,'INPUT Growth'!$B$64:$B$115,$A$1,'INPUT Growth'!$F$64:$F$115,$B90,'INPUT Growth'!$E$64:$E$115,$C90),SUMIFS('INPUT Growth'!AT$64:AT$115,'INPUT Growth'!$A$64:$A$115,$A$1,'INPUT Growth'!$F$64:$F$115,$B90,'INPUT Growth'!$E$64:$E$115,$C90))</f>
        <v>0</v>
      </c>
      <c r="Y90" s="102">
        <f>IF($G$4="Water and sewer",SUMIFS('INPUT Growth'!AU$64:AU$115,'INPUT Growth'!$B$64:$B$115,$A$1,'INPUT Growth'!$F$64:$F$115,$B90,'INPUT Growth'!$E$64:$E$115,$C90),SUMIFS('INPUT Growth'!AU$64:AU$115,'INPUT Growth'!$A$64:$A$115,$A$1,'INPUT Growth'!$F$64:$F$115,$B90,'INPUT Growth'!$E$64:$E$115,$C90))</f>
        <v>0</v>
      </c>
      <c r="Z90" s="102">
        <f>IF($G$4="Water and sewer",SUMIFS('INPUT Growth'!AV$64:AV$115,'INPUT Growth'!$B$64:$B$115,$A$1,'INPUT Growth'!$F$64:$F$115,$B90,'INPUT Growth'!$E$64:$E$115,$C90),SUMIFS('INPUT Growth'!AV$64:AV$115,'INPUT Growth'!$A$64:$A$115,$A$1,'INPUT Growth'!$F$64:$F$115,$B90,'INPUT Growth'!$E$64:$E$115,$C90))</f>
        <v>0</v>
      </c>
      <c r="AA90" s="102">
        <f>IF($G$4="Water and sewer",SUMIFS('INPUT Growth'!AW$64:AW$115,'INPUT Growth'!$B$64:$B$115,$A$1,'INPUT Growth'!$F$64:$F$115,$B90,'INPUT Growth'!$E$64:$E$115,$C90),SUMIFS('INPUT Growth'!AW$64:AW$115,'INPUT Growth'!$A$64:$A$115,$A$1,'INPUT Growth'!$F$64:$F$115,$B90,'INPUT Growth'!$E$64:$E$115,$C90))</f>
        <v>0</v>
      </c>
    </row>
    <row r="91" spans="1:27" x14ac:dyDescent="0.25">
      <c r="C91" s="100"/>
      <c r="D91" s="100"/>
      <c r="E91" s="47" t="s">
        <v>656</v>
      </c>
      <c r="F91" s="47" t="s">
        <v>655</v>
      </c>
      <c r="H91" s="106">
        <f>G91+H90</f>
        <v>0</v>
      </c>
      <c r="I91" s="106">
        <f t="shared" ref="I91:AA91" si="18">H91+I90</f>
        <v>0</v>
      </c>
      <c r="J91" s="106">
        <f t="shared" si="18"/>
        <v>0</v>
      </c>
      <c r="K91" s="106">
        <f t="shared" si="18"/>
        <v>0</v>
      </c>
      <c r="L91" s="106">
        <f t="shared" si="18"/>
        <v>0</v>
      </c>
      <c r="M91" s="106">
        <f t="shared" si="18"/>
        <v>0</v>
      </c>
      <c r="N91" s="106">
        <f t="shared" si="18"/>
        <v>0</v>
      </c>
      <c r="O91" s="106">
        <f t="shared" si="18"/>
        <v>0</v>
      </c>
      <c r="P91" s="106">
        <f t="shared" si="18"/>
        <v>0</v>
      </c>
      <c r="Q91" s="106">
        <f t="shared" si="18"/>
        <v>0</v>
      </c>
      <c r="R91" s="106">
        <f t="shared" si="18"/>
        <v>0</v>
      </c>
      <c r="S91" s="106">
        <f t="shared" si="18"/>
        <v>0</v>
      </c>
      <c r="T91" s="106">
        <f t="shared" si="18"/>
        <v>0</v>
      </c>
      <c r="U91" s="106">
        <f t="shared" si="18"/>
        <v>0</v>
      </c>
      <c r="V91" s="106">
        <f t="shared" si="18"/>
        <v>0</v>
      </c>
      <c r="W91" s="106">
        <f t="shared" si="18"/>
        <v>0</v>
      </c>
      <c r="X91" s="106">
        <f t="shared" si="18"/>
        <v>0</v>
      </c>
      <c r="Y91" s="106">
        <f t="shared" si="18"/>
        <v>0</v>
      </c>
      <c r="Z91" s="106">
        <f t="shared" si="18"/>
        <v>0</v>
      </c>
      <c r="AA91" s="106">
        <f t="shared" si="18"/>
        <v>0</v>
      </c>
    </row>
    <row r="92" spans="1:27" x14ac:dyDescent="0.25">
      <c r="A92" s="101">
        <v>16</v>
      </c>
      <c r="C92" s="100"/>
      <c r="D92" s="100"/>
      <c r="E92" s="47" t="s">
        <v>657</v>
      </c>
      <c r="F92" s="47" t="s">
        <v>655</v>
      </c>
      <c r="G92" s="102">
        <v>1</v>
      </c>
    </row>
    <row r="93" spans="1:27" x14ac:dyDescent="0.25">
      <c r="C93" s="100"/>
      <c r="D93" s="100"/>
      <c r="E93" s="47" t="s">
        <v>658</v>
      </c>
      <c r="F93" s="47" t="s">
        <v>655</v>
      </c>
      <c r="H93" s="47">
        <f>H90*$G92</f>
        <v>0</v>
      </c>
      <c r="I93" s="47">
        <f t="shared" ref="I93:AA93" si="19">I90*$G92</f>
        <v>0</v>
      </c>
      <c r="J93" s="47">
        <f t="shared" si="19"/>
        <v>0</v>
      </c>
      <c r="K93" s="47">
        <f t="shared" si="19"/>
        <v>0</v>
      </c>
      <c r="L93" s="47">
        <f t="shared" si="19"/>
        <v>0</v>
      </c>
      <c r="M93" s="47">
        <f t="shared" si="19"/>
        <v>0</v>
      </c>
      <c r="N93" s="47">
        <f t="shared" si="19"/>
        <v>0</v>
      </c>
      <c r="O93" s="47">
        <f t="shared" si="19"/>
        <v>0</v>
      </c>
      <c r="P93" s="47">
        <f t="shared" si="19"/>
        <v>0</v>
      </c>
      <c r="Q93" s="47">
        <f t="shared" si="19"/>
        <v>0</v>
      </c>
      <c r="R93" s="47">
        <f t="shared" si="19"/>
        <v>0</v>
      </c>
      <c r="S93" s="47">
        <f t="shared" si="19"/>
        <v>0</v>
      </c>
      <c r="T93" s="47">
        <f t="shared" si="19"/>
        <v>0</v>
      </c>
      <c r="U93" s="47">
        <f t="shared" si="19"/>
        <v>0</v>
      </c>
      <c r="V93" s="47">
        <f t="shared" si="19"/>
        <v>0</v>
      </c>
      <c r="W93" s="47">
        <f t="shared" si="19"/>
        <v>0</v>
      </c>
      <c r="X93" s="47">
        <f t="shared" si="19"/>
        <v>0</v>
      </c>
      <c r="Y93" s="47">
        <f t="shared" si="19"/>
        <v>0</v>
      </c>
      <c r="Z93" s="47">
        <f t="shared" si="19"/>
        <v>0</v>
      </c>
      <c r="AA93" s="47">
        <f t="shared" si="19"/>
        <v>0</v>
      </c>
    </row>
    <row r="94" spans="1:27" x14ac:dyDescent="0.25">
      <c r="C94" s="100"/>
      <c r="D94" s="100"/>
      <c r="E94" s="47" t="s">
        <v>659</v>
      </c>
      <c r="F94" s="47" t="s">
        <v>655</v>
      </c>
      <c r="H94" s="47">
        <f>H91*$G92</f>
        <v>0</v>
      </c>
      <c r="I94" s="47">
        <f t="shared" ref="I94:AA94" si="20">I91*$G92</f>
        <v>0</v>
      </c>
      <c r="J94" s="47">
        <f t="shared" si="20"/>
        <v>0</v>
      </c>
      <c r="K94" s="47">
        <f t="shared" si="20"/>
        <v>0</v>
      </c>
      <c r="L94" s="47">
        <f t="shared" si="20"/>
        <v>0</v>
      </c>
      <c r="M94" s="47">
        <f t="shared" si="20"/>
        <v>0</v>
      </c>
      <c r="N94" s="47">
        <f t="shared" si="20"/>
        <v>0</v>
      </c>
      <c r="O94" s="47">
        <f t="shared" si="20"/>
        <v>0</v>
      </c>
      <c r="P94" s="47">
        <f t="shared" si="20"/>
        <v>0</v>
      </c>
      <c r="Q94" s="47">
        <f t="shared" si="20"/>
        <v>0</v>
      </c>
      <c r="R94" s="47">
        <f t="shared" si="20"/>
        <v>0</v>
      </c>
      <c r="S94" s="47">
        <f t="shared" si="20"/>
        <v>0</v>
      </c>
      <c r="T94" s="47">
        <f t="shared" si="20"/>
        <v>0</v>
      </c>
      <c r="U94" s="47">
        <f t="shared" si="20"/>
        <v>0</v>
      </c>
      <c r="V94" s="47">
        <f t="shared" si="20"/>
        <v>0</v>
      </c>
      <c r="W94" s="47">
        <f t="shared" si="20"/>
        <v>0</v>
      </c>
      <c r="X94" s="47">
        <f t="shared" si="20"/>
        <v>0</v>
      </c>
      <c r="Y94" s="47">
        <f t="shared" si="20"/>
        <v>0</v>
      </c>
      <c r="Z94" s="47">
        <f t="shared" si="20"/>
        <v>0</v>
      </c>
      <c r="AA94" s="47">
        <f t="shared" si="20"/>
        <v>0</v>
      </c>
    </row>
    <row r="95" spans="1:27" x14ac:dyDescent="0.25">
      <c r="A95" s="101">
        <v>17</v>
      </c>
      <c r="B95" s="47" t="str">
        <f>B90</f>
        <v>Central</v>
      </c>
      <c r="C95" s="47" t="str">
        <f>C90</f>
        <v>R</v>
      </c>
      <c r="D95" s="47" t="str">
        <f>D90</f>
        <v>Water and Sewer</v>
      </c>
      <c r="E95" s="47" t="s">
        <v>660</v>
      </c>
      <c r="F95" s="47" t="s">
        <v>661</v>
      </c>
      <c r="H95" s="102">
        <f>IF(OR($D95=W,$D95=WS),'INPUT Reg'!AD113,IF($D95=RW,'INPUT Reg'!AD117,0))</f>
        <v>130.87254215836683</v>
      </c>
      <c r="I95" s="102">
        <f>IF(OR($D95=W,$D95=WS),'INPUT Reg'!AE113,IF($D95=RW,'INPUT Reg'!AE117,0))</f>
        <v>130.9304572418996</v>
      </c>
      <c r="J95" s="102">
        <f>IF(OR($D95=W,$D95=WS),'INPUT Reg'!AF113,IF($D95=RW,'INPUT Reg'!AF117,0))</f>
        <v>128.32012463785938</v>
      </c>
      <c r="K95" s="102">
        <f>IF(OR($D95=W,$D95=WS),'INPUT Reg'!AG113,IF($D95=RW,'INPUT Reg'!AG117,0))</f>
        <v>127.36557580042182</v>
      </c>
      <c r="L95" s="102">
        <f>IF(OR($D95=W,$D95=WS),'INPUT Reg'!AH113,IF($D95=RW,'INPUT Reg'!AH117,0))</f>
        <v>126.44551181569685</v>
      </c>
      <c r="M95" s="102">
        <f>IF(OR($D95=W,$D95=WS),'INPUT Reg'!AI113,IF($D95=RW,'INPUT Reg'!AI117,0))</f>
        <v>124.14959329831383</v>
      </c>
      <c r="N95" s="102">
        <f>IF(OR($D95=W,$D95=WS),'INPUT Reg'!AJ113,IF($D95=RW,'INPUT Reg'!AJ117,0))</f>
        <v>124.68106583406338</v>
      </c>
      <c r="O95" s="102">
        <f>IF(OR($D95=W,$D95=WS),'INPUT Reg'!AK113,IF($D95=RW,'INPUT Reg'!AK117,0))</f>
        <v>123.80768278743128</v>
      </c>
      <c r="P95" s="102">
        <f>IF(OR($D95=W,$D95=WS),'INPUT Reg'!AL113,IF($D95=RW,'INPUT Reg'!AL117,0))</f>
        <v>122.95675931515683</v>
      </c>
      <c r="Q95" s="102">
        <f>IF(OR($D95=W,$D95=WS),'INPUT Reg'!AM113,IF($D95=RW,'INPUT Reg'!AM117,0))</f>
        <v>120.62498921677354</v>
      </c>
      <c r="R95" s="102">
        <f>IF(OR($D95=W,$D95=WS),'INPUT Reg'!AN113,IF($D95=RW,'INPUT Reg'!AN117,0))</f>
        <v>119.79286586906213</v>
      </c>
      <c r="S95" s="102">
        <f>IF(OR($D95=W,$D95=WS),'INPUT Reg'!AO113,IF($D95=RW,'INPUT Reg'!AO117,0))</f>
        <v>118.98813463210472</v>
      </c>
      <c r="T95" s="102">
        <f>IF(OR($D95=W,$D95=WS),'INPUT Reg'!AP113,IF($D95=RW,'INPUT Reg'!AP117,0))</f>
        <v>118.20476724223678</v>
      </c>
      <c r="U95" s="102">
        <f>IF(OR($D95=W,$D95=WS),'INPUT Reg'!AQ113,IF($D95=RW,'INPUT Reg'!AQ117,0))</f>
        <v>117.44370468514018</v>
      </c>
      <c r="V95" s="102">
        <f>IF(OR($D95=W,$D95=WS),'INPUT Reg'!AR113,IF($D95=RW,'INPUT Reg'!AR117,0))</f>
        <v>116.69996220664642</v>
      </c>
      <c r="W95" s="102">
        <f>IF(OR($D95=W,$D95=WS),'INPUT Reg'!AS113,IF($D95=RW,'INPUT Reg'!AS117,0))</f>
        <v>115.96840868261178</v>
      </c>
      <c r="X95" s="102">
        <f>IF(OR($D95=W,$D95=WS),'INPUT Reg'!AT113,IF($D95=RW,'INPUT Reg'!AT117,0))</f>
        <v>114.69237365956346</v>
      </c>
      <c r="Y95" s="102">
        <f>IF(OR($D95=W,$D95=WS),'INPUT Reg'!AU113,IF($D95=RW,'INPUT Reg'!AU117,0))</f>
        <v>114.04823695325099</v>
      </c>
      <c r="Z95" s="102">
        <f>IF(OR($D95=W,$D95=WS),'INPUT Reg'!AV113,IF($D95=RW,'INPUT Reg'!AV117,0))</f>
        <v>113.43247552103075</v>
      </c>
      <c r="AA95" s="102">
        <f>IF(OR($D95=W,$D95=WS),'INPUT Reg'!AW113,IF($D95=RW,'INPUT Reg'!AW117,0))</f>
        <v>113.43247552103075</v>
      </c>
    </row>
    <row r="96" spans="1:27" x14ac:dyDescent="0.25">
      <c r="B96" s="47" t="str">
        <f>B90</f>
        <v>Central</v>
      </c>
      <c r="C96" s="47" t="str">
        <f t="shared" ref="C96:D96" si="21">C90</f>
        <v>R</v>
      </c>
      <c r="D96" s="47" t="str">
        <f t="shared" si="21"/>
        <v>Water and Sewer</v>
      </c>
      <c r="E96" s="47" t="s">
        <v>662</v>
      </c>
      <c r="F96" s="47" t="s">
        <v>661</v>
      </c>
      <c r="H96" s="102">
        <f>IF(OR($D96=W,$D96=WS),'INPUT Reg'!AD114,0)</f>
        <v>0</v>
      </c>
      <c r="I96" s="102">
        <f>IF(OR($D96=W,$D96=WS),'INPUT Reg'!AE114,0)</f>
        <v>0</v>
      </c>
      <c r="J96" s="102">
        <f>IF(OR($D96=W,$D96=WS),'INPUT Reg'!AF114,0)</f>
        <v>0</v>
      </c>
      <c r="K96" s="102">
        <f>IF(OR($D96=W,$D96=WS),'INPUT Reg'!AG114,0)</f>
        <v>0</v>
      </c>
      <c r="L96" s="102">
        <f>IF(OR($D96=W,$D96=WS),'INPUT Reg'!AH114,0)</f>
        <v>0</v>
      </c>
      <c r="M96" s="102">
        <f>IF(OR($D96=W,$D96=WS),'INPUT Reg'!AI114,0)</f>
        <v>0</v>
      </c>
      <c r="N96" s="102">
        <f>IF(OR($D96=W,$D96=WS),'INPUT Reg'!AJ114,0)</f>
        <v>0</v>
      </c>
      <c r="O96" s="102">
        <f>IF(OR($D96=W,$D96=WS),'INPUT Reg'!AK114,0)</f>
        <v>0</v>
      </c>
      <c r="P96" s="102">
        <f>IF(OR($D96=W,$D96=WS),'INPUT Reg'!AL114,0)</f>
        <v>0</v>
      </c>
      <c r="Q96" s="102">
        <f>IF(OR($D96=W,$D96=WS),'INPUT Reg'!AM114,0)</f>
        <v>0</v>
      </c>
      <c r="R96" s="102">
        <f>IF(OR($D96=W,$D96=WS),'INPUT Reg'!AN114,0)</f>
        <v>0</v>
      </c>
      <c r="S96" s="102">
        <f>IF(OR($D96=W,$D96=WS),'INPUT Reg'!AO114,0)</f>
        <v>0</v>
      </c>
      <c r="T96" s="102">
        <f>IF(OR($D96=W,$D96=WS),'INPUT Reg'!AP114,0)</f>
        <v>0</v>
      </c>
      <c r="U96" s="102">
        <f>IF(OR($D96=W,$D96=WS),'INPUT Reg'!AQ114,0)</f>
        <v>0</v>
      </c>
      <c r="V96" s="102">
        <f>IF(OR($D96=W,$D96=WS),'INPUT Reg'!AR114,0)</f>
        <v>0</v>
      </c>
      <c r="W96" s="102">
        <f>IF(OR($D96=W,$D96=WS),'INPUT Reg'!AS114,0)</f>
        <v>0</v>
      </c>
      <c r="X96" s="102">
        <f>IF(OR($D96=W,$D96=WS),'INPUT Reg'!AT114,0)</f>
        <v>0</v>
      </c>
      <c r="Y96" s="102">
        <f>IF(OR($D96=W,$D96=WS),'INPUT Reg'!AU114,0)</f>
        <v>0</v>
      </c>
      <c r="Z96" s="102">
        <f>IF(OR($D96=W,$D96=WS),'INPUT Reg'!AV114,0)</f>
        <v>0</v>
      </c>
      <c r="AA96" s="102">
        <f>IF(OR($D96=W,$D96=WS),'INPUT Reg'!AW114,0)</f>
        <v>0</v>
      </c>
    </row>
    <row r="97" spans="1:27" x14ac:dyDescent="0.25">
      <c r="B97" s="47" t="str">
        <f>B90</f>
        <v>Central</v>
      </c>
      <c r="C97" s="47" t="str">
        <f t="shared" ref="C97:D97" si="22">C90</f>
        <v>R</v>
      </c>
      <c r="D97" s="47" t="str">
        <f t="shared" si="22"/>
        <v>Water and Sewer</v>
      </c>
      <c r="E97" s="47" t="s">
        <v>663</v>
      </c>
      <c r="F97" s="47" t="s">
        <v>661</v>
      </c>
      <c r="H97" s="102">
        <f>IF(OR($D97=S,$D97=WS),'INPUT Reg'!AD116,0)</f>
        <v>96.209345157445028</v>
      </c>
      <c r="I97" s="102">
        <f>IF(OR($D97=S,$D97=WS),'INPUT Reg'!AE116,0)</f>
        <v>96.251920721192263</v>
      </c>
      <c r="J97" s="102">
        <f>IF(OR($D97=S,$D97=WS),'INPUT Reg'!AF116,0)</f>
        <v>94.332966704283663</v>
      </c>
      <c r="K97" s="102">
        <f>IF(OR($D97=S,$D97=WS),'INPUT Reg'!AG116,0)</f>
        <v>93.631241827116241</v>
      </c>
      <c r="L97" s="102">
        <f>IF(OR($D97=S,$D97=WS),'INPUT Reg'!AH116,0)</f>
        <v>92.954868066711825</v>
      </c>
      <c r="M97" s="102">
        <f>IF(OR($D97=S,$D97=WS),'INPUT Reg'!AI116,0)</f>
        <v>91.267051711582297</v>
      </c>
      <c r="N97" s="102">
        <f>IF(OR($D97=S,$D97=WS),'INPUT Reg'!AJ116,0)</f>
        <v>91.65775723155113</v>
      </c>
      <c r="O97" s="102">
        <f>IF(OR($D97=S,$D97=WS),'INPUT Reg'!AK116,0)</f>
        <v>91.015700390579795</v>
      </c>
      <c r="P97" s="102">
        <f>IF(OR($D97=S,$D97=WS),'INPUT Reg'!AL116,0)</f>
        <v>90.3901544303924</v>
      </c>
      <c r="Q97" s="102">
        <f>IF(OR($D97=S,$D97=WS),'INPUT Reg'!AM116,0)</f>
        <v>88.675982224952236</v>
      </c>
      <c r="R97" s="102">
        <f>IF(OR($D97=S,$D97=WS),'INPUT Reg'!AN116,0)</f>
        <v>88.064256945889042</v>
      </c>
      <c r="S97" s="102">
        <f>IF(OR($D97=S,$D97=WS),'INPUT Reg'!AO116,0)</f>
        <v>87.472668641279483</v>
      </c>
      <c r="T97" s="102">
        <f>IF(OR($D97=S,$D97=WS),'INPUT Reg'!AP116,0)</f>
        <v>86.896785706983835</v>
      </c>
      <c r="U97" s="102">
        <f>IF(OR($D97=S,$D97=WS),'INPUT Reg'!AQ116,0)</f>
        <v>86.337299897091711</v>
      </c>
      <c r="V97" s="102">
        <f>IF(OR($D97=S,$D97=WS),'INPUT Reg'!AR116,0)</f>
        <v>85.790546730678273</v>
      </c>
      <c r="W97" s="102">
        <f>IF(OR($D97=S,$D97=WS),'INPUT Reg'!AS116,0)</f>
        <v>85.252754124725669</v>
      </c>
      <c r="X97" s="102">
        <f>IF(OR($D97=S,$D97=WS),'INPUT Reg'!AT116,0)</f>
        <v>84.314692618921896</v>
      </c>
      <c r="Y97" s="102">
        <f>IF(OR($D97=S,$D97=WS),'INPUT Reg'!AU116,0)</f>
        <v>83.841163414979292</v>
      </c>
      <c r="Z97" s="102">
        <f>IF(OR($D97=S,$D97=WS),'INPUT Reg'!AV116,0)</f>
        <v>83.388493945966971</v>
      </c>
      <c r="AA97" s="102">
        <f>IF(OR($D97=S,$D97=WS),'INPUT Reg'!AW116,0)</f>
        <v>83.388493945966971</v>
      </c>
    </row>
    <row r="98" spans="1:27" x14ac:dyDescent="0.25">
      <c r="C98" s="100"/>
      <c r="D98" s="100"/>
      <c r="E98" s="47" t="s">
        <v>664</v>
      </c>
      <c r="F98" s="47" t="s">
        <v>665</v>
      </c>
      <c r="H98" s="106">
        <f>H91*H95</f>
        <v>0</v>
      </c>
      <c r="I98" s="106">
        <f t="shared" ref="I98:AA98" si="23">I91*I95</f>
        <v>0</v>
      </c>
      <c r="J98" s="106">
        <f t="shared" si="23"/>
        <v>0</v>
      </c>
      <c r="K98" s="106">
        <f t="shared" si="23"/>
        <v>0</v>
      </c>
      <c r="L98" s="106">
        <f t="shared" si="23"/>
        <v>0</v>
      </c>
      <c r="M98" s="106">
        <f t="shared" si="23"/>
        <v>0</v>
      </c>
      <c r="N98" s="106">
        <f t="shared" si="23"/>
        <v>0</v>
      </c>
      <c r="O98" s="106">
        <f t="shared" si="23"/>
        <v>0</v>
      </c>
      <c r="P98" s="106">
        <f t="shared" si="23"/>
        <v>0</v>
      </c>
      <c r="Q98" s="106">
        <f t="shared" si="23"/>
        <v>0</v>
      </c>
      <c r="R98" s="106">
        <f t="shared" si="23"/>
        <v>0</v>
      </c>
      <c r="S98" s="106">
        <f t="shared" si="23"/>
        <v>0</v>
      </c>
      <c r="T98" s="106">
        <f t="shared" si="23"/>
        <v>0</v>
      </c>
      <c r="U98" s="106">
        <f t="shared" si="23"/>
        <v>0</v>
      </c>
      <c r="V98" s="106">
        <f t="shared" si="23"/>
        <v>0</v>
      </c>
      <c r="W98" s="106">
        <f t="shared" si="23"/>
        <v>0</v>
      </c>
      <c r="X98" s="106">
        <f t="shared" si="23"/>
        <v>0</v>
      </c>
      <c r="Y98" s="106">
        <f t="shared" si="23"/>
        <v>0</v>
      </c>
      <c r="Z98" s="106">
        <f t="shared" si="23"/>
        <v>0</v>
      </c>
      <c r="AA98" s="106">
        <f t="shared" si="23"/>
        <v>0</v>
      </c>
    </row>
    <row r="99" spans="1:27" x14ac:dyDescent="0.25">
      <c r="C99" s="100"/>
      <c r="D99" s="100"/>
      <c r="E99" s="47" t="s">
        <v>666</v>
      </c>
      <c r="F99" s="47" t="s">
        <v>665</v>
      </c>
      <c r="H99" s="106">
        <f>H91*H96</f>
        <v>0</v>
      </c>
      <c r="I99" s="106">
        <f t="shared" ref="I99:AA99" si="24">I91*I96</f>
        <v>0</v>
      </c>
      <c r="J99" s="106">
        <f t="shared" si="24"/>
        <v>0</v>
      </c>
      <c r="K99" s="106">
        <f t="shared" si="24"/>
        <v>0</v>
      </c>
      <c r="L99" s="106">
        <f t="shared" si="24"/>
        <v>0</v>
      </c>
      <c r="M99" s="106">
        <f t="shared" si="24"/>
        <v>0</v>
      </c>
      <c r="N99" s="106">
        <f t="shared" si="24"/>
        <v>0</v>
      </c>
      <c r="O99" s="106">
        <f t="shared" si="24"/>
        <v>0</v>
      </c>
      <c r="P99" s="106">
        <f t="shared" si="24"/>
        <v>0</v>
      </c>
      <c r="Q99" s="106">
        <f t="shared" si="24"/>
        <v>0</v>
      </c>
      <c r="R99" s="106">
        <f t="shared" si="24"/>
        <v>0</v>
      </c>
      <c r="S99" s="106">
        <f t="shared" si="24"/>
        <v>0</v>
      </c>
      <c r="T99" s="106">
        <f t="shared" si="24"/>
        <v>0</v>
      </c>
      <c r="U99" s="106">
        <f t="shared" si="24"/>
        <v>0</v>
      </c>
      <c r="V99" s="106">
        <f t="shared" si="24"/>
        <v>0</v>
      </c>
      <c r="W99" s="106">
        <f t="shared" si="24"/>
        <v>0</v>
      </c>
      <c r="X99" s="106">
        <f t="shared" si="24"/>
        <v>0</v>
      </c>
      <c r="Y99" s="106">
        <f t="shared" si="24"/>
        <v>0</v>
      </c>
      <c r="Z99" s="106">
        <f t="shared" si="24"/>
        <v>0</v>
      </c>
      <c r="AA99" s="106">
        <f t="shared" si="24"/>
        <v>0</v>
      </c>
    </row>
    <row r="100" spans="1:27" x14ac:dyDescent="0.25">
      <c r="C100" s="100"/>
      <c r="D100" s="100"/>
      <c r="E100" s="47" t="s">
        <v>667</v>
      </c>
      <c r="F100" s="47" t="s">
        <v>665</v>
      </c>
      <c r="H100" s="106">
        <f>H91*H97</f>
        <v>0</v>
      </c>
      <c r="I100" s="106">
        <f t="shared" ref="I100:AA100" si="25">I91*I97</f>
        <v>0</v>
      </c>
      <c r="J100" s="106">
        <f t="shared" si="25"/>
        <v>0</v>
      </c>
      <c r="K100" s="106">
        <f t="shared" si="25"/>
        <v>0</v>
      </c>
      <c r="L100" s="106">
        <f t="shared" si="25"/>
        <v>0</v>
      </c>
      <c r="M100" s="106">
        <f t="shared" si="25"/>
        <v>0</v>
      </c>
      <c r="N100" s="106">
        <f t="shared" si="25"/>
        <v>0</v>
      </c>
      <c r="O100" s="106">
        <f t="shared" si="25"/>
        <v>0</v>
      </c>
      <c r="P100" s="106">
        <f t="shared" si="25"/>
        <v>0</v>
      </c>
      <c r="Q100" s="106">
        <f t="shared" si="25"/>
        <v>0</v>
      </c>
      <c r="R100" s="106">
        <f t="shared" si="25"/>
        <v>0</v>
      </c>
      <c r="S100" s="106">
        <f t="shared" si="25"/>
        <v>0</v>
      </c>
      <c r="T100" s="106">
        <f t="shared" si="25"/>
        <v>0</v>
      </c>
      <c r="U100" s="106">
        <f t="shared" si="25"/>
        <v>0</v>
      </c>
      <c r="V100" s="106">
        <f t="shared" si="25"/>
        <v>0</v>
      </c>
      <c r="W100" s="106">
        <f t="shared" si="25"/>
        <v>0</v>
      </c>
      <c r="X100" s="106">
        <f t="shared" si="25"/>
        <v>0</v>
      </c>
      <c r="Y100" s="106">
        <f t="shared" si="25"/>
        <v>0</v>
      </c>
      <c r="Z100" s="106">
        <f t="shared" si="25"/>
        <v>0</v>
      </c>
      <c r="AA100" s="106">
        <f t="shared" si="25"/>
        <v>0</v>
      </c>
    </row>
    <row r="101" spans="1:27" x14ac:dyDescent="0.25">
      <c r="A101" s="101">
        <v>18</v>
      </c>
      <c r="B101" s="47" t="str">
        <f>B95</f>
        <v>Central</v>
      </c>
      <c r="C101" s="47" t="str">
        <f t="shared" ref="C101:D101" si="26">C95</f>
        <v>R</v>
      </c>
      <c r="D101" s="47" t="str">
        <f t="shared" si="26"/>
        <v>Water and Sewer</v>
      </c>
      <c r="E101" s="47" t="s">
        <v>668</v>
      </c>
      <c r="F101" s="47" t="s">
        <v>633</v>
      </c>
      <c r="H101" s="105">
        <f>SUMIFS('INPUT Reg'!AD$94:AD$109,'INPUT Reg'!$D$94:$D$109,$D101,'INPUT Reg'!$C$94:$C$109,$C101,'INPUT Reg'!$B$94:$B$109,$B101)</f>
        <v>7.878083921920731E-2</v>
      </c>
      <c r="I101" s="105">
        <f>SUMIFS('INPUT Reg'!AE$94:AE$109,'INPUT Reg'!$D$94:$D$109,$D101,'INPUT Reg'!$C$94:$C$109,$C101,'INPUT Reg'!$B$94:$B$109,$B101)</f>
        <v>3.2370359307165586E-3</v>
      </c>
      <c r="J101" s="105">
        <f>SUMIFS('INPUT Reg'!AF$94:AF$109,'INPUT Reg'!$D$94:$D$109,$D101,'INPUT Reg'!$C$94:$C$109,$C101,'INPUT Reg'!$B$94:$B$109,$B101)</f>
        <v>3.2265913386197997E-3</v>
      </c>
      <c r="K101" s="105">
        <f>SUMIFS('INPUT Reg'!AG$94:AG$109,'INPUT Reg'!$D$94:$D$109,$D101,'INPUT Reg'!$C$94:$C$109,$C101,'INPUT Reg'!$B$94:$B$109,$B101)</f>
        <v>3.2162139306082249E-3</v>
      </c>
      <c r="L101" s="105">
        <f>SUMIFS('INPUT Reg'!AH$94:AH$109,'INPUT Reg'!$D$94:$D$109,$D101,'INPUT Reg'!$C$94:$C$109,$C101,'INPUT Reg'!$B$94:$B$109,$B101)</f>
        <v>-6.2610842849308845E-3</v>
      </c>
      <c r="M101" s="105">
        <f>SUMIFS('INPUT Reg'!AI$94:AI$109,'INPUT Reg'!$D$94:$D$109,$D101,'INPUT Reg'!$C$94:$C$109,$C101,'INPUT Reg'!$B$94:$B$109,$B101)</f>
        <v>3.4731277681165906E-3</v>
      </c>
      <c r="N101" s="105">
        <f>SUMIFS('INPUT Reg'!AJ$94:AJ$109,'INPUT Reg'!$D$94:$D$109,$D101,'INPUT Reg'!$C$94:$C$109,$C101,'INPUT Reg'!$B$94:$B$109,$B101)</f>
        <v>3.4611069016283746E-3</v>
      </c>
      <c r="O101" s="105">
        <f>SUMIFS('INPUT Reg'!AK$94:AK$109,'INPUT Reg'!$D$94:$D$109,$D101,'INPUT Reg'!$C$94:$C$109,$C101,'INPUT Reg'!$B$94:$B$109,$B101)</f>
        <v>3.4491689591387154E-3</v>
      </c>
      <c r="P101" s="105">
        <f>SUMIFS('INPUT Reg'!AL$94:AL$109,'INPUT Reg'!$D$94:$D$109,$D101,'INPUT Reg'!$C$94:$C$109,$C101,'INPUT Reg'!$B$94:$B$109,$B101)</f>
        <v>3.4373130855416267E-3</v>
      </c>
      <c r="Q101" s="105">
        <f>SUMIFS('INPUT Reg'!AM$94:AM$109,'INPUT Reg'!$D$94:$D$109,$D101,'INPUT Reg'!$C$94:$C$109,$C101,'INPUT Reg'!$B$94:$B$109,$B101)</f>
        <v>-7.3391653995346862E-2</v>
      </c>
      <c r="R101" s="105">
        <f>SUMIFS('INPUT Reg'!AN$94:AN$109,'INPUT Reg'!$D$94:$D$109,$D101,'INPUT Reg'!$C$94:$C$109,$C101,'INPUT Reg'!$B$94:$B$109,$B101)</f>
        <v>0</v>
      </c>
      <c r="S101" s="105">
        <f>SUMIFS('INPUT Reg'!AO$94:AO$109,'INPUT Reg'!$D$94:$D$109,$D101,'INPUT Reg'!$C$94:$C$109,$C101,'INPUT Reg'!$B$94:$B$109,$B101)</f>
        <v>0</v>
      </c>
      <c r="T101" s="105">
        <f>SUMIFS('INPUT Reg'!AP$94:AP$109,'INPUT Reg'!$D$94:$D$109,$D101,'INPUT Reg'!$C$94:$C$109,$C101,'INPUT Reg'!$B$94:$B$109,$B101)</f>
        <v>0</v>
      </c>
      <c r="U101" s="105">
        <f>SUMIFS('INPUT Reg'!AQ$94:AQ$109,'INPUT Reg'!$D$94:$D$109,$D101,'INPUT Reg'!$C$94:$C$109,$C101,'INPUT Reg'!$B$94:$B$109,$B101)</f>
        <v>0</v>
      </c>
      <c r="V101" s="105">
        <f>SUMIFS('INPUT Reg'!AR$94:AR$109,'INPUT Reg'!$D$94:$D$109,$D101,'INPUT Reg'!$C$94:$C$109,$C101,'INPUT Reg'!$B$94:$B$109,$B101)</f>
        <v>-8.5938187083795525E-2</v>
      </c>
      <c r="W101" s="105">
        <f>SUMIFS('INPUT Reg'!AS$94:AS$109,'INPUT Reg'!$D$94:$D$109,$D101,'INPUT Reg'!$C$94:$C$109,$C101,'INPUT Reg'!$B$94:$B$109,$B101)</f>
        <v>0</v>
      </c>
      <c r="X101" s="105">
        <f>SUMIFS('INPUT Reg'!AT$94:AT$109,'INPUT Reg'!$D$94:$D$109,$D101,'INPUT Reg'!$C$94:$C$109,$C101,'INPUT Reg'!$B$94:$B$109,$B101)</f>
        <v>0</v>
      </c>
      <c r="Y101" s="105">
        <f>SUMIFS('INPUT Reg'!AU$94:AU$109,'INPUT Reg'!$D$94:$D$109,$D101,'INPUT Reg'!$C$94:$C$109,$C101,'INPUT Reg'!$B$94:$B$109,$B101)</f>
        <v>0</v>
      </c>
      <c r="Z101" s="105">
        <f>SUMIFS('INPUT Reg'!AV$94:AV$109,'INPUT Reg'!$D$94:$D$109,$D101,'INPUT Reg'!$C$94:$C$109,$C101,'INPUT Reg'!$B$94:$B$109,$B101)</f>
        <v>0</v>
      </c>
      <c r="AA101" s="105">
        <f>SUMIFS('INPUT Reg'!AW$94:AW$109,'INPUT Reg'!$D$94:$D$109,$D101,'INPUT Reg'!$C$94:$C$109,$C101,'INPUT Reg'!$B$94:$B$109,$B101)</f>
        <v>0</v>
      </c>
    </row>
    <row r="102" spans="1:27" x14ac:dyDescent="0.25">
      <c r="A102" s="101">
        <v>19</v>
      </c>
      <c r="B102" s="47" t="str">
        <f>B90</f>
        <v>Central</v>
      </c>
      <c r="C102" s="47" t="str">
        <f t="shared" ref="C102:D102" si="27">C90</f>
        <v>R</v>
      </c>
      <c r="D102" s="47" t="str">
        <f t="shared" si="27"/>
        <v>Water and Sewer</v>
      </c>
      <c r="E102" s="47" t="s">
        <v>669</v>
      </c>
      <c r="F102" s="47" t="s">
        <v>670</v>
      </c>
      <c r="G102" s="108">
        <f>IF(D102=W,CWW_R_W_N,IF(D102=S,CWW_R_S_N,IF(D102=WS,CWW_R_W_N+CWW_R_S_N,CWW_R_R_N)))</f>
        <v>475.96000000000004</v>
      </c>
      <c r="H102" s="106">
        <f>G102*(1+$G$14)*(1+H101)</f>
        <v>513.45652823477394</v>
      </c>
      <c r="I102" s="106">
        <f t="shared" ref="I102:AA102" si="28">H102*(1+$G$14)*(1+I101)</f>
        <v>515.11860546553089</v>
      </c>
      <c r="J102" s="106">
        <f t="shared" si="28"/>
        <v>516.78068269628784</v>
      </c>
      <c r="K102" s="106">
        <f t="shared" si="28"/>
        <v>518.4427599270449</v>
      </c>
      <c r="L102" s="106">
        <f t="shared" si="28"/>
        <v>515.19674611022947</v>
      </c>
      <c r="M102" s="106">
        <f t="shared" si="28"/>
        <v>516.98609023518827</v>
      </c>
      <c r="N102" s="106">
        <f t="shared" si="28"/>
        <v>518.77543436014719</v>
      </c>
      <c r="O102" s="106">
        <f t="shared" si="28"/>
        <v>520.56477848510588</v>
      </c>
      <c r="P102" s="106">
        <f t="shared" si="28"/>
        <v>522.35412261006479</v>
      </c>
      <c r="Q102" s="106">
        <f t="shared" si="28"/>
        <v>484.01768958042391</v>
      </c>
      <c r="R102" s="106">
        <f t="shared" si="28"/>
        <v>484.01768958042391</v>
      </c>
      <c r="S102" s="106">
        <f t="shared" si="28"/>
        <v>484.01768958042391</v>
      </c>
      <c r="T102" s="106">
        <f t="shared" si="28"/>
        <v>484.01768958042391</v>
      </c>
      <c r="U102" s="106">
        <f t="shared" si="28"/>
        <v>484.01768958042391</v>
      </c>
      <c r="V102" s="106">
        <f t="shared" si="28"/>
        <v>442.42208682139494</v>
      </c>
      <c r="W102" s="106">
        <f t="shared" si="28"/>
        <v>442.42208682139494</v>
      </c>
      <c r="X102" s="106">
        <f t="shared" si="28"/>
        <v>442.42208682139494</v>
      </c>
      <c r="Y102" s="106">
        <f t="shared" si="28"/>
        <v>442.42208682139494</v>
      </c>
      <c r="Z102" s="106">
        <f t="shared" si="28"/>
        <v>442.42208682139494</v>
      </c>
      <c r="AA102" s="106">
        <f t="shared" si="28"/>
        <v>442.42208682139494</v>
      </c>
    </row>
    <row r="103" spans="1:27" x14ac:dyDescent="0.25">
      <c r="B103" s="47" t="str">
        <f>B90</f>
        <v>Central</v>
      </c>
      <c r="C103" s="47" t="str">
        <f t="shared" ref="C103:D103" si="29">C90</f>
        <v>R</v>
      </c>
      <c r="D103" s="47" t="str">
        <f t="shared" si="29"/>
        <v>Water and Sewer</v>
      </c>
      <c r="E103" s="47" t="s">
        <v>671</v>
      </c>
      <c r="F103" s="47" t="s">
        <v>672</v>
      </c>
      <c r="G103" s="109">
        <f>IF(OR(D103=W,D103=WS),CWW_T1,IF(D103=RW,CWW_R_R_V,0))</f>
        <v>2.9499</v>
      </c>
      <c r="H103" s="110">
        <f>G103*(1+$G$14)*(1+H101)</f>
        <v>3.1822955976127396</v>
      </c>
      <c r="I103" s="110">
        <f t="shared" ref="I103:AA103" si="30">H103*(1+$G$14)*(1+I101)</f>
        <v>3.1925968028043732</v>
      </c>
      <c r="J103" s="110">
        <f t="shared" si="30"/>
        <v>3.2028980079960072</v>
      </c>
      <c r="K103" s="110">
        <f t="shared" si="30"/>
        <v>3.2131992131876412</v>
      </c>
      <c r="L103" s="110">
        <f t="shared" si="30"/>
        <v>3.1930811020895997</v>
      </c>
      <c r="M103" s="110">
        <f t="shared" si="30"/>
        <v>3.2041710807311152</v>
      </c>
      <c r="N103" s="110">
        <f t="shared" si="30"/>
        <v>3.2152610593726316</v>
      </c>
      <c r="O103" s="110">
        <f t="shared" si="30"/>
        <v>3.2263510380141471</v>
      </c>
      <c r="P103" s="110">
        <f t="shared" si="30"/>
        <v>3.237441016655664</v>
      </c>
      <c r="Q103" s="110">
        <f t="shared" si="30"/>
        <v>2.9998398657309275</v>
      </c>
      <c r="R103" s="110">
        <f t="shared" si="30"/>
        <v>2.9998398657309275</v>
      </c>
      <c r="S103" s="110">
        <f t="shared" si="30"/>
        <v>2.9998398657309275</v>
      </c>
      <c r="T103" s="110">
        <f t="shared" si="30"/>
        <v>2.9998398657309275</v>
      </c>
      <c r="U103" s="110">
        <f t="shared" si="30"/>
        <v>2.9998398657309275</v>
      </c>
      <c r="V103" s="110">
        <f t="shared" si="30"/>
        <v>2.7420390661283149</v>
      </c>
      <c r="W103" s="110">
        <f t="shared" si="30"/>
        <v>2.7420390661283149</v>
      </c>
      <c r="X103" s="110">
        <f t="shared" si="30"/>
        <v>2.7420390661283149</v>
      </c>
      <c r="Y103" s="110">
        <f t="shared" si="30"/>
        <v>2.7420390661283149</v>
      </c>
      <c r="Z103" s="110">
        <f t="shared" si="30"/>
        <v>2.7420390661283149</v>
      </c>
      <c r="AA103" s="110">
        <f t="shared" si="30"/>
        <v>2.7420390661283149</v>
      </c>
    </row>
    <row r="104" spans="1:27" x14ac:dyDescent="0.25">
      <c r="B104" s="47" t="str">
        <f>B90</f>
        <v>Central</v>
      </c>
      <c r="C104" s="47" t="str">
        <f t="shared" ref="C104:D104" si="31">C90</f>
        <v>R</v>
      </c>
      <c r="D104" s="47" t="str">
        <f t="shared" si="31"/>
        <v>Water and Sewer</v>
      </c>
      <c r="E104" s="47" t="s">
        <v>673</v>
      </c>
      <c r="F104" s="47" t="s">
        <v>672</v>
      </c>
      <c r="G104" s="109">
        <f>IF(OR(D104=W,D104=WS),CWW_T2,0)</f>
        <v>3.4722</v>
      </c>
      <c r="H104" s="110">
        <f>G104*(1+$G$14)*(1+H101)</f>
        <v>3.7457428299369315</v>
      </c>
      <c r="I104" s="110">
        <f t="shared" ref="I104:AA104" si="32">H104*(1+$G$14)*(1+I101)</f>
        <v>3.7578679340646612</v>
      </c>
      <c r="J104" s="110">
        <f t="shared" si="32"/>
        <v>3.7699930381923914</v>
      </c>
      <c r="K104" s="110">
        <f t="shared" si="32"/>
        <v>3.782118142320122</v>
      </c>
      <c r="L104" s="110">
        <f t="shared" si="32"/>
        <v>3.7584379818554896</v>
      </c>
      <c r="M104" s="110">
        <f t="shared" si="32"/>
        <v>3.7714915171750159</v>
      </c>
      <c r="N104" s="110">
        <f t="shared" si="32"/>
        <v>3.784545052494543</v>
      </c>
      <c r="O104" s="110">
        <f t="shared" si="32"/>
        <v>3.7975985878140692</v>
      </c>
      <c r="P104" s="110">
        <f t="shared" si="32"/>
        <v>3.8106521231335968</v>
      </c>
      <c r="Q104" s="110">
        <f t="shared" si="32"/>
        <v>3.5309820610159419</v>
      </c>
      <c r="R104" s="110">
        <f t="shared" si="32"/>
        <v>3.5309820610159419</v>
      </c>
      <c r="S104" s="110">
        <f t="shared" si="32"/>
        <v>3.5309820610159419</v>
      </c>
      <c r="T104" s="110">
        <f t="shared" si="32"/>
        <v>3.5309820610159419</v>
      </c>
      <c r="U104" s="110">
        <f t="shared" si="32"/>
        <v>3.5309820610159419</v>
      </c>
      <c r="V104" s="110">
        <f t="shared" si="32"/>
        <v>3.2275358640668279</v>
      </c>
      <c r="W104" s="110">
        <f t="shared" si="32"/>
        <v>3.2275358640668279</v>
      </c>
      <c r="X104" s="110">
        <f t="shared" si="32"/>
        <v>3.2275358640668279</v>
      </c>
      <c r="Y104" s="110">
        <f t="shared" si="32"/>
        <v>3.2275358640668279</v>
      </c>
      <c r="Z104" s="110">
        <f t="shared" si="32"/>
        <v>3.2275358640668279</v>
      </c>
      <c r="AA104" s="110">
        <f t="shared" si="32"/>
        <v>3.2275358640668279</v>
      </c>
    </row>
    <row r="105" spans="1:27" x14ac:dyDescent="0.25">
      <c r="B105" s="47" t="str">
        <f>B90</f>
        <v>Central</v>
      </c>
      <c r="C105" s="47" t="str">
        <f t="shared" ref="C105:D105" si="33">C90</f>
        <v>R</v>
      </c>
      <c r="D105" s="47" t="str">
        <f t="shared" si="33"/>
        <v>Water and Sewer</v>
      </c>
      <c r="E105" s="47" t="s">
        <v>674</v>
      </c>
      <c r="F105" s="47" t="s">
        <v>672</v>
      </c>
      <c r="G105" s="109">
        <f>IF(OR(D105=S,D105=WS),CWW_R_SDC,0)</f>
        <v>0.78979999999999995</v>
      </c>
      <c r="H105" s="110">
        <f>G105*(1+$G$14)*(1+H101)</f>
        <v>0.85202110681532983</v>
      </c>
      <c r="I105" s="110">
        <f t="shared" ref="I105:AA105" si="34">H105*(1+$G$14)*(1+I101)</f>
        <v>0.85477912975181991</v>
      </c>
      <c r="J105" s="110">
        <f t="shared" si="34"/>
        <v>0.8575371526883101</v>
      </c>
      <c r="K105" s="110">
        <f t="shared" si="34"/>
        <v>0.8602951756248004</v>
      </c>
      <c r="L105" s="110">
        <f t="shared" si="34"/>
        <v>0.85490879502029415</v>
      </c>
      <c r="M105" s="110">
        <f t="shared" si="34"/>
        <v>0.85787800249548618</v>
      </c>
      <c r="N105" s="110">
        <f t="shared" si="34"/>
        <v>0.86084720997067843</v>
      </c>
      <c r="O105" s="110">
        <f t="shared" si="34"/>
        <v>0.86381641744587045</v>
      </c>
      <c r="P105" s="110">
        <f t="shared" si="34"/>
        <v>0.86678562492106281</v>
      </c>
      <c r="Q105" s="110">
        <f t="shared" si="34"/>
        <v>0.80317079424871562</v>
      </c>
      <c r="R105" s="110">
        <f t="shared" si="34"/>
        <v>0.80317079424871562</v>
      </c>
      <c r="S105" s="110">
        <f t="shared" si="34"/>
        <v>0.80317079424871562</v>
      </c>
      <c r="T105" s="110">
        <f t="shared" si="34"/>
        <v>0.80317079424871562</v>
      </c>
      <c r="U105" s="110">
        <f t="shared" si="34"/>
        <v>0.80317079424871562</v>
      </c>
      <c r="V105" s="110">
        <f t="shared" si="34"/>
        <v>0.73414775227232887</v>
      </c>
      <c r="W105" s="110">
        <f t="shared" si="34"/>
        <v>0.73414775227232887</v>
      </c>
      <c r="X105" s="110">
        <f t="shared" si="34"/>
        <v>0.73414775227232887</v>
      </c>
      <c r="Y105" s="110">
        <f t="shared" si="34"/>
        <v>0.73414775227232887</v>
      </c>
      <c r="Z105" s="110">
        <f t="shared" si="34"/>
        <v>0.73414775227232887</v>
      </c>
      <c r="AA105" s="110">
        <f t="shared" si="34"/>
        <v>0.73414775227232887</v>
      </c>
    </row>
    <row r="106" spans="1:27" x14ac:dyDescent="0.25">
      <c r="C106" s="100"/>
      <c r="D106" s="100"/>
    </row>
    <row r="107" spans="1:27" x14ac:dyDescent="0.25">
      <c r="C107" s="100"/>
      <c r="D107" s="100"/>
      <c r="E107" s="47" t="s">
        <v>675</v>
      </c>
      <c r="F107" s="47" t="s">
        <v>676</v>
      </c>
      <c r="H107" s="106">
        <f>SUM(H98:H100)/1000</f>
        <v>0</v>
      </c>
      <c r="I107" s="106">
        <f t="shared" ref="I107:AA107" si="35">SUM(I98:I100)/1000</f>
        <v>0</v>
      </c>
      <c r="J107" s="106">
        <f t="shared" si="35"/>
        <v>0</v>
      </c>
      <c r="K107" s="106">
        <f t="shared" si="35"/>
        <v>0</v>
      </c>
      <c r="L107" s="106">
        <f t="shared" si="35"/>
        <v>0</v>
      </c>
      <c r="M107" s="106">
        <f t="shared" si="35"/>
        <v>0</v>
      </c>
      <c r="N107" s="106">
        <f t="shared" si="35"/>
        <v>0</v>
      </c>
      <c r="O107" s="106">
        <f t="shared" si="35"/>
        <v>0</v>
      </c>
      <c r="P107" s="106">
        <f t="shared" si="35"/>
        <v>0</v>
      </c>
      <c r="Q107" s="106">
        <f t="shared" si="35"/>
        <v>0</v>
      </c>
      <c r="R107" s="106">
        <f t="shared" si="35"/>
        <v>0</v>
      </c>
      <c r="S107" s="106">
        <f t="shared" si="35"/>
        <v>0</v>
      </c>
      <c r="T107" s="106">
        <f t="shared" si="35"/>
        <v>0</v>
      </c>
      <c r="U107" s="106">
        <f t="shared" si="35"/>
        <v>0</v>
      </c>
      <c r="V107" s="106">
        <f t="shared" si="35"/>
        <v>0</v>
      </c>
      <c r="W107" s="106">
        <f t="shared" si="35"/>
        <v>0</v>
      </c>
      <c r="X107" s="106">
        <f t="shared" si="35"/>
        <v>0</v>
      </c>
      <c r="Y107" s="106">
        <f t="shared" si="35"/>
        <v>0</v>
      </c>
      <c r="Z107" s="106">
        <f t="shared" si="35"/>
        <v>0</v>
      </c>
      <c r="AA107" s="106">
        <f t="shared" si="35"/>
        <v>0</v>
      </c>
    </row>
    <row r="108" spans="1:27" x14ac:dyDescent="0.25">
      <c r="C108" s="100"/>
      <c r="D108" s="100"/>
      <c r="E108" s="47" t="s">
        <v>677</v>
      </c>
      <c r="F108" s="47" t="s">
        <v>639</v>
      </c>
      <c r="H108" s="106">
        <f>H91*H102+H98*H103+H99*H104+H100*H105</f>
        <v>0</v>
      </c>
      <c r="I108" s="106">
        <f t="shared" ref="I108:AA108" si="36">I91*I102+I98*I103+I99*I104+I100*I105</f>
        <v>0</v>
      </c>
      <c r="J108" s="106">
        <f t="shared" si="36"/>
        <v>0</v>
      </c>
      <c r="K108" s="106">
        <f t="shared" si="36"/>
        <v>0</v>
      </c>
      <c r="L108" s="106">
        <f t="shared" si="36"/>
        <v>0</v>
      </c>
      <c r="M108" s="106">
        <f t="shared" si="36"/>
        <v>0</v>
      </c>
      <c r="N108" s="106">
        <f t="shared" si="36"/>
        <v>0</v>
      </c>
      <c r="O108" s="106">
        <f t="shared" si="36"/>
        <v>0</v>
      </c>
      <c r="P108" s="106">
        <f t="shared" si="36"/>
        <v>0</v>
      </c>
      <c r="Q108" s="106">
        <f t="shared" si="36"/>
        <v>0</v>
      </c>
      <c r="R108" s="106">
        <f t="shared" si="36"/>
        <v>0</v>
      </c>
      <c r="S108" s="106">
        <f t="shared" si="36"/>
        <v>0</v>
      </c>
      <c r="T108" s="106">
        <f t="shared" si="36"/>
        <v>0</v>
      </c>
      <c r="U108" s="106">
        <f t="shared" si="36"/>
        <v>0</v>
      </c>
      <c r="V108" s="106">
        <f t="shared" si="36"/>
        <v>0</v>
      </c>
      <c r="W108" s="106">
        <f t="shared" si="36"/>
        <v>0</v>
      </c>
      <c r="X108" s="106">
        <f t="shared" si="36"/>
        <v>0</v>
      </c>
      <c r="Y108" s="106">
        <f t="shared" si="36"/>
        <v>0</v>
      </c>
      <c r="Z108" s="106">
        <f t="shared" si="36"/>
        <v>0</v>
      </c>
      <c r="AA108" s="106">
        <f t="shared" si="36"/>
        <v>0</v>
      </c>
    </row>
    <row r="109" spans="1:27" x14ac:dyDescent="0.25">
      <c r="C109" s="100"/>
      <c r="D109" s="100"/>
    </row>
    <row r="110" spans="1:27" x14ac:dyDescent="0.25">
      <c r="C110" s="100"/>
      <c r="D110" s="47" t="s">
        <v>678</v>
      </c>
    </row>
    <row r="111" spans="1:27" x14ac:dyDescent="0.25">
      <c r="A111" s="101">
        <v>20</v>
      </c>
      <c r="B111" s="107" t="s">
        <v>262</v>
      </c>
      <c r="C111" s="47" t="s">
        <v>407</v>
      </c>
      <c r="D111" s="100" t="str">
        <f>$G$4</f>
        <v>Water and Sewer</v>
      </c>
      <c r="E111" s="47" t="s">
        <v>654</v>
      </c>
      <c r="F111" s="47" t="s">
        <v>655</v>
      </c>
      <c r="H111" s="102">
        <f>IF($G$4="Water and sewer",SUMIFS('INPUT Growth'!AD$64:AD$115,'INPUT Growth'!$B$64:$B$115,$A$1,'INPUT Growth'!$F$64:$F$115,$B111,'INPUT Growth'!$E$64:$E$115,$C111),SUMIFS('INPUT Growth'!AD$64:AD$115,'INPUT Growth'!$A$64:$A$115,$A$1,'INPUT Growth'!$F$64:$F$115,$B111,'INPUT Growth'!$E$64:$E$115,$C111))</f>
        <v>0</v>
      </c>
      <c r="I111" s="102">
        <f>IF($G$4="Water and sewer",SUMIFS('INPUT Growth'!AE$64:AE$115,'INPUT Growth'!$B$64:$B$115,$A$1,'INPUT Growth'!$F$64:$F$115,$B111,'INPUT Growth'!$E$64:$E$115,$C111),SUMIFS('INPUT Growth'!AE$64:AE$115,'INPUT Growth'!$A$64:$A$115,$A$1,'INPUT Growth'!$F$64:$F$115,$B111,'INPUT Growth'!$E$64:$E$115,$C111))</f>
        <v>0</v>
      </c>
      <c r="J111" s="102">
        <f>IF($G$4="Water and sewer",SUMIFS('INPUT Growth'!AF$64:AF$115,'INPUT Growth'!$B$64:$B$115,$A$1,'INPUT Growth'!$F$64:$F$115,$B111,'INPUT Growth'!$E$64:$E$115,$C111),SUMIFS('INPUT Growth'!AF$64:AF$115,'INPUT Growth'!$A$64:$A$115,$A$1,'INPUT Growth'!$F$64:$F$115,$B111,'INPUT Growth'!$E$64:$E$115,$C111))</f>
        <v>0</v>
      </c>
      <c r="K111" s="102">
        <f>IF($G$4="Water and sewer",SUMIFS('INPUT Growth'!AG$64:AG$115,'INPUT Growth'!$B$64:$B$115,$A$1,'INPUT Growth'!$F$64:$F$115,$B111,'INPUT Growth'!$E$64:$E$115,$C111),SUMIFS('INPUT Growth'!AG$64:AG$115,'INPUT Growth'!$A$64:$A$115,$A$1,'INPUT Growth'!$F$64:$F$115,$B111,'INPUT Growth'!$E$64:$E$115,$C111))</f>
        <v>0</v>
      </c>
      <c r="L111" s="102">
        <f>IF($G$4="Water and sewer",SUMIFS('INPUT Growth'!AH$64:AH$115,'INPUT Growth'!$B$64:$B$115,$A$1,'INPUT Growth'!$F$64:$F$115,$B111,'INPUT Growth'!$E$64:$E$115,$C111),SUMIFS('INPUT Growth'!AH$64:AH$115,'INPUT Growth'!$A$64:$A$115,$A$1,'INPUT Growth'!$F$64:$F$115,$B111,'INPUT Growth'!$E$64:$E$115,$C111))</f>
        <v>0</v>
      </c>
      <c r="M111" s="102">
        <f>IF($G$4="Water and sewer",SUMIFS('INPUT Growth'!AI$64:AI$115,'INPUT Growth'!$B$64:$B$115,$A$1,'INPUT Growth'!$F$64:$F$115,$B111,'INPUT Growth'!$E$64:$E$115,$C111),SUMIFS('INPUT Growth'!AI$64:AI$115,'INPUT Growth'!$A$64:$A$115,$A$1,'INPUT Growth'!$F$64:$F$115,$B111,'INPUT Growth'!$E$64:$E$115,$C111))</f>
        <v>0</v>
      </c>
      <c r="N111" s="102">
        <f>IF($G$4="Water and sewer",SUMIFS('INPUT Growth'!AJ$64:AJ$115,'INPUT Growth'!$B$64:$B$115,$A$1,'INPUT Growth'!$F$64:$F$115,$B111,'INPUT Growth'!$E$64:$E$115,$C111),SUMIFS('INPUT Growth'!AJ$64:AJ$115,'INPUT Growth'!$A$64:$A$115,$A$1,'INPUT Growth'!$F$64:$F$115,$B111,'INPUT Growth'!$E$64:$E$115,$C111))</f>
        <v>0</v>
      </c>
      <c r="O111" s="102">
        <f>IF($G$4="Water and sewer",SUMIFS('INPUT Growth'!AK$64:AK$115,'INPUT Growth'!$B$64:$B$115,$A$1,'INPUT Growth'!$F$64:$F$115,$B111,'INPUT Growth'!$E$64:$E$115,$C111),SUMIFS('INPUT Growth'!AK$64:AK$115,'INPUT Growth'!$A$64:$A$115,$A$1,'INPUT Growth'!$F$64:$F$115,$B111,'INPUT Growth'!$E$64:$E$115,$C111))</f>
        <v>0</v>
      </c>
      <c r="P111" s="102">
        <f>IF($G$4="Water and sewer",SUMIFS('INPUT Growth'!AL$64:AL$115,'INPUT Growth'!$B$64:$B$115,$A$1,'INPUT Growth'!$F$64:$F$115,$B111,'INPUT Growth'!$E$64:$E$115,$C111),SUMIFS('INPUT Growth'!AL$64:AL$115,'INPUT Growth'!$A$64:$A$115,$A$1,'INPUT Growth'!$F$64:$F$115,$B111,'INPUT Growth'!$E$64:$E$115,$C111))</f>
        <v>0</v>
      </c>
      <c r="Q111" s="102">
        <f>IF($G$4="Water and sewer",SUMIFS('INPUT Growth'!AM$64:AM$115,'INPUT Growth'!$B$64:$B$115,$A$1,'INPUT Growth'!$F$64:$F$115,$B111,'INPUT Growth'!$E$64:$E$115,$C111),SUMIFS('INPUT Growth'!AM$64:AM$115,'INPUT Growth'!$A$64:$A$115,$A$1,'INPUT Growth'!$F$64:$F$115,$B111,'INPUT Growth'!$E$64:$E$115,$C111))</f>
        <v>0</v>
      </c>
      <c r="R111" s="102">
        <f>IF($G$4="Water and sewer",SUMIFS('INPUT Growth'!AN$64:AN$115,'INPUT Growth'!$B$64:$B$115,$A$1,'INPUT Growth'!$F$64:$F$115,$B111,'INPUT Growth'!$E$64:$E$115,$C111),SUMIFS('INPUT Growth'!AN$64:AN$115,'INPUT Growth'!$A$64:$A$115,$A$1,'INPUT Growth'!$F$64:$F$115,$B111,'INPUT Growth'!$E$64:$E$115,$C111))</f>
        <v>0</v>
      </c>
      <c r="S111" s="102">
        <f>IF($G$4="Water and sewer",SUMIFS('INPUT Growth'!AO$64:AO$115,'INPUT Growth'!$B$64:$B$115,$A$1,'INPUT Growth'!$F$64:$F$115,$B111,'INPUT Growth'!$E$64:$E$115,$C111),SUMIFS('INPUT Growth'!AO$64:AO$115,'INPUT Growth'!$A$64:$A$115,$A$1,'INPUT Growth'!$F$64:$F$115,$B111,'INPUT Growth'!$E$64:$E$115,$C111))</f>
        <v>0</v>
      </c>
      <c r="T111" s="102">
        <f>IF($G$4="Water and sewer",SUMIFS('INPUT Growth'!AP$64:AP$115,'INPUT Growth'!$B$64:$B$115,$A$1,'INPUT Growth'!$F$64:$F$115,$B111,'INPUT Growth'!$E$64:$E$115,$C111),SUMIFS('INPUT Growth'!AP$64:AP$115,'INPUT Growth'!$A$64:$A$115,$A$1,'INPUT Growth'!$F$64:$F$115,$B111,'INPUT Growth'!$E$64:$E$115,$C111))</f>
        <v>0</v>
      </c>
      <c r="U111" s="102">
        <f>IF($G$4="Water and sewer",SUMIFS('INPUT Growth'!AQ$64:AQ$115,'INPUT Growth'!$B$64:$B$115,$A$1,'INPUT Growth'!$F$64:$F$115,$B111,'INPUT Growth'!$E$64:$E$115,$C111),SUMIFS('INPUT Growth'!AQ$64:AQ$115,'INPUT Growth'!$A$64:$A$115,$A$1,'INPUT Growth'!$F$64:$F$115,$B111,'INPUT Growth'!$E$64:$E$115,$C111))</f>
        <v>0</v>
      </c>
      <c r="V111" s="102">
        <f>IF($G$4="Water and sewer",SUMIFS('INPUT Growth'!AR$64:AR$115,'INPUT Growth'!$B$64:$B$115,$A$1,'INPUT Growth'!$F$64:$F$115,$B111,'INPUT Growth'!$E$64:$E$115,$C111),SUMIFS('INPUT Growth'!AR$64:AR$115,'INPUT Growth'!$A$64:$A$115,$A$1,'INPUT Growth'!$F$64:$F$115,$B111,'INPUT Growth'!$E$64:$E$115,$C111))</f>
        <v>0</v>
      </c>
      <c r="W111" s="102">
        <f>IF($G$4="Water and sewer",SUMIFS('INPUT Growth'!AS$64:AS$115,'INPUT Growth'!$B$64:$B$115,$A$1,'INPUT Growth'!$F$64:$F$115,$B111,'INPUT Growth'!$E$64:$E$115,$C111),SUMIFS('INPUT Growth'!AS$64:AS$115,'INPUT Growth'!$A$64:$A$115,$A$1,'INPUT Growth'!$F$64:$F$115,$B111,'INPUT Growth'!$E$64:$E$115,$C111))</f>
        <v>0</v>
      </c>
      <c r="X111" s="102">
        <f>IF($G$4="Water and sewer",SUMIFS('INPUT Growth'!AT$64:AT$115,'INPUT Growth'!$B$64:$B$115,$A$1,'INPUT Growth'!$F$64:$F$115,$B111,'INPUT Growth'!$E$64:$E$115,$C111),SUMIFS('INPUT Growth'!AT$64:AT$115,'INPUT Growth'!$A$64:$A$115,$A$1,'INPUT Growth'!$F$64:$F$115,$B111,'INPUT Growth'!$E$64:$E$115,$C111))</f>
        <v>0</v>
      </c>
      <c r="Y111" s="102">
        <f>IF($G$4="Water and sewer",SUMIFS('INPUT Growth'!AU$64:AU$115,'INPUT Growth'!$B$64:$B$115,$A$1,'INPUT Growth'!$F$64:$F$115,$B111,'INPUT Growth'!$E$64:$E$115,$C111),SUMIFS('INPUT Growth'!AU$64:AU$115,'INPUT Growth'!$A$64:$A$115,$A$1,'INPUT Growth'!$F$64:$F$115,$B111,'INPUT Growth'!$E$64:$E$115,$C111))</f>
        <v>0</v>
      </c>
      <c r="Z111" s="102">
        <f>IF($G$4="Water and sewer",SUMIFS('INPUT Growth'!AV$64:AV$115,'INPUT Growth'!$B$64:$B$115,$A$1,'INPUT Growth'!$F$64:$F$115,$B111,'INPUT Growth'!$E$64:$E$115,$C111),SUMIFS('INPUT Growth'!AV$64:AV$115,'INPUT Growth'!$A$64:$A$115,$A$1,'INPUT Growth'!$F$64:$F$115,$B111,'INPUT Growth'!$E$64:$E$115,$C111))</f>
        <v>0</v>
      </c>
      <c r="AA111" s="102">
        <f>IF($G$4="Water and sewer",SUMIFS('INPUT Growth'!AW$64:AW$115,'INPUT Growth'!$B$64:$B$115,$A$1,'INPUT Growth'!$F$64:$F$115,$B111,'INPUT Growth'!$E$64:$E$115,$C111),SUMIFS('INPUT Growth'!AW$64:AW$115,'INPUT Growth'!$A$64:$A$115,$A$1,'INPUT Growth'!$F$64:$F$115,$B111,'INPUT Growth'!$E$64:$E$115,$C111))</f>
        <v>0</v>
      </c>
    </row>
    <row r="112" spans="1:27" x14ac:dyDescent="0.25">
      <c r="C112" s="100"/>
      <c r="D112" s="100"/>
      <c r="E112" s="47" t="s">
        <v>656</v>
      </c>
      <c r="F112" s="47" t="s">
        <v>655</v>
      </c>
      <c r="H112" s="106">
        <f>G112+H111</f>
        <v>0</v>
      </c>
      <c r="I112" s="106">
        <f t="shared" ref="I112:AA112" si="37">H112+I111</f>
        <v>0</v>
      </c>
      <c r="J112" s="106">
        <f t="shared" si="37"/>
        <v>0</v>
      </c>
      <c r="K112" s="106">
        <f t="shared" si="37"/>
        <v>0</v>
      </c>
      <c r="L112" s="106">
        <f t="shared" si="37"/>
        <v>0</v>
      </c>
      <c r="M112" s="106">
        <f t="shared" si="37"/>
        <v>0</v>
      </c>
      <c r="N112" s="106">
        <f t="shared" si="37"/>
        <v>0</v>
      </c>
      <c r="O112" s="106">
        <f t="shared" si="37"/>
        <v>0</v>
      </c>
      <c r="P112" s="106">
        <f t="shared" si="37"/>
        <v>0</v>
      </c>
      <c r="Q112" s="106">
        <f t="shared" si="37"/>
        <v>0</v>
      </c>
      <c r="R112" s="106">
        <f t="shared" si="37"/>
        <v>0</v>
      </c>
      <c r="S112" s="106">
        <f t="shared" si="37"/>
        <v>0</v>
      </c>
      <c r="T112" s="106">
        <f t="shared" si="37"/>
        <v>0</v>
      </c>
      <c r="U112" s="106">
        <f t="shared" si="37"/>
        <v>0</v>
      </c>
      <c r="V112" s="106">
        <f t="shared" si="37"/>
        <v>0</v>
      </c>
      <c r="W112" s="106">
        <f t="shared" si="37"/>
        <v>0</v>
      </c>
      <c r="X112" s="106">
        <f t="shared" si="37"/>
        <v>0</v>
      </c>
      <c r="Y112" s="106">
        <f t="shared" si="37"/>
        <v>0</v>
      </c>
      <c r="Z112" s="106">
        <f t="shared" si="37"/>
        <v>0</v>
      </c>
      <c r="AA112" s="106">
        <f t="shared" si="37"/>
        <v>0</v>
      </c>
    </row>
    <row r="113" spans="1:27" x14ac:dyDescent="0.25">
      <c r="A113" s="101">
        <v>21</v>
      </c>
      <c r="C113" s="100"/>
      <c r="D113" s="100"/>
      <c r="E113" s="47" t="s">
        <v>657</v>
      </c>
      <c r="F113" s="47" t="s">
        <v>655</v>
      </c>
      <c r="G113" s="102">
        <v>2</v>
      </c>
    </row>
    <row r="114" spans="1:27" x14ac:dyDescent="0.25">
      <c r="C114" s="100"/>
      <c r="D114" s="100"/>
      <c r="E114" s="47" t="s">
        <v>658</v>
      </c>
      <c r="F114" s="47" t="s">
        <v>655</v>
      </c>
      <c r="H114" s="47">
        <f>H111*$G113</f>
        <v>0</v>
      </c>
      <c r="I114" s="47">
        <f t="shared" ref="I114:AA114" si="38">I111*$G113</f>
        <v>0</v>
      </c>
      <c r="J114" s="47">
        <f t="shared" si="38"/>
        <v>0</v>
      </c>
      <c r="K114" s="47">
        <f t="shared" si="38"/>
        <v>0</v>
      </c>
      <c r="L114" s="47">
        <f t="shared" si="38"/>
        <v>0</v>
      </c>
      <c r="M114" s="47">
        <f t="shared" si="38"/>
        <v>0</v>
      </c>
      <c r="N114" s="47">
        <f t="shared" si="38"/>
        <v>0</v>
      </c>
      <c r="O114" s="47">
        <f t="shared" si="38"/>
        <v>0</v>
      </c>
      <c r="P114" s="47">
        <f t="shared" si="38"/>
        <v>0</v>
      </c>
      <c r="Q114" s="47">
        <f t="shared" si="38"/>
        <v>0</v>
      </c>
      <c r="R114" s="47">
        <f t="shared" si="38"/>
        <v>0</v>
      </c>
      <c r="S114" s="47">
        <f t="shared" si="38"/>
        <v>0</v>
      </c>
      <c r="T114" s="47">
        <f t="shared" si="38"/>
        <v>0</v>
      </c>
      <c r="U114" s="47">
        <f t="shared" si="38"/>
        <v>0</v>
      </c>
      <c r="V114" s="47">
        <f t="shared" si="38"/>
        <v>0</v>
      </c>
      <c r="W114" s="47">
        <f t="shared" si="38"/>
        <v>0</v>
      </c>
      <c r="X114" s="47">
        <f t="shared" si="38"/>
        <v>0</v>
      </c>
      <c r="Y114" s="47">
        <f t="shared" si="38"/>
        <v>0</v>
      </c>
      <c r="Z114" s="47">
        <f t="shared" si="38"/>
        <v>0</v>
      </c>
      <c r="AA114" s="47">
        <f t="shared" si="38"/>
        <v>0</v>
      </c>
    </row>
    <row r="115" spans="1:27" x14ac:dyDescent="0.25">
      <c r="C115" s="100"/>
      <c r="D115" s="100"/>
      <c r="E115" s="47" t="s">
        <v>659</v>
      </c>
      <c r="F115" s="47" t="s">
        <v>655</v>
      </c>
      <c r="H115" s="47">
        <f>H112*$G113</f>
        <v>0</v>
      </c>
      <c r="I115" s="47">
        <f t="shared" ref="I115:AA115" si="39">I112*$G113</f>
        <v>0</v>
      </c>
      <c r="J115" s="47">
        <f t="shared" si="39"/>
        <v>0</v>
      </c>
      <c r="K115" s="47">
        <f t="shared" si="39"/>
        <v>0</v>
      </c>
      <c r="L115" s="47">
        <f t="shared" si="39"/>
        <v>0</v>
      </c>
      <c r="M115" s="47">
        <f t="shared" si="39"/>
        <v>0</v>
      </c>
      <c r="N115" s="47">
        <f t="shared" si="39"/>
        <v>0</v>
      </c>
      <c r="O115" s="47">
        <f t="shared" si="39"/>
        <v>0</v>
      </c>
      <c r="P115" s="47">
        <f t="shared" si="39"/>
        <v>0</v>
      </c>
      <c r="Q115" s="47">
        <f t="shared" si="39"/>
        <v>0</v>
      </c>
      <c r="R115" s="47">
        <f t="shared" si="39"/>
        <v>0</v>
      </c>
      <c r="S115" s="47">
        <f t="shared" si="39"/>
        <v>0</v>
      </c>
      <c r="T115" s="47">
        <f t="shared" si="39"/>
        <v>0</v>
      </c>
      <c r="U115" s="47">
        <f t="shared" si="39"/>
        <v>0</v>
      </c>
      <c r="V115" s="47">
        <f t="shared" si="39"/>
        <v>0</v>
      </c>
      <c r="W115" s="47">
        <f t="shared" si="39"/>
        <v>0</v>
      </c>
      <c r="X115" s="47">
        <f t="shared" si="39"/>
        <v>0</v>
      </c>
      <c r="Y115" s="47">
        <f t="shared" si="39"/>
        <v>0</v>
      </c>
      <c r="Z115" s="47">
        <f t="shared" si="39"/>
        <v>0</v>
      </c>
      <c r="AA115" s="47">
        <f t="shared" si="39"/>
        <v>0</v>
      </c>
    </row>
    <row r="116" spans="1:27" x14ac:dyDescent="0.25">
      <c r="A116" s="101">
        <v>22</v>
      </c>
      <c r="B116" s="47" t="str">
        <f>B111</f>
        <v>Central</v>
      </c>
      <c r="C116" s="47" t="str">
        <f>C111</f>
        <v>N</v>
      </c>
      <c r="D116" s="47" t="str">
        <f>D111</f>
        <v>Water and Sewer</v>
      </c>
      <c r="E116" s="47" t="s">
        <v>660</v>
      </c>
      <c r="F116" s="47" t="s">
        <v>661</v>
      </c>
      <c r="H116" s="102">
        <f>IF(OR($D116=W,$D116=WS),'INPUT Reg'!AD$118,IF($D116=RW,'INPUT Reg'!AD$120,0))</f>
        <v>944.75608962439071</v>
      </c>
      <c r="I116" s="102">
        <f>IF(OR($D116=W,$D116=WS),'INPUT Reg'!AE$118,IF($D116=RW,'INPUT Reg'!AE$120,0))</f>
        <v>948.76571570384965</v>
      </c>
      <c r="J116" s="102">
        <f>IF(OR($D116=W,$D116=WS),'INPUT Reg'!AF$118,IF($D116=RW,'INPUT Reg'!AF$120,0))</f>
        <v>936.54922401113686</v>
      </c>
      <c r="K116" s="102">
        <f>IF(OR($D116=W,$D116=WS),'INPUT Reg'!AG$118,IF($D116=RW,'INPUT Reg'!AG$120,0))</f>
        <v>923.17479464394307</v>
      </c>
      <c r="L116" s="102">
        <f>IF(OR($D116=W,$D116=WS),'INPUT Reg'!AH$118,IF($D116=RW,'INPUT Reg'!AH$120,0))</f>
        <v>910.50362986974699</v>
      </c>
      <c r="M116" s="102">
        <f>IF(OR($D116=W,$D116=WS),'INPUT Reg'!AI$118,IF($D116=RW,'INPUT Reg'!AI$120,0))</f>
        <v>898.52528910626188</v>
      </c>
      <c r="N116" s="102">
        <f>IF(OR($D116=W,$D116=WS),'INPUT Reg'!AJ$118,IF($D116=RW,'INPUT Reg'!AJ$120,0))</f>
        <v>886.96688129728079</v>
      </c>
      <c r="O116" s="102">
        <f>IF(OR($D116=W,$D116=WS),'INPUT Reg'!AK$118,IF($D116=RW,'INPUT Reg'!AK$120,0))</f>
        <v>875.6605181395189</v>
      </c>
      <c r="P116" s="102">
        <f>IF(OR($D116=W,$D116=WS),'INPUT Reg'!AL$118,IF($D116=RW,'INPUT Reg'!AL$120,0))</f>
        <v>864.67108778784313</v>
      </c>
      <c r="Q116" s="102">
        <f>IF(OR($D116=W,$D116=WS),'INPUT Reg'!AM$118,IF($D116=RW,'INPUT Reg'!AM$120,0))</f>
        <v>853.91863681816892</v>
      </c>
      <c r="R116" s="102">
        <f>IF(OR($D116=W,$D116=WS),'INPUT Reg'!AN$118,IF($D116=RW,'INPUT Reg'!AN$120,0))</f>
        <v>843.41395758521662</v>
      </c>
      <c r="S116" s="102">
        <f>IF(OR($D116=W,$D116=WS),'INPUT Reg'!AO$118,IF($D116=RW,'INPUT Reg'!AO$120,0))</f>
        <v>833.13687474852838</v>
      </c>
      <c r="T116" s="102">
        <f>IF(OR($D116=W,$D116=WS),'INPUT Reg'!AP$118,IF($D116=RW,'INPUT Reg'!AP$120,0))</f>
        <v>823.07248431484913</v>
      </c>
      <c r="U116" s="102">
        <f>IF(OR($D116=W,$D116=WS),'INPUT Reg'!AQ$118,IF($D116=RW,'INPUT Reg'!AQ$120,0))</f>
        <v>813.29575898270082</v>
      </c>
      <c r="V116" s="102">
        <f>IF(OR($D116=W,$D116=WS),'INPUT Reg'!AR$118,IF($D116=RW,'INPUT Reg'!AR$120,0))</f>
        <v>803.82041674399068</v>
      </c>
      <c r="W116" s="102">
        <f>IF(OR($D116=W,$D116=WS),'INPUT Reg'!AS$118,IF($D116=RW,'INPUT Reg'!AS$120,0))</f>
        <v>794.7099536102487</v>
      </c>
      <c r="X116" s="102">
        <f>IF(OR($D116=W,$D116=WS),'INPUT Reg'!AT$118,IF($D116=RW,'INPUT Reg'!AT$120,0))</f>
        <v>785.88605886926632</v>
      </c>
      <c r="Y116" s="102">
        <f>IF(OR($D116=W,$D116=WS),'INPUT Reg'!AU$118,IF($D116=RW,'INPUT Reg'!AU$120,0))</f>
        <v>777.36656882932596</v>
      </c>
      <c r="Z116" s="102">
        <f>IF(OR($D116=W,$D116=WS),'INPUT Reg'!AV$118,IF($D116=RW,'INPUT Reg'!AV$120,0))</f>
        <v>769.12435845205675</v>
      </c>
      <c r="AA116" s="102">
        <f>IF(OR($D116=W,$D116=WS),'INPUT Reg'!AW$118,IF($D116=RW,'INPUT Reg'!AW$120,0))</f>
        <v>769.12435845205675</v>
      </c>
    </row>
    <row r="117" spans="1:27" x14ac:dyDescent="0.25">
      <c r="B117" s="47" t="str">
        <f>B111</f>
        <v>Central</v>
      </c>
      <c r="C117" s="47" t="str">
        <f t="shared" ref="C117:D117" si="40">C111</f>
        <v>N</v>
      </c>
      <c r="D117" s="47" t="str">
        <f t="shared" si="40"/>
        <v>Water and Sewer</v>
      </c>
      <c r="E117" s="47" t="s">
        <v>662</v>
      </c>
      <c r="F117" s="47" t="s">
        <v>661</v>
      </c>
      <c r="H117" s="102"/>
      <c r="I117" s="102"/>
      <c r="J117" s="102"/>
      <c r="K117" s="102"/>
      <c r="L117" s="102"/>
      <c r="M117" s="102"/>
      <c r="N117" s="102"/>
      <c r="O117" s="102"/>
      <c r="P117" s="102"/>
      <c r="Q117" s="102"/>
      <c r="R117" s="102"/>
      <c r="S117" s="102"/>
      <c r="T117" s="102"/>
      <c r="U117" s="102"/>
      <c r="V117" s="102"/>
      <c r="W117" s="102"/>
      <c r="X117" s="102"/>
      <c r="Y117" s="102"/>
      <c r="Z117" s="102"/>
      <c r="AA117" s="102"/>
    </row>
    <row r="118" spans="1:27" x14ac:dyDescent="0.25">
      <c r="B118" s="47" t="str">
        <f>B111</f>
        <v>Central</v>
      </c>
      <c r="C118" s="47" t="str">
        <f t="shared" ref="C118:D118" si="41">C111</f>
        <v>N</v>
      </c>
      <c r="D118" s="47" t="str">
        <f t="shared" si="41"/>
        <v>Water and Sewer</v>
      </c>
      <c r="E118" s="47" t="s">
        <v>663</v>
      </c>
      <c r="F118" s="47" t="s">
        <v>661</v>
      </c>
      <c r="H118" s="102">
        <f>IF(OR($D118=S,$D118=WS),'INPUT Reg'!AD$119,0)</f>
        <v>453.21677844234227</v>
      </c>
      <c r="I118" s="102">
        <f>IF(OR($D118=S,$D118=WS),'INPUT Reg'!AE$119,0)</f>
        <v>455.11451168584722</v>
      </c>
      <c r="J118" s="102">
        <f>IF(OR($D118=S,$D118=WS),'INPUT Reg'!AF$119,0)</f>
        <v>449.37848386637825</v>
      </c>
      <c r="K118" s="102">
        <f>IF(OR($D118=S,$D118=WS),'INPUT Reg'!AG$119,0)</f>
        <v>443.10067438820857</v>
      </c>
      <c r="L118" s="102">
        <f>IF(OR($D118=S,$D118=WS),'INPUT Reg'!AH$119,0)</f>
        <v>437.15390464500325</v>
      </c>
      <c r="M118" s="102">
        <f>IF(OR($D118=S,$D118=WS),'INPUT Reg'!AI$119,0)</f>
        <v>431.5083207193203</v>
      </c>
      <c r="N118" s="102">
        <f>IF(OR($D118=S,$D118=WS),'INPUT Reg'!AJ$119,0)</f>
        <v>426.05494055589423</v>
      </c>
      <c r="O118" s="102">
        <f>IF(OR($D118=S,$D118=WS),'INPUT Reg'!AK$119,0)</f>
        <v>420.70084900226067</v>
      </c>
      <c r="P118" s="102">
        <f>IF(OR($D118=S,$D118=WS),'INPUT Reg'!AL$119,0)</f>
        <v>415.48722468059901</v>
      </c>
      <c r="Q118" s="102">
        <f>IF(OR($D118=S,$D118=WS),'INPUT Reg'!AM$119,0)</f>
        <v>410.36820163245039</v>
      </c>
      <c r="R118" s="102">
        <f>IF(OR($D118=S,$D118=WS),'INPUT Reg'!AN$119,0)</f>
        <v>405.37463854857305</v>
      </c>
      <c r="S118" s="102">
        <f>IF(OR($D118=S,$D118=WS),'INPUT Reg'!AO$119,0)</f>
        <v>400.47529410509895</v>
      </c>
      <c r="T118" s="102">
        <f>IF(OR($D118=S,$D118=WS),'INPUT Reg'!AP$119,0)</f>
        <v>395.63776974092383</v>
      </c>
      <c r="U118" s="102">
        <f>IF(OR($D118=S,$D118=WS),'INPUT Reg'!AQ$119,0)</f>
        <v>390.91011777175237</v>
      </c>
      <c r="V118" s="102">
        <f>IF(OR($D118=S,$D118=WS),'INPUT Reg'!AR$119,0)</f>
        <v>386.30913078953427</v>
      </c>
      <c r="W118" s="102">
        <f>IF(OR($D118=S,$D118=WS),'INPUT Reg'!AS$119,0)</f>
        <v>381.8918651148926</v>
      </c>
      <c r="X118" s="102">
        <f>IF(OR($D118=S,$D118=WS),'INPUT Reg'!AT$119,0)</f>
        <v>377.63261844346306</v>
      </c>
      <c r="Y118" s="102">
        <f>IF(OR($D118=S,$D118=WS),'INPUT Reg'!AU$119,0)</f>
        <v>373.47129339851563</v>
      </c>
      <c r="Z118" s="102">
        <f>IF(OR($D118=S,$D118=WS),'INPUT Reg'!AV$119,0)</f>
        <v>369.44283842192328</v>
      </c>
      <c r="AA118" s="102">
        <f>IF(OR($D118=S,$D118=WS),'INPUT Reg'!AW$119,0)</f>
        <v>369.44283842192328</v>
      </c>
    </row>
    <row r="119" spans="1:27" x14ac:dyDescent="0.25">
      <c r="C119" s="100"/>
      <c r="D119" s="100"/>
      <c r="E119" s="47" t="s">
        <v>664</v>
      </c>
      <c r="F119" s="47" t="s">
        <v>665</v>
      </c>
      <c r="H119" s="106">
        <f>H112*H116</f>
        <v>0</v>
      </c>
      <c r="I119" s="106">
        <f t="shared" ref="I119:AA119" si="42">I112*I116</f>
        <v>0</v>
      </c>
      <c r="J119" s="106">
        <f t="shared" si="42"/>
        <v>0</v>
      </c>
      <c r="K119" s="106">
        <f t="shared" si="42"/>
        <v>0</v>
      </c>
      <c r="L119" s="106">
        <f t="shared" si="42"/>
        <v>0</v>
      </c>
      <c r="M119" s="106">
        <f t="shared" si="42"/>
        <v>0</v>
      </c>
      <c r="N119" s="106">
        <f t="shared" si="42"/>
        <v>0</v>
      </c>
      <c r="O119" s="106">
        <f t="shared" si="42"/>
        <v>0</v>
      </c>
      <c r="P119" s="106">
        <f t="shared" si="42"/>
        <v>0</v>
      </c>
      <c r="Q119" s="106">
        <f t="shared" si="42"/>
        <v>0</v>
      </c>
      <c r="R119" s="106">
        <f t="shared" si="42"/>
        <v>0</v>
      </c>
      <c r="S119" s="106">
        <f t="shared" si="42"/>
        <v>0</v>
      </c>
      <c r="T119" s="106">
        <f t="shared" si="42"/>
        <v>0</v>
      </c>
      <c r="U119" s="106">
        <f t="shared" si="42"/>
        <v>0</v>
      </c>
      <c r="V119" s="106">
        <f t="shared" si="42"/>
        <v>0</v>
      </c>
      <c r="W119" s="106">
        <f t="shared" si="42"/>
        <v>0</v>
      </c>
      <c r="X119" s="106">
        <f t="shared" si="42"/>
        <v>0</v>
      </c>
      <c r="Y119" s="106">
        <f t="shared" si="42"/>
        <v>0</v>
      </c>
      <c r="Z119" s="106">
        <f t="shared" si="42"/>
        <v>0</v>
      </c>
      <c r="AA119" s="106">
        <f t="shared" si="42"/>
        <v>0</v>
      </c>
    </row>
    <row r="120" spans="1:27" x14ac:dyDescent="0.25">
      <c r="C120" s="100"/>
      <c r="D120" s="100"/>
      <c r="E120" s="47" t="s">
        <v>666</v>
      </c>
      <c r="F120" s="47" t="s">
        <v>665</v>
      </c>
      <c r="H120" s="106">
        <f>H112*H117</f>
        <v>0</v>
      </c>
      <c r="I120" s="106">
        <f t="shared" ref="I120:AA120" si="43">I112*I117</f>
        <v>0</v>
      </c>
      <c r="J120" s="106">
        <f t="shared" si="43"/>
        <v>0</v>
      </c>
      <c r="K120" s="106">
        <f t="shared" si="43"/>
        <v>0</v>
      </c>
      <c r="L120" s="106">
        <f t="shared" si="43"/>
        <v>0</v>
      </c>
      <c r="M120" s="106">
        <f t="shared" si="43"/>
        <v>0</v>
      </c>
      <c r="N120" s="106">
        <f t="shared" si="43"/>
        <v>0</v>
      </c>
      <c r="O120" s="106">
        <f t="shared" si="43"/>
        <v>0</v>
      </c>
      <c r="P120" s="106">
        <f t="shared" si="43"/>
        <v>0</v>
      </c>
      <c r="Q120" s="106">
        <f t="shared" si="43"/>
        <v>0</v>
      </c>
      <c r="R120" s="106">
        <f t="shared" si="43"/>
        <v>0</v>
      </c>
      <c r="S120" s="106">
        <f t="shared" si="43"/>
        <v>0</v>
      </c>
      <c r="T120" s="106">
        <f t="shared" si="43"/>
        <v>0</v>
      </c>
      <c r="U120" s="106">
        <f t="shared" si="43"/>
        <v>0</v>
      </c>
      <c r="V120" s="106">
        <f t="shared" si="43"/>
        <v>0</v>
      </c>
      <c r="W120" s="106">
        <f t="shared" si="43"/>
        <v>0</v>
      </c>
      <c r="X120" s="106">
        <f t="shared" si="43"/>
        <v>0</v>
      </c>
      <c r="Y120" s="106">
        <f t="shared" si="43"/>
        <v>0</v>
      </c>
      <c r="Z120" s="106">
        <f t="shared" si="43"/>
        <v>0</v>
      </c>
      <c r="AA120" s="106">
        <f t="shared" si="43"/>
        <v>0</v>
      </c>
    </row>
    <row r="121" spans="1:27" x14ac:dyDescent="0.25">
      <c r="C121" s="100"/>
      <c r="D121" s="100"/>
      <c r="E121" s="47" t="s">
        <v>667</v>
      </c>
      <c r="F121" s="47" t="s">
        <v>665</v>
      </c>
      <c r="H121" s="106">
        <f>H112*H118</f>
        <v>0</v>
      </c>
      <c r="I121" s="106">
        <f t="shared" ref="I121:AA121" si="44">I112*I118</f>
        <v>0</v>
      </c>
      <c r="J121" s="106">
        <f t="shared" si="44"/>
        <v>0</v>
      </c>
      <c r="K121" s="106">
        <f t="shared" si="44"/>
        <v>0</v>
      </c>
      <c r="L121" s="106">
        <f t="shared" si="44"/>
        <v>0</v>
      </c>
      <c r="M121" s="106">
        <f t="shared" si="44"/>
        <v>0</v>
      </c>
      <c r="N121" s="106">
        <f t="shared" si="44"/>
        <v>0</v>
      </c>
      <c r="O121" s="106">
        <f t="shared" si="44"/>
        <v>0</v>
      </c>
      <c r="P121" s="106">
        <f t="shared" si="44"/>
        <v>0</v>
      </c>
      <c r="Q121" s="106">
        <f t="shared" si="44"/>
        <v>0</v>
      </c>
      <c r="R121" s="106">
        <f t="shared" si="44"/>
        <v>0</v>
      </c>
      <c r="S121" s="106">
        <f t="shared" si="44"/>
        <v>0</v>
      </c>
      <c r="T121" s="106">
        <f t="shared" si="44"/>
        <v>0</v>
      </c>
      <c r="U121" s="106">
        <f t="shared" si="44"/>
        <v>0</v>
      </c>
      <c r="V121" s="106">
        <f t="shared" si="44"/>
        <v>0</v>
      </c>
      <c r="W121" s="106">
        <f t="shared" si="44"/>
        <v>0</v>
      </c>
      <c r="X121" s="106">
        <f t="shared" si="44"/>
        <v>0</v>
      </c>
      <c r="Y121" s="106">
        <f t="shared" si="44"/>
        <v>0</v>
      </c>
      <c r="Z121" s="106">
        <f t="shared" si="44"/>
        <v>0</v>
      </c>
      <c r="AA121" s="106">
        <f t="shared" si="44"/>
        <v>0</v>
      </c>
    </row>
    <row r="122" spans="1:27" x14ac:dyDescent="0.25">
      <c r="A122" s="101">
        <v>23</v>
      </c>
      <c r="B122" s="47" t="str">
        <f>B116</f>
        <v>Central</v>
      </c>
      <c r="C122" s="47" t="str">
        <f t="shared" ref="C122:D122" si="45">C116</f>
        <v>N</v>
      </c>
      <c r="D122" s="47" t="str">
        <f t="shared" si="45"/>
        <v>Water and Sewer</v>
      </c>
      <c r="E122" s="47" t="s">
        <v>668</v>
      </c>
      <c r="F122" s="47" t="s">
        <v>633</v>
      </c>
      <c r="H122" s="105">
        <f>SUMIFS('INPUT Reg'!AD$94:AD$109,'INPUT Reg'!$D$94:$D$109,$D122,'INPUT Reg'!$C$94:$C$109,$C122,'INPUT Reg'!$B$94:$B$109,$B122)</f>
        <v>4.3198750112460882E-3</v>
      </c>
      <c r="I122" s="105">
        <f>SUMIFS('INPUT Reg'!AE$94:AE$109,'INPUT Reg'!$D$94:$D$109,$D122,'INPUT Reg'!$C$94:$C$109,$C122,'INPUT Reg'!$B$94:$B$109,$B122)</f>
        <v>-6.1022489121942414E-4</v>
      </c>
      <c r="J122" s="105">
        <f>SUMIFS('INPUT Reg'!AF$94:AF$109,'INPUT Reg'!$D$94:$D$109,$D122,'INPUT Reg'!$C$94:$C$109,$C122,'INPUT Reg'!$B$94:$B$109,$B122)</f>
        <v>-6.0589406341293728E-4</v>
      </c>
      <c r="K122" s="105">
        <f>SUMIFS('INPUT Reg'!AG$94:AG$109,'INPUT Reg'!$D$94:$D$109,$D122,'INPUT Reg'!$C$94:$C$109,$C122,'INPUT Reg'!$B$94:$B$109,$B122)</f>
        <v>-6.0806142792857454E-4</v>
      </c>
      <c r="L122" s="105">
        <f>SUMIFS('INPUT Reg'!AH$94:AH$109,'INPUT Reg'!$D$94:$D$109,$D122,'INPUT Reg'!$C$94:$C$109,$C122,'INPUT Reg'!$B$94:$B$109,$B122)</f>
        <v>-1.0383018642902697E-2</v>
      </c>
      <c r="M122" s="105">
        <f>SUMIFS('INPUT Reg'!AI$94:AI$109,'INPUT Reg'!$D$94:$D$109,$D122,'INPUT Reg'!$C$94:$C$109,$C122,'INPUT Reg'!$B$94:$B$109,$B122)</f>
        <v>5.2805770720532053E-6</v>
      </c>
      <c r="N122" s="105">
        <f>SUMIFS('INPUT Reg'!AJ$94:AJ$109,'INPUT Reg'!$D$94:$D$109,$D122,'INPUT Reg'!$C$94:$C$109,$C122,'INPUT Reg'!$B$94:$B$109,$B122)</f>
        <v>1.7091108277522693E-6</v>
      </c>
      <c r="O122" s="105">
        <f>SUMIFS('INPUT Reg'!AK$94:AK$109,'INPUT Reg'!$D$94:$D$109,$D122,'INPUT Reg'!$C$94:$C$109,$C122,'INPUT Reg'!$B$94:$B$109,$B122)</f>
        <v>3.4342356205474545E-6</v>
      </c>
      <c r="P122" s="105">
        <f>SUMIFS('INPUT Reg'!AL$94:AL$109,'INPUT Reg'!$D$94:$D$109,$D122,'INPUT Reg'!$C$94:$C$109,$C122,'INPUT Reg'!$B$94:$B$109,$B122)</f>
        <v>2.2932617762538854E-6</v>
      </c>
      <c r="Q122" s="105">
        <f>SUMIFS('INPUT Reg'!AM$94:AM$109,'INPUT Reg'!$D$94:$D$109,$D122,'INPUT Reg'!$C$94:$C$109,$C122,'INPUT Reg'!$B$94:$B$109,$B122)</f>
        <v>-0.16092014513572139</v>
      </c>
      <c r="R122" s="105">
        <f>SUMIFS('INPUT Reg'!AN$94:AN$109,'INPUT Reg'!$D$94:$D$109,$D122,'INPUT Reg'!$C$94:$C$109,$C122,'INPUT Reg'!$B$94:$B$109,$B122)</f>
        <v>2.1378973014130054E-6</v>
      </c>
      <c r="S122" s="105">
        <f>SUMIFS('INPUT Reg'!AO$94:AO$109,'INPUT Reg'!$D$94:$D$109,$D122,'INPUT Reg'!$C$94:$C$109,$C122,'INPUT Reg'!$B$94:$B$109,$B122)</f>
        <v>2.2541508519768882E-6</v>
      </c>
      <c r="T122" s="105">
        <f>SUMIFS('INPUT Reg'!AP$94:AP$109,'INPUT Reg'!$D$94:$D$109,$D122,'INPUT Reg'!$C$94:$C$109,$C122,'INPUT Reg'!$B$94:$B$109,$B122)</f>
        <v>1.3010036248317647E-6</v>
      </c>
      <c r="U122" s="105">
        <f>SUMIFS('INPUT Reg'!AQ$94:AQ$109,'INPUT Reg'!$D$94:$D$109,$D122,'INPUT Reg'!$C$94:$C$109,$C122,'INPUT Reg'!$B$94:$B$109,$B122)</f>
        <v>1.5516789177993928E-6</v>
      </c>
      <c r="V122" s="105">
        <f>SUMIFS('INPUT Reg'!AR$94:AR$109,'INPUT Reg'!$D$94:$D$109,$D122,'INPUT Reg'!$C$94:$C$109,$C122,'INPUT Reg'!$B$94:$B$109,$B122)</f>
        <v>-9.958727854732996E-2</v>
      </c>
      <c r="W122" s="105">
        <f>SUMIFS('INPUT Reg'!AS$94:AS$109,'INPUT Reg'!$D$94:$D$109,$D122,'INPUT Reg'!$C$94:$C$109,$C122,'INPUT Reg'!$B$94:$B$109,$B122)</f>
        <v>1.773683489858513E-6</v>
      </c>
      <c r="X122" s="105">
        <f>SUMIFS('INPUT Reg'!AT$94:AT$109,'INPUT Reg'!$D$94:$D$109,$D122,'INPUT Reg'!$C$94:$C$109,$C122,'INPUT Reg'!$B$94:$B$109,$B122)</f>
        <v>1.3355805807968579E-6</v>
      </c>
      <c r="Y122" s="105">
        <f>SUMIFS('INPUT Reg'!AU$94:AU$109,'INPUT Reg'!$D$94:$D$109,$D122,'INPUT Reg'!$C$94:$C$109,$C122,'INPUT Reg'!$B$94:$B$109,$B122)</f>
        <v>1.3881712208618779E-6</v>
      </c>
      <c r="Z122" s="105">
        <f>SUMIFS('INPUT Reg'!AV$94:AV$109,'INPUT Reg'!$D$94:$D$109,$D122,'INPUT Reg'!$C$94:$C$109,$C122,'INPUT Reg'!$B$94:$B$109,$B122)</f>
        <v>1.2558585797961541E-6</v>
      </c>
      <c r="AA122" s="105">
        <f>SUMIFS('INPUT Reg'!AW$94:AW$109,'INPUT Reg'!$D$94:$D$109,$D122,'INPUT Reg'!$C$94:$C$109,$C122,'INPUT Reg'!$B$94:$B$109,$B122)</f>
        <v>0</v>
      </c>
    </row>
    <row r="123" spans="1:27" x14ac:dyDescent="0.25">
      <c r="A123" s="101">
        <v>24</v>
      </c>
      <c r="B123" s="47" t="str">
        <f>B111</f>
        <v>Central</v>
      </c>
      <c r="C123" s="47" t="str">
        <f t="shared" ref="C123:D123" si="46">C111</f>
        <v>N</v>
      </c>
      <c r="D123" s="47" t="str">
        <f t="shared" si="46"/>
        <v>Water and Sewer</v>
      </c>
      <c r="E123" s="47" t="s">
        <v>669</v>
      </c>
      <c r="F123" s="47" t="s">
        <v>670</v>
      </c>
      <c r="G123" s="108">
        <f>IF(D123=W,CWW_N_W_N,IF(D123=S,CWW_N_S_N,IF(D123=WS, CWW_N_W_N+CWW_N_S_N,CWW_N_R_F)))</f>
        <v>808.59999999999991</v>
      </c>
      <c r="H123" s="106">
        <f>G123*(1+$G$14)*(1+H122)</f>
        <v>812.09305093409353</v>
      </c>
      <c r="I123" s="106">
        <f t="shared" ref="I123:AA123" si="47">H123*(1+$G$14)*(1+I122)</f>
        <v>811.5974915404272</v>
      </c>
      <c r="J123" s="106">
        <f t="shared" si="47"/>
        <v>811.10574943842198</v>
      </c>
      <c r="K123" s="106">
        <f t="shared" si="47"/>
        <v>810.61254731821737</v>
      </c>
      <c r="L123" s="106">
        <f t="shared" si="47"/>
        <v>802.19594212724144</v>
      </c>
      <c r="M123" s="106">
        <f t="shared" si="47"/>
        <v>802.20017818474071</v>
      </c>
      <c r="N123" s="106">
        <f t="shared" si="47"/>
        <v>802.20154923375128</v>
      </c>
      <c r="O123" s="106">
        <f t="shared" si="47"/>
        <v>802.20430418288652</v>
      </c>
      <c r="P123" s="106">
        <f t="shared" si="47"/>
        <v>802.20614384735404</v>
      </c>
      <c r="Q123" s="106">
        <f t="shared" si="47"/>
        <v>673.11501475067041</v>
      </c>
      <c r="R123" s="106">
        <f t="shared" si="47"/>
        <v>673.11645380144398</v>
      </c>
      <c r="S123" s="106">
        <f t="shared" si="47"/>
        <v>673.11797110747182</v>
      </c>
      <c r="T123" s="106">
        <f t="shared" si="47"/>
        <v>673.11884683639221</v>
      </c>
      <c r="U123" s="106">
        <f t="shared" si="47"/>
        <v>673.11989130071606</v>
      </c>
      <c r="V123" s="106">
        <f t="shared" si="47"/>
        <v>606.08571319000316</v>
      </c>
      <c r="W123" s="106">
        <f t="shared" si="47"/>
        <v>606.08678819422607</v>
      </c>
      <c r="X123" s="106">
        <f t="shared" si="47"/>
        <v>606.08759767197068</v>
      </c>
      <c r="Y123" s="106">
        <f t="shared" si="47"/>
        <v>606.08843902533113</v>
      </c>
      <c r="Z123" s="106">
        <f t="shared" si="47"/>
        <v>606.08920018669744</v>
      </c>
      <c r="AA123" s="106">
        <f t="shared" si="47"/>
        <v>606.08920018669744</v>
      </c>
    </row>
    <row r="124" spans="1:27" x14ac:dyDescent="0.25">
      <c r="B124" s="47" t="str">
        <f>B111</f>
        <v>Central</v>
      </c>
      <c r="C124" s="47" t="str">
        <f t="shared" ref="C124:D124" si="48">C111</f>
        <v>N</v>
      </c>
      <c r="D124" s="47" t="str">
        <f t="shared" si="48"/>
        <v>Water and Sewer</v>
      </c>
      <c r="E124" s="47" t="s">
        <v>671</v>
      </c>
      <c r="F124" s="47" t="s">
        <v>672</v>
      </c>
      <c r="G124" s="109">
        <f>IF(OR(D124=W,D124=WS),CWW_N_W_V,IF(D124=RW,CWW_N_R_V,0))</f>
        <v>3.0762</v>
      </c>
      <c r="H124" s="110">
        <f>G124*(1+$G$14)*(1+H122)</f>
        <v>3.0894887995095952</v>
      </c>
      <c r="I124" s="110">
        <f t="shared" ref="I124:AA124" si="49">H124*(1+$G$14)*(1+I122)</f>
        <v>3.0876035165429907</v>
      </c>
      <c r="J124" s="110">
        <f t="shared" si="49"/>
        <v>3.0857327559021446</v>
      </c>
      <c r="K124" s="110">
        <f t="shared" si="49"/>
        <v>3.0838564408363847</v>
      </c>
      <c r="L124" s="110">
        <f t="shared" si="49"/>
        <v>3.0518367019191448</v>
      </c>
      <c r="M124" s="110">
        <f t="shared" si="49"/>
        <v>3.0518528173780606</v>
      </c>
      <c r="N124" s="110">
        <f t="shared" si="49"/>
        <v>3.0518580333327554</v>
      </c>
      <c r="O124" s="110">
        <f t="shared" si="49"/>
        <v>3.0518685141323223</v>
      </c>
      <c r="P124" s="110">
        <f t="shared" si="49"/>
        <v>3.051875512865732</v>
      </c>
      <c r="Q124" s="110">
        <f t="shared" si="49"/>
        <v>2.5607672623992244</v>
      </c>
      <c r="R124" s="110">
        <f t="shared" si="49"/>
        <v>2.5607727370566442</v>
      </c>
      <c r="S124" s="110">
        <f t="shared" si="49"/>
        <v>2.5607785094246913</v>
      </c>
      <c r="T124" s="110">
        <f t="shared" si="49"/>
        <v>2.5607818410068144</v>
      </c>
      <c r="U124" s="110">
        <f t="shared" si="49"/>
        <v>2.56078581451801</v>
      </c>
      <c r="V124" s="110">
        <f t="shared" si="49"/>
        <v>2.3057641243075535</v>
      </c>
      <c r="W124" s="110">
        <f t="shared" si="49"/>
        <v>2.3057682140033124</v>
      </c>
      <c r="X124" s="110">
        <f t="shared" si="49"/>
        <v>2.3057712935425627</v>
      </c>
      <c r="Y124" s="110">
        <f t="shared" si="49"/>
        <v>2.3057744943479141</v>
      </c>
      <c r="Z124" s="110">
        <f t="shared" si="49"/>
        <v>2.3057773900745961</v>
      </c>
      <c r="AA124" s="110">
        <f t="shared" si="49"/>
        <v>2.3057773900745961</v>
      </c>
    </row>
    <row r="125" spans="1:27" x14ac:dyDescent="0.25">
      <c r="B125" s="47" t="str">
        <f>B111</f>
        <v>Central</v>
      </c>
      <c r="C125" s="47" t="str">
        <f t="shared" ref="C125:D125" si="50">C111</f>
        <v>N</v>
      </c>
      <c r="D125" s="47" t="str">
        <f t="shared" si="50"/>
        <v>Water and Sewer</v>
      </c>
      <c r="E125" s="47" t="s">
        <v>673</v>
      </c>
      <c r="F125" s="47" t="s">
        <v>672</v>
      </c>
      <c r="G125" s="109"/>
      <c r="H125" s="110">
        <f>G125*(1+$G$14)*(1+H122)</f>
        <v>0</v>
      </c>
      <c r="I125" s="110">
        <f t="shared" ref="I125:AA125" si="51">H125*(1+$G$14)*(1+I122)</f>
        <v>0</v>
      </c>
      <c r="J125" s="110">
        <f t="shared" si="51"/>
        <v>0</v>
      </c>
      <c r="K125" s="110">
        <f t="shared" si="51"/>
        <v>0</v>
      </c>
      <c r="L125" s="110">
        <f t="shared" si="51"/>
        <v>0</v>
      </c>
      <c r="M125" s="110">
        <f t="shared" si="51"/>
        <v>0</v>
      </c>
      <c r="N125" s="110">
        <f t="shared" si="51"/>
        <v>0</v>
      </c>
      <c r="O125" s="110">
        <f t="shared" si="51"/>
        <v>0</v>
      </c>
      <c r="P125" s="110">
        <f t="shared" si="51"/>
        <v>0</v>
      </c>
      <c r="Q125" s="110">
        <f t="shared" si="51"/>
        <v>0</v>
      </c>
      <c r="R125" s="110">
        <f t="shared" si="51"/>
        <v>0</v>
      </c>
      <c r="S125" s="110">
        <f t="shared" si="51"/>
        <v>0</v>
      </c>
      <c r="T125" s="110">
        <f t="shared" si="51"/>
        <v>0</v>
      </c>
      <c r="U125" s="110">
        <f t="shared" si="51"/>
        <v>0</v>
      </c>
      <c r="V125" s="110">
        <f t="shared" si="51"/>
        <v>0</v>
      </c>
      <c r="W125" s="110">
        <f t="shared" si="51"/>
        <v>0</v>
      </c>
      <c r="X125" s="110">
        <f t="shared" si="51"/>
        <v>0</v>
      </c>
      <c r="Y125" s="110">
        <f t="shared" si="51"/>
        <v>0</v>
      </c>
      <c r="Z125" s="110">
        <f t="shared" si="51"/>
        <v>0</v>
      </c>
      <c r="AA125" s="110">
        <f t="shared" si="51"/>
        <v>0</v>
      </c>
    </row>
    <row r="126" spans="1:27" x14ac:dyDescent="0.25">
      <c r="B126" s="47" t="str">
        <f>B111</f>
        <v>Central</v>
      </c>
      <c r="C126" s="47" t="str">
        <f t="shared" ref="C126:D126" si="52">C111</f>
        <v>N</v>
      </c>
      <c r="D126" s="47" t="str">
        <f t="shared" si="52"/>
        <v>Water and Sewer</v>
      </c>
      <c r="E126" s="47" t="s">
        <v>674</v>
      </c>
      <c r="F126" s="47" t="s">
        <v>672</v>
      </c>
      <c r="G126" s="109">
        <f>IF(OR(D126=S,D126=WS),CWW_N_SDC,0)</f>
        <v>2.0097</v>
      </c>
      <c r="H126" s="110">
        <f>G126*(1+$G$14)*(1+H122)</f>
        <v>2.0183816528101013</v>
      </c>
      <c r="I126" s="110">
        <f t="shared" ref="I126:AA126" si="53">H126*(1+$G$14)*(1+I122)</f>
        <v>2.0171499860855762</v>
      </c>
      <c r="J126" s="110">
        <f t="shared" si="53"/>
        <v>2.0159278068839934</v>
      </c>
      <c r="K126" s="110">
        <f t="shared" si="53"/>
        <v>2.0147019989431385</v>
      </c>
      <c r="L126" s="110">
        <f t="shared" si="53"/>
        <v>1.9937833105282186</v>
      </c>
      <c r="M126" s="110">
        <f t="shared" si="53"/>
        <v>1.9937938388546548</v>
      </c>
      <c r="N126" s="110">
        <f t="shared" si="53"/>
        <v>1.993797246469293</v>
      </c>
      <c r="O126" s="110">
        <f t="shared" si="53"/>
        <v>1.9938040936388171</v>
      </c>
      <c r="P126" s="110">
        <f t="shared" si="53"/>
        <v>1.9938086659535343</v>
      </c>
      <c r="Q126" s="110">
        <f t="shared" si="53"/>
        <v>1.6729646860554326</v>
      </c>
      <c r="R126" s="110">
        <f t="shared" si="53"/>
        <v>1.6729682626821203</v>
      </c>
      <c r="S126" s="110">
        <f t="shared" si="53"/>
        <v>1.672972033804955</v>
      </c>
      <c r="T126" s="110">
        <f t="shared" si="53"/>
        <v>1.6729742103476353</v>
      </c>
      <c r="U126" s="110">
        <f t="shared" si="53"/>
        <v>1.6729768062664474</v>
      </c>
      <c r="V126" s="110">
        <f t="shared" si="53"/>
        <v>1.5063695990575683</v>
      </c>
      <c r="W126" s="110">
        <f t="shared" si="53"/>
        <v>1.5063722708804557</v>
      </c>
      <c r="X126" s="110">
        <f t="shared" si="53"/>
        <v>1.5063742827620081</v>
      </c>
      <c r="Y126" s="110">
        <f t="shared" si="53"/>
        <v>1.5063763738674354</v>
      </c>
      <c r="Z126" s="110">
        <f t="shared" si="53"/>
        <v>1.5063782656631288</v>
      </c>
      <c r="AA126" s="110">
        <f t="shared" si="53"/>
        <v>1.5063782656631288</v>
      </c>
    </row>
    <row r="127" spans="1:27" x14ac:dyDescent="0.25">
      <c r="C127" s="100"/>
      <c r="D127" s="100"/>
    </row>
    <row r="128" spans="1:27" x14ac:dyDescent="0.25">
      <c r="C128" s="100"/>
      <c r="D128" s="100"/>
      <c r="E128" s="47" t="s">
        <v>679</v>
      </c>
      <c r="F128" s="47" t="s">
        <v>676</v>
      </c>
      <c r="H128" s="106">
        <f>SUM(H119:H121)/1000</f>
        <v>0</v>
      </c>
      <c r="I128" s="106">
        <f t="shared" ref="I128:AA128" si="54">SUM(I119:I121)/1000</f>
        <v>0</v>
      </c>
      <c r="J128" s="106">
        <f t="shared" si="54"/>
        <v>0</v>
      </c>
      <c r="K128" s="106">
        <f t="shared" si="54"/>
        <v>0</v>
      </c>
      <c r="L128" s="106">
        <f t="shared" si="54"/>
        <v>0</v>
      </c>
      <c r="M128" s="106">
        <f t="shared" si="54"/>
        <v>0</v>
      </c>
      <c r="N128" s="106">
        <f t="shared" si="54"/>
        <v>0</v>
      </c>
      <c r="O128" s="106">
        <f t="shared" si="54"/>
        <v>0</v>
      </c>
      <c r="P128" s="106">
        <f t="shared" si="54"/>
        <v>0</v>
      </c>
      <c r="Q128" s="106">
        <f t="shared" si="54"/>
        <v>0</v>
      </c>
      <c r="R128" s="106">
        <f t="shared" si="54"/>
        <v>0</v>
      </c>
      <c r="S128" s="106">
        <f t="shared" si="54"/>
        <v>0</v>
      </c>
      <c r="T128" s="106">
        <f t="shared" si="54"/>
        <v>0</v>
      </c>
      <c r="U128" s="106">
        <f t="shared" si="54"/>
        <v>0</v>
      </c>
      <c r="V128" s="106">
        <f t="shared" si="54"/>
        <v>0</v>
      </c>
      <c r="W128" s="106">
        <f t="shared" si="54"/>
        <v>0</v>
      </c>
      <c r="X128" s="106">
        <f t="shared" si="54"/>
        <v>0</v>
      </c>
      <c r="Y128" s="106">
        <f t="shared" si="54"/>
        <v>0</v>
      </c>
      <c r="Z128" s="106">
        <f t="shared" si="54"/>
        <v>0</v>
      </c>
      <c r="AA128" s="106">
        <f t="shared" si="54"/>
        <v>0</v>
      </c>
    </row>
    <row r="129" spans="1:27" x14ac:dyDescent="0.25">
      <c r="C129" s="100"/>
      <c r="D129" s="100"/>
      <c r="E129" s="47" t="s">
        <v>680</v>
      </c>
      <c r="F129" s="47" t="s">
        <v>639</v>
      </c>
      <c r="H129" s="106">
        <f>H112*H123+H119*H124+H120*H125+H121*H126</f>
        <v>0</v>
      </c>
      <c r="I129" s="106">
        <f t="shared" ref="I129:AA129" si="55">I112*I123+I119*I124+I120*I125+I121*I126</f>
        <v>0</v>
      </c>
      <c r="J129" s="106">
        <f t="shared" si="55"/>
        <v>0</v>
      </c>
      <c r="K129" s="106">
        <f t="shared" si="55"/>
        <v>0</v>
      </c>
      <c r="L129" s="106">
        <f t="shared" si="55"/>
        <v>0</v>
      </c>
      <c r="M129" s="106">
        <f t="shared" si="55"/>
        <v>0</v>
      </c>
      <c r="N129" s="106">
        <f t="shared" si="55"/>
        <v>0</v>
      </c>
      <c r="O129" s="106">
        <f t="shared" si="55"/>
        <v>0</v>
      </c>
      <c r="P129" s="106">
        <f t="shared" si="55"/>
        <v>0</v>
      </c>
      <c r="Q129" s="106">
        <f t="shared" si="55"/>
        <v>0</v>
      </c>
      <c r="R129" s="106">
        <f t="shared" si="55"/>
        <v>0</v>
      </c>
      <c r="S129" s="106">
        <f t="shared" si="55"/>
        <v>0</v>
      </c>
      <c r="T129" s="106">
        <f t="shared" si="55"/>
        <v>0</v>
      </c>
      <c r="U129" s="106">
        <f t="shared" si="55"/>
        <v>0</v>
      </c>
      <c r="V129" s="106">
        <f t="shared" si="55"/>
        <v>0</v>
      </c>
      <c r="W129" s="106">
        <f t="shared" si="55"/>
        <v>0</v>
      </c>
      <c r="X129" s="106">
        <f t="shared" si="55"/>
        <v>0</v>
      </c>
      <c r="Y129" s="106">
        <f t="shared" si="55"/>
        <v>0</v>
      </c>
      <c r="Z129" s="106">
        <f t="shared" si="55"/>
        <v>0</v>
      </c>
      <c r="AA129" s="106">
        <f t="shared" si="55"/>
        <v>0</v>
      </c>
    </row>
    <row r="130" spans="1:27" x14ac:dyDescent="0.25">
      <c r="C130" s="100"/>
      <c r="D130" s="100"/>
    </row>
    <row r="131" spans="1:27" x14ac:dyDescent="0.25">
      <c r="C131" s="100"/>
      <c r="D131" s="47" t="s">
        <v>681</v>
      </c>
    </row>
    <row r="132" spans="1:27" x14ac:dyDescent="0.25">
      <c r="A132" s="101">
        <v>25</v>
      </c>
      <c r="B132" s="47" t="s">
        <v>265</v>
      </c>
      <c r="C132" s="100" t="s">
        <v>405</v>
      </c>
      <c r="D132" s="100" t="str">
        <f>$G$4</f>
        <v>Water and Sewer</v>
      </c>
      <c r="E132" s="47" t="s">
        <v>654</v>
      </c>
      <c r="F132" s="47" t="s">
        <v>655</v>
      </c>
      <c r="H132" s="102">
        <f>IF($G$4="Water and sewer",SUMIFS('INPUT Growth'!AD$64:AD$115,'INPUT Growth'!$B$64:$B$115,$A$1,'INPUT Growth'!$F$64:$F$115,$B132,'INPUT Growth'!$E$64:$E$115,$C132),SUMIFS('INPUT Growth'!AD$64:AD$115,'INPUT Growth'!$A$64:$A$115,$A$1,'INPUT Growth'!$F$64:$F$115,$B132,'INPUT Growth'!$E$64:$E$115,$C132))</f>
        <v>4602.9260210803768</v>
      </c>
      <c r="I132" s="102">
        <f>IF($G$4="Water and sewer",SUMIFS('INPUT Growth'!AE$64:AE$115,'INPUT Growth'!$B$64:$B$115,$A$1,'INPUT Growth'!$F$64:$F$115,$B132,'INPUT Growth'!$E$64:$E$115,$C132),SUMIFS('INPUT Growth'!AE$64:AE$115,'INPUT Growth'!$A$64:$A$115,$A$1,'INPUT Growth'!$F$64:$F$115,$B132,'INPUT Growth'!$E$64:$E$115,$C132))</f>
        <v>4949.5574506523553</v>
      </c>
      <c r="J132" s="102">
        <f>IF($G$4="Water and sewer",SUMIFS('INPUT Growth'!AF$64:AF$115,'INPUT Growth'!$B$64:$B$115,$A$1,'INPUT Growth'!$F$64:$F$115,$B132,'INPUT Growth'!$E$64:$E$115,$C132),SUMIFS('INPUT Growth'!AF$64:AF$115,'INPUT Growth'!$A$64:$A$115,$A$1,'INPUT Growth'!$F$64:$F$115,$B132,'INPUT Growth'!$E$64:$E$115,$C132))</f>
        <v>4207.8417250206694</v>
      </c>
      <c r="K132" s="102">
        <f>IF($G$4="Water and sewer",SUMIFS('INPUT Growth'!AG$64:AG$115,'INPUT Growth'!$B$64:$B$115,$A$1,'INPUT Growth'!$F$64:$F$115,$B132,'INPUT Growth'!$E$64:$E$115,$C132),SUMIFS('INPUT Growth'!AG$64:AG$115,'INPUT Growth'!$A$64:$A$115,$A$1,'INPUT Growth'!$F$64:$F$115,$B132,'INPUT Growth'!$E$64:$E$115,$C132))</f>
        <v>4258.7572641202278</v>
      </c>
      <c r="L132" s="102">
        <f>IF($G$4="Water and sewer",SUMIFS('INPUT Growth'!AH$64:AH$115,'INPUT Growth'!$B$64:$B$115,$A$1,'INPUT Growth'!$F$64:$F$115,$B132,'INPUT Growth'!$E$64:$E$115,$C132),SUMIFS('INPUT Growth'!AH$64:AH$115,'INPUT Growth'!$A$64:$A$115,$A$1,'INPUT Growth'!$F$64:$F$115,$B132,'INPUT Growth'!$E$64:$E$115,$C132))</f>
        <v>4374.2472942754684</v>
      </c>
      <c r="M132" s="102">
        <f>IF($G$4="Water and sewer",SUMIFS('INPUT Growth'!AI$64:AI$115,'INPUT Growth'!$B$64:$B$115,$A$1,'INPUT Growth'!$F$64:$F$115,$B132,'INPUT Growth'!$E$64:$E$115,$C132),SUMIFS('INPUT Growth'!AI$64:AI$115,'INPUT Growth'!$A$64:$A$115,$A$1,'INPUT Growth'!$F$64:$F$115,$B132,'INPUT Growth'!$E$64:$E$115,$C132))</f>
        <v>4621.0642038790247</v>
      </c>
      <c r="N132" s="102">
        <f>IF($G$4="Water and sewer",SUMIFS('INPUT Growth'!AJ$64:AJ$115,'INPUT Growth'!$B$64:$B$115,$A$1,'INPUT Growth'!$F$64:$F$115,$B132,'INPUT Growth'!$E$64:$E$115,$C132),SUMIFS('INPUT Growth'!AJ$64:AJ$115,'INPUT Growth'!$A$64:$A$115,$A$1,'INPUT Growth'!$F$64:$F$115,$B132,'INPUT Growth'!$E$64:$E$115,$C132))</f>
        <v>4509.4619526301831</v>
      </c>
      <c r="O132" s="102">
        <f>IF($G$4="Water and sewer",SUMIFS('INPUT Growth'!AK$64:AK$115,'INPUT Growth'!$B$64:$B$115,$A$1,'INPUT Growth'!$F$64:$F$115,$B132,'INPUT Growth'!$E$64:$E$115,$C132),SUMIFS('INPUT Growth'!AK$64:AK$115,'INPUT Growth'!$A$64:$A$115,$A$1,'INPUT Growth'!$F$64:$F$115,$B132,'INPUT Growth'!$E$64:$E$115,$C132))</f>
        <v>4760.9220637194521</v>
      </c>
      <c r="P132" s="102">
        <f>IF($G$4="Water and sewer",SUMIFS('INPUT Growth'!AL$64:AL$115,'INPUT Growth'!$B$64:$B$115,$A$1,'INPUT Growth'!$F$64:$F$115,$B132,'INPUT Growth'!$E$64:$E$115,$C132),SUMIFS('INPUT Growth'!AL$64:AL$115,'INPUT Growth'!$A$64:$A$115,$A$1,'INPUT Growth'!$F$64:$F$115,$B132,'INPUT Growth'!$E$64:$E$115,$C132))</f>
        <v>4814.1273768488027</v>
      </c>
      <c r="Q132" s="102">
        <f>IF($G$4="Water and sewer",SUMIFS('INPUT Growth'!AM$64:AM$115,'INPUT Growth'!$B$64:$B$115,$A$1,'INPUT Growth'!$F$64:$F$115,$B132,'INPUT Growth'!$E$64:$E$115,$C132),SUMIFS('INPUT Growth'!AM$64:AM$115,'INPUT Growth'!$A$64:$A$115,$A$1,'INPUT Growth'!$F$64:$F$115,$B132,'INPUT Growth'!$E$64:$E$115,$C132))</f>
        <v>4821.1826734862116</v>
      </c>
      <c r="R132" s="102">
        <f>IF($G$4="Water and sewer",SUMIFS('INPUT Growth'!AN$64:AN$115,'INPUT Growth'!$B$64:$B$115,$A$1,'INPUT Growth'!$F$64:$F$115,$B132,'INPUT Growth'!$E$64:$E$115,$C132),SUMIFS('INPUT Growth'!AN$64:AN$115,'INPUT Growth'!$A$64:$A$115,$A$1,'INPUT Growth'!$F$64:$F$115,$B132,'INPUT Growth'!$E$64:$E$115,$C132))</f>
        <v>4826.7300283850927</v>
      </c>
      <c r="S132" s="102">
        <f>IF($G$4="Water and sewer",SUMIFS('INPUT Growth'!AO$64:AO$115,'INPUT Growth'!$B$64:$B$115,$A$1,'INPUT Growth'!$F$64:$F$115,$B132,'INPUT Growth'!$E$64:$E$115,$C132),SUMIFS('INPUT Growth'!AO$64:AO$115,'INPUT Growth'!$A$64:$A$115,$A$1,'INPUT Growth'!$F$64:$F$115,$B132,'INPUT Growth'!$E$64:$E$115,$C132))</f>
        <v>4813.1939179728506</v>
      </c>
      <c r="T132" s="102">
        <f>IF($G$4="Water and sewer",SUMIFS('INPUT Growth'!AP$64:AP$115,'INPUT Growth'!$B$64:$B$115,$A$1,'INPUT Growth'!$F$64:$F$115,$B132,'INPUT Growth'!$E$64:$E$115,$C132),SUMIFS('INPUT Growth'!AP$64:AP$115,'INPUT Growth'!$A$64:$A$115,$A$1,'INPUT Growth'!$F$64:$F$115,$B132,'INPUT Growth'!$E$64:$E$115,$C132))</f>
        <v>4723.4762471698923</v>
      </c>
      <c r="U132" s="102">
        <f>IF($G$4="Water and sewer",SUMIFS('INPUT Growth'!AQ$64:AQ$115,'INPUT Growth'!$B$64:$B$115,$A$1,'INPUT Growth'!$F$64:$F$115,$B132,'INPUT Growth'!$E$64:$E$115,$C132),SUMIFS('INPUT Growth'!AQ$64:AQ$115,'INPUT Growth'!$A$64:$A$115,$A$1,'INPUT Growth'!$F$64:$F$115,$B132,'INPUT Growth'!$E$64:$E$115,$C132))</f>
        <v>4722.9039051669533</v>
      </c>
      <c r="V132" s="102">
        <f>IF($G$4="Water and sewer",SUMIFS('INPUT Growth'!AR$64:AR$115,'INPUT Growth'!$B$64:$B$115,$A$1,'INPUT Growth'!$F$64:$F$115,$B132,'INPUT Growth'!$E$64:$E$115,$C132),SUMIFS('INPUT Growth'!AR$64:AR$115,'INPUT Growth'!$A$64:$A$115,$A$1,'INPUT Growth'!$F$64:$F$115,$B132,'INPUT Growth'!$E$64:$E$115,$C132))</f>
        <v>4695.9940898274363</v>
      </c>
      <c r="W132" s="102">
        <f>IF($G$4="Water and sewer",SUMIFS('INPUT Growth'!AS$64:AS$115,'INPUT Growth'!$B$64:$B$115,$A$1,'INPUT Growth'!$F$64:$F$115,$B132,'INPUT Growth'!$E$64:$E$115,$C132),SUMIFS('INPUT Growth'!AS$64:AS$115,'INPUT Growth'!$A$64:$A$115,$A$1,'INPUT Growth'!$F$64:$F$115,$B132,'INPUT Growth'!$E$64:$E$115,$C132))</f>
        <v>4731.5080395174737</v>
      </c>
      <c r="X132" s="102">
        <f>IF($G$4="Water and sewer",SUMIFS('INPUT Growth'!AT$64:AT$115,'INPUT Growth'!$B$64:$B$115,$A$1,'INPUT Growth'!$F$64:$F$115,$B132,'INPUT Growth'!$E$64:$E$115,$C132),SUMIFS('INPUT Growth'!AT$64:AT$115,'INPUT Growth'!$A$64:$A$115,$A$1,'INPUT Growth'!$F$64:$F$115,$B132,'INPUT Growth'!$E$64:$E$115,$C132))</f>
        <v>4720.6678170256491</v>
      </c>
      <c r="Y132" s="102">
        <f>IF($G$4="Water and sewer",SUMIFS('INPUT Growth'!AU$64:AU$115,'INPUT Growth'!$B$64:$B$115,$A$1,'INPUT Growth'!$F$64:$F$115,$B132,'INPUT Growth'!$E$64:$E$115,$C132),SUMIFS('INPUT Growth'!AU$64:AU$115,'INPUT Growth'!$A$64:$A$115,$A$1,'INPUT Growth'!$F$64:$F$115,$B132,'INPUT Growth'!$E$64:$E$115,$C132))</f>
        <v>4601.8433589577035</v>
      </c>
      <c r="Z132" s="102">
        <f>IF($G$4="Water and sewer",SUMIFS('INPUT Growth'!AV$64:AV$115,'INPUT Growth'!$B$64:$B$115,$A$1,'INPUT Growth'!$F$64:$F$115,$B132,'INPUT Growth'!$E$64:$E$115,$C132),SUMIFS('INPUT Growth'!AV$64:AV$115,'INPUT Growth'!$A$64:$A$115,$A$1,'INPUT Growth'!$F$64:$F$115,$B132,'INPUT Growth'!$E$64:$E$115,$C132))</f>
        <v>4406.4188035159314</v>
      </c>
      <c r="AA132" s="102">
        <f>IF($G$4="Water and sewer",SUMIFS('INPUT Growth'!AW$64:AW$115,'INPUT Growth'!$B$64:$B$115,$A$1,'INPUT Growth'!$F$64:$F$115,$B132,'INPUT Growth'!$E$64:$E$115,$C132),SUMIFS('INPUT Growth'!AW$64:AW$115,'INPUT Growth'!$A$64:$A$115,$A$1,'INPUT Growth'!$F$64:$F$115,$B132,'INPUT Growth'!$E$64:$E$115,$C132))</f>
        <v>4143.5306926617632</v>
      </c>
    </row>
    <row r="133" spans="1:27" x14ac:dyDescent="0.25">
      <c r="C133" s="100"/>
      <c r="D133" s="100"/>
      <c r="E133" s="47" t="s">
        <v>656</v>
      </c>
      <c r="F133" s="47" t="s">
        <v>655</v>
      </c>
      <c r="H133" s="106">
        <f>G133+H132</f>
        <v>4602.9260210803768</v>
      </c>
      <c r="I133" s="106">
        <f t="shared" ref="I133:AA133" si="56">H133+I132</f>
        <v>9552.4834717327321</v>
      </c>
      <c r="J133" s="106">
        <f t="shared" si="56"/>
        <v>13760.325196753402</v>
      </c>
      <c r="K133" s="106">
        <f t="shared" si="56"/>
        <v>18019.082460873629</v>
      </c>
      <c r="L133" s="106">
        <f t="shared" si="56"/>
        <v>22393.329755149098</v>
      </c>
      <c r="M133" s="106">
        <f t="shared" si="56"/>
        <v>27014.393959028122</v>
      </c>
      <c r="N133" s="106">
        <f t="shared" si="56"/>
        <v>31523.855911658306</v>
      </c>
      <c r="O133" s="106">
        <f t="shared" si="56"/>
        <v>36284.777975377758</v>
      </c>
      <c r="P133" s="106">
        <f t="shared" si="56"/>
        <v>41098.90535222656</v>
      </c>
      <c r="Q133" s="106">
        <f t="shared" si="56"/>
        <v>45920.088025712772</v>
      </c>
      <c r="R133" s="106">
        <f t="shared" si="56"/>
        <v>50746.818054097865</v>
      </c>
      <c r="S133" s="106">
        <f t="shared" si="56"/>
        <v>55560.011972070715</v>
      </c>
      <c r="T133" s="106">
        <f t="shared" si="56"/>
        <v>60283.488219240608</v>
      </c>
      <c r="U133" s="106">
        <f t="shared" si="56"/>
        <v>65006.392124407561</v>
      </c>
      <c r="V133" s="106">
        <f t="shared" si="56"/>
        <v>69702.386214234997</v>
      </c>
      <c r="W133" s="106">
        <f t="shared" si="56"/>
        <v>74433.894253752471</v>
      </c>
      <c r="X133" s="106">
        <f t="shared" si="56"/>
        <v>79154.56207077812</v>
      </c>
      <c r="Y133" s="106">
        <f t="shared" si="56"/>
        <v>83756.405429735823</v>
      </c>
      <c r="Z133" s="106">
        <f t="shared" si="56"/>
        <v>88162.824233251755</v>
      </c>
      <c r="AA133" s="106">
        <f t="shared" si="56"/>
        <v>92306.354925913518</v>
      </c>
    </row>
    <row r="134" spans="1:27" x14ac:dyDescent="0.25">
      <c r="A134" s="101">
        <v>26</v>
      </c>
      <c r="C134" s="100"/>
      <c r="D134" s="100"/>
      <c r="E134" s="47" t="s">
        <v>657</v>
      </c>
      <c r="F134" s="47" t="s">
        <v>655</v>
      </c>
      <c r="G134" s="102">
        <v>1</v>
      </c>
    </row>
    <row r="135" spans="1:27" x14ac:dyDescent="0.25">
      <c r="C135" s="100"/>
      <c r="D135" s="100"/>
      <c r="E135" s="47" t="s">
        <v>658</v>
      </c>
      <c r="F135" s="47" t="s">
        <v>655</v>
      </c>
      <c r="H135" s="47">
        <f>H132*$G134</f>
        <v>4602.9260210803768</v>
      </c>
      <c r="I135" s="47">
        <f t="shared" ref="I135:AA135" si="57">I132*$G134</f>
        <v>4949.5574506523553</v>
      </c>
      <c r="J135" s="47">
        <f t="shared" si="57"/>
        <v>4207.8417250206694</v>
      </c>
      <c r="K135" s="47">
        <f t="shared" si="57"/>
        <v>4258.7572641202278</v>
      </c>
      <c r="L135" s="47">
        <f t="shared" si="57"/>
        <v>4374.2472942754684</v>
      </c>
      <c r="M135" s="47">
        <f t="shared" si="57"/>
        <v>4621.0642038790247</v>
      </c>
      <c r="N135" s="47">
        <f t="shared" si="57"/>
        <v>4509.4619526301831</v>
      </c>
      <c r="O135" s="47">
        <f t="shared" si="57"/>
        <v>4760.9220637194521</v>
      </c>
      <c r="P135" s="47">
        <f t="shared" si="57"/>
        <v>4814.1273768488027</v>
      </c>
      <c r="Q135" s="47">
        <f t="shared" si="57"/>
        <v>4821.1826734862116</v>
      </c>
      <c r="R135" s="47">
        <f t="shared" si="57"/>
        <v>4826.7300283850927</v>
      </c>
      <c r="S135" s="47">
        <f t="shared" si="57"/>
        <v>4813.1939179728506</v>
      </c>
      <c r="T135" s="47">
        <f t="shared" si="57"/>
        <v>4723.4762471698923</v>
      </c>
      <c r="U135" s="47">
        <f t="shared" si="57"/>
        <v>4722.9039051669533</v>
      </c>
      <c r="V135" s="47">
        <f t="shared" si="57"/>
        <v>4695.9940898274363</v>
      </c>
      <c r="W135" s="47">
        <f t="shared" si="57"/>
        <v>4731.5080395174737</v>
      </c>
      <c r="X135" s="47">
        <f t="shared" si="57"/>
        <v>4720.6678170256491</v>
      </c>
      <c r="Y135" s="47">
        <f t="shared" si="57"/>
        <v>4601.8433589577035</v>
      </c>
      <c r="Z135" s="47">
        <f t="shared" si="57"/>
        <v>4406.4188035159314</v>
      </c>
      <c r="AA135" s="47">
        <f t="shared" si="57"/>
        <v>4143.5306926617632</v>
      </c>
    </row>
    <row r="136" spans="1:27" x14ac:dyDescent="0.25">
      <c r="C136" s="100"/>
      <c r="D136" s="100"/>
      <c r="E136" s="47" t="s">
        <v>659</v>
      </c>
      <c r="F136" s="47" t="s">
        <v>655</v>
      </c>
      <c r="H136" s="47">
        <f>H133*$G134</f>
        <v>4602.9260210803768</v>
      </c>
      <c r="I136" s="47">
        <f t="shared" ref="I136:AA136" si="58">I133*$G134</f>
        <v>9552.4834717327321</v>
      </c>
      <c r="J136" s="47">
        <f t="shared" si="58"/>
        <v>13760.325196753402</v>
      </c>
      <c r="K136" s="47">
        <f t="shared" si="58"/>
        <v>18019.082460873629</v>
      </c>
      <c r="L136" s="47">
        <f t="shared" si="58"/>
        <v>22393.329755149098</v>
      </c>
      <c r="M136" s="47">
        <f t="shared" si="58"/>
        <v>27014.393959028122</v>
      </c>
      <c r="N136" s="47">
        <f t="shared" si="58"/>
        <v>31523.855911658306</v>
      </c>
      <c r="O136" s="47">
        <f t="shared" si="58"/>
        <v>36284.777975377758</v>
      </c>
      <c r="P136" s="47">
        <f t="shared" si="58"/>
        <v>41098.90535222656</v>
      </c>
      <c r="Q136" s="47">
        <f t="shared" si="58"/>
        <v>45920.088025712772</v>
      </c>
      <c r="R136" s="47">
        <f t="shared" si="58"/>
        <v>50746.818054097865</v>
      </c>
      <c r="S136" s="47">
        <f t="shared" si="58"/>
        <v>55560.011972070715</v>
      </c>
      <c r="T136" s="47">
        <f t="shared" si="58"/>
        <v>60283.488219240608</v>
      </c>
      <c r="U136" s="47">
        <f t="shared" si="58"/>
        <v>65006.392124407561</v>
      </c>
      <c r="V136" s="47">
        <f t="shared" si="58"/>
        <v>69702.386214234997</v>
      </c>
      <c r="W136" s="47">
        <f t="shared" si="58"/>
        <v>74433.894253752471</v>
      </c>
      <c r="X136" s="47">
        <f t="shared" si="58"/>
        <v>79154.56207077812</v>
      </c>
      <c r="Y136" s="47">
        <f t="shared" si="58"/>
        <v>83756.405429735823</v>
      </c>
      <c r="Z136" s="47">
        <f t="shared" si="58"/>
        <v>88162.824233251755</v>
      </c>
      <c r="AA136" s="47">
        <f t="shared" si="58"/>
        <v>92306.354925913518</v>
      </c>
    </row>
    <row r="137" spans="1:27" x14ac:dyDescent="0.25">
      <c r="A137" s="101">
        <v>27</v>
      </c>
      <c r="B137" s="47" t="str">
        <f>B132</f>
        <v>Western</v>
      </c>
      <c r="C137" s="47" t="str">
        <f>C132</f>
        <v>R</v>
      </c>
      <c r="D137" s="47" t="str">
        <f>D132</f>
        <v>Water and Sewer</v>
      </c>
      <c r="E137" s="47" t="s">
        <v>660</v>
      </c>
      <c r="F137" s="47" t="s">
        <v>661</v>
      </c>
      <c r="H137" s="102">
        <f>IF(OR($D137=W,$D137=WS),'INPUT Reg'!AD121,IF($D137=RW,'INPUT Reg'!AD125,0))</f>
        <v>150.8131004246452</v>
      </c>
      <c r="I137" s="102">
        <f>IF(OR($D137=W,$D137=WS),'INPUT Reg'!AE121,IF($D137=RW,'INPUT Reg'!AE125,0))</f>
        <v>149.27265598558674</v>
      </c>
      <c r="J137" s="102">
        <f>IF(OR($D137=W,$D137=WS),'INPUT Reg'!AF121,IF($D137=RW,'INPUT Reg'!AF125,0))</f>
        <v>148.88853768937167</v>
      </c>
      <c r="K137" s="102">
        <f>IF(OR($D137=W,$D137=WS),'INPUT Reg'!AG121,IF($D137=RW,'INPUT Reg'!AG125,0))</f>
        <v>148.68546175229565</v>
      </c>
      <c r="L137" s="102">
        <f>IF(OR($D137=W,$D137=WS),'INPUT Reg'!AH121,IF($D137=RW,'INPUT Reg'!AH125,0))</f>
        <v>148.00299604443001</v>
      </c>
      <c r="M137" s="102">
        <f>IF(OR($D137=W,$D137=WS),'INPUT Reg'!AI121,IF($D137=RW,'INPUT Reg'!AI125,0))</f>
        <v>147.39044968338055</v>
      </c>
      <c r="N137" s="102">
        <f>IF(OR($D137=W,$D137=WS),'INPUT Reg'!AJ121,IF($D137=RW,'INPUT Reg'!AJ125,0))</f>
        <v>146.65887160420652</v>
      </c>
      <c r="O137" s="102">
        <f>IF(OR($D137=W,$D137=WS),'INPUT Reg'!AK121,IF($D137=RW,'INPUT Reg'!AK125,0))</f>
        <v>146.20875280609891</v>
      </c>
      <c r="P137" s="102">
        <f>IF(OR($D137=W,$D137=WS),'INPUT Reg'!AL121,IF($D137=RW,'INPUT Reg'!AL125,0))</f>
        <v>145.13685322790656</v>
      </c>
      <c r="Q137" s="102">
        <f>IF(OR($D137=W,$D137=WS),'INPUT Reg'!AM121,IF($D137=RW,'INPUT Reg'!AM125,0))</f>
        <v>144.37596094683801</v>
      </c>
      <c r="R137" s="102">
        <f>IF(OR($D137=W,$D137=WS),'INPUT Reg'!AN121,IF($D137=RW,'INPUT Reg'!AN125,0))</f>
        <v>143.63593283603137</v>
      </c>
      <c r="S137" s="102">
        <f>IF(OR($D137=W,$D137=WS),'INPUT Reg'!AO121,IF($D137=RW,'INPUT Reg'!AO125,0))</f>
        <v>143.20256386257466</v>
      </c>
      <c r="T137" s="102">
        <f>IF(OR($D137=W,$D137=WS),'INPUT Reg'!AP121,IF($D137=RW,'INPUT Reg'!AP125,0))</f>
        <v>142.20398195315397</v>
      </c>
      <c r="U137" s="102">
        <f>IF(OR($D137=W,$D137=WS),'INPUT Reg'!AQ121,IF($D137=RW,'INPUT Reg'!AQ125,0))</f>
        <v>141.53353009691222</v>
      </c>
      <c r="V137" s="102">
        <f>IF(OR($D137=W,$D137=WS),'INPUT Reg'!AR121,IF($D137=RW,'INPUT Reg'!AR125,0))</f>
        <v>140.92450771160904</v>
      </c>
      <c r="W137" s="102">
        <f>IF(OR($D137=W,$D137=WS),'INPUT Reg'!AS121,IF($D137=RW,'INPUT Reg'!AS125,0))</f>
        <v>140.65986022385155</v>
      </c>
      <c r="X137" s="102">
        <f>IF(OR($D137=W,$D137=WS),'INPUT Reg'!AT121,IF($D137=RW,'INPUT Reg'!AT125,0))</f>
        <v>139.4281786131647</v>
      </c>
      <c r="Y137" s="102">
        <f>IF(OR($D137=W,$D137=WS),'INPUT Reg'!AU121,IF($D137=RW,'INPUT Reg'!AU125,0))</f>
        <v>138.89159006550341</v>
      </c>
      <c r="Z137" s="102">
        <f>IF(OR($D137=W,$D137=WS),'INPUT Reg'!AV121,IF($D137=RW,'INPUT Reg'!AV125,0))</f>
        <v>138.38242984277764</v>
      </c>
      <c r="AA137" s="102">
        <f>IF(OR($D137=W,$D137=WS),'INPUT Reg'!AW121,IF($D137=RW,'INPUT Reg'!AW125,0))</f>
        <v>138.38242984277764</v>
      </c>
    </row>
    <row r="138" spans="1:27" x14ac:dyDescent="0.25">
      <c r="B138" s="47" t="str">
        <f>B132</f>
        <v>Western</v>
      </c>
      <c r="C138" s="47" t="str">
        <f t="shared" ref="C138:D138" si="59">C132</f>
        <v>R</v>
      </c>
      <c r="D138" s="47" t="str">
        <f t="shared" si="59"/>
        <v>Water and Sewer</v>
      </c>
      <c r="E138" s="47" t="s">
        <v>662</v>
      </c>
      <c r="F138" s="47" t="s">
        <v>661</v>
      </c>
      <c r="H138" s="102">
        <f>IF(OR($D138=W,$D138=WS),'INPUT Reg'!AD122,0)</f>
        <v>6.9069868847918272</v>
      </c>
      <c r="I138" s="102">
        <f>IF(OR($D138=W,$D138=WS),'INPUT Reg'!AE122,0)</f>
        <v>5.0164414368564536</v>
      </c>
      <c r="J138" s="102">
        <f>IF(OR($D138=W,$D138=WS),'INPUT Reg'!AF122,0)</f>
        <v>4.5450235278652187</v>
      </c>
      <c r="K138" s="102">
        <f>IF(OR($D138=W,$D138=WS),'INPUT Reg'!AG122,0)</f>
        <v>4.2957939687264712</v>
      </c>
      <c r="L138" s="102">
        <f>IF(OR($D138=W,$D138=WS),'INPUT Reg'!AH122,0)</f>
        <v>3.4582224181640981</v>
      </c>
      <c r="M138" s="102">
        <f>IF(OR($D138=W,$D138=WS),'INPUT Reg'!AI122,0)</f>
        <v>2.9561798733522124</v>
      </c>
      <c r="N138" s="102">
        <f>IF(OR($D138=W,$D138=WS),'INPUT Reg'!AJ122,0)</f>
        <v>2.6635486416826026</v>
      </c>
      <c r="O138" s="102">
        <f>IF(OR($D138=W,$D138=WS),'INPUT Reg'!AK122,0)</f>
        <v>2.48350112243957</v>
      </c>
      <c r="P138" s="102">
        <f>IF(OR($D138=W,$D138=WS),'INPUT Reg'!AL122,0)</f>
        <v>2.0547412911626211</v>
      </c>
      <c r="Q138" s="102">
        <f>IF(OR($D138=W,$D138=WS),'INPUT Reg'!AM122,0)</f>
        <v>1.7503843787351911</v>
      </c>
      <c r="R138" s="102">
        <f>IF(OR($D138=W,$D138=WS),'INPUT Reg'!AN122,0)</f>
        <v>1.4543731344125419</v>
      </c>
      <c r="S138" s="102">
        <f>IF(OR($D138=W,$D138=WS),'INPUT Reg'!AO122,0)</f>
        <v>1.2810255450298698</v>
      </c>
      <c r="T138" s="102">
        <f>IF(OR($D138=W,$D138=WS),'INPUT Reg'!AP122,0)</f>
        <v>0.88159278126158824</v>
      </c>
      <c r="U138" s="102">
        <f>IF(OR($D138=W,$D138=WS),'INPUT Reg'!AQ122,0)</f>
        <v>0.61341203876487782</v>
      </c>
      <c r="V138" s="102">
        <f>IF(OR($D138=W,$D138=WS),'INPUT Reg'!AR122,0)</f>
        <v>0.369803084643614</v>
      </c>
      <c r="W138" s="102">
        <f>IF(OR($D138=W,$D138=WS),'INPUT Reg'!AS122,0)</f>
        <v>0.26394408954062243</v>
      </c>
      <c r="X138" s="102">
        <f>IF(OR($D138=W,$D138=WS),'INPUT Reg'!AT122,0)</f>
        <v>0</v>
      </c>
      <c r="Y138" s="102">
        <f>IF(OR($D138=W,$D138=WS),'INPUT Reg'!AU122,0)</f>
        <v>0</v>
      </c>
      <c r="Z138" s="102">
        <f>IF(OR($D138=W,$D138=WS),'INPUT Reg'!AV122,0)</f>
        <v>0</v>
      </c>
      <c r="AA138" s="102">
        <f>IF(OR($D138=W,$D138=WS),'INPUT Reg'!AW122,0)</f>
        <v>0</v>
      </c>
    </row>
    <row r="139" spans="1:27" x14ac:dyDescent="0.25">
      <c r="A139" s="101">
        <v>28</v>
      </c>
      <c r="B139" s="47" t="str">
        <f>B132</f>
        <v>Western</v>
      </c>
      <c r="C139" s="47" t="str">
        <f t="shared" ref="C139:D139" si="60">C132</f>
        <v>R</v>
      </c>
      <c r="D139" s="47" t="str">
        <f t="shared" si="60"/>
        <v>Water and Sewer</v>
      </c>
      <c r="E139" s="47" t="s">
        <v>663</v>
      </c>
      <c r="F139" s="47" t="s">
        <v>661</v>
      </c>
      <c r="H139" s="102">
        <f>IF(OR($D139=S,$D139=WS),'INPUT Reg'!AD124,0)</f>
        <v>115.94598888324484</v>
      </c>
      <c r="I139" s="102">
        <f>IF(OR($D139=S,$D139=WS),'INPUT Reg'!AE124,0)</f>
        <v>113.42373872423093</v>
      </c>
      <c r="J139" s="102">
        <f>IF(OR($D139=S,$D139=WS),'INPUT Reg'!AF124,0)</f>
        <v>112.79480176997063</v>
      </c>
      <c r="K139" s="102">
        <f>IF(OR($D139=S,$D139=WS),'INPUT Reg'!AG124,0)</f>
        <v>112.46229492870154</v>
      </c>
      <c r="L139" s="102">
        <f>IF(OR($D139=S,$D139=WS),'INPUT Reg'!AH124,0)</f>
        <v>111.34485817049055</v>
      </c>
      <c r="M139" s="102">
        <f>IF(OR($D139=S,$D139=WS),'INPUT Reg'!AI124,0)</f>
        <v>110.52548179876155</v>
      </c>
      <c r="N139" s="102">
        <f>IF(OR($D139=S,$D139=WS),'INPUT Reg'!AJ124,0)</f>
        <v>109.77254687845424</v>
      </c>
      <c r="O139" s="102">
        <f>IF(OR($D139=S,$D139=WS),'INPUT Reg'!AK124,0)</f>
        <v>109.30928783471062</v>
      </c>
      <c r="P139" s="102">
        <f>IF(OR($D139=S,$D139=WS),'INPUT Reg'!AL124,0)</f>
        <v>108.2060964646317</v>
      </c>
      <c r="Q139" s="102">
        <f>IF(OR($D139=S,$D139=WS),'INPUT Reg'!AM124,0)</f>
        <v>107.42299157765144</v>
      </c>
      <c r="R139" s="102">
        <f>IF(OR($D139=S,$D139=WS),'INPUT Reg'!AN124,0)</f>
        <v>106.66135994529793</v>
      </c>
      <c r="S139" s="102">
        <f>IF(OR($D139=S,$D139=WS),'INPUT Reg'!AO124,0)</f>
        <v>106.21533970114072</v>
      </c>
      <c r="T139" s="102">
        <f>IF(OR($D139=S,$D139=WS),'INPUT Reg'!AP124,0)</f>
        <v>105.18760635073897</v>
      </c>
      <c r="U139" s="102">
        <f>IF(OR($D139=S,$D139=WS),'INPUT Reg'!AQ124,0)</f>
        <v>104.497582101353</v>
      </c>
      <c r="V139" s="102">
        <f>IF(OR($D139=S,$D139=WS),'INPUT Reg'!AR124,0)</f>
        <v>103.87078062356498</v>
      </c>
      <c r="W139" s="102">
        <f>IF(OR($D139=S,$D139=WS),'INPUT Reg'!AS124,0)</f>
        <v>103.59840732428682</v>
      </c>
      <c r="X139" s="102">
        <f>IF(OR($D139=S,$D139=WS),'INPUT Reg'!AT124,0)</f>
        <v>102.49891642385481</v>
      </c>
      <c r="Y139" s="102">
        <f>IF(OR($D139=S,$D139=WS),'INPUT Reg'!AU124,0)</f>
        <v>102.10444993044013</v>
      </c>
      <c r="Z139" s="102">
        <f>IF(OR($D139=S,$D139=WS),'INPUT Reg'!AV124,0)</f>
        <v>101.7301470338907</v>
      </c>
      <c r="AA139" s="102">
        <f>IF(OR($D139=S,$D139=WS),'INPUT Reg'!AW124,0)</f>
        <v>101.7301470338907</v>
      </c>
    </row>
    <row r="140" spans="1:27" x14ac:dyDescent="0.25">
      <c r="C140" s="100"/>
      <c r="D140" s="100"/>
      <c r="E140" s="47" t="s">
        <v>664</v>
      </c>
      <c r="F140" s="47" t="s">
        <v>665</v>
      </c>
      <c r="H140" s="106">
        <f>H133*H137</f>
        <v>694181.54426440736</v>
      </c>
      <c r="I140" s="106">
        <f t="shared" ref="I140:AA140" si="61">I133*I137</f>
        <v>1425924.5790839633</v>
      </c>
      <c r="J140" s="106">
        <f t="shared" si="61"/>
        <v>2048754.6966748296</v>
      </c>
      <c r="K140" s="106">
        <f t="shared" si="61"/>
        <v>2679175.5960476873</v>
      </c>
      <c r="L140" s="106">
        <f t="shared" si="61"/>
        <v>3314279.8951729485</v>
      </c>
      <c r="M140" s="106">
        <f t="shared" si="61"/>
        <v>3981663.6735451538</v>
      </c>
      <c r="N140" s="106">
        <f t="shared" si="61"/>
        <v>4623253.1366174025</v>
      </c>
      <c r="O140" s="106">
        <f t="shared" si="61"/>
        <v>5305152.1336261891</v>
      </c>
      <c r="P140" s="106">
        <f t="shared" si="61"/>
        <v>5964965.7939337296</v>
      </c>
      <c r="Q140" s="106">
        <f t="shared" si="61"/>
        <v>6629756.8354756711</v>
      </c>
      <c r="R140" s="106">
        <f t="shared" si="61"/>
        <v>7289066.549660705</v>
      </c>
      <c r="S140" s="106">
        <f t="shared" si="61"/>
        <v>7956336.1626358693</v>
      </c>
      <c r="T140" s="106">
        <f t="shared" si="61"/>
        <v>8572552.0708020609</v>
      </c>
      <c r="U140" s="106">
        <f t="shared" si="61"/>
        <v>9200584.1562315151</v>
      </c>
      <c r="V140" s="106">
        <f t="shared" si="61"/>
        <v>9822774.4635655116</v>
      </c>
      <c r="W140" s="106">
        <f t="shared" si="61"/>
        <v>10469861.161649769</v>
      </c>
      <c r="X140" s="106">
        <f t="shared" si="61"/>
        <v>11036376.418451283</v>
      </c>
      <c r="Y140" s="106">
        <f t="shared" si="61"/>
        <v>11633060.328306971</v>
      </c>
      <c r="Z140" s="106">
        <f t="shared" si="61"/>
        <v>12200185.839199098</v>
      </c>
      <c r="AA140" s="106">
        <f t="shared" si="61"/>
        <v>12773577.684577759</v>
      </c>
    </row>
    <row r="141" spans="1:27" x14ac:dyDescent="0.25">
      <c r="C141" s="100"/>
      <c r="D141" s="100"/>
      <c r="E141" s="47" t="s">
        <v>666</v>
      </c>
      <c r="F141" s="47" t="s">
        <v>665</v>
      </c>
      <c r="H141" s="106">
        <f>H133*H138</f>
        <v>31792.349659269192</v>
      </c>
      <c r="I141" s="106">
        <f t="shared" ref="I141:AA141" si="62">I133*I138</f>
        <v>47919.473912486472</v>
      </c>
      <c r="J141" s="106">
        <f t="shared" si="62"/>
        <v>62541.001770320807</v>
      </c>
      <c r="K141" s="106">
        <f t="shared" si="62"/>
        <v>77406.265757405883</v>
      </c>
      <c r="L141" s="106">
        <f t="shared" si="62"/>
        <v>77441.114976597761</v>
      </c>
      <c r="M141" s="106">
        <f t="shared" si="62"/>
        <v>79859.407712486529</v>
      </c>
      <c r="N141" s="106">
        <f t="shared" si="62"/>
        <v>83965.323594095564</v>
      </c>
      <c r="O141" s="106">
        <f t="shared" si="62"/>
        <v>90113.286829321252</v>
      </c>
      <c r="P141" s="106">
        <f t="shared" si="62"/>
        <v>84447.617848804366</v>
      </c>
      <c r="Q141" s="106">
        <f t="shared" si="62"/>
        <v>80377.804750352545</v>
      </c>
      <c r="R141" s="106">
        <f t="shared" si="62"/>
        <v>73804.808834801283</v>
      </c>
      <c r="S141" s="106">
        <f t="shared" si="62"/>
        <v>71173.794618387983</v>
      </c>
      <c r="T141" s="106">
        <f t="shared" si="62"/>
        <v>53145.488043350517</v>
      </c>
      <c r="U141" s="106">
        <f t="shared" si="62"/>
        <v>39875.703525781937</v>
      </c>
      <c r="V141" s="106">
        <f t="shared" si="62"/>
        <v>25776.157429044619</v>
      </c>
      <c r="W141" s="106">
        <f t="shared" si="62"/>
        <v>19646.386449769663</v>
      </c>
      <c r="X141" s="106">
        <f t="shared" si="62"/>
        <v>0</v>
      </c>
      <c r="Y141" s="106">
        <f t="shared" si="62"/>
        <v>0</v>
      </c>
      <c r="Z141" s="106">
        <f t="shared" si="62"/>
        <v>0</v>
      </c>
      <c r="AA141" s="106">
        <f t="shared" si="62"/>
        <v>0</v>
      </c>
    </row>
    <row r="142" spans="1:27" x14ac:dyDescent="0.25">
      <c r="C142" s="100"/>
      <c r="D142" s="100"/>
      <c r="E142" s="47" t="s">
        <v>667</v>
      </c>
      <c r="F142" s="47" t="s">
        <v>665</v>
      </c>
      <c r="H142" s="106">
        <f>H133*H139</f>
        <v>533690.80927058379</v>
      </c>
      <c r="I142" s="106">
        <f t="shared" ref="I142:AA142" si="63">I133*I139</f>
        <v>1083478.3894653479</v>
      </c>
      <c r="J142" s="106">
        <f t="shared" si="63"/>
        <v>1552093.152858132</v>
      </c>
      <c r="K142" s="106">
        <f t="shared" si="63"/>
        <v>2026467.3660593631</v>
      </c>
      <c r="L142" s="106">
        <f t="shared" si="63"/>
        <v>2493382.1255521025</v>
      </c>
      <c r="M142" s="106">
        <f t="shared" si="63"/>
        <v>2985778.9078231365</v>
      </c>
      <c r="N142" s="106">
        <f t="shared" si="63"/>
        <v>3460453.9508521482</v>
      </c>
      <c r="O142" s="106">
        <f t="shared" si="63"/>
        <v>3966263.2397291358</v>
      </c>
      <c r="P142" s="106">
        <f t="shared" si="63"/>
        <v>4447152.1171337953</v>
      </c>
      <c r="Q142" s="106">
        <f t="shared" si="63"/>
        <v>4932873.2292311564</v>
      </c>
      <c r="R142" s="106">
        <f t="shared" si="63"/>
        <v>5412724.6265466763</v>
      </c>
      <c r="S142" s="106">
        <f t="shared" si="63"/>
        <v>5901325.5454129362</v>
      </c>
      <c r="T142" s="106">
        <f t="shared" si="63"/>
        <v>6341075.8282548916</v>
      </c>
      <c r="U142" s="106">
        <f t="shared" si="63"/>
        <v>6793010.7981330268</v>
      </c>
      <c r="V142" s="106">
        <f t="shared" si="63"/>
        <v>7240041.2673978033</v>
      </c>
      <c r="W142" s="106">
        <f t="shared" si="63"/>
        <v>7711232.8956331406</v>
      </c>
      <c r="X142" s="106">
        <f t="shared" si="63"/>
        <v>8113256.8422595141</v>
      </c>
      <c r="Y142" s="106">
        <f t="shared" si="63"/>
        <v>8551901.7045541052</v>
      </c>
      <c r="Z142" s="106">
        <f t="shared" si="63"/>
        <v>8968817.0721717626</v>
      </c>
      <c r="AA142" s="106">
        <f t="shared" si="63"/>
        <v>9390339.0587756839</v>
      </c>
    </row>
    <row r="143" spans="1:27" x14ac:dyDescent="0.25">
      <c r="A143" s="101">
        <v>29</v>
      </c>
      <c r="B143" s="47" t="str">
        <f>B137</f>
        <v>Western</v>
      </c>
      <c r="C143" s="47" t="str">
        <f t="shared" ref="C143:D143" si="64">C137</f>
        <v>R</v>
      </c>
      <c r="D143" s="47" t="str">
        <f t="shared" si="64"/>
        <v>Water and Sewer</v>
      </c>
      <c r="E143" s="47" t="s">
        <v>668</v>
      </c>
      <c r="F143" s="47" t="s">
        <v>633</v>
      </c>
      <c r="H143" s="105">
        <f>SUMIFS('INPUT Reg'!AD$94:AD$109,'INPUT Reg'!$D$94:$D$109,$D143,'INPUT Reg'!$C$94:$C$109,$C143,'INPUT Reg'!$B$94:$B$109,$B143)</f>
        <v>-6.1572236579658934E-3</v>
      </c>
      <c r="I143" s="105">
        <f>SUMIFS('INPUT Reg'!AE$94:AE$109,'INPUT Reg'!$D$94:$D$109,$D143,'INPUT Reg'!$C$94:$C$109,$C143,'INPUT Reg'!$B$94:$B$109,$B143)</f>
        <v>-1.1730970702711452E-2</v>
      </c>
      <c r="J143" s="105">
        <f>SUMIFS('INPUT Reg'!AF$94:AF$109,'INPUT Reg'!$D$94:$D$109,$D143,'INPUT Reg'!$C$94:$C$109,$C143,'INPUT Reg'!$B$94:$B$109,$B143)</f>
        <v>-1.1870219904647539E-2</v>
      </c>
      <c r="K143" s="105">
        <f>SUMIFS('INPUT Reg'!AG$94:AG$109,'INPUT Reg'!$D$94:$D$109,$D143,'INPUT Reg'!$C$94:$C$109,$C143,'INPUT Reg'!$B$94:$B$109,$B143)</f>
        <v>-1.201281465629167E-2</v>
      </c>
      <c r="L143" s="105">
        <f>SUMIFS('INPUT Reg'!AH$94:AH$109,'INPUT Reg'!$D$94:$D$109,$D143,'INPUT Reg'!$C$94:$C$109,$C143,'INPUT Reg'!$B$94:$B$109,$B143)</f>
        <v>-1.1453695181381396E-2</v>
      </c>
      <c r="M143" s="105">
        <f>SUMIFS('INPUT Reg'!AI$94:AI$109,'INPUT Reg'!$D$94:$D$109,$D143,'INPUT Reg'!$C$94:$C$109,$C143,'INPUT Reg'!$B$94:$B$109,$B143)</f>
        <v>-1.1586402301592691E-2</v>
      </c>
      <c r="N143" s="105">
        <f>SUMIFS('INPUT Reg'!AJ$94:AJ$109,'INPUT Reg'!$D$94:$D$109,$D143,'INPUT Reg'!$C$94:$C$109,$C143,'INPUT Reg'!$B$94:$B$109,$B143)</f>
        <v>-1.1722220666098182E-2</v>
      </c>
      <c r="O143" s="105">
        <f>SUMIFS('INPUT Reg'!AK$94:AK$109,'INPUT Reg'!$D$94:$D$109,$D143,'INPUT Reg'!$C$94:$C$109,$C143,'INPUT Reg'!$B$94:$B$109,$B143)</f>
        <v>-1.1861260984739497E-2</v>
      </c>
      <c r="P143" s="105">
        <f>SUMIFS('INPUT Reg'!AL$94:AL$109,'INPUT Reg'!$D$94:$D$109,$D143,'INPUT Reg'!$C$94:$C$109,$C143,'INPUT Reg'!$B$94:$B$109,$B143)</f>
        <v>-1.0378723836744985E-2</v>
      </c>
      <c r="Q143" s="105">
        <f>SUMIFS('INPUT Reg'!AM$94:AM$109,'INPUT Reg'!$D$94:$D$109,$D143,'INPUT Reg'!$C$94:$C$109,$C143,'INPUT Reg'!$B$94:$B$109,$B143)</f>
        <v>-5.7079302064332205E-2</v>
      </c>
      <c r="R143" s="105">
        <f>SUMIFS('INPUT Reg'!AN$94:AN$109,'INPUT Reg'!$D$94:$D$109,$D143,'INPUT Reg'!$C$94:$C$109,$C143,'INPUT Reg'!$B$94:$B$109,$B143)</f>
        <v>0</v>
      </c>
      <c r="S143" s="105">
        <f>SUMIFS('INPUT Reg'!AO$94:AO$109,'INPUT Reg'!$D$94:$D$109,$D143,'INPUT Reg'!$C$94:$C$109,$C143,'INPUT Reg'!$B$94:$B$109,$B143)</f>
        <v>0</v>
      </c>
      <c r="T143" s="105">
        <f>SUMIFS('INPUT Reg'!AP$94:AP$109,'INPUT Reg'!$D$94:$D$109,$D143,'INPUT Reg'!$C$94:$C$109,$C143,'INPUT Reg'!$B$94:$B$109,$B143)</f>
        <v>0</v>
      </c>
      <c r="U143" s="105">
        <f>SUMIFS('INPUT Reg'!AQ$94:AQ$109,'INPUT Reg'!$D$94:$D$109,$D143,'INPUT Reg'!$C$94:$C$109,$C143,'INPUT Reg'!$B$94:$B$109,$B143)</f>
        <v>0</v>
      </c>
      <c r="V143" s="105">
        <f>SUMIFS('INPUT Reg'!AR$94:AR$109,'INPUT Reg'!$D$94:$D$109,$D143,'INPUT Reg'!$C$94:$C$109,$C143,'INPUT Reg'!$B$94:$B$109,$B143)</f>
        <v>-8.7932090338180724E-2</v>
      </c>
      <c r="W143" s="105">
        <f>SUMIFS('INPUT Reg'!AS$94:AS$109,'INPUT Reg'!$D$94:$D$109,$D143,'INPUT Reg'!$C$94:$C$109,$C143,'INPUT Reg'!$B$94:$B$109,$B143)</f>
        <v>0</v>
      </c>
      <c r="X143" s="105">
        <f>SUMIFS('INPUT Reg'!AT$94:AT$109,'INPUT Reg'!$D$94:$D$109,$D143,'INPUT Reg'!$C$94:$C$109,$C143,'INPUT Reg'!$B$94:$B$109,$B143)</f>
        <v>0</v>
      </c>
      <c r="Y143" s="105">
        <f>SUMIFS('INPUT Reg'!AU$94:AU$109,'INPUT Reg'!$D$94:$D$109,$D143,'INPUT Reg'!$C$94:$C$109,$C143,'INPUT Reg'!$B$94:$B$109,$B143)</f>
        <v>0</v>
      </c>
      <c r="Z143" s="105">
        <f>SUMIFS('INPUT Reg'!AV$94:AV$109,'INPUT Reg'!$D$94:$D$109,$D143,'INPUT Reg'!$C$94:$C$109,$C143,'INPUT Reg'!$B$94:$B$109,$B143)</f>
        <v>0</v>
      </c>
      <c r="AA143" s="105">
        <f>SUMIFS('INPUT Reg'!AW$94:AW$109,'INPUT Reg'!$D$94:$D$109,$D143,'INPUT Reg'!$C$94:$C$109,$C143,'INPUT Reg'!$B$94:$B$109,$B143)</f>
        <v>0</v>
      </c>
    </row>
    <row r="144" spans="1:27" x14ac:dyDescent="0.25">
      <c r="A144" s="101">
        <v>30</v>
      </c>
      <c r="B144" s="47" t="str">
        <f>B132</f>
        <v>Western</v>
      </c>
      <c r="C144" s="47" t="str">
        <f t="shared" ref="C144:D144" si="65">C132</f>
        <v>R</v>
      </c>
      <c r="D144" s="47" t="str">
        <f t="shared" si="65"/>
        <v>Water and Sewer</v>
      </c>
      <c r="E144" s="47" t="s">
        <v>669</v>
      </c>
      <c r="F144" s="47" t="s">
        <v>670</v>
      </c>
      <c r="G144" s="108">
        <f>IF(D144=W,WW_R_W_N,IF(D144=S,WW_R_S_N,IF(D144=WS,WW_R_W_N+WW_R_S_N,WW_R_R_N)))</f>
        <v>750.91449999999998</v>
      </c>
      <c r="H144" s="106">
        <f>G144*(1+$G$14)*(1+H143)</f>
        <v>746.29095147549037</v>
      </c>
      <c r="I144" s="106">
        <f t="shared" ref="I144:AA144" si="66">H144*(1+$G$14)*(1+I143)</f>
        <v>737.53623418803272</v>
      </c>
      <c r="J144" s="106">
        <f t="shared" si="66"/>
        <v>728.78151690057518</v>
      </c>
      <c r="K144" s="106">
        <f t="shared" si="66"/>
        <v>720.02679961311753</v>
      </c>
      <c r="L144" s="106">
        <f t="shared" si="66"/>
        <v>711.77983212792333</v>
      </c>
      <c r="M144" s="106">
        <f t="shared" si="66"/>
        <v>703.53286464272912</v>
      </c>
      <c r="N144" s="106">
        <f t="shared" si="66"/>
        <v>695.28589715753492</v>
      </c>
      <c r="O144" s="106">
        <f t="shared" si="66"/>
        <v>687.0389296723406</v>
      </c>
      <c r="P144" s="106">
        <f t="shared" si="66"/>
        <v>679.90834235617854</v>
      </c>
      <c r="Q144" s="106">
        <f t="shared" si="66"/>
        <v>641.09964870677084</v>
      </c>
      <c r="R144" s="106">
        <f t="shared" si="66"/>
        <v>641.09964870677084</v>
      </c>
      <c r="S144" s="106">
        <f t="shared" si="66"/>
        <v>641.09964870677084</v>
      </c>
      <c r="T144" s="106">
        <f t="shared" si="66"/>
        <v>641.09964870677084</v>
      </c>
      <c r="U144" s="106">
        <f t="shared" si="66"/>
        <v>641.09964870677084</v>
      </c>
      <c r="V144" s="106">
        <f t="shared" si="66"/>
        <v>584.7264164809111</v>
      </c>
      <c r="W144" s="106">
        <f t="shared" si="66"/>
        <v>584.7264164809111</v>
      </c>
      <c r="X144" s="106">
        <f t="shared" si="66"/>
        <v>584.7264164809111</v>
      </c>
      <c r="Y144" s="106">
        <f t="shared" si="66"/>
        <v>584.7264164809111</v>
      </c>
      <c r="Z144" s="106">
        <f t="shared" si="66"/>
        <v>584.7264164809111</v>
      </c>
      <c r="AA144" s="106">
        <f t="shared" si="66"/>
        <v>584.7264164809111</v>
      </c>
    </row>
    <row r="145" spans="1:27" x14ac:dyDescent="0.25">
      <c r="B145" s="47" t="str">
        <f>B132</f>
        <v>Western</v>
      </c>
      <c r="C145" s="47" t="str">
        <f t="shared" ref="C145:D145" si="67">C132</f>
        <v>R</v>
      </c>
      <c r="D145" s="47" t="str">
        <f t="shared" si="67"/>
        <v>Water and Sewer</v>
      </c>
      <c r="E145" s="47" t="s">
        <v>671</v>
      </c>
      <c r="F145" s="47" t="s">
        <v>672</v>
      </c>
      <c r="G145" s="109">
        <f>IF(OR(D145=W,D145=WS),WW_T1,IF(D145=RW,WW_R_R_V,0))</f>
        <v>2.3071000000000002</v>
      </c>
      <c r="H145" s="110">
        <f>G145*(1+$G$14)*(1+H143)</f>
        <v>2.2928946692987071</v>
      </c>
      <c r="I145" s="110">
        <f t="shared" ref="I145:AA145" si="68">H145*(1+$G$14)*(1+I143)</f>
        <v>2.2659967891087609</v>
      </c>
      <c r="J145" s="110">
        <f t="shared" si="68"/>
        <v>2.2390989089188147</v>
      </c>
      <c r="K145" s="110">
        <f t="shared" si="68"/>
        <v>2.212201028728868</v>
      </c>
      <c r="L145" s="110">
        <f t="shared" si="68"/>
        <v>2.186863152465869</v>
      </c>
      <c r="M145" s="110">
        <f t="shared" si="68"/>
        <v>2.16152527620287</v>
      </c>
      <c r="N145" s="110">
        <f t="shared" si="68"/>
        <v>2.1361873999398711</v>
      </c>
      <c r="O145" s="110">
        <f t="shared" si="68"/>
        <v>2.1108495236768721</v>
      </c>
      <c r="P145" s="110">
        <f t="shared" si="68"/>
        <v>2.0889415994097051</v>
      </c>
      <c r="Q145" s="110">
        <f t="shared" si="68"/>
        <v>1.9697062708622493</v>
      </c>
      <c r="R145" s="110">
        <f t="shared" si="68"/>
        <v>1.9697062708622493</v>
      </c>
      <c r="S145" s="110">
        <f t="shared" si="68"/>
        <v>1.9697062708622493</v>
      </c>
      <c r="T145" s="110">
        <f t="shared" si="68"/>
        <v>1.9697062708622493</v>
      </c>
      <c r="U145" s="110">
        <f t="shared" si="68"/>
        <v>1.9697062708622493</v>
      </c>
      <c r="V145" s="110">
        <f t="shared" si="68"/>
        <v>1.7965058811131089</v>
      </c>
      <c r="W145" s="110">
        <f t="shared" si="68"/>
        <v>1.7965058811131089</v>
      </c>
      <c r="X145" s="110">
        <f t="shared" si="68"/>
        <v>1.7965058811131089</v>
      </c>
      <c r="Y145" s="110">
        <f t="shared" si="68"/>
        <v>1.7965058811131089</v>
      </c>
      <c r="Z145" s="110">
        <f t="shared" si="68"/>
        <v>1.7965058811131089</v>
      </c>
      <c r="AA145" s="110">
        <f t="shared" si="68"/>
        <v>1.7965058811131089</v>
      </c>
    </row>
    <row r="146" spans="1:27" x14ac:dyDescent="0.25">
      <c r="B146" s="47" t="str">
        <f>B132</f>
        <v>Western</v>
      </c>
      <c r="C146" s="47" t="str">
        <f t="shared" ref="C146:D146" si="69">C132</f>
        <v>R</v>
      </c>
      <c r="D146" s="47" t="str">
        <f t="shared" si="69"/>
        <v>Water and Sewer</v>
      </c>
      <c r="E146" s="47" t="s">
        <v>673</v>
      </c>
      <c r="F146" s="47" t="s">
        <v>672</v>
      </c>
      <c r="G146" s="109">
        <f>IF(OR(D146=W,D146=WS),WW_T2,0)</f>
        <v>3.0611000000000002</v>
      </c>
      <c r="H146" s="110">
        <f>G146*(1+$G$14)*(1+H143)</f>
        <v>3.0422521226606007</v>
      </c>
      <c r="I146" s="110">
        <f t="shared" ref="I146:AA146" si="70">H146*(1+$G$14)*(1+I143)</f>
        <v>3.0065635521394074</v>
      </c>
      <c r="J146" s="110">
        <f t="shared" si="70"/>
        <v>2.9708749816182145</v>
      </c>
      <c r="K146" s="110">
        <f t="shared" si="70"/>
        <v>2.9351864110970212</v>
      </c>
      <c r="L146" s="110">
        <f t="shared" si="70"/>
        <v>2.9015676806437831</v>
      </c>
      <c r="M146" s="110">
        <f t="shared" si="70"/>
        <v>2.8679489501905451</v>
      </c>
      <c r="N146" s="110">
        <f t="shared" si="70"/>
        <v>2.834330219737307</v>
      </c>
      <c r="O146" s="110">
        <f t="shared" si="70"/>
        <v>2.800711489284069</v>
      </c>
      <c r="P146" s="110">
        <f t="shared" si="70"/>
        <v>2.771643678190391</v>
      </c>
      <c r="Q146" s="110">
        <f t="shared" si="70"/>
        <v>2.613440191468265</v>
      </c>
      <c r="R146" s="110">
        <f t="shared" si="70"/>
        <v>2.613440191468265</v>
      </c>
      <c r="S146" s="110">
        <f t="shared" si="70"/>
        <v>2.613440191468265</v>
      </c>
      <c r="T146" s="110">
        <f t="shared" si="70"/>
        <v>2.613440191468265</v>
      </c>
      <c r="U146" s="110">
        <f t="shared" si="70"/>
        <v>2.613440191468265</v>
      </c>
      <c r="V146" s="110">
        <f t="shared" si="70"/>
        <v>2.3836349324586452</v>
      </c>
      <c r="W146" s="110">
        <f t="shared" si="70"/>
        <v>2.3836349324586452</v>
      </c>
      <c r="X146" s="110">
        <f t="shared" si="70"/>
        <v>2.3836349324586452</v>
      </c>
      <c r="Y146" s="110">
        <f t="shared" si="70"/>
        <v>2.3836349324586452</v>
      </c>
      <c r="Z146" s="110">
        <f t="shared" si="70"/>
        <v>2.3836349324586452</v>
      </c>
      <c r="AA146" s="110">
        <f t="shared" si="70"/>
        <v>2.3836349324586452</v>
      </c>
    </row>
    <row r="147" spans="1:27" x14ac:dyDescent="0.25">
      <c r="B147" s="47" t="str">
        <f>B132</f>
        <v>Western</v>
      </c>
      <c r="C147" s="47" t="str">
        <f t="shared" ref="C147:D147" si="71">C132</f>
        <v>R</v>
      </c>
      <c r="D147" s="47" t="str">
        <f t="shared" si="71"/>
        <v>Water and Sewer</v>
      </c>
      <c r="E147" s="47" t="s">
        <v>674</v>
      </c>
      <c r="F147" s="47" t="s">
        <v>672</v>
      </c>
      <c r="G147" s="109">
        <f>IF(OR(D147=S,D147=WS), WW_R_SDC,0)</f>
        <v>0</v>
      </c>
      <c r="H147" s="110">
        <f>G147*(1+$G$14)*(1+H143)</f>
        <v>0</v>
      </c>
      <c r="I147" s="110">
        <f t="shared" ref="I147:AA147" si="72">H147*(1+$G$14)*(1+I143)</f>
        <v>0</v>
      </c>
      <c r="J147" s="110">
        <f t="shared" si="72"/>
        <v>0</v>
      </c>
      <c r="K147" s="110">
        <f t="shared" si="72"/>
        <v>0</v>
      </c>
      <c r="L147" s="110">
        <f t="shared" si="72"/>
        <v>0</v>
      </c>
      <c r="M147" s="110">
        <f t="shared" si="72"/>
        <v>0</v>
      </c>
      <c r="N147" s="110">
        <f t="shared" si="72"/>
        <v>0</v>
      </c>
      <c r="O147" s="110">
        <f t="shared" si="72"/>
        <v>0</v>
      </c>
      <c r="P147" s="110">
        <f t="shared" si="72"/>
        <v>0</v>
      </c>
      <c r="Q147" s="110">
        <f t="shared" si="72"/>
        <v>0</v>
      </c>
      <c r="R147" s="110">
        <f t="shared" si="72"/>
        <v>0</v>
      </c>
      <c r="S147" s="110">
        <f t="shared" si="72"/>
        <v>0</v>
      </c>
      <c r="T147" s="110">
        <f t="shared" si="72"/>
        <v>0</v>
      </c>
      <c r="U147" s="110">
        <f t="shared" si="72"/>
        <v>0</v>
      </c>
      <c r="V147" s="110">
        <f t="shared" si="72"/>
        <v>0</v>
      </c>
      <c r="W147" s="110">
        <f t="shared" si="72"/>
        <v>0</v>
      </c>
      <c r="X147" s="110">
        <f t="shared" si="72"/>
        <v>0</v>
      </c>
      <c r="Y147" s="110">
        <f t="shared" si="72"/>
        <v>0</v>
      </c>
      <c r="Z147" s="110">
        <f t="shared" si="72"/>
        <v>0</v>
      </c>
      <c r="AA147" s="110">
        <f t="shared" si="72"/>
        <v>0</v>
      </c>
    </row>
    <row r="148" spans="1:27" x14ac:dyDescent="0.25">
      <c r="C148" s="100"/>
      <c r="D148" s="100"/>
    </row>
    <row r="149" spans="1:27" x14ac:dyDescent="0.25">
      <c r="C149" s="100"/>
      <c r="D149" s="100"/>
      <c r="E149" s="47" t="s">
        <v>682</v>
      </c>
      <c r="F149" s="47" t="s">
        <v>676</v>
      </c>
      <c r="H149" s="106">
        <f>SUM(H140:H142)/1000</f>
        <v>1259.6647031942603</v>
      </c>
      <c r="I149" s="106">
        <f t="shared" ref="I149:AA149" si="73">SUM(I140:I142)/1000</f>
        <v>2557.3224424617979</v>
      </c>
      <c r="J149" s="106">
        <f t="shared" si="73"/>
        <v>3663.3888513032821</v>
      </c>
      <c r="K149" s="106">
        <f t="shared" si="73"/>
        <v>4783.049227864456</v>
      </c>
      <c r="L149" s="106">
        <f t="shared" si="73"/>
        <v>5885.1031357016491</v>
      </c>
      <c r="M149" s="106">
        <f t="shared" si="73"/>
        <v>7047.3019890807773</v>
      </c>
      <c r="N149" s="106">
        <f t="shared" si="73"/>
        <v>8167.672411063646</v>
      </c>
      <c r="O149" s="106">
        <f t="shared" si="73"/>
        <v>9361.5286601846456</v>
      </c>
      <c r="P149" s="106">
        <f t="shared" si="73"/>
        <v>10496.56552891633</v>
      </c>
      <c r="Q149" s="106">
        <f t="shared" si="73"/>
        <v>11643.00786945718</v>
      </c>
      <c r="R149" s="106">
        <f t="shared" si="73"/>
        <v>12775.595985042182</v>
      </c>
      <c r="S149" s="106">
        <f t="shared" si="73"/>
        <v>13928.835502667192</v>
      </c>
      <c r="T149" s="106">
        <f t="shared" si="73"/>
        <v>14966.773387100304</v>
      </c>
      <c r="U149" s="106">
        <f t="shared" si="73"/>
        <v>16033.470657890324</v>
      </c>
      <c r="V149" s="106">
        <f t="shared" si="73"/>
        <v>17088.591888392359</v>
      </c>
      <c r="W149" s="106">
        <f t="shared" si="73"/>
        <v>18200.74044373268</v>
      </c>
      <c r="X149" s="106">
        <f t="shared" si="73"/>
        <v>19149.633260710798</v>
      </c>
      <c r="Y149" s="106">
        <f t="shared" si="73"/>
        <v>20184.962032861076</v>
      </c>
      <c r="Z149" s="106">
        <f t="shared" si="73"/>
        <v>21169.002911370859</v>
      </c>
      <c r="AA149" s="106">
        <f t="shared" si="73"/>
        <v>22163.916743353442</v>
      </c>
    </row>
    <row r="150" spans="1:27" x14ac:dyDescent="0.25">
      <c r="C150" s="100"/>
      <c r="D150" s="100"/>
      <c r="E150" s="47" t="s">
        <v>683</v>
      </c>
      <c r="F150" s="47" t="s">
        <v>639</v>
      </c>
      <c r="H150" s="106">
        <f>H133*H144+H140*H145+H141*H146+H142*H147</f>
        <v>5123527.5454480508</v>
      </c>
      <c r="I150" s="106">
        <f t="shared" ref="I150:AA150" si="74">I133*I144+I140*I145+I141*I146+I142*I147</f>
        <v>10420516.148303684</v>
      </c>
      <c r="J150" s="106">
        <f t="shared" si="74"/>
        <v>14801436.573386844</v>
      </c>
      <c r="K150" s="106">
        <f t="shared" si="74"/>
        <v>19128299.105374575</v>
      </c>
      <c r="L150" s="106">
        <f t="shared" si="74"/>
        <v>23411697.709986538</v>
      </c>
      <c r="M150" s="106">
        <f t="shared" si="74"/>
        <v>27841013.344800778</v>
      </c>
      <c r="N150" s="106">
        <f t="shared" si="74"/>
        <v>32032212.990649551</v>
      </c>
      <c r="O150" s="106">
        <f t="shared" si="74"/>
        <v>36379814.195660263</v>
      </c>
      <c r="P150" s="106">
        <f t="shared" si="74"/>
        <v>40638012.50283882</v>
      </c>
      <c r="Q150" s="106">
        <f t="shared" si="74"/>
        <v>42708088.500433303</v>
      </c>
      <c r="R150" s="106">
        <f t="shared" si="74"/>
        <v>47083971.772800013</v>
      </c>
      <c r="S150" s="106">
        <f t="shared" si="74"/>
        <v>51477157.845505476</v>
      </c>
      <c r="T150" s="106">
        <f t="shared" si="74"/>
        <v>55672025.245773576</v>
      </c>
      <c r="U150" s="106">
        <f t="shared" si="74"/>
        <v>59902236.229034707</v>
      </c>
      <c r="V150" s="106">
        <f t="shared" si="74"/>
        <v>58464939.553133614</v>
      </c>
      <c r="W150" s="106">
        <f t="shared" si="74"/>
        <v>62379461.216095552</v>
      </c>
      <c r="X150" s="106">
        <f t="shared" si="74"/>
        <v>66110678.569687694</v>
      </c>
      <c r="Y150" s="106">
        <f t="shared" si="74"/>
        <v>69873444.099398822</v>
      </c>
      <c r="Z150" s="106">
        <f t="shared" si="74"/>
        <v>73468837.891539782</v>
      </c>
      <c r="AA150" s="106">
        <f t="shared" si="74"/>
        <v>76921771.567443624</v>
      </c>
    </row>
    <row r="151" spans="1:27" x14ac:dyDescent="0.25">
      <c r="C151" s="100"/>
      <c r="D151" s="100"/>
    </row>
    <row r="152" spans="1:27" x14ac:dyDescent="0.25">
      <c r="C152" s="100"/>
      <c r="D152" s="47" t="s">
        <v>684</v>
      </c>
    </row>
    <row r="153" spans="1:27" x14ac:dyDescent="0.25">
      <c r="A153" s="101">
        <v>31</v>
      </c>
      <c r="B153" s="47" t="s">
        <v>265</v>
      </c>
      <c r="C153" s="100" t="s">
        <v>407</v>
      </c>
      <c r="D153" s="100" t="str">
        <f>$G$4</f>
        <v>Water and Sewer</v>
      </c>
      <c r="E153" s="47" t="s">
        <v>654</v>
      </c>
      <c r="F153" s="47" t="s">
        <v>655</v>
      </c>
      <c r="H153" s="102">
        <f>IF($G$4="Water and sewer",SUMIFS('INPUT Growth'!AD$64:AD$115,'INPUT Growth'!$B$64:$B$115,$A$1,'INPUT Growth'!$F$64:$F$115,$B153,'INPUT Growth'!$E$64:$E$115,$C153),SUMIFS('INPUT Growth'!AD$64:AD$115,'INPUT Growth'!$A$64:$A$115,$A$1,'INPUT Growth'!$F$64:$F$115,$B153,'INPUT Growth'!$E$64:$E$115,$C153))</f>
        <v>129.22180938446809</v>
      </c>
      <c r="I153" s="102">
        <f>IF($G$4="Water and sewer",SUMIFS('INPUT Growth'!AE$64:AE$115,'INPUT Growth'!$B$64:$B$115,$A$1,'INPUT Growth'!$F$64:$F$115,$B153,'INPUT Growth'!$E$64:$E$115,$C153),SUMIFS('INPUT Growth'!AE$64:AE$115,'INPUT Growth'!$A$64:$A$115,$A$1,'INPUT Growth'!$F$64:$F$115,$B153,'INPUT Growth'!$E$64:$E$115,$C153))</f>
        <v>158.2645771177622</v>
      </c>
      <c r="J153" s="102">
        <f>IF($G$4="Water and sewer",SUMIFS('INPUT Growth'!AF$64:AF$115,'INPUT Growth'!$B$64:$B$115,$A$1,'INPUT Growth'!$F$64:$F$115,$B153,'INPUT Growth'!$E$64:$E$115,$C153),SUMIFS('INPUT Growth'!AF$64:AF$115,'INPUT Growth'!$A$64:$A$115,$A$1,'INPUT Growth'!$F$64:$F$115,$B153,'INPUT Growth'!$E$64:$E$115,$C153))</f>
        <v>171.05670129984446</v>
      </c>
      <c r="K153" s="102">
        <f>IF($G$4="Water and sewer",SUMIFS('INPUT Growth'!AG$64:AG$115,'INPUT Growth'!$B$64:$B$115,$A$1,'INPUT Growth'!$F$64:$F$115,$B153,'INPUT Growth'!$E$64:$E$115,$C153),SUMIFS('INPUT Growth'!AG$64:AG$115,'INPUT Growth'!$A$64:$A$115,$A$1,'INPUT Growth'!$F$64:$F$115,$B153,'INPUT Growth'!$E$64:$E$115,$C153))</f>
        <v>208.7076507288898</v>
      </c>
      <c r="L153" s="102">
        <f>IF($G$4="Water and sewer",SUMIFS('INPUT Growth'!AH$64:AH$115,'INPUT Growth'!$B$64:$B$115,$A$1,'INPUT Growth'!$F$64:$F$115,$B153,'INPUT Growth'!$E$64:$E$115,$C153),SUMIFS('INPUT Growth'!AH$64:AH$115,'INPUT Growth'!$A$64:$A$115,$A$1,'INPUT Growth'!$F$64:$F$115,$B153,'INPUT Growth'!$E$64:$E$115,$C153))</f>
        <v>252.82889249168284</v>
      </c>
      <c r="M153" s="102">
        <f>IF($G$4="Water and sewer",SUMIFS('INPUT Growth'!AI$64:AI$115,'INPUT Growth'!$B$64:$B$115,$A$1,'INPUT Growth'!$F$64:$F$115,$B153,'INPUT Growth'!$E$64:$E$115,$C153),SUMIFS('INPUT Growth'!AI$64:AI$115,'INPUT Growth'!$A$64:$A$115,$A$1,'INPUT Growth'!$F$64:$F$115,$B153,'INPUT Growth'!$E$64:$E$115,$C153))</f>
        <v>303.85647174773794</v>
      </c>
      <c r="N153" s="102">
        <f>IF($G$4="Water and sewer",SUMIFS('INPUT Growth'!AJ$64:AJ$115,'INPUT Growth'!$B$64:$B$115,$A$1,'INPUT Growth'!$F$64:$F$115,$B153,'INPUT Growth'!$E$64:$E$115,$C153),SUMIFS('INPUT Growth'!AJ$64:AJ$115,'INPUT Growth'!$A$64:$A$115,$A$1,'INPUT Growth'!$F$64:$F$115,$B153,'INPUT Growth'!$E$64:$E$115,$C153))</f>
        <v>319.71487516270417</v>
      </c>
      <c r="O153" s="102">
        <f>IF($G$4="Water and sewer",SUMIFS('INPUT Growth'!AK$64:AK$115,'INPUT Growth'!$B$64:$B$115,$A$1,'INPUT Growth'!$F$64:$F$115,$B153,'INPUT Growth'!$E$64:$E$115,$C153),SUMIFS('INPUT Growth'!AK$64:AK$115,'INPUT Growth'!$A$64:$A$115,$A$1,'INPUT Growth'!$F$64:$F$115,$B153,'INPUT Growth'!$E$64:$E$115,$C153))</f>
        <v>361.20884015559659</v>
      </c>
      <c r="P153" s="102">
        <f>IF($G$4="Water and sewer",SUMIFS('INPUT Growth'!AL$64:AL$115,'INPUT Growth'!$B$64:$B$115,$A$1,'INPUT Growth'!$F$64:$F$115,$B153,'INPUT Growth'!$E$64:$E$115,$C153),SUMIFS('INPUT Growth'!AL$64:AL$115,'INPUT Growth'!$A$64:$A$115,$A$1,'INPUT Growth'!$F$64:$F$115,$B153,'INPUT Growth'!$E$64:$E$115,$C153))</f>
        <v>383.32864420185433</v>
      </c>
      <c r="Q153" s="102">
        <f>IF($G$4="Water and sewer",SUMIFS('INPUT Growth'!AM$64:AM$115,'INPUT Growth'!$B$64:$B$115,$A$1,'INPUT Growth'!$F$64:$F$115,$B153,'INPUT Growth'!$E$64:$E$115,$C153),SUMIFS('INPUT Growth'!AM$64:AM$115,'INPUT Growth'!$A$64:$A$115,$A$1,'INPUT Growth'!$F$64:$F$115,$B153,'INPUT Growth'!$E$64:$E$115,$C153))</f>
        <v>396.38074403571045</v>
      </c>
      <c r="R153" s="102">
        <f>IF($G$4="Water and sewer",SUMIFS('INPUT Growth'!AN$64:AN$115,'INPUT Growth'!$B$64:$B$115,$A$1,'INPUT Growth'!$F$64:$F$115,$B153,'INPUT Growth'!$E$64:$E$115,$C153),SUMIFS('INPUT Growth'!AN$64:AN$115,'INPUT Growth'!$A$64:$A$115,$A$1,'INPUT Growth'!$F$64:$F$115,$B153,'INPUT Growth'!$E$64:$E$115,$C153))</f>
        <v>392.69467837158754</v>
      </c>
      <c r="S153" s="102">
        <f>IF($G$4="Water and sewer",SUMIFS('INPUT Growth'!AO$64:AO$115,'INPUT Growth'!$B$64:$B$115,$A$1,'INPUT Growth'!$F$64:$F$115,$B153,'INPUT Growth'!$E$64:$E$115,$C153),SUMIFS('INPUT Growth'!AO$64:AO$115,'INPUT Growth'!$A$64:$A$115,$A$1,'INPUT Growth'!$F$64:$F$115,$B153,'INPUT Growth'!$E$64:$E$115,$C153))</f>
        <v>378.30382165532592</v>
      </c>
      <c r="T153" s="102">
        <f>IF($G$4="Water and sewer",SUMIFS('INPUT Growth'!AP$64:AP$115,'INPUT Growth'!$B$64:$B$115,$A$1,'INPUT Growth'!$F$64:$F$115,$B153,'INPUT Growth'!$E$64:$E$115,$C153),SUMIFS('INPUT Growth'!AP$64:AP$115,'INPUT Growth'!$A$64:$A$115,$A$1,'INPUT Growth'!$F$64:$F$115,$B153,'INPUT Growth'!$E$64:$E$115,$C153))</f>
        <v>365.97166327740888</v>
      </c>
      <c r="U153" s="102">
        <f>IF($G$4="Water and sewer",SUMIFS('INPUT Growth'!AQ$64:AQ$115,'INPUT Growth'!$B$64:$B$115,$A$1,'INPUT Growth'!$F$64:$F$115,$B153,'INPUT Growth'!$E$64:$E$115,$C153),SUMIFS('INPUT Growth'!AQ$64:AQ$115,'INPUT Growth'!$A$64:$A$115,$A$1,'INPUT Growth'!$F$64:$F$115,$B153,'INPUT Growth'!$E$64:$E$115,$C153))</f>
        <v>355.20049509683849</v>
      </c>
      <c r="V153" s="102">
        <f>IF($G$4="Water and sewer",SUMIFS('INPUT Growth'!AR$64:AR$115,'INPUT Growth'!$B$64:$B$115,$A$1,'INPUT Growth'!$F$64:$F$115,$B153,'INPUT Growth'!$E$64:$E$115,$C153),SUMIFS('INPUT Growth'!AR$64:AR$115,'INPUT Growth'!$A$64:$A$115,$A$1,'INPUT Growth'!$F$64:$F$115,$B153,'INPUT Growth'!$E$64:$E$115,$C153))</f>
        <v>341.91163539585705</v>
      </c>
      <c r="W153" s="102">
        <f>IF($G$4="Water and sewer",SUMIFS('INPUT Growth'!AS$64:AS$115,'INPUT Growth'!$B$64:$B$115,$A$1,'INPUT Growth'!$F$64:$F$115,$B153,'INPUT Growth'!$E$64:$E$115,$C153),SUMIFS('INPUT Growth'!AS$64:AS$115,'INPUT Growth'!$A$64:$A$115,$A$1,'INPUT Growth'!$F$64:$F$115,$B153,'INPUT Growth'!$E$64:$E$115,$C153))</f>
        <v>292.81900703740939</v>
      </c>
      <c r="X153" s="102">
        <f>IF($G$4="Water and sewer",SUMIFS('INPUT Growth'!AT$64:AT$115,'INPUT Growth'!$B$64:$B$115,$A$1,'INPUT Growth'!$F$64:$F$115,$B153,'INPUT Growth'!$E$64:$E$115,$C153),SUMIFS('INPUT Growth'!AT$64:AT$115,'INPUT Growth'!$A$64:$A$115,$A$1,'INPUT Growth'!$F$64:$F$115,$B153,'INPUT Growth'!$E$64:$E$115,$C153))</f>
        <v>252.12516688118285</v>
      </c>
      <c r="Y153" s="102">
        <f>IF($G$4="Water and sewer",SUMIFS('INPUT Growth'!AU$64:AU$115,'INPUT Growth'!$B$64:$B$115,$A$1,'INPUT Growth'!$F$64:$F$115,$B153,'INPUT Growth'!$E$64:$E$115,$C153),SUMIFS('INPUT Growth'!AU$64:AU$115,'INPUT Growth'!$A$64:$A$115,$A$1,'INPUT Growth'!$F$64:$F$115,$B153,'INPUT Growth'!$E$64:$E$115,$C153))</f>
        <v>200.05501644230844</v>
      </c>
      <c r="Z153" s="102">
        <f>IF($G$4="Water and sewer",SUMIFS('INPUT Growth'!AV$64:AV$115,'INPUT Growth'!$B$64:$B$115,$A$1,'INPUT Growth'!$F$64:$F$115,$B153,'INPUT Growth'!$E$64:$E$115,$C153),SUMIFS('INPUT Growth'!AV$64:AV$115,'INPUT Growth'!$A$64:$A$115,$A$1,'INPUT Growth'!$F$64:$F$115,$B153,'INPUT Growth'!$E$64:$E$115,$C153))</f>
        <v>165.26836680623455</v>
      </c>
      <c r="AA153" s="102">
        <f>IF($G$4="Water and sewer",SUMIFS('INPUT Growth'!AW$64:AW$115,'INPUT Growth'!$B$64:$B$115,$A$1,'INPUT Growth'!$F$64:$F$115,$B153,'INPUT Growth'!$E$64:$E$115,$C153),SUMIFS('INPUT Growth'!AW$64:AW$115,'INPUT Growth'!$A$64:$A$115,$A$1,'INPUT Growth'!$F$64:$F$115,$B153,'INPUT Growth'!$E$64:$E$115,$C153))</f>
        <v>169.53257451816444</v>
      </c>
    </row>
    <row r="154" spans="1:27" x14ac:dyDescent="0.25">
      <c r="C154" s="100"/>
      <c r="D154" s="100"/>
      <c r="E154" s="47" t="s">
        <v>656</v>
      </c>
      <c r="F154" s="47" t="s">
        <v>655</v>
      </c>
      <c r="H154" s="106">
        <f>G154+H153</f>
        <v>129.22180938446809</v>
      </c>
      <c r="I154" s="106">
        <f t="shared" ref="I154:AA154" si="75">H154+I153</f>
        <v>287.48638650223029</v>
      </c>
      <c r="J154" s="106">
        <f t="shared" si="75"/>
        <v>458.54308780207475</v>
      </c>
      <c r="K154" s="106">
        <f t="shared" si="75"/>
        <v>667.25073853096455</v>
      </c>
      <c r="L154" s="106">
        <f t="shared" si="75"/>
        <v>920.07963102264739</v>
      </c>
      <c r="M154" s="106">
        <f t="shared" si="75"/>
        <v>1223.9361027703853</v>
      </c>
      <c r="N154" s="106">
        <f t="shared" si="75"/>
        <v>1543.6509779330895</v>
      </c>
      <c r="O154" s="106">
        <f t="shared" si="75"/>
        <v>1904.8598180886861</v>
      </c>
      <c r="P154" s="106">
        <f t="shared" si="75"/>
        <v>2288.1884622905404</v>
      </c>
      <c r="Q154" s="106">
        <f t="shared" si="75"/>
        <v>2684.5692063262509</v>
      </c>
      <c r="R154" s="106">
        <f t="shared" si="75"/>
        <v>3077.2638846978384</v>
      </c>
      <c r="S154" s="106">
        <f t="shared" si="75"/>
        <v>3455.5677063531643</v>
      </c>
      <c r="T154" s="106">
        <f t="shared" si="75"/>
        <v>3821.5393696305732</v>
      </c>
      <c r="U154" s="106">
        <f t="shared" si="75"/>
        <v>4176.7398647274113</v>
      </c>
      <c r="V154" s="106">
        <f t="shared" si="75"/>
        <v>4518.6515001232683</v>
      </c>
      <c r="W154" s="106">
        <f t="shared" si="75"/>
        <v>4811.4705071606777</v>
      </c>
      <c r="X154" s="106">
        <f t="shared" si="75"/>
        <v>5063.5956740418605</v>
      </c>
      <c r="Y154" s="106">
        <f t="shared" si="75"/>
        <v>5263.650690484169</v>
      </c>
      <c r="Z154" s="106">
        <f t="shared" si="75"/>
        <v>5428.9190572904035</v>
      </c>
      <c r="AA154" s="106">
        <f t="shared" si="75"/>
        <v>5598.451631808568</v>
      </c>
    </row>
    <row r="155" spans="1:27" x14ac:dyDescent="0.25">
      <c r="A155" s="101">
        <v>32</v>
      </c>
      <c r="C155" s="100"/>
      <c r="D155" s="100"/>
      <c r="E155" s="47" t="s">
        <v>657</v>
      </c>
      <c r="F155" s="47" t="s">
        <v>655</v>
      </c>
      <c r="G155" s="102">
        <v>2</v>
      </c>
    </row>
    <row r="156" spans="1:27" x14ac:dyDescent="0.25">
      <c r="C156" s="100"/>
      <c r="D156" s="100"/>
      <c r="E156" s="47" t="s">
        <v>658</v>
      </c>
      <c r="F156" s="47" t="s">
        <v>655</v>
      </c>
      <c r="H156" s="47">
        <f>H153*$G155</f>
        <v>258.44361876893618</v>
      </c>
      <c r="I156" s="47">
        <f t="shared" ref="I156:AA156" si="76">I153*$G155</f>
        <v>316.5291542355244</v>
      </c>
      <c r="J156" s="47">
        <f t="shared" si="76"/>
        <v>342.11340259968892</v>
      </c>
      <c r="K156" s="47">
        <f t="shared" si="76"/>
        <v>417.41530145777961</v>
      </c>
      <c r="L156" s="47">
        <f t="shared" si="76"/>
        <v>505.65778498336567</v>
      </c>
      <c r="M156" s="47">
        <f t="shared" si="76"/>
        <v>607.71294349547588</v>
      </c>
      <c r="N156" s="47">
        <f t="shared" si="76"/>
        <v>639.42975032540835</v>
      </c>
      <c r="O156" s="47">
        <f t="shared" si="76"/>
        <v>722.41768031119318</v>
      </c>
      <c r="P156" s="47">
        <f t="shared" si="76"/>
        <v>766.65728840370866</v>
      </c>
      <c r="Q156" s="47">
        <f t="shared" si="76"/>
        <v>792.7614880714209</v>
      </c>
      <c r="R156" s="47">
        <f t="shared" si="76"/>
        <v>785.38935674317509</v>
      </c>
      <c r="S156" s="47">
        <f t="shared" si="76"/>
        <v>756.60764331065184</v>
      </c>
      <c r="T156" s="47">
        <f t="shared" si="76"/>
        <v>731.94332655481776</v>
      </c>
      <c r="U156" s="47">
        <f t="shared" si="76"/>
        <v>710.40099019367699</v>
      </c>
      <c r="V156" s="47">
        <f t="shared" si="76"/>
        <v>683.82327079171409</v>
      </c>
      <c r="W156" s="47">
        <f t="shared" si="76"/>
        <v>585.63801407481878</v>
      </c>
      <c r="X156" s="47">
        <f t="shared" si="76"/>
        <v>504.2503337623657</v>
      </c>
      <c r="Y156" s="47">
        <f t="shared" si="76"/>
        <v>400.11003288461688</v>
      </c>
      <c r="Z156" s="47">
        <f t="shared" si="76"/>
        <v>330.53673361246911</v>
      </c>
      <c r="AA156" s="47">
        <f t="shared" si="76"/>
        <v>339.06514903632888</v>
      </c>
    </row>
    <row r="157" spans="1:27" x14ac:dyDescent="0.25">
      <c r="C157" s="100"/>
      <c r="D157" s="100"/>
      <c r="E157" s="47" t="s">
        <v>659</v>
      </c>
      <c r="F157" s="47" t="s">
        <v>655</v>
      </c>
      <c r="H157" s="47">
        <f>H154*$G155</f>
        <v>258.44361876893618</v>
      </c>
      <c r="I157" s="47">
        <f t="shared" ref="I157:AA157" si="77">I154*$G155</f>
        <v>574.97277300446058</v>
      </c>
      <c r="J157" s="47">
        <f t="shared" si="77"/>
        <v>917.0861756041495</v>
      </c>
      <c r="K157" s="47">
        <f t="shared" si="77"/>
        <v>1334.5014770619291</v>
      </c>
      <c r="L157" s="47">
        <f t="shared" si="77"/>
        <v>1840.1592620452948</v>
      </c>
      <c r="M157" s="47">
        <f t="shared" si="77"/>
        <v>2447.8722055407707</v>
      </c>
      <c r="N157" s="47">
        <f t="shared" si="77"/>
        <v>3087.301955866179</v>
      </c>
      <c r="O157" s="47">
        <f t="shared" si="77"/>
        <v>3809.7196361773722</v>
      </c>
      <c r="P157" s="47">
        <f t="shared" si="77"/>
        <v>4576.3769245810809</v>
      </c>
      <c r="Q157" s="47">
        <f t="shared" si="77"/>
        <v>5369.1384126525018</v>
      </c>
      <c r="R157" s="47">
        <f t="shared" si="77"/>
        <v>6154.5277693956768</v>
      </c>
      <c r="S157" s="47">
        <f t="shared" si="77"/>
        <v>6911.1354127063287</v>
      </c>
      <c r="T157" s="47">
        <f t="shared" si="77"/>
        <v>7643.0787392611464</v>
      </c>
      <c r="U157" s="47">
        <f t="shared" si="77"/>
        <v>8353.4797294548225</v>
      </c>
      <c r="V157" s="47">
        <f t="shared" si="77"/>
        <v>9037.3030002465366</v>
      </c>
      <c r="W157" s="47">
        <f t="shared" si="77"/>
        <v>9622.9410143213554</v>
      </c>
      <c r="X157" s="47">
        <f t="shared" si="77"/>
        <v>10127.191348083721</v>
      </c>
      <c r="Y157" s="47">
        <f t="shared" si="77"/>
        <v>10527.301380968338</v>
      </c>
      <c r="Z157" s="47">
        <f t="shared" si="77"/>
        <v>10857.838114580807</v>
      </c>
      <c r="AA157" s="47">
        <f t="shared" si="77"/>
        <v>11196.903263617136</v>
      </c>
    </row>
    <row r="158" spans="1:27" x14ac:dyDescent="0.25">
      <c r="A158" s="101">
        <v>33</v>
      </c>
      <c r="B158" s="47" t="str">
        <f>B153</f>
        <v>Western</v>
      </c>
      <c r="C158" s="47" t="str">
        <f>C153</f>
        <v>N</v>
      </c>
      <c r="D158" s="47" t="str">
        <f>D153</f>
        <v>Water and Sewer</v>
      </c>
      <c r="E158" s="47" t="s">
        <v>660</v>
      </c>
      <c r="F158" s="47" t="s">
        <v>661</v>
      </c>
      <c r="H158" s="102">
        <f>IF(OR($D158=W,$D158=WS),'INPUT Reg'!AD126,IF($D158=RW,'INPUT Reg'!AD128,0))</f>
        <v>725.26314061491541</v>
      </c>
      <c r="I158" s="102">
        <f>IF(OR($D158=W,$D158=WS),'INPUT Reg'!AE126,IF($D158=RW,'INPUT Reg'!AE128,0))</f>
        <v>720.38675976632203</v>
      </c>
      <c r="J158" s="102">
        <f>IF(OR($D158=W,$D158=WS),'INPUT Reg'!AF126,IF($D158=RW,'INPUT Reg'!AF128,0))</f>
        <v>722.38717380811977</v>
      </c>
      <c r="K158" s="102">
        <f>IF(OR($D158=W,$D158=WS),'INPUT Reg'!AG126,IF($D158=RW,'INPUT Reg'!AG128,0))</f>
        <v>722.97270777527478</v>
      </c>
      <c r="L158" s="102">
        <f>IF(OR($D158=W,$D158=WS),'INPUT Reg'!AH126,IF($D158=RW,'INPUT Reg'!AH128,0))</f>
        <v>715.12355392202323</v>
      </c>
      <c r="M158" s="102">
        <f>IF(OR($D158=W,$D158=WS),'INPUT Reg'!AI126,IF($D158=RW,'INPUT Reg'!AI128,0))</f>
        <v>707.10324870306999</v>
      </c>
      <c r="N158" s="102">
        <f>IF(OR($D158=W,$D158=WS),'INPUT Reg'!AJ126,IF($D158=RW,'INPUT Reg'!AJ128,0))</f>
        <v>700.62391442557316</v>
      </c>
      <c r="O158" s="102">
        <f>IF(OR($D158=W,$D158=WS),'INPUT Reg'!AK126,IF($D158=RW,'INPUT Reg'!AK128,0))</f>
        <v>696.12019036745801</v>
      </c>
      <c r="P158" s="102">
        <f>IF(OR($D158=W,$D158=WS),'INPUT Reg'!AL126,IF($D158=RW,'INPUT Reg'!AL128,0))</f>
        <v>687.87815145965703</v>
      </c>
      <c r="Q158" s="102">
        <f>IF(OR($D158=W,$D158=WS),'INPUT Reg'!AM126,IF($D158=RW,'INPUT Reg'!AM128,0))</f>
        <v>681.73049016159177</v>
      </c>
      <c r="R158" s="102">
        <f>IF(OR($D158=W,$D158=WS),'INPUT Reg'!AN126,IF($D158=RW,'INPUT Reg'!AN128,0))</f>
        <v>676.6414581467385</v>
      </c>
      <c r="S158" s="102">
        <f>IF(OR($D158=W,$D158=WS),'INPUT Reg'!AO126,IF($D158=RW,'INPUT Reg'!AO128,0))</f>
        <v>674.73844482879599</v>
      </c>
      <c r="T158" s="102">
        <f>IF(OR($D158=W,$D158=WS),'INPUT Reg'!AP126,IF($D158=RW,'INPUT Reg'!AP128,0))</f>
        <v>669.50819507426456</v>
      </c>
      <c r="U158" s="102">
        <f>IF(OR($D158=W,$D158=WS),'INPUT Reg'!AQ126,IF($D158=RW,'INPUT Reg'!AQ128,0))</f>
        <v>666.40240091028261</v>
      </c>
      <c r="V158" s="102">
        <f>IF(OR($D158=W,$D158=WS),'INPUT Reg'!AR126,IF($D158=RW,'INPUT Reg'!AR128,0))</f>
        <v>663.10981119008693</v>
      </c>
      <c r="W158" s="102">
        <f>IF(OR($D158=W,$D158=WS),'INPUT Reg'!AS126,IF($D158=RW,'INPUT Reg'!AS128,0))</f>
        <v>662.73126309413988</v>
      </c>
      <c r="X158" s="102">
        <f>IF(OR($D158=W,$D158=WS),'INPUT Reg'!AT126,IF($D158=RW,'INPUT Reg'!AT128,0))</f>
        <v>659.53219841068676</v>
      </c>
      <c r="Y158" s="102">
        <f>IF(OR($D158=W,$D158=WS),'INPUT Reg'!AU126,IF($D158=RW,'INPUT Reg'!AU128,0))</f>
        <v>658.85039903993788</v>
      </c>
      <c r="Z158" s="102">
        <f>IF(OR($D158=W,$D158=WS),'INPUT Reg'!AV126,IF($D158=RW,'INPUT Reg'!AV128,0))</f>
        <v>659.25179707460791</v>
      </c>
      <c r="AA158" s="102">
        <f>IF(OR($D158=W,$D158=WS),'INPUT Reg'!AW126,IF($D158=RW,'INPUT Reg'!AW128,0))</f>
        <v>659.25179707460791</v>
      </c>
    </row>
    <row r="159" spans="1:27" x14ac:dyDescent="0.25">
      <c r="B159" s="47" t="str">
        <f>B153</f>
        <v>Western</v>
      </c>
      <c r="C159" s="47" t="str">
        <f t="shared" ref="C159:D159" si="78">C153</f>
        <v>N</v>
      </c>
      <c r="D159" s="47" t="str">
        <f t="shared" si="78"/>
        <v>Water and Sewer</v>
      </c>
      <c r="E159" s="47" t="s">
        <v>662</v>
      </c>
      <c r="F159" s="47" t="s">
        <v>661</v>
      </c>
      <c r="H159" s="102"/>
      <c r="I159" s="102"/>
      <c r="J159" s="102"/>
      <c r="K159" s="102"/>
      <c r="L159" s="102"/>
      <c r="M159" s="102"/>
      <c r="N159" s="102"/>
      <c r="O159" s="102"/>
      <c r="P159" s="102"/>
      <c r="Q159" s="102"/>
      <c r="R159" s="102"/>
      <c r="S159" s="102"/>
      <c r="T159" s="102"/>
      <c r="U159" s="102"/>
      <c r="V159" s="102"/>
      <c r="W159" s="102"/>
      <c r="X159" s="102"/>
      <c r="Y159" s="102"/>
      <c r="Z159" s="102"/>
      <c r="AA159" s="102"/>
    </row>
    <row r="160" spans="1:27" x14ac:dyDescent="0.25">
      <c r="A160" s="101">
        <v>34</v>
      </c>
      <c r="B160" s="47" t="str">
        <f>B153</f>
        <v>Western</v>
      </c>
      <c r="C160" s="47" t="str">
        <f t="shared" ref="C160:D160" si="79">C153</f>
        <v>N</v>
      </c>
      <c r="D160" s="47" t="str">
        <f t="shared" si="79"/>
        <v>Water and Sewer</v>
      </c>
      <c r="E160" s="47" t="s">
        <v>663</v>
      </c>
      <c r="F160" s="47" t="s">
        <v>661</v>
      </c>
      <c r="H160" s="102">
        <f>IF(OR($D160=S,$D160=WS),'INPUT Reg'!AD127,0)</f>
        <v>347.92199565831874</v>
      </c>
      <c r="I160" s="102">
        <f>IF(OR($D160=S,$D160=WS),'INPUT Reg'!AE127,0)</f>
        <v>345.5631490149018</v>
      </c>
      <c r="J160" s="102">
        <f>IF(OR($D160=S,$D160=WS),'INPUT Reg'!AF127,0)</f>
        <v>346.61846340556093</v>
      </c>
      <c r="K160" s="102">
        <f>IF(OR($D160=S,$D160=WS),'INPUT Reg'!AG127,0)</f>
        <v>347.00870976774053</v>
      </c>
      <c r="L160" s="102">
        <f>IF(OR($D160=S,$D160=WS),'INPUT Reg'!AH127,0)</f>
        <v>343.34739988389288</v>
      </c>
      <c r="M160" s="102">
        <f>IF(OR($D160=S,$D160=WS),'INPUT Reg'!AI127,0)</f>
        <v>339.57968587231744</v>
      </c>
      <c r="N160" s="102">
        <f>IF(OR($D160=S,$D160=WS),'INPUT Reg'!AJ127,0)</f>
        <v>336.54501256690907</v>
      </c>
      <c r="O160" s="102">
        <f>IF(OR($D160=S,$D160=WS),'INPUT Reg'!AK127,0)</f>
        <v>334.44279949657823</v>
      </c>
      <c r="P160" s="102">
        <f>IF(OR($D160=S,$D160=WS),'INPUT Reg'!AL127,0)</f>
        <v>330.53560840063506</v>
      </c>
      <c r="Q160" s="102">
        <f>IF(OR($D160=S,$D160=WS),'INPUT Reg'!AM127,0)</f>
        <v>327.61963866727592</v>
      </c>
      <c r="R160" s="102">
        <f>IF(OR($D160=S,$D160=WS),'INPUT Reg'!AN127,0)</f>
        <v>325.21786491243779</v>
      </c>
      <c r="S160" s="102">
        <f>IF(OR($D160=S,$D160=WS),'INPUT Reg'!AO127,0)</f>
        <v>324.33575481626639</v>
      </c>
      <c r="T160" s="102">
        <f>IF(OR($D160=S,$D160=WS),'INPUT Reg'!AP127,0)</f>
        <v>321.82187373564062</v>
      </c>
      <c r="U160" s="102">
        <f>IF(OR($D160=S,$D160=WS),'INPUT Reg'!AQ127,0)</f>
        <v>320.30591349580385</v>
      </c>
      <c r="V160" s="102">
        <f>IF(OR($D160=S,$D160=WS),'INPUT Reg'!AR127,0)</f>
        <v>318.68483238643705</v>
      </c>
      <c r="W160" s="102">
        <f>IF(OR($D160=S,$D160=WS),'INPUT Reg'!AS127,0)</f>
        <v>318.470502330079</v>
      </c>
      <c r="X160" s="102">
        <f>IF(OR($D160=S,$D160=WS),'INPUT Reg'!AT127,0)</f>
        <v>316.91727855810331</v>
      </c>
      <c r="Y160" s="102">
        <f>IF(OR($D160=S,$D160=WS),'INPUT Reg'!AU127,0)</f>
        <v>316.53240639886275</v>
      </c>
      <c r="Z160" s="102">
        <f>IF(OR($D160=S,$D160=WS),'INPUT Reg'!AV127,0)</f>
        <v>316.66641742588752</v>
      </c>
      <c r="AA160" s="102">
        <f>IF(OR($D160=S,$D160=WS),'INPUT Reg'!AW127,0)</f>
        <v>316.66641742588752</v>
      </c>
    </row>
    <row r="161" spans="1:27" x14ac:dyDescent="0.25">
      <c r="C161" s="100"/>
      <c r="D161" s="100"/>
      <c r="E161" s="47" t="s">
        <v>664</v>
      </c>
      <c r="F161" s="47" t="s">
        <v>665</v>
      </c>
      <c r="H161" s="106">
        <f>H154*H158</f>
        <v>93719.815310121281</v>
      </c>
      <c r="I161" s="106">
        <f t="shared" ref="I161:AA161" si="80">I154*I158</f>
        <v>207101.38644927018</v>
      </c>
      <c r="J161" s="106">
        <f t="shared" si="80"/>
        <v>331245.6452665893</v>
      </c>
      <c r="K161" s="106">
        <f t="shared" si="80"/>
        <v>482404.07320078334</v>
      </c>
      <c r="L161" s="106">
        <f t="shared" si="80"/>
        <v>657970.6156281794</v>
      </c>
      <c r="M161" s="106">
        <f t="shared" si="80"/>
        <v>865449.19447391399</v>
      </c>
      <c r="N161" s="106">
        <f t="shared" si="80"/>
        <v>1081518.7906663453</v>
      </c>
      <c r="O161" s="106">
        <f t="shared" si="80"/>
        <v>1326011.3791912177</v>
      </c>
      <c r="P161" s="106">
        <f t="shared" si="80"/>
        <v>1573994.8496317321</v>
      </c>
      <c r="Q161" s="106">
        <f t="shared" si="80"/>
        <v>1830152.6809015104</v>
      </c>
      <c r="R161" s="106">
        <f t="shared" si="80"/>
        <v>2082204.3220442424</v>
      </c>
      <c r="S161" s="106">
        <f t="shared" si="80"/>
        <v>2331604.3801853438</v>
      </c>
      <c r="T161" s="106">
        <f t="shared" si="80"/>
        <v>2558551.9257666077</v>
      </c>
      <c r="U161" s="106">
        <f t="shared" si="80"/>
        <v>2783389.4738320359</v>
      </c>
      <c r="V161" s="106">
        <f t="shared" si="80"/>
        <v>2996362.1430805437</v>
      </c>
      <c r="W161" s="106">
        <f t="shared" si="80"/>
        <v>3188711.9265507977</v>
      </c>
      <c r="X161" s="106">
        <f t="shared" si="80"/>
        <v>3339604.3867636714</v>
      </c>
      <c r="Y161" s="106">
        <f t="shared" si="80"/>
        <v>3467958.3578323391</v>
      </c>
      <c r="Z161" s="106">
        <f t="shared" si="80"/>
        <v>3579024.6446912847</v>
      </c>
      <c r="AA161" s="106">
        <f t="shared" si="80"/>
        <v>3690789.2991050696</v>
      </c>
    </row>
    <row r="162" spans="1:27" x14ac:dyDescent="0.25">
      <c r="C162" s="100"/>
      <c r="D162" s="100"/>
      <c r="E162" s="47" t="s">
        <v>666</v>
      </c>
      <c r="F162" s="47" t="s">
        <v>665</v>
      </c>
      <c r="H162" s="106">
        <f>H154*H159</f>
        <v>0</v>
      </c>
      <c r="I162" s="106">
        <f t="shared" ref="I162:AA162" si="81">I154*I159</f>
        <v>0</v>
      </c>
      <c r="J162" s="106">
        <f t="shared" si="81"/>
        <v>0</v>
      </c>
      <c r="K162" s="106">
        <f t="shared" si="81"/>
        <v>0</v>
      </c>
      <c r="L162" s="106">
        <f t="shared" si="81"/>
        <v>0</v>
      </c>
      <c r="M162" s="106">
        <f t="shared" si="81"/>
        <v>0</v>
      </c>
      <c r="N162" s="106">
        <f t="shared" si="81"/>
        <v>0</v>
      </c>
      <c r="O162" s="106">
        <f t="shared" si="81"/>
        <v>0</v>
      </c>
      <c r="P162" s="106">
        <f t="shared" si="81"/>
        <v>0</v>
      </c>
      <c r="Q162" s="106">
        <f t="shared" si="81"/>
        <v>0</v>
      </c>
      <c r="R162" s="106">
        <f t="shared" si="81"/>
        <v>0</v>
      </c>
      <c r="S162" s="106">
        <f t="shared" si="81"/>
        <v>0</v>
      </c>
      <c r="T162" s="106">
        <f t="shared" si="81"/>
        <v>0</v>
      </c>
      <c r="U162" s="106">
        <f t="shared" si="81"/>
        <v>0</v>
      </c>
      <c r="V162" s="106">
        <f t="shared" si="81"/>
        <v>0</v>
      </c>
      <c r="W162" s="106">
        <f t="shared" si="81"/>
        <v>0</v>
      </c>
      <c r="X162" s="106">
        <f t="shared" si="81"/>
        <v>0</v>
      </c>
      <c r="Y162" s="106">
        <f t="shared" si="81"/>
        <v>0</v>
      </c>
      <c r="Z162" s="106">
        <f t="shared" si="81"/>
        <v>0</v>
      </c>
      <c r="AA162" s="106">
        <f t="shared" si="81"/>
        <v>0</v>
      </c>
    </row>
    <row r="163" spans="1:27" x14ac:dyDescent="0.25">
      <c r="C163" s="100"/>
      <c r="D163" s="100"/>
      <c r="E163" s="47" t="s">
        <v>667</v>
      </c>
      <c r="F163" s="47" t="s">
        <v>665</v>
      </c>
      <c r="H163" s="106">
        <f>H154*H160</f>
        <v>44959.109803622996</v>
      </c>
      <c r="I163" s="106">
        <f t="shared" ref="I163:AA163" si="82">I154*I160</f>
        <v>99344.701018625856</v>
      </c>
      <c r="J163" s="106">
        <f t="shared" si="82"/>
        <v>158939.50049919635</v>
      </c>
      <c r="K163" s="106">
        <f t="shared" si="82"/>
        <v>231541.817869202</v>
      </c>
      <c r="L163" s="106">
        <f t="shared" si="82"/>
        <v>315906.94899775751</v>
      </c>
      <c r="M163" s="106">
        <f t="shared" si="82"/>
        <v>415623.83730655588</v>
      </c>
      <c r="N163" s="106">
        <f t="shared" si="82"/>
        <v>519508.03776741307</v>
      </c>
      <c r="O163" s="106">
        <f t="shared" si="82"/>
        <v>637066.65021012293</v>
      </c>
      <c r="P163" s="106">
        <f t="shared" si="82"/>
        <v>756327.76551851735</v>
      </c>
      <c r="Q163" s="106">
        <f t="shared" si="82"/>
        <v>879517.59335390199</v>
      </c>
      <c r="R163" s="106">
        <f t="shared" si="82"/>
        <v>1000781.1903535852</v>
      </c>
      <c r="S163" s="106">
        <f t="shared" si="82"/>
        <v>1120764.160358768</v>
      </c>
      <c r="T163" s="106">
        <f t="shared" si="82"/>
        <v>1229854.96048903</v>
      </c>
      <c r="U163" s="106">
        <f t="shared" si="82"/>
        <v>1337834.4778058536</v>
      </c>
      <c r="V163" s="106">
        <f t="shared" si="82"/>
        <v>1440025.6959295061</v>
      </c>
      <c r="W163" s="106">
        <f t="shared" si="82"/>
        <v>1532311.4293618209</v>
      </c>
      <c r="X163" s="106">
        <f t="shared" si="82"/>
        <v>1604740.9607359313</v>
      </c>
      <c r="Y163" s="106">
        <f t="shared" si="82"/>
        <v>1666116.0195019895</v>
      </c>
      <c r="Z163" s="106">
        <f t="shared" si="82"/>
        <v>1719156.3483672787</v>
      </c>
      <c r="AA163" s="106">
        <f t="shared" si="82"/>
        <v>1772841.6213769331</v>
      </c>
    </row>
    <row r="164" spans="1:27" x14ac:dyDescent="0.25">
      <c r="A164" s="101">
        <v>35</v>
      </c>
      <c r="B164" s="47" t="str">
        <f>B158</f>
        <v>Western</v>
      </c>
      <c r="C164" s="47" t="str">
        <f t="shared" ref="C164:D164" si="83">C158</f>
        <v>N</v>
      </c>
      <c r="D164" s="47" t="str">
        <f t="shared" si="83"/>
        <v>Water and Sewer</v>
      </c>
      <c r="E164" s="47" t="s">
        <v>668</v>
      </c>
      <c r="F164" s="47" t="s">
        <v>633</v>
      </c>
      <c r="H164" s="105">
        <f>SUMIFS('INPUT Reg'!AD$94:AD$109,'INPUT Reg'!$D$94:$D$109,$D164,'INPUT Reg'!$C$94:$C$109,$C164,'INPUT Reg'!$B$94:$B$109,$B164)</f>
        <v>-6.8218212968429448E-4</v>
      </c>
      <c r="I164" s="105">
        <f>SUMIFS('INPUT Reg'!AE$94:AE$109,'INPUT Reg'!$D$94:$D$109,$D164,'INPUT Reg'!$C$94:$C$109,$C164,'INPUT Reg'!$B$94:$B$109,$B164)</f>
        <v>-3.1915910857102103E-3</v>
      </c>
      <c r="J164" s="105">
        <f>SUMIFS('INPUT Reg'!AF$94:AF$109,'INPUT Reg'!$D$94:$D$109,$D164,'INPUT Reg'!$C$94:$C$109,$C164,'INPUT Reg'!$B$94:$B$109,$B164)</f>
        <v>-3.1963987080985135E-3</v>
      </c>
      <c r="K164" s="105">
        <f>SUMIFS('INPUT Reg'!AG$94:AG$109,'INPUT Reg'!$D$94:$D$109,$D164,'INPUT Reg'!$C$94:$C$109,$C164,'INPUT Reg'!$B$94:$B$109,$B164)</f>
        <v>-3.2087247373020489E-3</v>
      </c>
      <c r="L164" s="105">
        <f>SUMIFS('INPUT Reg'!AH$94:AH$109,'INPUT Reg'!$D$94:$D$109,$D164,'INPUT Reg'!$C$94:$C$109,$C164,'INPUT Reg'!$B$94:$B$109,$B164)</f>
        <v>-1.2040821155763326E-2</v>
      </c>
      <c r="M164" s="105">
        <f>SUMIFS('INPUT Reg'!AI$94:AI$109,'INPUT Reg'!$D$94:$D$109,$D164,'INPUT Reg'!$C$94:$C$109,$C164,'INPUT Reg'!$B$94:$B$109,$B164)</f>
        <v>6.1171753698019415E-6</v>
      </c>
      <c r="N164" s="105">
        <f>SUMIFS('INPUT Reg'!AJ$94:AJ$109,'INPUT Reg'!$D$94:$D$109,$D164,'INPUT Reg'!$C$94:$C$109,$C164,'INPUT Reg'!$B$94:$B$109,$B164)</f>
        <v>1.9798824579808638E-6</v>
      </c>
      <c r="O164" s="105">
        <f>SUMIFS('INPUT Reg'!AK$94:AK$109,'INPUT Reg'!$D$94:$D$109,$D164,'INPUT Reg'!$C$94:$C$109,$C164,'INPUT Reg'!$B$94:$B$109,$B164)</f>
        <v>3.9783148704231053E-6</v>
      </c>
      <c r="P164" s="105">
        <f>SUMIFS('INPUT Reg'!AL$94:AL$109,'INPUT Reg'!$D$94:$D$109,$D164,'INPUT Reg'!$C$94:$C$109,$C164,'INPUT Reg'!$B$94:$B$109,$B164)</f>
        <v>2.6565773201259191E-6</v>
      </c>
      <c r="Q164" s="105">
        <f>SUMIFS('INPUT Reg'!AM$94:AM$109,'INPUT Reg'!$D$94:$D$109,$D164,'INPUT Reg'!$C$94:$C$109,$C164,'INPUT Reg'!$B$94:$B$109,$B164)</f>
        <v>-0.15517039132793542</v>
      </c>
      <c r="R164" s="105">
        <f>SUMIFS('INPUT Reg'!AN$94:AN$109,'INPUT Reg'!$D$94:$D$109,$D164,'INPUT Reg'!$C$94:$C$109,$C164,'INPUT Reg'!$B$94:$B$109,$B164)</f>
        <v>2.4597426857564386E-6</v>
      </c>
      <c r="S164" s="105">
        <f>SUMIFS('INPUT Reg'!AO$94:AO$109,'INPUT Reg'!$D$94:$D$109,$D164,'INPUT Reg'!$C$94:$C$109,$C164,'INPUT Reg'!$B$94:$B$109,$B164)</f>
        <v>2.5934965555141076E-6</v>
      </c>
      <c r="T164" s="105">
        <f>SUMIFS('INPUT Reg'!AP$94:AP$109,'INPUT Reg'!$D$94:$D$109,$D164,'INPUT Reg'!$C$94:$C$109,$C164,'INPUT Reg'!$B$94:$B$109,$B164)</f>
        <v>1.4968595698494624E-6</v>
      </c>
      <c r="U164" s="105">
        <f>SUMIFS('INPUT Reg'!AQ$94:AQ$109,'INPUT Reg'!$D$94:$D$109,$D164,'INPUT Reg'!$C$94:$C$109,$C164,'INPUT Reg'!$B$94:$B$109,$B164)</f>
        <v>1.7852717226762849E-6</v>
      </c>
      <c r="V164" s="105">
        <f>SUMIFS('INPUT Reg'!AR$94:AR$109,'INPUT Reg'!$D$94:$D$109,$D164,'INPUT Reg'!$C$94:$C$109,$C164,'INPUT Reg'!$B$94:$B$109,$B164)</f>
        <v>-9.5544244331209227E-2</v>
      </c>
      <c r="W164" s="105">
        <f>SUMIFS('INPUT Reg'!AS$94:AS$109,'INPUT Reg'!$D$94:$D$109,$D164,'INPUT Reg'!$C$94:$C$109,$C164,'INPUT Reg'!$B$94:$B$109,$B164)</f>
        <v>2.0315746454002692E-6</v>
      </c>
      <c r="X164" s="105">
        <f>SUMIFS('INPUT Reg'!AT$94:AT$109,'INPUT Reg'!$D$94:$D$109,$D164,'INPUT Reg'!$C$94:$C$109,$C164,'INPUT Reg'!$B$94:$B$109,$B164)</f>
        <v>1.5297717772533304E-6</v>
      </c>
      <c r="Y164" s="105">
        <f>SUMIFS('INPUT Reg'!AU$94:AU$109,'INPUT Reg'!$D$94:$D$109,$D164,'INPUT Reg'!$C$94:$C$109,$C164,'INPUT Reg'!$B$94:$B$109,$B164)</f>
        <v>1.5900087007025832E-6</v>
      </c>
      <c r="Z164" s="105">
        <f>SUMIFS('INPUT Reg'!AV$94:AV$109,'INPUT Reg'!$D$94:$D$109,$D164,'INPUT Reg'!$C$94:$C$109,$C164,'INPUT Reg'!$B$94:$B$109,$B164)</f>
        <v>1.4384577600168313E-6</v>
      </c>
      <c r="AA164" s="105">
        <f>SUMIFS('INPUT Reg'!AW$94:AW$109,'INPUT Reg'!$D$94:$D$109,$D164,'INPUT Reg'!$C$94:$C$109,$C164,'INPUT Reg'!$B$94:$B$109,$B164)</f>
        <v>0</v>
      </c>
    </row>
    <row r="165" spans="1:27" x14ac:dyDescent="0.25">
      <c r="A165" s="101">
        <v>36</v>
      </c>
      <c r="B165" s="47" t="str">
        <f>B153</f>
        <v>Western</v>
      </c>
      <c r="C165" s="47" t="str">
        <f t="shared" ref="C165:D165" si="84">C153</f>
        <v>N</v>
      </c>
      <c r="D165" s="47" t="str">
        <f t="shared" si="84"/>
        <v>Water and Sewer</v>
      </c>
      <c r="E165" s="47" t="s">
        <v>669</v>
      </c>
      <c r="F165" s="47" t="s">
        <v>670</v>
      </c>
      <c r="G165" s="108">
        <f>IF(D165="Water",WW_N_W_N,IF(D165=S,WW_N_S_N,IF(D165=WS,WW_N_W_N+WW_N_S_N,WW_N_R_N)))</f>
        <v>884.72350000000006</v>
      </c>
      <c r="H165" s="106">
        <f>G165*(1+$G$14)*(1+H164)</f>
        <v>884.11995743858836</v>
      </c>
      <c r="I165" s="106">
        <f t="shared" ref="I165:AA165" si="85">H165*(1+$G$14)*(1+I164)</f>
        <v>881.29820806372891</v>
      </c>
      <c r="J165" s="106">
        <f t="shared" si="85"/>
        <v>878.48122761002446</v>
      </c>
      <c r="K165" s="106">
        <f t="shared" si="85"/>
        <v>875.66242316373666</v>
      </c>
      <c r="L165" s="106">
        <f t="shared" si="85"/>
        <v>865.11872853359978</v>
      </c>
      <c r="M165" s="106">
        <f t="shared" si="85"/>
        <v>865.12402061657792</v>
      </c>
      <c r="N165" s="106">
        <f t="shared" si="85"/>
        <v>865.12573346045031</v>
      </c>
      <c r="O165" s="106">
        <f t="shared" si="85"/>
        <v>865.12917520302051</v>
      </c>
      <c r="P165" s="106">
        <f t="shared" si="85"/>
        <v>865.13147348556629</v>
      </c>
      <c r="Q165" s="106">
        <f t="shared" si="85"/>
        <v>730.88868419469759</v>
      </c>
      <c r="R165" s="106">
        <f t="shared" si="85"/>
        <v>730.89048199279262</v>
      </c>
      <c r="S165" s="106">
        <f t="shared" si="85"/>
        <v>730.89237755474016</v>
      </c>
      <c r="T165" s="106">
        <f t="shared" si="85"/>
        <v>730.89347159799001</v>
      </c>
      <c r="U165" s="106">
        <f t="shared" si="85"/>
        <v>730.8947764414371</v>
      </c>
      <c r="V165" s="106">
        <f t="shared" si="85"/>
        <v>661.06198734071188</v>
      </c>
      <c r="W165" s="106">
        <f t="shared" si="85"/>
        <v>661.06333033748444</v>
      </c>
      <c r="X165" s="106">
        <f t="shared" si="85"/>
        <v>661.06434161351012</v>
      </c>
      <c r="Y165" s="106">
        <f t="shared" si="85"/>
        <v>661.06539271156498</v>
      </c>
      <c r="Z165" s="106">
        <f t="shared" si="85"/>
        <v>661.066343626209</v>
      </c>
      <c r="AA165" s="106">
        <f t="shared" si="85"/>
        <v>661.066343626209</v>
      </c>
    </row>
    <row r="166" spans="1:27" x14ac:dyDescent="0.25">
      <c r="B166" s="47" t="str">
        <f>B153</f>
        <v>Western</v>
      </c>
      <c r="C166" s="47" t="str">
        <f t="shared" ref="C166:D166" si="86">C153</f>
        <v>N</v>
      </c>
      <c r="D166" s="47" t="str">
        <f t="shared" si="86"/>
        <v>Water and Sewer</v>
      </c>
      <c r="E166" s="47" t="s">
        <v>671</v>
      </c>
      <c r="F166" s="47" t="s">
        <v>672</v>
      </c>
      <c r="G166" s="109">
        <f>IF(OR(D166=W,D166=WS),WW_N_W_V,IF(D166=RW,WW_N_R_V,0))</f>
        <v>3.0611000000000002</v>
      </c>
      <c r="H166" s="110">
        <f>G166*(1+$G$14)*(1+H164)</f>
        <v>3.0590117722828234</v>
      </c>
      <c r="I166" s="110">
        <f t="shared" ref="I166:AA166" si="87">H166*(1+$G$14)*(1+I164)</f>
        <v>3.049248657579323</v>
      </c>
      <c r="J166" s="110">
        <f t="shared" si="87"/>
        <v>3.0395020431095654</v>
      </c>
      <c r="K166" s="110">
        <f t="shared" si="87"/>
        <v>3.0297491177147595</v>
      </c>
      <c r="L166" s="110">
        <f t="shared" si="87"/>
        <v>2.9932684504415246</v>
      </c>
      <c r="M166" s="110">
        <f t="shared" si="87"/>
        <v>2.993286760789565</v>
      </c>
      <c r="N166" s="110">
        <f t="shared" si="87"/>
        <v>2.9932926871455146</v>
      </c>
      <c r="O166" s="110">
        <f t="shared" si="87"/>
        <v>2.9933045954063235</v>
      </c>
      <c r="P166" s="110">
        <f t="shared" si="87"/>
        <v>2.9933125473514237</v>
      </c>
      <c r="Q166" s="110">
        <f t="shared" si="87"/>
        <v>2.528839068012084</v>
      </c>
      <c r="R166" s="110">
        <f t="shared" si="87"/>
        <v>2.5288452883054848</v>
      </c>
      <c r="S166" s="110">
        <f t="shared" si="87"/>
        <v>2.5288518468570294</v>
      </c>
      <c r="T166" s="110">
        <f t="shared" si="87"/>
        <v>2.528855632193117</v>
      </c>
      <c r="U166" s="110">
        <f t="shared" si="87"/>
        <v>2.5288601468875678</v>
      </c>
      <c r="V166" s="110">
        <f t="shared" si="87"/>
        <v>2.2872421151338842</v>
      </c>
      <c r="W166" s="110">
        <f t="shared" si="87"/>
        <v>2.2872467618369732</v>
      </c>
      <c r="X166" s="110">
        <f t="shared" si="87"/>
        <v>2.2872502608025171</v>
      </c>
      <c r="Y166" s="110">
        <f t="shared" si="87"/>
        <v>2.2872538975503325</v>
      </c>
      <c r="Z166" s="110">
        <f t="shared" si="87"/>
        <v>2.2872571876684504</v>
      </c>
      <c r="AA166" s="110">
        <f t="shared" si="87"/>
        <v>2.2872571876684504</v>
      </c>
    </row>
    <row r="167" spans="1:27" x14ac:dyDescent="0.25">
      <c r="B167" s="47" t="str">
        <f>B153</f>
        <v>Western</v>
      </c>
      <c r="C167" s="47" t="str">
        <f t="shared" ref="C167:D167" si="88">C153</f>
        <v>N</v>
      </c>
      <c r="D167" s="47" t="str">
        <f t="shared" si="88"/>
        <v>Water and Sewer</v>
      </c>
      <c r="E167" s="47" t="s">
        <v>673</v>
      </c>
      <c r="F167" s="47" t="s">
        <v>672</v>
      </c>
      <c r="G167" s="109"/>
      <c r="H167" s="110">
        <f>G167*(1+$G$14)*(1+H164)</f>
        <v>0</v>
      </c>
      <c r="I167" s="110">
        <f t="shared" ref="I167:AA167" si="89">H167*(1+$G$14)*(1+I164)</f>
        <v>0</v>
      </c>
      <c r="J167" s="110">
        <f t="shared" si="89"/>
        <v>0</v>
      </c>
      <c r="K167" s="110">
        <f t="shared" si="89"/>
        <v>0</v>
      </c>
      <c r="L167" s="110">
        <f t="shared" si="89"/>
        <v>0</v>
      </c>
      <c r="M167" s="110">
        <f t="shared" si="89"/>
        <v>0</v>
      </c>
      <c r="N167" s="110">
        <f t="shared" si="89"/>
        <v>0</v>
      </c>
      <c r="O167" s="110">
        <f t="shared" si="89"/>
        <v>0</v>
      </c>
      <c r="P167" s="110">
        <f t="shared" si="89"/>
        <v>0</v>
      </c>
      <c r="Q167" s="110">
        <f t="shared" si="89"/>
        <v>0</v>
      </c>
      <c r="R167" s="110">
        <f t="shared" si="89"/>
        <v>0</v>
      </c>
      <c r="S167" s="110">
        <f t="shared" si="89"/>
        <v>0</v>
      </c>
      <c r="T167" s="110">
        <f t="shared" si="89"/>
        <v>0</v>
      </c>
      <c r="U167" s="110">
        <f t="shared" si="89"/>
        <v>0</v>
      </c>
      <c r="V167" s="110">
        <f t="shared" si="89"/>
        <v>0</v>
      </c>
      <c r="W167" s="110">
        <f t="shared" si="89"/>
        <v>0</v>
      </c>
      <c r="X167" s="110">
        <f t="shared" si="89"/>
        <v>0</v>
      </c>
      <c r="Y167" s="110">
        <f t="shared" si="89"/>
        <v>0</v>
      </c>
      <c r="Z167" s="110">
        <f t="shared" si="89"/>
        <v>0</v>
      </c>
      <c r="AA167" s="110">
        <f t="shared" si="89"/>
        <v>0</v>
      </c>
    </row>
    <row r="168" spans="1:27" x14ac:dyDescent="0.25">
      <c r="B168" s="47" t="str">
        <f>B153</f>
        <v>Western</v>
      </c>
      <c r="C168" s="47" t="str">
        <f t="shared" ref="C168:D168" si="90">C153</f>
        <v>N</v>
      </c>
      <c r="D168" s="47" t="str">
        <f t="shared" si="90"/>
        <v>Water and Sewer</v>
      </c>
      <c r="E168" s="47" t="s">
        <v>674</v>
      </c>
      <c r="F168" s="47" t="s">
        <v>672</v>
      </c>
      <c r="G168" s="109">
        <f>IF(OR(D168=S,D168=WS),WW_N_SDC,0)</f>
        <v>0</v>
      </c>
      <c r="H168" s="110">
        <f>G168*(1+$G$14)*(1+H164)</f>
        <v>0</v>
      </c>
      <c r="I168" s="110">
        <f t="shared" ref="I168:AA168" si="91">H168*(1+$G$14)*(1+I164)</f>
        <v>0</v>
      </c>
      <c r="J168" s="110">
        <f t="shared" si="91"/>
        <v>0</v>
      </c>
      <c r="K168" s="110">
        <f t="shared" si="91"/>
        <v>0</v>
      </c>
      <c r="L168" s="110">
        <f t="shared" si="91"/>
        <v>0</v>
      </c>
      <c r="M168" s="110">
        <f t="shared" si="91"/>
        <v>0</v>
      </c>
      <c r="N168" s="110">
        <f t="shared" si="91"/>
        <v>0</v>
      </c>
      <c r="O168" s="110">
        <f t="shared" si="91"/>
        <v>0</v>
      </c>
      <c r="P168" s="110">
        <f t="shared" si="91"/>
        <v>0</v>
      </c>
      <c r="Q168" s="110">
        <f t="shared" si="91"/>
        <v>0</v>
      </c>
      <c r="R168" s="110">
        <f t="shared" si="91"/>
        <v>0</v>
      </c>
      <c r="S168" s="110">
        <f t="shared" si="91"/>
        <v>0</v>
      </c>
      <c r="T168" s="110">
        <f t="shared" si="91"/>
        <v>0</v>
      </c>
      <c r="U168" s="110">
        <f t="shared" si="91"/>
        <v>0</v>
      </c>
      <c r="V168" s="110">
        <f t="shared" si="91"/>
        <v>0</v>
      </c>
      <c r="W168" s="110">
        <f t="shared" si="91"/>
        <v>0</v>
      </c>
      <c r="X168" s="110">
        <f t="shared" si="91"/>
        <v>0</v>
      </c>
      <c r="Y168" s="110">
        <f t="shared" si="91"/>
        <v>0</v>
      </c>
      <c r="Z168" s="110">
        <f t="shared" si="91"/>
        <v>0</v>
      </c>
      <c r="AA168" s="110">
        <f t="shared" si="91"/>
        <v>0</v>
      </c>
    </row>
    <row r="169" spans="1:27" x14ac:dyDescent="0.25">
      <c r="C169" s="100"/>
      <c r="D169" s="100"/>
    </row>
    <row r="170" spans="1:27" x14ac:dyDescent="0.25">
      <c r="C170" s="100"/>
      <c r="D170" s="100"/>
      <c r="E170" s="47" t="s">
        <v>685</v>
      </c>
      <c r="F170" s="47" t="s">
        <v>676</v>
      </c>
      <c r="H170" s="106">
        <f>SUM(H161:H163)/1000</f>
        <v>138.67892511374427</v>
      </c>
      <c r="I170" s="106">
        <f t="shared" ref="I170:AA170" si="92">SUM(I161:I163)/1000</f>
        <v>306.44608746789606</v>
      </c>
      <c r="J170" s="106">
        <f t="shared" si="92"/>
        <v>490.18514576578565</v>
      </c>
      <c r="K170" s="106">
        <f t="shared" si="92"/>
        <v>713.94589106998535</v>
      </c>
      <c r="L170" s="106">
        <f t="shared" si="92"/>
        <v>973.87756462593688</v>
      </c>
      <c r="M170" s="106">
        <f t="shared" si="92"/>
        <v>1281.0730317804698</v>
      </c>
      <c r="N170" s="106">
        <f t="shared" si="92"/>
        <v>1601.0268284337583</v>
      </c>
      <c r="O170" s="106">
        <f t="shared" si="92"/>
        <v>1963.0780294013405</v>
      </c>
      <c r="P170" s="106">
        <f t="shared" si="92"/>
        <v>2330.3226151502495</v>
      </c>
      <c r="Q170" s="106">
        <f t="shared" si="92"/>
        <v>2709.6702742554126</v>
      </c>
      <c r="R170" s="106">
        <f t="shared" si="92"/>
        <v>3082.9855123978277</v>
      </c>
      <c r="S170" s="106">
        <f t="shared" si="92"/>
        <v>3452.368540544112</v>
      </c>
      <c r="T170" s="106">
        <f t="shared" si="92"/>
        <v>3788.4068862556378</v>
      </c>
      <c r="U170" s="106">
        <f t="shared" si="92"/>
        <v>4121.2239516378895</v>
      </c>
      <c r="V170" s="106">
        <f t="shared" si="92"/>
        <v>4436.3878390100499</v>
      </c>
      <c r="W170" s="106">
        <f t="shared" si="92"/>
        <v>4721.0233559126182</v>
      </c>
      <c r="X170" s="106">
        <f t="shared" si="92"/>
        <v>4944.3453474996022</v>
      </c>
      <c r="Y170" s="106">
        <f t="shared" si="92"/>
        <v>5134.0743773343283</v>
      </c>
      <c r="Z170" s="106">
        <f t="shared" si="92"/>
        <v>5298.1809930585632</v>
      </c>
      <c r="AA170" s="106">
        <f t="shared" si="92"/>
        <v>5463.6309204820018</v>
      </c>
    </row>
    <row r="171" spans="1:27" x14ac:dyDescent="0.25">
      <c r="C171" s="100"/>
      <c r="D171" s="100"/>
      <c r="E171" s="47" t="s">
        <v>686</v>
      </c>
      <c r="F171" s="47" t="s">
        <v>639</v>
      </c>
      <c r="H171" s="106">
        <f>H154*H165+H161*H166+H162*H167+H163*H168</f>
        <v>400937.59894296632</v>
      </c>
      <c r="I171" s="106">
        <f t="shared" ref="I171:AA171" si="93">I154*I165+I161*I166+I162*I167+I163*I168</f>
        <v>884864.8618803859</v>
      </c>
      <c r="J171" s="106">
        <f t="shared" si="93"/>
        <v>1409643.3102434024</v>
      </c>
      <c r="K171" s="106">
        <f t="shared" si="93"/>
        <v>2045849.713721897</v>
      </c>
      <c r="L171" s="106">
        <f t="shared" si="93"/>
        <v>2765460.805617393</v>
      </c>
      <c r="M171" s="106">
        <f t="shared" si="93"/>
        <v>3649394.1381612616</v>
      </c>
      <c r="N171" s="106">
        <f t="shared" si="93"/>
        <v>4572754.4716033377</v>
      </c>
      <c r="O171" s="106">
        <f t="shared" si="93"/>
        <v>5617105.75819459</v>
      </c>
      <c r="P171" s="106">
        <f t="shared" si="93"/>
        <v>6691042.3888632683</v>
      </c>
      <c r="Q171" s="106">
        <f t="shared" si="93"/>
        <v>6590282.8547321893</v>
      </c>
      <c r="R171" s="106">
        <f t="shared" si="93"/>
        <v>7514715.4729967155</v>
      </c>
      <c r="S171" s="106">
        <f t="shared" si="93"/>
        <v>8421930.1396694891</v>
      </c>
      <c r="T171" s="106">
        <f t="shared" si="93"/>
        <v>9263346.6244511157</v>
      </c>
      <c r="U171" s="106">
        <f t="shared" si="93"/>
        <v>10091560.063324172</v>
      </c>
      <c r="V171" s="106">
        <f t="shared" si="93"/>
        <v>9840514.4266182184</v>
      </c>
      <c r="W171" s="106">
        <f t="shared" si="93"/>
        <v>10474057.745718472</v>
      </c>
      <c r="X171" s="106">
        <f t="shared" si="93"/>
        <v>10985873.545059938</v>
      </c>
      <c r="Y171" s="106">
        <f t="shared" si="93"/>
        <v>11411718.581295686</v>
      </c>
      <c r="Z171" s="106">
        <f t="shared" si="93"/>
        <v>11775025.514458276</v>
      </c>
      <c r="AA171" s="106">
        <f t="shared" si="93"/>
        <v>12142732.302755747</v>
      </c>
    </row>
    <row r="172" spans="1:27" x14ac:dyDescent="0.25">
      <c r="C172" s="100"/>
      <c r="D172" s="100"/>
    </row>
    <row r="173" spans="1:27" x14ac:dyDescent="0.25">
      <c r="C173" s="100"/>
      <c r="D173" s="47" t="s">
        <v>687</v>
      </c>
    </row>
    <row r="174" spans="1:27" x14ac:dyDescent="0.25">
      <c r="C174" s="100"/>
      <c r="E174" s="47" t="s">
        <v>688</v>
      </c>
      <c r="F174" s="47" t="s">
        <v>655</v>
      </c>
      <c r="H174" s="47">
        <f t="shared" ref="H174:AA175" si="94">SUM(H93,H114,H135,H156)</f>
        <v>4861.369639849313</v>
      </c>
      <c r="I174" s="47">
        <f t="shared" si="94"/>
        <v>5266.0866048878797</v>
      </c>
      <c r="J174" s="47">
        <f t="shared" si="94"/>
        <v>4549.9551276203583</v>
      </c>
      <c r="K174" s="47">
        <f t="shared" si="94"/>
        <v>4676.1725655780074</v>
      </c>
      <c r="L174" s="47">
        <f t="shared" si="94"/>
        <v>4879.9050792588341</v>
      </c>
      <c r="M174" s="47">
        <f t="shared" si="94"/>
        <v>5228.7771473745006</v>
      </c>
      <c r="N174" s="47">
        <f t="shared" si="94"/>
        <v>5148.8917029555914</v>
      </c>
      <c r="O174" s="47">
        <f t="shared" si="94"/>
        <v>5483.3397440306453</v>
      </c>
      <c r="P174" s="47">
        <f t="shared" si="94"/>
        <v>5580.7846652525113</v>
      </c>
      <c r="Q174" s="47">
        <f t="shared" si="94"/>
        <v>5613.9441615576325</v>
      </c>
      <c r="R174" s="47">
        <f t="shared" si="94"/>
        <v>5612.1193851282678</v>
      </c>
      <c r="S174" s="47">
        <f t="shared" si="94"/>
        <v>5569.8015612835025</v>
      </c>
      <c r="T174" s="47">
        <f t="shared" si="94"/>
        <v>5455.4195737247101</v>
      </c>
      <c r="U174" s="47">
        <f t="shared" si="94"/>
        <v>5433.3048953606303</v>
      </c>
      <c r="V174" s="47">
        <f t="shared" si="94"/>
        <v>5379.8173606191503</v>
      </c>
      <c r="W174" s="47">
        <f t="shared" si="94"/>
        <v>5317.1460535922924</v>
      </c>
      <c r="X174" s="47">
        <f t="shared" si="94"/>
        <v>5224.9181507880148</v>
      </c>
      <c r="Y174" s="47">
        <f t="shared" si="94"/>
        <v>5001.9533918423203</v>
      </c>
      <c r="Z174" s="47">
        <f t="shared" si="94"/>
        <v>4736.9555371284005</v>
      </c>
      <c r="AA174" s="47">
        <f t="shared" si="94"/>
        <v>4482.595841698092</v>
      </c>
    </row>
    <row r="175" spans="1:27" x14ac:dyDescent="0.25">
      <c r="C175" s="100"/>
      <c r="D175" s="100"/>
      <c r="E175" s="47" t="s">
        <v>689</v>
      </c>
      <c r="F175" s="47" t="s">
        <v>655</v>
      </c>
      <c r="H175" s="47">
        <f t="shared" si="94"/>
        <v>4861.369639849313</v>
      </c>
      <c r="I175" s="47">
        <f t="shared" si="94"/>
        <v>10127.456244737194</v>
      </c>
      <c r="J175" s="47">
        <f t="shared" si="94"/>
        <v>14677.41137235755</v>
      </c>
      <c r="K175" s="47">
        <f t="shared" si="94"/>
        <v>19353.58393793556</v>
      </c>
      <c r="L175" s="47">
        <f t="shared" si="94"/>
        <v>24233.489017194392</v>
      </c>
      <c r="M175" s="47">
        <f t="shared" si="94"/>
        <v>29462.266164568893</v>
      </c>
      <c r="N175" s="47">
        <f t="shared" si="94"/>
        <v>34611.157867524482</v>
      </c>
      <c r="O175" s="47">
        <f t="shared" si="94"/>
        <v>40094.497611555133</v>
      </c>
      <c r="P175" s="47">
        <f t="shared" si="94"/>
        <v>45675.282276807644</v>
      </c>
      <c r="Q175" s="47">
        <f t="shared" si="94"/>
        <v>51289.226438365273</v>
      </c>
      <c r="R175" s="47">
        <f t="shared" si="94"/>
        <v>56901.345823493539</v>
      </c>
      <c r="S175" s="47">
        <f t="shared" si="94"/>
        <v>62471.147384777047</v>
      </c>
      <c r="T175" s="47">
        <f t="shared" si="94"/>
        <v>67926.56695850176</v>
      </c>
      <c r="U175" s="47">
        <f t="shared" si="94"/>
        <v>73359.87185386238</v>
      </c>
      <c r="V175" s="47">
        <f t="shared" si="94"/>
        <v>78739.689214481536</v>
      </c>
      <c r="W175" s="47">
        <f t="shared" si="94"/>
        <v>84056.835268073832</v>
      </c>
      <c r="X175" s="47">
        <f t="shared" si="94"/>
        <v>89281.753418861845</v>
      </c>
      <c r="Y175" s="47">
        <f t="shared" si="94"/>
        <v>94283.706810704156</v>
      </c>
      <c r="Z175" s="47">
        <f t="shared" si="94"/>
        <v>99020.662347832564</v>
      </c>
      <c r="AA175" s="47">
        <f t="shared" si="94"/>
        <v>103503.25818953065</v>
      </c>
    </row>
    <row r="176" spans="1:27" x14ac:dyDescent="0.25">
      <c r="C176" s="100"/>
      <c r="D176" s="100"/>
      <c r="E176" s="47" t="s">
        <v>690</v>
      </c>
      <c r="F176" s="47" t="s">
        <v>676</v>
      </c>
      <c r="H176" s="106">
        <f t="shared" ref="H176:AA177" si="95">SUM(H107,H128,H149,H170)</f>
        <v>1398.3436283080046</v>
      </c>
      <c r="I176" s="106">
        <f t="shared" si="95"/>
        <v>2863.7685299296941</v>
      </c>
      <c r="J176" s="106">
        <f t="shared" si="95"/>
        <v>4153.5739970690674</v>
      </c>
      <c r="K176" s="106">
        <f t="shared" si="95"/>
        <v>5496.9951189344411</v>
      </c>
      <c r="L176" s="106">
        <f t="shared" si="95"/>
        <v>6858.9807003275855</v>
      </c>
      <c r="M176" s="106">
        <f t="shared" si="95"/>
        <v>8328.3750208612473</v>
      </c>
      <c r="N176" s="106">
        <f t="shared" si="95"/>
        <v>9768.6992394974041</v>
      </c>
      <c r="O176" s="106">
        <f t="shared" si="95"/>
        <v>11324.606689585986</v>
      </c>
      <c r="P176" s="106">
        <f t="shared" si="95"/>
        <v>12826.888144066579</v>
      </c>
      <c r="Q176" s="106">
        <f t="shared" si="95"/>
        <v>14352.678143712594</v>
      </c>
      <c r="R176" s="106">
        <f t="shared" si="95"/>
        <v>15858.581497440009</v>
      </c>
      <c r="S176" s="106">
        <f t="shared" si="95"/>
        <v>17381.204043211306</v>
      </c>
      <c r="T176" s="106">
        <f t="shared" si="95"/>
        <v>18755.180273355942</v>
      </c>
      <c r="U176" s="106">
        <f t="shared" si="95"/>
        <v>20154.694609528215</v>
      </c>
      <c r="V176" s="106">
        <f t="shared" si="95"/>
        <v>21524.979727402409</v>
      </c>
      <c r="W176" s="106">
        <f t="shared" si="95"/>
        <v>22921.763799645298</v>
      </c>
      <c r="X176" s="106">
        <f t="shared" si="95"/>
        <v>24093.9786082104</v>
      </c>
      <c r="Y176" s="106">
        <f t="shared" si="95"/>
        <v>25319.036410195404</v>
      </c>
      <c r="Z176" s="106">
        <f t="shared" si="95"/>
        <v>26467.183904429421</v>
      </c>
      <c r="AA176" s="106">
        <f t="shared" si="95"/>
        <v>27627.547663835445</v>
      </c>
    </row>
    <row r="177" spans="1:27" x14ac:dyDescent="0.25">
      <c r="C177" s="100"/>
      <c r="D177" s="100"/>
      <c r="E177" s="47" t="s">
        <v>691</v>
      </c>
      <c r="F177" s="47" t="s">
        <v>639</v>
      </c>
      <c r="H177" s="106">
        <f t="shared" si="95"/>
        <v>5524465.144391017</v>
      </c>
      <c r="I177" s="106">
        <f t="shared" si="95"/>
        <v>11305381.01018407</v>
      </c>
      <c r="J177" s="106">
        <f t="shared" si="95"/>
        <v>16211079.883630246</v>
      </c>
      <c r="K177" s="106">
        <f t="shared" si="95"/>
        <v>21174148.819096472</v>
      </c>
      <c r="L177" s="106">
        <f t="shared" si="95"/>
        <v>26177158.51560393</v>
      </c>
      <c r="M177" s="106">
        <f t="shared" si="95"/>
        <v>31490407.482962038</v>
      </c>
      <c r="N177" s="106">
        <f t="shared" si="95"/>
        <v>36604967.462252885</v>
      </c>
      <c r="O177" s="106">
        <f t="shared" si="95"/>
        <v>41996919.953854851</v>
      </c>
      <c r="P177" s="106">
        <f t="shared" si="95"/>
        <v>47329054.891702086</v>
      </c>
      <c r="Q177" s="106">
        <f t="shared" si="95"/>
        <v>49298371.355165496</v>
      </c>
      <c r="R177" s="106">
        <f t="shared" si="95"/>
        <v>54598687.245796725</v>
      </c>
      <c r="S177" s="106">
        <f t="shared" si="95"/>
        <v>59899087.985174969</v>
      </c>
      <c r="T177" s="106">
        <f t="shared" si="95"/>
        <v>64935371.870224692</v>
      </c>
      <c r="U177" s="106">
        <f t="shared" si="95"/>
        <v>69993796.292358875</v>
      </c>
      <c r="V177" s="106">
        <f t="shared" si="95"/>
        <v>68305453.979751825</v>
      </c>
      <c r="W177" s="106">
        <f t="shared" si="95"/>
        <v>72853518.961814016</v>
      </c>
      <c r="X177" s="106">
        <f t="shared" si="95"/>
        <v>77096552.114747629</v>
      </c>
      <c r="Y177" s="106">
        <f t="shared" si="95"/>
        <v>81285162.680694506</v>
      </c>
      <c r="Z177" s="106">
        <f t="shared" si="95"/>
        <v>85243863.405998051</v>
      </c>
      <c r="AA177" s="106">
        <f t="shared" si="95"/>
        <v>89064503.870199367</v>
      </c>
    </row>
    <row r="178" spans="1:27" x14ac:dyDescent="0.25">
      <c r="C178" s="100"/>
      <c r="D178" s="100"/>
      <c r="H178" s="106"/>
    </row>
    <row r="179" spans="1:27" x14ac:dyDescent="0.25">
      <c r="C179" s="100"/>
      <c r="D179" s="100"/>
      <c r="E179" s="111" t="s">
        <v>692</v>
      </c>
      <c r="F179" s="111" t="s">
        <v>693</v>
      </c>
      <c r="G179" s="111"/>
      <c r="H179" s="112">
        <f>H176*1000/H175</f>
        <v>287.64396289588643</v>
      </c>
      <c r="I179" s="112">
        <f t="shared" ref="I179:AA179" si="96">I176*1000/I175</f>
        <v>282.77273786473995</v>
      </c>
      <c r="J179" s="112">
        <f t="shared" si="96"/>
        <v>282.99090975208537</v>
      </c>
      <c r="K179" s="112">
        <f t="shared" si="96"/>
        <v>284.02982809605669</v>
      </c>
      <c r="L179" s="112">
        <f t="shared" si="96"/>
        <v>283.03727521286481</v>
      </c>
      <c r="M179" s="112">
        <f t="shared" si="96"/>
        <v>282.67937620076526</v>
      </c>
      <c r="N179" s="112">
        <f t="shared" si="96"/>
        <v>282.2413302926031</v>
      </c>
      <c r="O179" s="112">
        <f t="shared" si="96"/>
        <v>282.44790093896233</v>
      </c>
      <c r="P179" s="112">
        <f t="shared" si="96"/>
        <v>280.82778046846659</v>
      </c>
      <c r="Q179" s="112">
        <f t="shared" si="96"/>
        <v>279.83807010543114</v>
      </c>
      <c r="R179" s="112">
        <f t="shared" si="96"/>
        <v>278.70310039120881</v>
      </c>
      <c r="S179" s="112">
        <f t="shared" si="96"/>
        <v>278.22770624262228</v>
      </c>
      <c r="T179" s="112">
        <f t="shared" si="96"/>
        <v>276.10964476997646</v>
      </c>
      <c r="U179" s="112">
        <f t="shared" si="96"/>
        <v>274.73732028427844</v>
      </c>
      <c r="V179" s="112">
        <f t="shared" si="96"/>
        <v>273.36886825613232</v>
      </c>
      <c r="W179" s="112">
        <f t="shared" si="96"/>
        <v>272.69363314171022</v>
      </c>
      <c r="X179" s="112">
        <f t="shared" si="96"/>
        <v>269.86453206372914</v>
      </c>
      <c r="Y179" s="112">
        <f t="shared" si="96"/>
        <v>268.54095226685445</v>
      </c>
      <c r="Z179" s="112">
        <f t="shared" si="96"/>
        <v>267.28950581503312</v>
      </c>
      <c r="AA179" s="112">
        <f t="shared" si="96"/>
        <v>266.9244248644336</v>
      </c>
    </row>
    <row r="180" spans="1:27" x14ac:dyDescent="0.25">
      <c r="C180" s="100"/>
      <c r="D180" s="100"/>
      <c r="E180" s="111" t="s">
        <v>694</v>
      </c>
      <c r="F180" s="111" t="s">
        <v>695</v>
      </c>
      <c r="G180" s="111"/>
      <c r="H180" s="112">
        <f>H177/H175</f>
        <v>1136.4009638572265</v>
      </c>
      <c r="I180" s="112">
        <f t="shared" ref="I180:AA180" si="97">I177/I175</f>
        <v>1116.3100325473135</v>
      </c>
      <c r="J180" s="112">
        <f t="shared" si="97"/>
        <v>1104.4917575970585</v>
      </c>
      <c r="K180" s="112">
        <f t="shared" si="97"/>
        <v>1094.0686173165254</v>
      </c>
      <c r="L180" s="112">
        <f t="shared" si="97"/>
        <v>1080.2059289535421</v>
      </c>
      <c r="M180" s="112">
        <f t="shared" si="97"/>
        <v>1068.8386055256053</v>
      </c>
      <c r="N180" s="112">
        <f t="shared" si="97"/>
        <v>1057.6059778860847</v>
      </c>
      <c r="O180" s="112">
        <f t="shared" si="97"/>
        <v>1047.4484643935641</v>
      </c>
      <c r="P180" s="112">
        <f t="shared" si="97"/>
        <v>1036.207167913534</v>
      </c>
      <c r="Q180" s="112">
        <f t="shared" si="97"/>
        <v>961.1837568735375</v>
      </c>
      <c r="R180" s="112">
        <f t="shared" si="97"/>
        <v>959.53244085228494</v>
      </c>
      <c r="S180" s="112">
        <f t="shared" si="97"/>
        <v>958.82804290819161</v>
      </c>
      <c r="T180" s="112">
        <f t="shared" si="97"/>
        <v>955.96428286881519</v>
      </c>
      <c r="U180" s="112">
        <f t="shared" si="97"/>
        <v>954.11557468081537</v>
      </c>
      <c r="V180" s="112">
        <f t="shared" si="97"/>
        <v>867.48442445197406</v>
      </c>
      <c r="W180" s="112">
        <f t="shared" si="97"/>
        <v>866.7173672369388</v>
      </c>
      <c r="X180" s="112">
        <f t="shared" si="97"/>
        <v>863.51969089419845</v>
      </c>
      <c r="Y180" s="112">
        <f t="shared" si="97"/>
        <v>862.13371780017974</v>
      </c>
      <c r="Z180" s="112">
        <f t="shared" si="97"/>
        <v>860.86945274673701</v>
      </c>
      <c r="AA180" s="112">
        <f t="shared" si="97"/>
        <v>860.49951883744893</v>
      </c>
    </row>
    <row r="181" spans="1:27" x14ac:dyDescent="0.25">
      <c r="C181" s="100"/>
      <c r="D181" s="100"/>
      <c r="E181" s="111" t="s">
        <v>696</v>
      </c>
      <c r="F181" s="111" t="s">
        <v>697</v>
      </c>
      <c r="G181" s="111"/>
      <c r="H181" s="112">
        <f>H177/H176</f>
        <v>3950.7207188233256</v>
      </c>
      <c r="I181" s="112">
        <f t="shared" ref="I181:AA181" si="98">I177/I176</f>
        <v>3947.7286282148016</v>
      </c>
      <c r="J181" s="112">
        <f t="shared" si="98"/>
        <v>3902.9230958854832</v>
      </c>
      <c r="K181" s="112">
        <f t="shared" si="98"/>
        <v>3851.9497217965427</v>
      </c>
      <c r="L181" s="112">
        <f t="shared" si="98"/>
        <v>3816.4793953063181</v>
      </c>
      <c r="M181" s="112">
        <f t="shared" si="98"/>
        <v>3781.0986421821308</v>
      </c>
      <c r="N181" s="112">
        <f t="shared" si="98"/>
        <v>3747.1690513563399</v>
      </c>
      <c r="O181" s="112">
        <f t="shared" si="98"/>
        <v>3708.4660955576383</v>
      </c>
      <c r="P181" s="112">
        <f t="shared" si="98"/>
        <v>3689.8314197582995</v>
      </c>
      <c r="Q181" s="112">
        <f t="shared" si="98"/>
        <v>3434.7855404784777</v>
      </c>
      <c r="R181" s="112">
        <f t="shared" si="98"/>
        <v>3442.8481043282709</v>
      </c>
      <c r="S181" s="112">
        <f t="shared" si="98"/>
        <v>3446.1989995779468</v>
      </c>
      <c r="T181" s="112">
        <f t="shared" si="98"/>
        <v>3462.2632746683557</v>
      </c>
      <c r="U181" s="112">
        <f t="shared" si="98"/>
        <v>3472.8284227769454</v>
      </c>
      <c r="V181" s="112">
        <f t="shared" si="98"/>
        <v>3173.3109552152309</v>
      </c>
      <c r="W181" s="112">
        <f t="shared" si="98"/>
        <v>3178.3557146218122</v>
      </c>
      <c r="X181" s="112">
        <f t="shared" si="98"/>
        <v>3199.8265362647817</v>
      </c>
      <c r="Y181" s="112">
        <f t="shared" si="98"/>
        <v>3210.4366597443973</v>
      </c>
      <c r="Z181" s="112">
        <f t="shared" si="98"/>
        <v>3220.7379415130013</v>
      </c>
      <c r="AA181" s="112">
        <f t="shared" si="98"/>
        <v>3223.757133782276</v>
      </c>
    </row>
    <row r="182" spans="1:27" x14ac:dyDescent="0.25">
      <c r="C182" s="100"/>
      <c r="D182" s="100"/>
    </row>
    <row r="183" spans="1:27" x14ac:dyDescent="0.25">
      <c r="C183" s="100" t="str">
        <f>"Incremental "&amp;VLOOKUP(G4,E320:F323,2,FALSE)&amp;" Charges"</f>
        <v>Incremental Bulk Water and Sewer Charges</v>
      </c>
      <c r="H183" s="106"/>
      <c r="I183" s="106"/>
      <c r="J183" s="106"/>
      <c r="K183" s="106"/>
      <c r="L183" s="106"/>
      <c r="M183" s="106"/>
      <c r="N183" s="106"/>
      <c r="O183" s="106"/>
      <c r="P183" s="106"/>
      <c r="Q183" s="106"/>
      <c r="R183" s="106"/>
      <c r="S183" s="106"/>
      <c r="T183" s="106"/>
      <c r="U183" s="106"/>
      <c r="V183" s="106"/>
      <c r="W183" s="106"/>
      <c r="X183" s="106"/>
      <c r="Y183" s="106"/>
      <c r="Z183" s="106"/>
      <c r="AA183" s="106"/>
    </row>
    <row r="184" spans="1:27" x14ac:dyDescent="0.25">
      <c r="A184" s="101">
        <v>37</v>
      </c>
      <c r="E184" s="47" t="s">
        <v>698</v>
      </c>
      <c r="F184" s="47" t="s">
        <v>633</v>
      </c>
      <c r="H184" s="113">
        <f>IFERROR(SUMIFS('INPUT Opex'!AD$63:AD$72,'INPUT Opex'!$A$63:$A$72,$A$1)/SUMIFS('INPUT Opex'!AC$63:AC$72,'INPUT Opex'!$A$63:$A$72,$A$1)-1,0)</f>
        <v>0</v>
      </c>
      <c r="I184" s="113">
        <f>IFERROR(SUMIFS('INPUT Opex'!AE$63:AE$72,'INPUT Opex'!$A$63:$A$72,$A$1)/SUMIFS('INPUT Opex'!AD$63:AD$72,'INPUT Opex'!$A$63:$A$72,$A$1)-1,0)</f>
        <v>0</v>
      </c>
      <c r="J184" s="113">
        <f>IFERROR(SUMIFS('INPUT Opex'!AF$63:AF$72,'INPUT Opex'!$A$63:$A$72,$A$1)/SUMIFS('INPUT Opex'!AE$63:AE$72,'INPUT Opex'!$A$63:$A$72,$A$1)-1,0)</f>
        <v>0</v>
      </c>
      <c r="K184" s="113">
        <f>IFERROR(SUMIFS('INPUT Opex'!AG$63:AG$72,'INPUT Opex'!$A$63:$A$72,$A$1)/SUMIFS('INPUT Opex'!AF$63:AF$72,'INPUT Opex'!$A$63:$A$72,$A$1)-1,0)</f>
        <v>0</v>
      </c>
      <c r="L184" s="113">
        <f>IFERROR(SUMIFS('INPUT Opex'!AH$63:AH$72,'INPUT Opex'!$A$63:$A$72,$A$1)/SUMIFS('INPUT Opex'!AG$63:AG$72,'INPUT Opex'!$A$63:$A$72,$A$1)-1,0)</f>
        <v>0</v>
      </c>
      <c r="M184" s="113">
        <f>IFERROR(SUMIFS('INPUT Opex'!AI$63:AI$72,'INPUT Opex'!$A$63:$A$72,$A$1)/SUMIFS('INPUT Opex'!AH$63:AH$72,'INPUT Opex'!$A$63:$A$72,$A$1)-1,0)</f>
        <v>0</v>
      </c>
      <c r="N184" s="113">
        <f>IFERROR(SUMIFS('INPUT Opex'!AJ$63:AJ$72,'INPUT Opex'!$A$63:$A$72,$A$1)/SUMIFS('INPUT Opex'!AI$63:AI$72,'INPUT Opex'!$A$63:$A$72,$A$1)-1,0)</f>
        <v>0</v>
      </c>
      <c r="O184" s="113">
        <f>IFERROR(SUMIFS('INPUT Opex'!AK$63:AK$72,'INPUT Opex'!$A$63:$A$72,$A$1)/SUMIFS('INPUT Opex'!AJ$63:AJ$72,'INPUT Opex'!$A$63:$A$72,$A$1)-1,0)</f>
        <v>0</v>
      </c>
      <c r="P184" s="113">
        <f>IFERROR(SUMIFS('INPUT Opex'!AL$63:AL$72,'INPUT Opex'!$A$63:$A$72,$A$1)/SUMIFS('INPUT Opex'!AK$63:AK$72,'INPUT Opex'!$A$63:$A$72,$A$1)-1,0)</f>
        <v>0</v>
      </c>
      <c r="Q184" s="113">
        <f>IFERROR(SUMIFS('INPUT Opex'!AM$63:AM$72,'INPUT Opex'!$A$63:$A$72,$A$1)/SUMIFS('INPUT Opex'!AL$63:AL$72,'INPUT Opex'!$A$63:$A$72,$A$1)-1,0)</f>
        <v>0</v>
      </c>
      <c r="R184" s="113">
        <f>IFERROR(SUMIFS('INPUT Opex'!AN$63:AN$72,'INPUT Opex'!$A$63:$A$72,$A$1)/SUMIFS('INPUT Opex'!AM$63:AM$72,'INPUT Opex'!$A$63:$A$72,$A$1)-1,0)</f>
        <v>0</v>
      </c>
      <c r="S184" s="113">
        <f>IFERROR(SUMIFS('INPUT Opex'!AO$63:AO$72,'INPUT Opex'!$A$63:$A$72,$A$1)/SUMIFS('INPUT Opex'!AN$63:AN$72,'INPUT Opex'!$A$63:$A$72,$A$1)-1,0)</f>
        <v>0</v>
      </c>
      <c r="T184" s="113">
        <f>IFERROR(SUMIFS('INPUT Opex'!AP$63:AP$72,'INPUT Opex'!$A$63:$A$72,$A$1)/SUMIFS('INPUT Opex'!AO$63:AO$72,'INPUT Opex'!$A$63:$A$72,$A$1)-1,0)</f>
        <v>0</v>
      </c>
      <c r="U184" s="113">
        <f>IFERROR(SUMIFS('INPUT Opex'!AQ$63:AQ$72,'INPUT Opex'!$A$63:$A$72,$A$1)/SUMIFS('INPUT Opex'!AP$63:AP$72,'INPUT Opex'!$A$63:$A$72,$A$1)-1,0)</f>
        <v>0</v>
      </c>
      <c r="V184" s="113">
        <f>IFERROR(SUMIFS('INPUT Opex'!AR$63:AR$72,'INPUT Opex'!$A$63:$A$72,$A$1)/SUMIFS('INPUT Opex'!AQ$63:AQ$72,'INPUT Opex'!$A$63:$A$72,$A$1)-1,0)</f>
        <v>0</v>
      </c>
      <c r="W184" s="113">
        <f>IFERROR(SUMIFS('INPUT Opex'!AS$63:AS$72,'INPUT Opex'!$A$63:$A$72,$A$1)/SUMIFS('INPUT Opex'!AR$63:AR$72,'INPUT Opex'!$A$63:$A$72,$A$1)-1,0)</f>
        <v>0</v>
      </c>
      <c r="X184" s="113">
        <f>IFERROR(SUMIFS('INPUT Opex'!AT$63:AT$72,'INPUT Opex'!$A$63:$A$72,$A$1)/SUMIFS('INPUT Opex'!AS$63:AS$72,'INPUT Opex'!$A$63:$A$72,$A$1)-1,0)</f>
        <v>0</v>
      </c>
      <c r="Y184" s="113">
        <f>IFERROR(SUMIFS('INPUT Opex'!AU$63:AU$72,'INPUT Opex'!$A$63:$A$72,$A$1)/SUMIFS('INPUT Opex'!AT$63:AT$72,'INPUT Opex'!$A$63:$A$72,$A$1)-1,0)</f>
        <v>0</v>
      </c>
      <c r="Z184" s="113">
        <f>IFERROR(SUMIFS('INPUT Opex'!AV$63:AV$72,'INPUT Opex'!$A$63:$A$72,$A$1)/SUMIFS('INPUT Opex'!AU$63:AU$72,'INPUT Opex'!$A$63:$A$72,$A$1)-1,0)</f>
        <v>0</v>
      </c>
      <c r="AA184" s="113">
        <f>IFERROR(SUMIFS('INPUT Opex'!AW$63:AW$72,'INPUT Opex'!$A$63:$A$72,$A$1)/SUMIFS('INPUT Opex'!AV$63:AV$72,'INPUT Opex'!$A$63:$A$72,$A$1)-1,0)</f>
        <v>0</v>
      </c>
    </row>
    <row r="185" spans="1:27" x14ac:dyDescent="0.25">
      <c r="A185" s="101">
        <v>38</v>
      </c>
      <c r="E185" s="47" t="s">
        <v>699</v>
      </c>
      <c r="F185" s="47" t="s">
        <v>697</v>
      </c>
      <c r="G185" s="102">
        <f>SUMIFS('INPUT Opex'!AC$63:AC$72,'INPUT Opex'!$A$63:$A$72,$A$1)</f>
        <v>0</v>
      </c>
      <c r="H185" s="106">
        <f t="shared" ref="H185:AA185" si="99">G185*(1+$G$14)*(1+H184)</f>
        <v>0</v>
      </c>
      <c r="I185" s="106">
        <f t="shared" si="99"/>
        <v>0</v>
      </c>
      <c r="J185" s="106">
        <f t="shared" si="99"/>
        <v>0</v>
      </c>
      <c r="K185" s="106">
        <f t="shared" si="99"/>
        <v>0</v>
      </c>
      <c r="L185" s="106">
        <f t="shared" si="99"/>
        <v>0</v>
      </c>
      <c r="M185" s="106">
        <f t="shared" si="99"/>
        <v>0</v>
      </c>
      <c r="N185" s="106">
        <f t="shared" si="99"/>
        <v>0</v>
      </c>
      <c r="O185" s="106">
        <f t="shared" si="99"/>
        <v>0</v>
      </c>
      <c r="P185" s="106">
        <f t="shared" si="99"/>
        <v>0</v>
      </c>
      <c r="Q185" s="106">
        <f t="shared" si="99"/>
        <v>0</v>
      </c>
      <c r="R185" s="106">
        <f t="shared" si="99"/>
        <v>0</v>
      </c>
      <c r="S185" s="106">
        <f t="shared" si="99"/>
        <v>0</v>
      </c>
      <c r="T185" s="106">
        <f t="shared" si="99"/>
        <v>0</v>
      </c>
      <c r="U185" s="106">
        <f t="shared" si="99"/>
        <v>0</v>
      </c>
      <c r="V185" s="106">
        <f t="shared" si="99"/>
        <v>0</v>
      </c>
      <c r="W185" s="106">
        <f t="shared" si="99"/>
        <v>0</v>
      </c>
      <c r="X185" s="106">
        <f t="shared" si="99"/>
        <v>0</v>
      </c>
      <c r="Y185" s="106">
        <f t="shared" si="99"/>
        <v>0</v>
      </c>
      <c r="Z185" s="106">
        <f t="shared" si="99"/>
        <v>0</v>
      </c>
      <c r="AA185" s="106">
        <f t="shared" si="99"/>
        <v>0</v>
      </c>
    </row>
    <row r="186" spans="1:27" x14ac:dyDescent="0.25">
      <c r="A186" s="101">
        <v>39</v>
      </c>
      <c r="E186" s="47" t="s">
        <v>700</v>
      </c>
      <c r="F186" s="47" t="s">
        <v>639</v>
      </c>
      <c r="G186" s="106"/>
      <c r="H186" s="102">
        <f>GS!H186+GW!H186</f>
        <v>1137590.5563108225</v>
      </c>
      <c r="I186" s="102">
        <f>GS!I186+GW!I186</f>
        <v>2228980.282604041</v>
      </c>
      <c r="J186" s="102">
        <f>GS!J186+GW!J186</f>
        <v>3362361.5300755678</v>
      </c>
      <c r="K186" s="102">
        <f>GS!K186+GW!K186</f>
        <v>4215023.9771346496</v>
      </c>
      <c r="L186" s="102">
        <f>GS!L186+GW!L186</f>
        <v>5064319.985374392</v>
      </c>
      <c r="M186" s="102">
        <f>GS!M186+GW!M186</f>
        <v>5927564.8976624934</v>
      </c>
      <c r="N186" s="102">
        <f>GS!N186+GW!N186</f>
        <v>6735150.2900946457</v>
      </c>
      <c r="O186" s="102">
        <f>GS!O186+GW!O186</f>
        <v>7572464.5712763537</v>
      </c>
      <c r="P186" s="102">
        <f>GS!P186+GW!P186</f>
        <v>8377942.1348737553</v>
      </c>
      <c r="Q186" s="102">
        <f>GS!Q186+GW!Q186</f>
        <v>9141111.090731794</v>
      </c>
      <c r="R186" s="102">
        <f>GS!R186+GW!R186</f>
        <v>9828320.3473982066</v>
      </c>
      <c r="S186" s="102">
        <f>GS!S186+GW!S186</f>
        <v>10460307.124257023</v>
      </c>
      <c r="T186" s="102">
        <f>GS!T186+GW!T186</f>
        <v>11030965.34781828</v>
      </c>
      <c r="U186" s="102">
        <f>GS!U186+GW!U186</f>
        <v>11560345.313126713</v>
      </c>
      <c r="V186" s="102">
        <f>GS!V186+GW!V186</f>
        <v>12044389.505308306</v>
      </c>
      <c r="W186" s="102">
        <f>GS!W186+GW!W186</f>
        <v>12491675.881753882</v>
      </c>
      <c r="X186" s="102">
        <f>GS!X186+GW!X186</f>
        <v>13095024.207347061</v>
      </c>
      <c r="Y186" s="102">
        <f>GS!Y186+GW!Y186</f>
        <v>13514701.737129385</v>
      </c>
      <c r="Z186" s="102">
        <f>GS!Z186+GW!Z186</f>
        <v>13875188.323139491</v>
      </c>
      <c r="AA186" s="102">
        <f>GS!AA186+GW!AA186</f>
        <v>14186144.142887218</v>
      </c>
    </row>
    <row r="187" spans="1:27" x14ac:dyDescent="0.25">
      <c r="E187" s="47" t="s">
        <v>701</v>
      </c>
      <c r="F187" s="47" t="s">
        <v>639</v>
      </c>
      <c r="H187" s="120">
        <f>GS!H187+GW!H187</f>
        <v>1306863.7605778105</v>
      </c>
      <c r="I187" s="120">
        <f>GS!I187+GW!I187</f>
        <v>2577082.8287231382</v>
      </c>
      <c r="J187" s="120">
        <f>GS!J187+GW!J187</f>
        <v>3875006.4440736957</v>
      </c>
      <c r="K187" s="120">
        <f>GS!K187+GW!K187</f>
        <v>4891730.6526194289</v>
      </c>
      <c r="L187" s="120">
        <f>GS!L187+GW!L187</f>
        <v>5907018.8377299746</v>
      </c>
      <c r="M187" s="120">
        <f>GS!M187+GW!M187</f>
        <v>6948405.4201544048</v>
      </c>
      <c r="N187" s="120">
        <f>GS!N187+GW!N187</f>
        <v>7929985.9338508081</v>
      </c>
      <c r="O187" s="120">
        <f>GS!O187+GW!O187</f>
        <v>8955762.5296962783</v>
      </c>
      <c r="P187" s="120">
        <f>GS!P187+GW!P187</f>
        <v>9942199.6430761088</v>
      </c>
      <c r="Q187" s="120">
        <f>GS!Q187+GW!Q187</f>
        <v>10887996.828297595</v>
      </c>
      <c r="R187" s="120">
        <f>GS!R187+GW!R187</f>
        <v>11750053.960807072</v>
      </c>
      <c r="S187" s="120">
        <f>GS!S187+GW!S187</f>
        <v>12555638.373047311</v>
      </c>
      <c r="T187" s="120">
        <f>GS!T187+GW!T187</f>
        <v>13279214.611542897</v>
      </c>
      <c r="U187" s="120">
        <f>GS!U187+GW!U187</f>
        <v>13961785.128372649</v>
      </c>
      <c r="V187" s="120">
        <f>GS!V187+GW!V187</f>
        <v>14592340.071704799</v>
      </c>
      <c r="W187" s="120">
        <f>GS!W187+GW!W187</f>
        <v>15185572.44599391</v>
      </c>
      <c r="X187" s="120">
        <f>GS!X187+GW!X187</f>
        <v>15932755.604998369</v>
      </c>
      <c r="Y187" s="120">
        <f>GS!Y187+GW!Y187</f>
        <v>16483066.393340295</v>
      </c>
      <c r="Z187" s="120">
        <f>GS!Z187+GW!Z187</f>
        <v>16963243.313973121</v>
      </c>
      <c r="AA187" s="120">
        <f>GS!AA187+GW!AA187</f>
        <v>17394948.727259599</v>
      </c>
    </row>
    <row r="188" spans="1:27" x14ac:dyDescent="0.25">
      <c r="H188" s="106"/>
      <c r="I188" s="106"/>
      <c r="J188" s="106"/>
      <c r="K188" s="106"/>
      <c r="L188" s="106"/>
      <c r="M188" s="106"/>
      <c r="N188" s="106"/>
      <c r="O188" s="106"/>
      <c r="P188" s="106"/>
      <c r="Q188" s="106"/>
      <c r="R188" s="106"/>
      <c r="S188" s="106"/>
      <c r="T188" s="106"/>
      <c r="U188" s="106"/>
      <c r="V188" s="106"/>
      <c r="W188" s="106"/>
      <c r="X188" s="106"/>
      <c r="Y188" s="106"/>
      <c r="Z188" s="106"/>
      <c r="AA188" s="106"/>
    </row>
    <row r="189" spans="1:27" x14ac:dyDescent="0.25">
      <c r="C189" s="100" t="s">
        <v>702</v>
      </c>
      <c r="G189" s="106"/>
    </row>
    <row r="190" spans="1:27" x14ac:dyDescent="0.25">
      <c r="C190" s="100"/>
      <c r="D190" s="47" t="s">
        <v>703</v>
      </c>
      <c r="G190" s="106"/>
    </row>
    <row r="191" spans="1:27" x14ac:dyDescent="0.25">
      <c r="A191" s="101">
        <v>40</v>
      </c>
      <c r="C191" s="100"/>
      <c r="E191" s="47" t="s">
        <v>704</v>
      </c>
      <c r="G191" s="106"/>
      <c r="H191" s="105">
        <f>SUMIFS('INPUT Opex'!AD$97:AD$100,'INPUT Opex'!$C$97:$C$100,$G$4)</f>
        <v>-1.6126398497733785E-2</v>
      </c>
      <c r="I191" s="105">
        <f>SUMIFS('INPUT Opex'!AE$97:AE$100,'INPUT Opex'!$C$97:$C$100,$G$4)</f>
        <v>-2.8198176744306247E-2</v>
      </c>
      <c r="J191" s="105">
        <f>SUMIFS('INPUT Opex'!AF$97:AF$100,'INPUT Opex'!$C$97:$C$100,$G$4)</f>
        <v>-2.0381836302328815E-2</v>
      </c>
      <c r="K191" s="105">
        <f>SUMIFS('INPUT Opex'!AG$97:AG$100,'INPUT Opex'!$C$97:$C$100,$G$4)</f>
        <v>-1.4551937003056681E-2</v>
      </c>
      <c r="L191" s="105">
        <f>SUMIFS('INPUT Opex'!AH$97:AH$100,'INPUT Opex'!$C$97:$C$100,$G$4)</f>
        <v>-1.3591470890524593E-2</v>
      </c>
      <c r="M191" s="105">
        <f>SUMIFS('INPUT Opex'!AI$97:AI$100,'INPUT Opex'!$C$97:$C$100,$G$4)</f>
        <v>-1.3412161085008867E-2</v>
      </c>
      <c r="N191" s="105">
        <f>SUMIFS('INPUT Opex'!AJ$97:AJ$100,'INPUT Opex'!$C$97:$C$100,$G$4)</f>
        <v>-1.3647426823707121E-2</v>
      </c>
      <c r="O191" s="105">
        <f>SUMIFS('INPUT Opex'!AK$97:AK$100,'INPUT Opex'!$C$97:$C$100,$G$4)</f>
        <v>-1.4061923468026705E-2</v>
      </c>
      <c r="P191" s="105">
        <f>SUMIFS('INPUT Opex'!AL$97:AL$100,'INPUT Opex'!$C$97:$C$100,$G$4)</f>
        <v>-1.3985972347713815E-2</v>
      </c>
      <c r="Q191" s="105">
        <f>SUMIFS('INPUT Opex'!AM$97:AM$100,'INPUT Opex'!$C$97:$C$100,$G$4)</f>
        <v>0</v>
      </c>
      <c r="R191" s="105">
        <f>SUMIFS('INPUT Opex'!AN$97:AN$100,'INPUT Opex'!$C$97:$C$100,$G$4)</f>
        <v>0</v>
      </c>
      <c r="S191" s="105">
        <f>SUMIFS('INPUT Opex'!AO$97:AO$100,'INPUT Opex'!$C$97:$C$100,$G$4)</f>
        <v>0</v>
      </c>
      <c r="T191" s="105">
        <f>SUMIFS('INPUT Opex'!AP$97:AP$100,'INPUT Opex'!$C$97:$C$100,$G$4)</f>
        <v>0</v>
      </c>
      <c r="U191" s="105">
        <f>SUMIFS('INPUT Opex'!AQ$97:AQ$100,'INPUT Opex'!$C$97:$C$100,$G$4)</f>
        <v>0</v>
      </c>
      <c r="V191" s="105">
        <f>SUMIFS('INPUT Opex'!AR$97:AR$100,'INPUT Opex'!$C$97:$C$100,$G$4)</f>
        <v>0</v>
      </c>
      <c r="W191" s="105">
        <f>SUMIFS('INPUT Opex'!AS$97:AS$100,'INPUT Opex'!$C$97:$C$100,$G$4)</f>
        <v>0</v>
      </c>
      <c r="X191" s="105">
        <f>SUMIFS('INPUT Opex'!AT$97:AT$100,'INPUT Opex'!$C$97:$C$100,$G$4)</f>
        <v>0</v>
      </c>
      <c r="Y191" s="105">
        <f>SUMIFS('INPUT Opex'!AU$97:AU$100,'INPUT Opex'!$C$97:$C$100,$G$4)</f>
        <v>0</v>
      </c>
      <c r="Z191" s="105">
        <f>SUMIFS('INPUT Opex'!AV$97:AV$100,'INPUT Opex'!$C$97:$C$100,$G$4)</f>
        <v>0</v>
      </c>
      <c r="AA191" s="105">
        <f>SUMIFS('INPUT Opex'!AW$97:AW$100,'INPUT Opex'!$C$97:$C$100,$G$4)</f>
        <v>0</v>
      </c>
    </row>
    <row r="192" spans="1:27" x14ac:dyDescent="0.25">
      <c r="A192" s="101">
        <v>41</v>
      </c>
      <c r="E192" s="47" t="s">
        <v>705</v>
      </c>
      <c r="F192" s="47" t="s">
        <v>695</v>
      </c>
      <c r="G192" s="114">
        <f>SUMIFS('INPUT Opex'!AC$97:AC$100,'INPUT Opex'!$C$97:$C$100,$G$4)</f>
        <v>282.54945244704999</v>
      </c>
      <c r="H192" s="106">
        <f t="shared" ref="H192:W193" si="100">G192*(1+$G$14)*(1+H$191)</f>
        <v>277.99294738157238</v>
      </c>
      <c r="I192" s="106">
        <f t="shared" si="100"/>
        <v>270.15405311763618</v>
      </c>
      <c r="J192" s="106">
        <f t="shared" si="100"/>
        <v>264.64781743058188</v>
      </c>
      <c r="K192" s="106">
        <f t="shared" si="100"/>
        <v>260.7966790633356</v>
      </c>
      <c r="L192" s="106">
        <f t="shared" si="100"/>
        <v>257.2520685915008</v>
      </c>
      <c r="M192" s="106">
        <f t="shared" si="100"/>
        <v>253.80176240809985</v>
      </c>
      <c r="N192" s="106">
        <f t="shared" si="100"/>
        <v>250.33802142790739</v>
      </c>
      <c r="O192" s="106">
        <f t="shared" si="100"/>
        <v>246.81778732945094</v>
      </c>
      <c r="P192" s="106">
        <f t="shared" si="100"/>
        <v>243.36580058093733</v>
      </c>
      <c r="Q192" s="106">
        <f t="shared" si="100"/>
        <v>243.36580058093733</v>
      </c>
      <c r="R192" s="106">
        <f t="shared" si="100"/>
        <v>243.36580058093733</v>
      </c>
      <c r="S192" s="106">
        <f t="shared" si="100"/>
        <v>243.36580058093733</v>
      </c>
      <c r="T192" s="106">
        <f t="shared" si="100"/>
        <v>243.36580058093733</v>
      </c>
      <c r="U192" s="106">
        <f t="shared" si="100"/>
        <v>243.36580058093733</v>
      </c>
      <c r="V192" s="106">
        <f t="shared" si="100"/>
        <v>243.36580058093733</v>
      </c>
      <c r="W192" s="106">
        <f t="shared" si="100"/>
        <v>243.36580058093733</v>
      </c>
      <c r="X192" s="106">
        <f t="shared" ref="X192:AA193" si="101">W192*(1+$G$14)*(1+X$191)</f>
        <v>243.36580058093733</v>
      </c>
      <c r="Y192" s="106">
        <f t="shared" si="101"/>
        <v>243.36580058093733</v>
      </c>
      <c r="Z192" s="106">
        <f t="shared" si="101"/>
        <v>243.36580058093733</v>
      </c>
      <c r="AA192" s="106">
        <f t="shared" si="101"/>
        <v>243.36580058093733</v>
      </c>
    </row>
    <row r="193" spans="1:29" x14ac:dyDescent="0.25">
      <c r="A193" s="101">
        <v>42</v>
      </c>
      <c r="E193" s="47" t="s">
        <v>706</v>
      </c>
      <c r="F193" s="47" t="s">
        <v>697</v>
      </c>
      <c r="G193" s="102"/>
      <c r="H193" s="106">
        <f>G193*(1+$G$14)*(1+H$191)</f>
        <v>0</v>
      </c>
      <c r="I193" s="106">
        <f t="shared" si="100"/>
        <v>0</v>
      </c>
      <c r="J193" s="106">
        <f t="shared" si="100"/>
        <v>0</v>
      </c>
      <c r="K193" s="106">
        <f t="shared" si="100"/>
        <v>0</v>
      </c>
      <c r="L193" s="106">
        <f t="shared" si="100"/>
        <v>0</v>
      </c>
      <c r="M193" s="106">
        <f t="shared" si="100"/>
        <v>0</v>
      </c>
      <c r="N193" s="106">
        <f t="shared" si="100"/>
        <v>0</v>
      </c>
      <c r="O193" s="106">
        <f t="shared" si="100"/>
        <v>0</v>
      </c>
      <c r="P193" s="106">
        <f t="shared" si="100"/>
        <v>0</v>
      </c>
      <c r="Q193" s="106">
        <f t="shared" si="100"/>
        <v>0</v>
      </c>
      <c r="R193" s="106">
        <f t="shared" si="100"/>
        <v>0</v>
      </c>
      <c r="S193" s="106">
        <f t="shared" si="100"/>
        <v>0</v>
      </c>
      <c r="T193" s="106">
        <f t="shared" si="100"/>
        <v>0</v>
      </c>
      <c r="U193" s="106">
        <f t="shared" si="100"/>
        <v>0</v>
      </c>
      <c r="V193" s="106">
        <f t="shared" si="100"/>
        <v>0</v>
      </c>
      <c r="W193" s="106">
        <f t="shared" si="100"/>
        <v>0</v>
      </c>
      <c r="X193" s="106">
        <f t="shared" si="101"/>
        <v>0</v>
      </c>
      <c r="Y193" s="106">
        <f t="shared" si="101"/>
        <v>0</v>
      </c>
      <c r="Z193" s="106">
        <f t="shared" si="101"/>
        <v>0</v>
      </c>
      <c r="AA193" s="106">
        <f t="shared" si="101"/>
        <v>0</v>
      </c>
    </row>
    <row r="194" spans="1:29" x14ac:dyDescent="0.25">
      <c r="A194" s="101">
        <v>43</v>
      </c>
      <c r="E194" s="47" t="s">
        <v>707</v>
      </c>
      <c r="F194" s="47" t="s">
        <v>639</v>
      </c>
      <c r="G194" s="106"/>
      <c r="H194" s="102"/>
      <c r="I194" s="102"/>
      <c r="J194" s="102"/>
      <c r="K194" s="102"/>
      <c r="L194" s="102"/>
      <c r="M194" s="102"/>
      <c r="N194" s="102"/>
      <c r="O194" s="102"/>
      <c r="P194" s="102"/>
      <c r="Q194" s="102"/>
      <c r="R194" s="102"/>
      <c r="S194" s="102"/>
      <c r="T194" s="102"/>
      <c r="U194" s="102"/>
      <c r="V194" s="102"/>
      <c r="W194" s="102"/>
      <c r="X194" s="102"/>
      <c r="Y194" s="102"/>
      <c r="Z194" s="102"/>
      <c r="AA194" s="102"/>
    </row>
    <row r="195" spans="1:29" x14ac:dyDescent="0.25">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row>
    <row r="196" spans="1:29" x14ac:dyDescent="0.25">
      <c r="D196" s="47" t="s">
        <v>708</v>
      </c>
      <c r="G196" s="101"/>
      <c r="H196" s="101"/>
      <c r="I196" s="101"/>
      <c r="J196" s="101"/>
      <c r="K196" s="101"/>
      <c r="L196" s="101"/>
      <c r="M196" s="101"/>
      <c r="N196" s="101"/>
      <c r="O196" s="101"/>
      <c r="P196" s="101"/>
      <c r="Q196" s="101"/>
      <c r="R196" s="101"/>
      <c r="S196" s="101"/>
      <c r="T196" s="101"/>
      <c r="U196" s="101"/>
      <c r="V196" s="101"/>
      <c r="W196" s="101"/>
      <c r="X196" s="101"/>
      <c r="Y196" s="101"/>
      <c r="Z196" s="101"/>
      <c r="AA196" s="101"/>
    </row>
    <row r="197" spans="1:29" x14ac:dyDescent="0.25">
      <c r="A197" s="101">
        <v>44</v>
      </c>
      <c r="E197" s="47" t="s">
        <v>706</v>
      </c>
      <c r="F197" s="47" t="s">
        <v>697</v>
      </c>
      <c r="G197" s="101"/>
      <c r="H197" s="102"/>
      <c r="I197" s="102"/>
      <c r="J197" s="102"/>
      <c r="K197" s="102"/>
      <c r="L197" s="102"/>
      <c r="M197" s="102"/>
      <c r="N197" s="102"/>
      <c r="O197" s="102"/>
      <c r="P197" s="102"/>
      <c r="Q197" s="102"/>
      <c r="R197" s="102"/>
      <c r="S197" s="102"/>
      <c r="T197" s="102"/>
      <c r="U197" s="102"/>
      <c r="V197" s="102"/>
      <c r="W197" s="102"/>
      <c r="X197" s="102"/>
      <c r="Y197" s="102"/>
      <c r="Z197" s="102"/>
      <c r="AA197" s="102"/>
    </row>
    <row r="198" spans="1:29" x14ac:dyDescent="0.25">
      <c r="A198" s="101">
        <v>45</v>
      </c>
      <c r="E198" s="47" t="s">
        <v>707</v>
      </c>
      <c r="F198" s="47" t="s">
        <v>639</v>
      </c>
      <c r="G198" s="106"/>
      <c r="H198" s="102"/>
      <c r="I198" s="102"/>
      <c r="J198" s="102"/>
      <c r="K198" s="102"/>
      <c r="L198" s="102"/>
      <c r="M198" s="102"/>
      <c r="N198" s="102"/>
      <c r="O198" s="102"/>
      <c r="P198" s="102"/>
      <c r="Q198" s="102"/>
      <c r="R198" s="102"/>
      <c r="S198" s="102"/>
      <c r="T198" s="102"/>
      <c r="U198" s="102"/>
      <c r="V198" s="102"/>
      <c r="W198" s="102"/>
      <c r="X198" s="102"/>
      <c r="Y198" s="102"/>
      <c r="Z198" s="102"/>
      <c r="AA198" s="102"/>
    </row>
    <row r="199" spans="1:29" x14ac:dyDescent="0.25">
      <c r="G199" s="106"/>
    </row>
    <row r="200" spans="1:29" x14ac:dyDescent="0.25">
      <c r="E200" s="47" t="s">
        <v>702</v>
      </c>
      <c r="F200" s="47" t="s">
        <v>639</v>
      </c>
      <c r="G200" s="106"/>
      <c r="H200" s="106">
        <f>H192*H175+(H193+H197)*H176+H194+H198</f>
        <v>1351426.4744930035</v>
      </c>
      <c r="I200" s="106">
        <f t="shared" ref="I200:AA200" si="102">I192*I175+(I193+I197)*I176+I194+I198</f>
        <v>2735973.3522872683</v>
      </c>
      <c r="J200" s="106">
        <f t="shared" si="102"/>
        <v>3884344.8852252271</v>
      </c>
      <c r="K200" s="106">
        <f t="shared" si="102"/>
        <v>5047350.4189871075</v>
      </c>
      <c r="L200" s="106">
        <f t="shared" si="102"/>
        <v>6234115.1788626732</v>
      </c>
      <c r="M200" s="106">
        <f t="shared" si="102"/>
        <v>7477575.0771041131</v>
      </c>
      <c r="N200" s="106">
        <f t="shared" si="102"/>
        <v>8664488.7798850294</v>
      </c>
      <c r="O200" s="106">
        <f t="shared" si="102"/>
        <v>9896035.184569994</v>
      </c>
      <c r="P200" s="106">
        <f t="shared" si="102"/>
        <v>11115801.638055591</v>
      </c>
      <c r="Q200" s="106">
        <f t="shared" si="102"/>
        <v>12482043.653349742</v>
      </c>
      <c r="R200" s="106">
        <f t="shared" si="102"/>
        <v>13847841.58046728</v>
      </c>
      <c r="S200" s="106">
        <f t="shared" si="102"/>
        <v>15203340.796505995</v>
      </c>
      <c r="T200" s="106">
        <f t="shared" si="102"/>
        <v>16531003.348570427</v>
      </c>
      <c r="U200" s="106">
        <f t="shared" si="102"/>
        <v>17853283.944230188</v>
      </c>
      <c r="V200" s="106">
        <f t="shared" si="102"/>
        <v>19162547.503176495</v>
      </c>
      <c r="W200" s="106">
        <f t="shared" si="102"/>
        <v>20456559.009314757</v>
      </c>
      <c r="X200" s="106">
        <f t="shared" si="102"/>
        <v>21728125.39805115</v>
      </c>
      <c r="Y200" s="106">
        <f t="shared" si="102"/>
        <v>22945429.789725389</v>
      </c>
      <c r="Z200" s="106">
        <f t="shared" si="102"/>
        <v>24098242.766334951</v>
      </c>
      <c r="AA200" s="106">
        <f t="shared" si="102"/>
        <v>25189153.292030584</v>
      </c>
    </row>
    <row r="201" spans="1:29" x14ac:dyDescent="0.25">
      <c r="G201" s="106"/>
      <c r="H201" s="106"/>
      <c r="I201" s="106"/>
      <c r="J201" s="106"/>
      <c r="K201" s="106"/>
      <c r="L201" s="106"/>
      <c r="M201" s="106"/>
      <c r="N201" s="106"/>
      <c r="O201" s="106"/>
      <c r="P201" s="106"/>
      <c r="Q201" s="106"/>
      <c r="R201" s="106"/>
      <c r="S201" s="106"/>
      <c r="T201" s="106"/>
      <c r="U201" s="106"/>
      <c r="V201" s="106"/>
      <c r="W201" s="106"/>
      <c r="X201" s="106"/>
      <c r="Y201" s="106"/>
      <c r="Z201" s="106"/>
      <c r="AA201" s="106"/>
    </row>
    <row r="202" spans="1:29" x14ac:dyDescent="0.25">
      <c r="C202" s="100" t="s">
        <v>709</v>
      </c>
      <c r="G202" s="106"/>
      <c r="H202" s="106"/>
      <c r="I202" s="106"/>
      <c r="J202" s="106"/>
      <c r="K202" s="106"/>
      <c r="L202" s="106"/>
      <c r="M202" s="106"/>
      <c r="N202" s="106"/>
      <c r="O202" s="106"/>
      <c r="P202" s="106"/>
      <c r="Q202" s="106"/>
      <c r="R202" s="106"/>
      <c r="S202" s="106"/>
      <c r="T202" s="106"/>
      <c r="U202" s="106"/>
      <c r="V202" s="106"/>
      <c r="W202" s="106"/>
      <c r="X202" s="106"/>
      <c r="Y202" s="106"/>
      <c r="Z202" s="106"/>
      <c r="AA202" s="106"/>
    </row>
    <row r="203" spans="1:29" x14ac:dyDescent="0.25">
      <c r="A203" s="101">
        <v>46</v>
      </c>
      <c r="E203" s="102" t="s">
        <v>710</v>
      </c>
      <c r="F203" s="47" t="s">
        <v>639</v>
      </c>
      <c r="G203" s="106"/>
      <c r="H203" s="102"/>
      <c r="I203" s="102"/>
      <c r="J203" s="102"/>
      <c r="K203" s="102"/>
      <c r="L203" s="102"/>
      <c r="M203" s="102"/>
      <c r="N203" s="102"/>
      <c r="O203" s="102"/>
      <c r="P203" s="102"/>
      <c r="Q203" s="102"/>
      <c r="R203" s="102"/>
      <c r="S203" s="102"/>
      <c r="T203" s="102"/>
      <c r="U203" s="102"/>
      <c r="V203" s="102"/>
      <c r="W203" s="102"/>
      <c r="X203" s="102"/>
      <c r="Y203" s="102"/>
      <c r="Z203" s="102"/>
      <c r="AA203" s="102"/>
    </row>
    <row r="204" spans="1:29" x14ac:dyDescent="0.25">
      <c r="A204" s="101">
        <v>47</v>
      </c>
      <c r="E204" s="102" t="s">
        <v>711</v>
      </c>
      <c r="F204" s="47" t="s">
        <v>639</v>
      </c>
      <c r="G204" s="106"/>
      <c r="H204" s="102"/>
      <c r="I204" s="102"/>
      <c r="J204" s="102"/>
      <c r="K204" s="102"/>
      <c r="L204" s="102"/>
      <c r="M204" s="102"/>
      <c r="N204" s="102"/>
      <c r="O204" s="102"/>
      <c r="P204" s="102"/>
      <c r="Q204" s="102"/>
      <c r="R204" s="102"/>
      <c r="S204" s="102"/>
      <c r="T204" s="102"/>
      <c r="U204" s="102"/>
      <c r="V204" s="102"/>
      <c r="W204" s="102"/>
      <c r="X204" s="102"/>
      <c r="Y204" s="102"/>
      <c r="Z204" s="102"/>
      <c r="AA204" s="102"/>
    </row>
    <row r="205" spans="1:29" x14ac:dyDescent="0.25">
      <c r="A205" s="101">
        <v>48</v>
      </c>
      <c r="E205" s="102" t="s">
        <v>712</v>
      </c>
      <c r="F205" s="47" t="s">
        <v>639</v>
      </c>
      <c r="G205" s="106"/>
      <c r="H205" s="102"/>
      <c r="I205" s="102"/>
      <c r="J205" s="102"/>
      <c r="K205" s="102"/>
      <c r="L205" s="102"/>
      <c r="M205" s="102"/>
      <c r="N205" s="102"/>
      <c r="O205" s="102"/>
      <c r="P205" s="102"/>
      <c r="Q205" s="102"/>
      <c r="R205" s="102"/>
      <c r="S205" s="102"/>
      <c r="T205" s="102"/>
      <c r="U205" s="102"/>
      <c r="V205" s="102"/>
      <c r="W205" s="102"/>
      <c r="X205" s="102"/>
      <c r="Y205" s="102"/>
      <c r="Z205" s="102"/>
      <c r="AA205" s="102"/>
    </row>
    <row r="206" spans="1:29" x14ac:dyDescent="0.25">
      <c r="A206" s="101">
        <v>49</v>
      </c>
      <c r="E206" s="102" t="s">
        <v>713</v>
      </c>
      <c r="F206" s="47" t="s">
        <v>639</v>
      </c>
      <c r="G206" s="106"/>
      <c r="H206" s="102"/>
      <c r="I206" s="102"/>
      <c r="J206" s="102"/>
      <c r="K206" s="102"/>
      <c r="L206" s="102"/>
      <c r="M206" s="102"/>
      <c r="N206" s="102"/>
      <c r="O206" s="102"/>
      <c r="P206" s="102"/>
      <c r="Q206" s="102"/>
      <c r="R206" s="102"/>
      <c r="S206" s="102"/>
      <c r="T206" s="102"/>
      <c r="U206" s="102"/>
      <c r="V206" s="102"/>
      <c r="W206" s="102"/>
      <c r="X206" s="102"/>
      <c r="Y206" s="102"/>
      <c r="Z206" s="102"/>
      <c r="AA206" s="102"/>
    </row>
    <row r="207" spans="1:29" x14ac:dyDescent="0.25">
      <c r="E207" s="47" t="s">
        <v>44</v>
      </c>
      <c r="G207" s="106"/>
      <c r="H207" s="106">
        <f>SUM(H203:H206)</f>
        <v>0</v>
      </c>
      <c r="I207" s="106">
        <f t="shared" ref="I207:AA207" si="103">SUM(I203:I206)</f>
        <v>0</v>
      </c>
      <c r="J207" s="106">
        <f t="shared" si="103"/>
        <v>0</v>
      </c>
      <c r="K207" s="106">
        <f t="shared" si="103"/>
        <v>0</v>
      </c>
      <c r="L207" s="106">
        <f t="shared" si="103"/>
        <v>0</v>
      </c>
      <c r="M207" s="106">
        <f t="shared" si="103"/>
        <v>0</v>
      </c>
      <c r="N207" s="106">
        <f t="shared" si="103"/>
        <v>0</v>
      </c>
      <c r="O207" s="106">
        <f t="shared" si="103"/>
        <v>0</v>
      </c>
      <c r="P207" s="106">
        <f t="shared" si="103"/>
        <v>0</v>
      </c>
      <c r="Q207" s="106">
        <f t="shared" si="103"/>
        <v>0</v>
      </c>
      <c r="R207" s="106">
        <f t="shared" si="103"/>
        <v>0</v>
      </c>
      <c r="S207" s="106">
        <f t="shared" si="103"/>
        <v>0</v>
      </c>
      <c r="T207" s="106">
        <f t="shared" si="103"/>
        <v>0</v>
      </c>
      <c r="U207" s="106">
        <f t="shared" si="103"/>
        <v>0</v>
      </c>
      <c r="V207" s="106">
        <f t="shared" si="103"/>
        <v>0</v>
      </c>
      <c r="W207" s="106">
        <f t="shared" si="103"/>
        <v>0</v>
      </c>
      <c r="X207" s="106">
        <f t="shared" si="103"/>
        <v>0</v>
      </c>
      <c r="Y207" s="106">
        <f t="shared" si="103"/>
        <v>0</v>
      </c>
      <c r="Z207" s="106">
        <f t="shared" si="103"/>
        <v>0</v>
      </c>
      <c r="AA207" s="106">
        <f t="shared" si="103"/>
        <v>0</v>
      </c>
    </row>
    <row r="208" spans="1:29" x14ac:dyDescent="0.25">
      <c r="G208" s="106"/>
      <c r="H208" s="106"/>
      <c r="I208" s="106"/>
      <c r="J208" s="106"/>
      <c r="K208" s="106"/>
      <c r="L208" s="106"/>
      <c r="M208" s="106"/>
      <c r="N208" s="106"/>
      <c r="O208" s="106"/>
      <c r="P208" s="106"/>
      <c r="Q208" s="106"/>
      <c r="R208" s="106"/>
      <c r="S208" s="106"/>
      <c r="T208" s="106"/>
      <c r="U208" s="106"/>
      <c r="V208" s="106"/>
      <c r="W208" s="106"/>
      <c r="X208" s="106"/>
      <c r="Y208" s="106"/>
      <c r="Z208" s="106"/>
      <c r="AA208" s="106"/>
    </row>
    <row r="209" spans="1:27" x14ac:dyDescent="0.25">
      <c r="C209" s="100" t="s">
        <v>714</v>
      </c>
      <c r="G209" s="106"/>
      <c r="H209" s="106"/>
      <c r="I209" s="106"/>
      <c r="J209" s="106"/>
      <c r="K209" s="106"/>
      <c r="L209" s="106"/>
      <c r="M209" s="106"/>
      <c r="N209" s="106"/>
      <c r="O209" s="106"/>
      <c r="P209" s="106"/>
      <c r="Q209" s="106"/>
      <c r="R209" s="106"/>
      <c r="S209" s="106"/>
      <c r="T209" s="106"/>
      <c r="U209" s="106"/>
      <c r="V209" s="106"/>
      <c r="W209" s="106"/>
      <c r="X209" s="106"/>
      <c r="Y209" s="106"/>
      <c r="Z209" s="106"/>
      <c r="AA209" s="106"/>
    </row>
    <row r="210" spans="1:27" x14ac:dyDescent="0.25">
      <c r="A210" s="101">
        <v>50</v>
      </c>
      <c r="E210" s="102" t="s">
        <v>715</v>
      </c>
      <c r="F210" s="47" t="s">
        <v>639</v>
      </c>
      <c r="G210" s="106"/>
      <c r="H210" s="102"/>
      <c r="I210" s="102"/>
      <c r="J210" s="102"/>
      <c r="K210" s="102"/>
      <c r="L210" s="102"/>
      <c r="M210" s="102"/>
      <c r="N210" s="102"/>
      <c r="O210" s="102"/>
      <c r="P210" s="102"/>
      <c r="Q210" s="102"/>
      <c r="R210" s="102"/>
      <c r="S210" s="102"/>
      <c r="T210" s="102"/>
      <c r="U210" s="102"/>
      <c r="V210" s="102"/>
      <c r="W210" s="102"/>
      <c r="X210" s="102"/>
      <c r="Y210" s="102"/>
      <c r="Z210" s="102"/>
      <c r="AA210" s="102"/>
    </row>
    <row r="211" spans="1:27" x14ac:dyDescent="0.25">
      <c r="A211" s="101">
        <v>51</v>
      </c>
      <c r="E211" s="102" t="s">
        <v>716</v>
      </c>
      <c r="F211" s="47" t="s">
        <v>639</v>
      </c>
      <c r="G211" s="106"/>
      <c r="H211" s="102"/>
      <c r="I211" s="102"/>
      <c r="J211" s="102"/>
      <c r="K211" s="102"/>
      <c r="L211" s="102"/>
      <c r="M211" s="102"/>
      <c r="N211" s="102"/>
      <c r="O211" s="102"/>
      <c r="P211" s="102"/>
      <c r="Q211" s="102"/>
      <c r="R211" s="102"/>
      <c r="S211" s="102"/>
      <c r="T211" s="102"/>
      <c r="U211" s="102"/>
      <c r="V211" s="102"/>
      <c r="W211" s="102"/>
      <c r="X211" s="102"/>
      <c r="Y211" s="102"/>
      <c r="Z211" s="102"/>
      <c r="AA211" s="102"/>
    </row>
    <row r="212" spans="1:27" x14ac:dyDescent="0.25">
      <c r="A212" s="101">
        <v>52</v>
      </c>
      <c r="E212" s="102" t="s">
        <v>717</v>
      </c>
      <c r="F212" s="47" t="s">
        <v>639</v>
      </c>
      <c r="G212" s="106"/>
      <c r="H212" s="102"/>
      <c r="I212" s="102"/>
      <c r="J212" s="102"/>
      <c r="K212" s="102"/>
      <c r="L212" s="102"/>
      <c r="M212" s="102"/>
      <c r="N212" s="102"/>
      <c r="O212" s="102"/>
      <c r="P212" s="102"/>
      <c r="Q212" s="102"/>
      <c r="R212" s="102"/>
      <c r="S212" s="102"/>
      <c r="T212" s="102"/>
      <c r="U212" s="102"/>
      <c r="V212" s="102"/>
      <c r="W212" s="102"/>
      <c r="X212" s="102"/>
      <c r="Y212" s="102"/>
      <c r="Z212" s="102"/>
      <c r="AA212" s="102"/>
    </row>
    <row r="213" spans="1:27" x14ac:dyDescent="0.25">
      <c r="A213" s="101">
        <v>53</v>
      </c>
      <c r="E213" s="102" t="s">
        <v>718</v>
      </c>
      <c r="F213" s="47" t="s">
        <v>639</v>
      </c>
      <c r="G213" s="106"/>
      <c r="H213" s="102"/>
      <c r="I213" s="102"/>
      <c r="J213" s="102"/>
      <c r="K213" s="102"/>
      <c r="L213" s="102"/>
      <c r="M213" s="102"/>
      <c r="N213" s="102"/>
      <c r="O213" s="102"/>
      <c r="P213" s="102"/>
      <c r="Q213" s="102"/>
      <c r="R213" s="102"/>
      <c r="S213" s="102"/>
      <c r="T213" s="102"/>
      <c r="U213" s="102"/>
      <c r="V213" s="102"/>
      <c r="W213" s="102"/>
      <c r="X213" s="102"/>
      <c r="Y213" s="102"/>
      <c r="Z213" s="102"/>
      <c r="AA213" s="102"/>
    </row>
    <row r="214" spans="1:27" x14ac:dyDescent="0.25">
      <c r="E214" s="47" t="s">
        <v>44</v>
      </c>
      <c r="G214" s="106"/>
      <c r="H214" s="106">
        <f>SUM(H210:H213)</f>
        <v>0</v>
      </c>
      <c r="I214" s="106">
        <f t="shared" ref="I214:AA214" si="104">SUM(I210:I213)</f>
        <v>0</v>
      </c>
      <c r="J214" s="106">
        <f t="shared" si="104"/>
        <v>0</v>
      </c>
      <c r="K214" s="106">
        <f t="shared" si="104"/>
        <v>0</v>
      </c>
      <c r="L214" s="106">
        <f t="shared" si="104"/>
        <v>0</v>
      </c>
      <c r="M214" s="106">
        <f t="shared" si="104"/>
        <v>0</v>
      </c>
      <c r="N214" s="106">
        <f t="shared" si="104"/>
        <v>0</v>
      </c>
      <c r="O214" s="106">
        <f t="shared" si="104"/>
        <v>0</v>
      </c>
      <c r="P214" s="106">
        <f t="shared" si="104"/>
        <v>0</v>
      </c>
      <c r="Q214" s="106">
        <f t="shared" si="104"/>
        <v>0</v>
      </c>
      <c r="R214" s="106">
        <f t="shared" si="104"/>
        <v>0</v>
      </c>
      <c r="S214" s="106">
        <f t="shared" si="104"/>
        <v>0</v>
      </c>
      <c r="T214" s="106">
        <f t="shared" si="104"/>
        <v>0</v>
      </c>
      <c r="U214" s="106">
        <f t="shared" si="104"/>
        <v>0</v>
      </c>
      <c r="V214" s="106">
        <f t="shared" si="104"/>
        <v>0</v>
      </c>
      <c r="W214" s="106">
        <f t="shared" si="104"/>
        <v>0</v>
      </c>
      <c r="X214" s="106">
        <f t="shared" si="104"/>
        <v>0</v>
      </c>
      <c r="Y214" s="106">
        <f t="shared" si="104"/>
        <v>0</v>
      </c>
      <c r="Z214" s="106">
        <f t="shared" si="104"/>
        <v>0</v>
      </c>
      <c r="AA214" s="106">
        <f t="shared" si="104"/>
        <v>0</v>
      </c>
    </row>
    <row r="215" spans="1:27" x14ac:dyDescent="0.25">
      <c r="G215" s="106"/>
      <c r="H215" s="106"/>
      <c r="I215" s="106"/>
      <c r="J215" s="106"/>
      <c r="K215" s="106"/>
      <c r="L215" s="106"/>
      <c r="M215" s="106"/>
      <c r="N215" s="106"/>
      <c r="O215" s="106"/>
      <c r="P215" s="106"/>
      <c r="Q215" s="106"/>
      <c r="R215" s="106"/>
      <c r="S215" s="106"/>
      <c r="T215" s="106"/>
      <c r="U215" s="106"/>
      <c r="V215" s="106"/>
      <c r="W215" s="106"/>
      <c r="X215" s="106"/>
      <c r="Y215" s="106"/>
      <c r="Z215" s="106"/>
      <c r="AA215" s="106"/>
    </row>
    <row r="216" spans="1:27" x14ac:dyDescent="0.25">
      <c r="C216" s="100" t="s">
        <v>719</v>
      </c>
      <c r="G216" s="106"/>
      <c r="H216" s="106"/>
      <c r="I216" s="106"/>
      <c r="J216" s="106"/>
      <c r="K216" s="106"/>
      <c r="L216" s="106"/>
      <c r="M216" s="106"/>
      <c r="N216" s="106"/>
      <c r="O216" s="106"/>
      <c r="P216" s="106"/>
      <c r="Q216" s="106"/>
      <c r="R216" s="106"/>
      <c r="S216" s="106"/>
      <c r="T216" s="106"/>
      <c r="U216" s="106"/>
      <c r="V216" s="106"/>
      <c r="W216" s="106"/>
      <c r="X216" s="106"/>
      <c r="Y216" s="106"/>
      <c r="Z216" s="106"/>
      <c r="AA216" s="106"/>
    </row>
    <row r="217" spans="1:27" x14ac:dyDescent="0.25">
      <c r="C217" s="100"/>
      <c r="D217" s="100"/>
      <c r="E217" s="47" t="s">
        <v>404</v>
      </c>
      <c r="F217" s="47" t="s">
        <v>655</v>
      </c>
      <c r="G217" s="106"/>
      <c r="H217" s="106">
        <f t="shared" ref="H217:AA217" si="105">H174</f>
        <v>4861.369639849313</v>
      </c>
      <c r="I217" s="106">
        <f t="shared" si="105"/>
        <v>5266.0866048878797</v>
      </c>
      <c r="J217" s="106">
        <f t="shared" si="105"/>
        <v>4549.9551276203583</v>
      </c>
      <c r="K217" s="106">
        <f t="shared" si="105"/>
        <v>4676.1725655780074</v>
      </c>
      <c r="L217" s="106">
        <f t="shared" si="105"/>
        <v>4879.9050792588341</v>
      </c>
      <c r="M217" s="106">
        <f t="shared" si="105"/>
        <v>5228.7771473745006</v>
      </c>
      <c r="N217" s="106">
        <f t="shared" si="105"/>
        <v>5148.8917029555914</v>
      </c>
      <c r="O217" s="106">
        <f t="shared" si="105"/>
        <v>5483.3397440306453</v>
      </c>
      <c r="P217" s="106">
        <f t="shared" si="105"/>
        <v>5580.7846652525113</v>
      </c>
      <c r="Q217" s="106">
        <f t="shared" si="105"/>
        <v>5613.9441615576325</v>
      </c>
      <c r="R217" s="106">
        <f t="shared" si="105"/>
        <v>5612.1193851282678</v>
      </c>
      <c r="S217" s="106">
        <f t="shared" si="105"/>
        <v>5569.8015612835025</v>
      </c>
      <c r="T217" s="106">
        <f t="shared" si="105"/>
        <v>5455.4195737247101</v>
      </c>
      <c r="U217" s="106">
        <f t="shared" si="105"/>
        <v>5433.3048953606303</v>
      </c>
      <c r="V217" s="106">
        <f t="shared" si="105"/>
        <v>5379.8173606191503</v>
      </c>
      <c r="W217" s="106">
        <f t="shared" si="105"/>
        <v>5317.1460535922924</v>
      </c>
      <c r="X217" s="106">
        <f t="shared" si="105"/>
        <v>5224.9181507880148</v>
      </c>
      <c r="Y217" s="106">
        <f t="shared" si="105"/>
        <v>5001.9533918423203</v>
      </c>
      <c r="Z217" s="106">
        <f t="shared" si="105"/>
        <v>4736.9555371284005</v>
      </c>
      <c r="AA217" s="106">
        <f t="shared" si="105"/>
        <v>4482.595841698092</v>
      </c>
    </row>
    <row r="218" spans="1:27" x14ac:dyDescent="0.25">
      <c r="E218" s="47" t="s">
        <v>720</v>
      </c>
      <c r="F218" s="47" t="s">
        <v>695</v>
      </c>
      <c r="G218" s="115">
        <f>MAX(0,-G245/(NPV($G$16,H217:AP217)))</f>
        <v>14831.461840506377</v>
      </c>
      <c r="H218" s="106">
        <f t="shared" ref="H218:AA218" si="106">G218*(1+$G$14)</f>
        <v>14831.461840506377</v>
      </c>
      <c r="I218" s="106">
        <f t="shared" si="106"/>
        <v>14831.461840506377</v>
      </c>
      <c r="J218" s="106">
        <f t="shared" si="106"/>
        <v>14831.461840506377</v>
      </c>
      <c r="K218" s="106">
        <f t="shared" si="106"/>
        <v>14831.461840506377</v>
      </c>
      <c r="L218" s="106">
        <f t="shared" si="106"/>
        <v>14831.461840506377</v>
      </c>
      <c r="M218" s="106">
        <f t="shared" si="106"/>
        <v>14831.461840506377</v>
      </c>
      <c r="N218" s="106">
        <f t="shared" si="106"/>
        <v>14831.461840506377</v>
      </c>
      <c r="O218" s="106">
        <f t="shared" si="106"/>
        <v>14831.461840506377</v>
      </c>
      <c r="P218" s="106">
        <f t="shared" si="106"/>
        <v>14831.461840506377</v>
      </c>
      <c r="Q218" s="106">
        <f t="shared" si="106"/>
        <v>14831.461840506377</v>
      </c>
      <c r="R218" s="106">
        <f t="shared" si="106"/>
        <v>14831.461840506377</v>
      </c>
      <c r="S218" s="106">
        <f t="shared" si="106"/>
        <v>14831.461840506377</v>
      </c>
      <c r="T218" s="106">
        <f t="shared" si="106"/>
        <v>14831.461840506377</v>
      </c>
      <c r="U218" s="106">
        <f t="shared" si="106"/>
        <v>14831.461840506377</v>
      </c>
      <c r="V218" s="106">
        <f t="shared" si="106"/>
        <v>14831.461840506377</v>
      </c>
      <c r="W218" s="106">
        <f t="shared" si="106"/>
        <v>14831.461840506377</v>
      </c>
      <c r="X218" s="106">
        <f t="shared" si="106"/>
        <v>14831.461840506377</v>
      </c>
      <c r="Y218" s="106">
        <f t="shared" si="106"/>
        <v>14831.461840506377</v>
      </c>
      <c r="Z218" s="106">
        <f t="shared" si="106"/>
        <v>14831.461840506377</v>
      </c>
      <c r="AA218" s="106">
        <f t="shared" si="106"/>
        <v>14831.461840506377</v>
      </c>
    </row>
    <row r="219" spans="1:27" x14ac:dyDescent="0.25">
      <c r="E219" s="47" t="s">
        <v>721</v>
      </c>
      <c r="F219" s="47" t="s">
        <v>639</v>
      </c>
      <c r="H219" s="106">
        <f>H218*H217</f>
        <v>72101218.306021318</v>
      </c>
      <c r="I219" s="106">
        <f t="shared" ref="I219:AA219" si="107">I218*I217</f>
        <v>78103762.529196367</v>
      </c>
      <c r="J219" s="106">
        <f t="shared" si="107"/>
        <v>67482485.851317674</v>
      </c>
      <c r="K219" s="106">
        <f t="shared" si="107"/>
        <v>69354474.965993017</v>
      </c>
      <c r="L219" s="106">
        <f t="shared" si="107"/>
        <v>72376125.968320653</v>
      </c>
      <c r="M219" s="106">
        <f t="shared" si="107"/>
        <v>77550408.733796701</v>
      </c>
      <c r="N219" s="106">
        <f t="shared" si="107"/>
        <v>76365590.813285753</v>
      </c>
      <c r="O219" s="106">
        <f t="shared" si="107"/>
        <v>81325944.172122523</v>
      </c>
      <c r="P219" s="106">
        <f t="shared" si="107"/>
        <v>82771194.802775785</v>
      </c>
      <c r="Q219" s="106">
        <f t="shared" si="107"/>
        <v>83262998.606875598</v>
      </c>
      <c r="R219" s="106">
        <f t="shared" si="107"/>
        <v>83235934.504896015</v>
      </c>
      <c r="S219" s="106">
        <f t="shared" si="107"/>
        <v>82608299.315369114</v>
      </c>
      <c r="T219" s="106">
        <f t="shared" si="107"/>
        <v>80911847.231649607</v>
      </c>
      <c r="U219" s="106">
        <f t="shared" si="107"/>
        <v>80583854.22337769</v>
      </c>
      <c r="V219" s="106">
        <f t="shared" si="107"/>
        <v>79790555.892916664</v>
      </c>
      <c r="W219" s="106">
        <f t="shared" si="107"/>
        <v>78861048.79425317</v>
      </c>
      <c r="X219" s="106">
        <f t="shared" si="107"/>
        <v>77493174.173181593</v>
      </c>
      <c r="Y219" s="106">
        <f t="shared" si="107"/>
        <v>74186280.859100819</v>
      </c>
      <c r="Z219" s="106">
        <f t="shared" si="107"/>
        <v>70255975.289095268</v>
      </c>
      <c r="AA219" s="106">
        <f t="shared" si="107"/>
        <v>66483449.172557816</v>
      </c>
    </row>
    <row r="221" spans="1:27" x14ac:dyDescent="0.25">
      <c r="D221" s="47" t="s">
        <v>722</v>
      </c>
    </row>
    <row r="222" spans="1:27" x14ac:dyDescent="0.25">
      <c r="E222" s="47" t="s">
        <v>573</v>
      </c>
      <c r="F222" s="47" t="s">
        <v>639</v>
      </c>
      <c r="G222" s="106">
        <f t="shared" ref="G222:AA222" si="108">G42</f>
        <v>0</v>
      </c>
      <c r="H222" s="106">
        <f t="shared" si="108"/>
        <v>51602078.051148698</v>
      </c>
      <c r="I222" s="106">
        <f t="shared" si="108"/>
        <v>53290001.108287737</v>
      </c>
      <c r="J222" s="106">
        <f t="shared" si="108"/>
        <v>52727881.734018296</v>
      </c>
      <c r="K222" s="106">
        <f t="shared" si="108"/>
        <v>54348335.955898404</v>
      </c>
      <c r="L222" s="106">
        <f t="shared" si="108"/>
        <v>52493865.327404477</v>
      </c>
      <c r="M222" s="106">
        <f t="shared" si="108"/>
        <v>55872890.840626143</v>
      </c>
      <c r="N222" s="106">
        <f t="shared" si="108"/>
        <v>54786683.384502426</v>
      </c>
      <c r="O222" s="106">
        <f t="shared" si="108"/>
        <v>58110227.49664633</v>
      </c>
      <c r="P222" s="106">
        <f t="shared" si="108"/>
        <v>58964785.839146852</v>
      </c>
      <c r="Q222" s="106">
        <f t="shared" si="108"/>
        <v>59192902.887546867</v>
      </c>
      <c r="R222" s="106">
        <f t="shared" si="108"/>
        <v>59214019.087601095</v>
      </c>
      <c r="S222" s="106">
        <f t="shared" si="108"/>
        <v>58897189.540760815</v>
      </c>
      <c r="T222" s="106">
        <f t="shared" si="108"/>
        <v>57739441.154204175</v>
      </c>
      <c r="U222" s="106">
        <f t="shared" si="108"/>
        <v>57610749.80098705</v>
      </c>
      <c r="V222" s="106">
        <f t="shared" si="108"/>
        <v>57154698.560692005</v>
      </c>
      <c r="W222" s="106">
        <f t="shared" si="108"/>
        <v>57000649.372701071</v>
      </c>
      <c r="X222" s="106">
        <f t="shared" si="108"/>
        <v>56415998.929261521</v>
      </c>
      <c r="Y222" s="106">
        <f t="shared" si="108"/>
        <v>54477211.193327636</v>
      </c>
      <c r="Z222" s="106">
        <f t="shared" si="108"/>
        <v>51865480.694751553</v>
      </c>
      <c r="AA222" s="106">
        <f t="shared" si="108"/>
        <v>48931410.064830668</v>
      </c>
    </row>
    <row r="223" spans="1:27" x14ac:dyDescent="0.25">
      <c r="E223" s="47" t="s">
        <v>723</v>
      </c>
      <c r="F223" s="47" t="s">
        <v>639</v>
      </c>
      <c r="G223" s="106">
        <f t="shared" ref="G223:AA223" si="109">G177</f>
        <v>0</v>
      </c>
      <c r="H223" s="106">
        <f t="shared" si="109"/>
        <v>5524465.144391017</v>
      </c>
      <c r="I223" s="106">
        <f t="shared" si="109"/>
        <v>11305381.01018407</v>
      </c>
      <c r="J223" s="106">
        <f t="shared" si="109"/>
        <v>16211079.883630246</v>
      </c>
      <c r="K223" s="106">
        <f t="shared" si="109"/>
        <v>21174148.819096472</v>
      </c>
      <c r="L223" s="106">
        <f t="shared" si="109"/>
        <v>26177158.51560393</v>
      </c>
      <c r="M223" s="106">
        <f t="shared" si="109"/>
        <v>31490407.482962038</v>
      </c>
      <c r="N223" s="106">
        <f t="shared" si="109"/>
        <v>36604967.462252885</v>
      </c>
      <c r="O223" s="106">
        <f t="shared" si="109"/>
        <v>41996919.953854851</v>
      </c>
      <c r="P223" s="106">
        <f t="shared" si="109"/>
        <v>47329054.891702086</v>
      </c>
      <c r="Q223" s="106">
        <f t="shared" si="109"/>
        <v>49298371.355165496</v>
      </c>
      <c r="R223" s="106">
        <f t="shared" si="109"/>
        <v>54598687.245796725</v>
      </c>
      <c r="S223" s="106">
        <f t="shared" si="109"/>
        <v>59899087.985174969</v>
      </c>
      <c r="T223" s="106">
        <f t="shared" si="109"/>
        <v>64935371.870224692</v>
      </c>
      <c r="U223" s="106">
        <f t="shared" si="109"/>
        <v>69993796.292358875</v>
      </c>
      <c r="V223" s="106">
        <f t="shared" si="109"/>
        <v>68305453.979751825</v>
      </c>
      <c r="W223" s="106">
        <f t="shared" si="109"/>
        <v>72853518.961814016</v>
      </c>
      <c r="X223" s="106">
        <f t="shared" si="109"/>
        <v>77096552.114747629</v>
      </c>
      <c r="Y223" s="106">
        <f t="shared" si="109"/>
        <v>81285162.680694506</v>
      </c>
      <c r="Z223" s="106">
        <f t="shared" si="109"/>
        <v>85243863.405998051</v>
      </c>
      <c r="AA223" s="106">
        <f t="shared" si="109"/>
        <v>89064503.870199367</v>
      </c>
    </row>
    <row r="224" spans="1:27" x14ac:dyDescent="0.25">
      <c r="E224" s="47" t="s">
        <v>701</v>
      </c>
      <c r="F224" s="47" t="s">
        <v>639</v>
      </c>
      <c r="G224" s="106">
        <f t="shared" ref="G224:AA224" si="110">-G187</f>
        <v>0</v>
      </c>
      <c r="H224" s="106">
        <f t="shared" si="110"/>
        <v>-1306863.7605778105</v>
      </c>
      <c r="I224" s="106">
        <f t="shared" si="110"/>
        <v>-2577082.8287231382</v>
      </c>
      <c r="J224" s="106">
        <f t="shared" si="110"/>
        <v>-3875006.4440736957</v>
      </c>
      <c r="K224" s="106">
        <f t="shared" si="110"/>
        <v>-4891730.6526194289</v>
      </c>
      <c r="L224" s="106">
        <f t="shared" si="110"/>
        <v>-5907018.8377299746</v>
      </c>
      <c r="M224" s="106">
        <f t="shared" si="110"/>
        <v>-6948405.4201544048</v>
      </c>
      <c r="N224" s="106">
        <f t="shared" si="110"/>
        <v>-7929985.9338508081</v>
      </c>
      <c r="O224" s="106">
        <f t="shared" si="110"/>
        <v>-8955762.5296962783</v>
      </c>
      <c r="P224" s="106">
        <f t="shared" si="110"/>
        <v>-9942199.6430761088</v>
      </c>
      <c r="Q224" s="106">
        <f t="shared" si="110"/>
        <v>-10887996.828297595</v>
      </c>
      <c r="R224" s="106">
        <f t="shared" si="110"/>
        <v>-11750053.960807072</v>
      </c>
      <c r="S224" s="106">
        <f t="shared" si="110"/>
        <v>-12555638.373047311</v>
      </c>
      <c r="T224" s="106">
        <f t="shared" si="110"/>
        <v>-13279214.611542897</v>
      </c>
      <c r="U224" s="106">
        <f t="shared" si="110"/>
        <v>-13961785.128372649</v>
      </c>
      <c r="V224" s="106">
        <f t="shared" si="110"/>
        <v>-14592340.071704799</v>
      </c>
      <c r="W224" s="106">
        <f t="shared" si="110"/>
        <v>-15185572.44599391</v>
      </c>
      <c r="X224" s="106">
        <f t="shared" si="110"/>
        <v>-15932755.604998369</v>
      </c>
      <c r="Y224" s="106">
        <f t="shared" si="110"/>
        <v>-16483066.393340295</v>
      </c>
      <c r="Z224" s="106">
        <f t="shared" si="110"/>
        <v>-16963243.313973121</v>
      </c>
      <c r="AA224" s="106">
        <f t="shared" si="110"/>
        <v>-17394948.727259599</v>
      </c>
    </row>
    <row r="225" spans="4:28" x14ac:dyDescent="0.25">
      <c r="E225" s="47" t="s">
        <v>702</v>
      </c>
      <c r="F225" s="47" t="s">
        <v>639</v>
      </c>
      <c r="G225" s="106">
        <f t="shared" ref="G225:AA225" si="111">-G200</f>
        <v>0</v>
      </c>
      <c r="H225" s="106">
        <f t="shared" si="111"/>
        <v>-1351426.4744930035</v>
      </c>
      <c r="I225" s="106">
        <f t="shared" si="111"/>
        <v>-2735973.3522872683</v>
      </c>
      <c r="J225" s="106">
        <f t="shared" si="111"/>
        <v>-3884344.8852252271</v>
      </c>
      <c r="K225" s="106">
        <f t="shared" si="111"/>
        <v>-5047350.4189871075</v>
      </c>
      <c r="L225" s="106">
        <f t="shared" si="111"/>
        <v>-6234115.1788626732</v>
      </c>
      <c r="M225" s="106">
        <f t="shared" si="111"/>
        <v>-7477575.0771041131</v>
      </c>
      <c r="N225" s="106">
        <f t="shared" si="111"/>
        <v>-8664488.7798850294</v>
      </c>
      <c r="O225" s="106">
        <f t="shared" si="111"/>
        <v>-9896035.184569994</v>
      </c>
      <c r="P225" s="106">
        <f t="shared" si="111"/>
        <v>-11115801.638055591</v>
      </c>
      <c r="Q225" s="106">
        <f t="shared" si="111"/>
        <v>-12482043.653349742</v>
      </c>
      <c r="R225" s="106">
        <f t="shared" si="111"/>
        <v>-13847841.58046728</v>
      </c>
      <c r="S225" s="106">
        <f t="shared" si="111"/>
        <v>-15203340.796505995</v>
      </c>
      <c r="T225" s="106">
        <f t="shared" si="111"/>
        <v>-16531003.348570427</v>
      </c>
      <c r="U225" s="106">
        <f t="shared" si="111"/>
        <v>-17853283.944230188</v>
      </c>
      <c r="V225" s="106">
        <f t="shared" si="111"/>
        <v>-19162547.503176495</v>
      </c>
      <c r="W225" s="106">
        <f t="shared" si="111"/>
        <v>-20456559.009314757</v>
      </c>
      <c r="X225" s="106">
        <f t="shared" si="111"/>
        <v>-21728125.39805115</v>
      </c>
      <c r="Y225" s="106">
        <f t="shared" si="111"/>
        <v>-22945429.789725389</v>
      </c>
      <c r="Z225" s="106">
        <f t="shared" si="111"/>
        <v>-24098242.766334951</v>
      </c>
      <c r="AA225" s="106">
        <f t="shared" si="111"/>
        <v>-25189153.292030584</v>
      </c>
    </row>
    <row r="226" spans="4:28" x14ac:dyDescent="0.25">
      <c r="E226" s="47" t="s">
        <v>724</v>
      </c>
      <c r="F226" s="47" t="s">
        <v>639</v>
      </c>
      <c r="G226" s="106">
        <f t="shared" ref="G226:AA226" si="112">-G34-G50-G85</f>
        <v>0</v>
      </c>
      <c r="H226" s="106">
        <f t="shared" si="112"/>
        <v>-2059558.9419833547</v>
      </c>
      <c r="I226" s="106">
        <f t="shared" si="112"/>
        <v>-4117563.7965854765</v>
      </c>
      <c r="J226" s="106">
        <f t="shared" si="112"/>
        <v>-6386521.1664187936</v>
      </c>
      <c r="K226" s="106">
        <f t="shared" si="112"/>
        <v>-8163367.409502618</v>
      </c>
      <c r="L226" s="106">
        <f t="shared" si="112"/>
        <v>-9779077.7032707855</v>
      </c>
      <c r="M226" s="106">
        <f t="shared" si="112"/>
        <v>-11471967.669961488</v>
      </c>
      <c r="N226" s="106">
        <f t="shared" si="112"/>
        <v>-12948799.194413632</v>
      </c>
      <c r="O226" s="106">
        <f t="shared" si="112"/>
        <v>-14391123.349680085</v>
      </c>
      <c r="P226" s="106">
        <f t="shared" si="112"/>
        <v>-15638056.869633168</v>
      </c>
      <c r="Q226" s="106">
        <f t="shared" si="112"/>
        <v>-17167963.78732463</v>
      </c>
      <c r="R226" s="106">
        <f t="shared" si="112"/>
        <v>-18698105.329461135</v>
      </c>
      <c r="S226" s="106">
        <f t="shared" si="112"/>
        <v>-20224726.543299422</v>
      </c>
      <c r="T226" s="106">
        <f t="shared" si="112"/>
        <v>-21738483.88617596</v>
      </c>
      <c r="U226" s="106">
        <f t="shared" si="112"/>
        <v>-23250811.32512787</v>
      </c>
      <c r="V226" s="106">
        <f t="shared" si="112"/>
        <v>-24758071.528076496</v>
      </c>
      <c r="W226" s="106">
        <f t="shared" si="112"/>
        <v>-26263620.073380783</v>
      </c>
      <c r="X226" s="106">
        <f t="shared" si="112"/>
        <v>-27762672.502646849</v>
      </c>
      <c r="Y226" s="106">
        <f t="shared" si="112"/>
        <v>-29240182.845958099</v>
      </c>
      <c r="Z226" s="106">
        <f t="shared" si="112"/>
        <v>-30688673.961507387</v>
      </c>
      <c r="AA226" s="106">
        <f t="shared" si="112"/>
        <v>-32104564.29227978</v>
      </c>
    </row>
    <row r="227" spans="4:28" x14ac:dyDescent="0.25">
      <c r="E227" s="47" t="s">
        <v>709</v>
      </c>
      <c r="F227" s="47" t="s">
        <v>639</v>
      </c>
      <c r="G227" s="106">
        <f t="shared" ref="G227:AA227" si="113">G207</f>
        <v>0</v>
      </c>
      <c r="H227" s="106">
        <f t="shared" si="113"/>
        <v>0</v>
      </c>
      <c r="I227" s="106">
        <f t="shared" si="113"/>
        <v>0</v>
      </c>
      <c r="J227" s="106">
        <f t="shared" si="113"/>
        <v>0</v>
      </c>
      <c r="K227" s="106">
        <f t="shared" si="113"/>
        <v>0</v>
      </c>
      <c r="L227" s="106">
        <f t="shared" si="113"/>
        <v>0</v>
      </c>
      <c r="M227" s="106">
        <f t="shared" si="113"/>
        <v>0</v>
      </c>
      <c r="N227" s="106">
        <f t="shared" si="113"/>
        <v>0</v>
      </c>
      <c r="O227" s="106">
        <f t="shared" si="113"/>
        <v>0</v>
      </c>
      <c r="P227" s="106">
        <f t="shared" si="113"/>
        <v>0</v>
      </c>
      <c r="Q227" s="106">
        <f t="shared" si="113"/>
        <v>0</v>
      </c>
      <c r="R227" s="106">
        <f t="shared" si="113"/>
        <v>0</v>
      </c>
      <c r="S227" s="106">
        <f t="shared" si="113"/>
        <v>0</v>
      </c>
      <c r="T227" s="106">
        <f t="shared" si="113"/>
        <v>0</v>
      </c>
      <c r="U227" s="106">
        <f t="shared" si="113"/>
        <v>0</v>
      </c>
      <c r="V227" s="106">
        <f t="shared" si="113"/>
        <v>0</v>
      </c>
      <c r="W227" s="106">
        <f t="shared" si="113"/>
        <v>0</v>
      </c>
      <c r="X227" s="106">
        <f t="shared" si="113"/>
        <v>0</v>
      </c>
      <c r="Y227" s="106">
        <f t="shared" si="113"/>
        <v>0</v>
      </c>
      <c r="Z227" s="106">
        <f t="shared" si="113"/>
        <v>0</v>
      </c>
      <c r="AA227" s="106">
        <f t="shared" si="113"/>
        <v>0</v>
      </c>
    </row>
    <row r="228" spans="4:28" x14ac:dyDescent="0.25">
      <c r="E228" s="47" t="s">
        <v>725</v>
      </c>
      <c r="F228" s="47" t="s">
        <v>639</v>
      </c>
      <c r="H228" s="106">
        <f t="shared" ref="H228:AA228" si="114">H219</f>
        <v>72101218.306021318</v>
      </c>
      <c r="I228" s="106">
        <f t="shared" si="114"/>
        <v>78103762.529196367</v>
      </c>
      <c r="J228" s="106">
        <f t="shared" si="114"/>
        <v>67482485.851317674</v>
      </c>
      <c r="K228" s="106">
        <f t="shared" si="114"/>
        <v>69354474.965993017</v>
      </c>
      <c r="L228" s="106">
        <f t="shared" si="114"/>
        <v>72376125.968320653</v>
      </c>
      <c r="M228" s="106">
        <f t="shared" si="114"/>
        <v>77550408.733796701</v>
      </c>
      <c r="N228" s="106">
        <f t="shared" si="114"/>
        <v>76365590.813285753</v>
      </c>
      <c r="O228" s="106">
        <f t="shared" si="114"/>
        <v>81325944.172122523</v>
      </c>
      <c r="P228" s="106">
        <f t="shared" si="114"/>
        <v>82771194.802775785</v>
      </c>
      <c r="Q228" s="106">
        <f t="shared" si="114"/>
        <v>83262998.606875598</v>
      </c>
      <c r="R228" s="106">
        <f t="shared" si="114"/>
        <v>83235934.504896015</v>
      </c>
      <c r="S228" s="106">
        <f t="shared" si="114"/>
        <v>82608299.315369114</v>
      </c>
      <c r="T228" s="106">
        <f t="shared" si="114"/>
        <v>80911847.231649607</v>
      </c>
      <c r="U228" s="106">
        <f t="shared" si="114"/>
        <v>80583854.22337769</v>
      </c>
      <c r="V228" s="106">
        <f t="shared" si="114"/>
        <v>79790555.892916664</v>
      </c>
      <c r="W228" s="106">
        <f t="shared" si="114"/>
        <v>78861048.79425317</v>
      </c>
      <c r="X228" s="106">
        <f t="shared" si="114"/>
        <v>77493174.173181593</v>
      </c>
      <c r="Y228" s="106">
        <f t="shared" si="114"/>
        <v>74186280.859100819</v>
      </c>
      <c r="Z228" s="106">
        <f t="shared" si="114"/>
        <v>70255975.289095268</v>
      </c>
      <c r="AA228" s="106">
        <f t="shared" si="114"/>
        <v>66483449.172557816</v>
      </c>
    </row>
    <row r="230" spans="4:28" x14ac:dyDescent="0.25">
      <c r="E230" s="47" t="s">
        <v>726</v>
      </c>
      <c r="F230" s="47" t="s">
        <v>639</v>
      </c>
      <c r="G230" s="106">
        <f t="shared" ref="G230:AA230" si="115">SUM(G222:G228)</f>
        <v>0</v>
      </c>
      <c r="H230" s="106">
        <f t="shared" si="115"/>
        <v>124509912.32450685</v>
      </c>
      <c r="I230" s="106">
        <f t="shared" si="115"/>
        <v>133268524.67007229</v>
      </c>
      <c r="J230" s="106">
        <f t="shared" si="115"/>
        <v>122275574.97324851</v>
      </c>
      <c r="K230" s="106">
        <f t="shared" si="115"/>
        <v>126774511.25987875</v>
      </c>
      <c r="L230" s="106">
        <f t="shared" si="115"/>
        <v>129126938.09146562</v>
      </c>
      <c r="M230" s="106">
        <f t="shared" si="115"/>
        <v>139015758.89016488</v>
      </c>
      <c r="N230" s="106">
        <f t="shared" si="115"/>
        <v>138213967.75189161</v>
      </c>
      <c r="O230" s="106">
        <f t="shared" si="115"/>
        <v>148190170.55867732</v>
      </c>
      <c r="P230" s="106">
        <f t="shared" si="115"/>
        <v>152368977.38285986</v>
      </c>
      <c r="Q230" s="106">
        <f t="shared" si="115"/>
        <v>151216268.580616</v>
      </c>
      <c r="R230" s="106">
        <f t="shared" si="115"/>
        <v>152752639.96755835</v>
      </c>
      <c r="S230" s="106">
        <f t="shared" si="115"/>
        <v>153420871.12845218</v>
      </c>
      <c r="T230" s="106">
        <f t="shared" si="115"/>
        <v>152037958.4097892</v>
      </c>
      <c r="U230" s="106">
        <f t="shared" si="115"/>
        <v>153122519.91899291</v>
      </c>
      <c r="V230" s="106">
        <f t="shared" si="115"/>
        <v>146737749.3304027</v>
      </c>
      <c r="W230" s="106">
        <f t="shared" si="115"/>
        <v>146809465.60007882</v>
      </c>
      <c r="X230" s="106">
        <f t="shared" si="115"/>
        <v>145582171.71149439</v>
      </c>
      <c r="Y230" s="106">
        <f t="shared" si="115"/>
        <v>141279975.70409918</v>
      </c>
      <c r="Z230" s="106">
        <f t="shared" si="115"/>
        <v>135615159.3480294</v>
      </c>
      <c r="AA230" s="106">
        <f t="shared" si="115"/>
        <v>129790696.79601789</v>
      </c>
    </row>
    <row r="231" spans="4:28" x14ac:dyDescent="0.25">
      <c r="E231" s="47" t="s">
        <v>727</v>
      </c>
      <c r="F231" s="47" t="s">
        <v>639</v>
      </c>
      <c r="G231" s="106">
        <f>-G230*G$18</f>
        <v>0</v>
      </c>
      <c r="H231" s="106">
        <f t="shared" ref="H231:AA231" si="116">-H230*H$18</f>
        <v>-37352973.697352052</v>
      </c>
      <c r="I231" s="106">
        <f t="shared" si="116"/>
        <v>-39980557.401021682</v>
      </c>
      <c r="J231" s="106">
        <f t="shared" si="116"/>
        <v>-36682672.491974555</v>
      </c>
      <c r="K231" s="106">
        <f t="shared" si="116"/>
        <v>-38032353.377963625</v>
      </c>
      <c r="L231" s="106">
        <f t="shared" si="116"/>
        <v>-38738081.427439682</v>
      </c>
      <c r="M231" s="106">
        <f t="shared" si="116"/>
        <v>-41704727.66704946</v>
      </c>
      <c r="N231" s="106">
        <f t="shared" si="116"/>
        <v>-41464190.325567484</v>
      </c>
      <c r="O231" s="106">
        <f t="shared" si="116"/>
        <v>-44457051.167603195</v>
      </c>
      <c r="P231" s="106">
        <f t="shared" si="116"/>
        <v>-45710693.214857958</v>
      </c>
      <c r="Q231" s="106">
        <f t="shared" si="116"/>
        <v>-45364880.574184798</v>
      </c>
      <c r="R231" s="106">
        <f t="shared" si="116"/>
        <v>-45825791.990267508</v>
      </c>
      <c r="S231" s="106">
        <f t="shared" si="116"/>
        <v>-46026261.338535652</v>
      </c>
      <c r="T231" s="106">
        <f t="shared" si="116"/>
        <v>-45611387.522936761</v>
      </c>
      <c r="U231" s="106">
        <f t="shared" si="116"/>
        <v>-45936755.975697868</v>
      </c>
      <c r="V231" s="106">
        <f t="shared" si="116"/>
        <v>-44021324.799120806</v>
      </c>
      <c r="W231" s="106">
        <f t="shared" si="116"/>
        <v>-44042839.680023648</v>
      </c>
      <c r="X231" s="106">
        <f t="shared" si="116"/>
        <v>-43674651.513448313</v>
      </c>
      <c r="Y231" s="106">
        <f t="shared" si="116"/>
        <v>-42383992.711229749</v>
      </c>
      <c r="Z231" s="106">
        <f t="shared" si="116"/>
        <v>-40684547.804408818</v>
      </c>
      <c r="AA231" s="106">
        <f t="shared" si="116"/>
        <v>-38937209.038805366</v>
      </c>
    </row>
    <row r="233" spans="4:28" x14ac:dyDescent="0.25">
      <c r="D233" s="47" t="s">
        <v>728</v>
      </c>
    </row>
    <row r="234" spans="4:28" x14ac:dyDescent="0.25">
      <c r="E234" s="47" t="s">
        <v>638</v>
      </c>
      <c r="F234" s="47" t="s">
        <v>639</v>
      </c>
      <c r="G234" s="106">
        <f t="shared" ref="G234:AA234" si="117">-G26</f>
        <v>0</v>
      </c>
      <c r="H234" s="106">
        <f t="shared" si="117"/>
        <v>-108041498.43485816</v>
      </c>
      <c r="I234" s="106">
        <f t="shared" si="117"/>
        <v>-94450255.577339083</v>
      </c>
      <c r="J234" s="106">
        <f t="shared" si="117"/>
        <v>-102085243.22482851</v>
      </c>
      <c r="K234" s="106">
        <f t="shared" si="117"/>
        <v>-76125634.052093029</v>
      </c>
      <c r="L234" s="106">
        <f t="shared" si="117"/>
        <v>-90364206.999784023</v>
      </c>
      <c r="M234" s="106">
        <f t="shared" si="117"/>
        <v>-92947032.472312689</v>
      </c>
      <c r="N234" s="106">
        <f t="shared" si="117"/>
        <v>-74921714.634352013</v>
      </c>
      <c r="O234" s="106">
        <f t="shared" si="117"/>
        <v>-69126208.420508131</v>
      </c>
      <c r="P234" s="106">
        <f t="shared" si="117"/>
        <v>-50686492.899804428</v>
      </c>
      <c r="Q234" s="106">
        <f t="shared" si="117"/>
        <v>-75609131.085352257</v>
      </c>
      <c r="R234" s="106">
        <f>-R26</f>
        <v>-75609131.085352257</v>
      </c>
      <c r="S234" s="106">
        <f t="shared" si="117"/>
        <v>-75609131.085352257</v>
      </c>
      <c r="T234" s="106">
        <f t="shared" si="117"/>
        <v>-75609131.085352257</v>
      </c>
      <c r="U234" s="106">
        <f t="shared" si="117"/>
        <v>-75609131.085352257</v>
      </c>
      <c r="V234" s="106">
        <f t="shared" si="117"/>
        <v>-75609131.085352257</v>
      </c>
      <c r="W234" s="106">
        <f t="shared" si="117"/>
        <v>-75609131.085352257</v>
      </c>
      <c r="X234" s="106">
        <f t="shared" si="117"/>
        <v>-75609131.085352257</v>
      </c>
      <c r="Y234" s="106">
        <f t="shared" si="117"/>
        <v>-75609131.085352257</v>
      </c>
      <c r="Z234" s="106">
        <f t="shared" si="117"/>
        <v>-75609131.085352257</v>
      </c>
      <c r="AA234" s="106">
        <f t="shared" si="117"/>
        <v>-75609131.085352257</v>
      </c>
    </row>
    <row r="235" spans="4:28" x14ac:dyDescent="0.25">
      <c r="E235" s="47" t="s">
        <v>729</v>
      </c>
      <c r="F235" s="47" t="s">
        <v>639</v>
      </c>
      <c r="G235" s="106">
        <f t="shared" ref="G235:AA235" si="118">G84</f>
        <v>0</v>
      </c>
      <c r="H235" s="106">
        <f t="shared" si="118"/>
        <v>0</v>
      </c>
      <c r="I235" s="106">
        <f t="shared" si="118"/>
        <v>0</v>
      </c>
      <c r="J235" s="106">
        <f t="shared" si="118"/>
        <v>0</v>
      </c>
      <c r="K235" s="106">
        <f t="shared" si="118"/>
        <v>0</v>
      </c>
      <c r="L235" s="106">
        <f t="shared" si="118"/>
        <v>0</v>
      </c>
      <c r="M235" s="106">
        <f t="shared" si="118"/>
        <v>0</v>
      </c>
      <c r="N235" s="106">
        <f t="shared" si="118"/>
        <v>0</v>
      </c>
      <c r="O235" s="106">
        <f t="shared" si="118"/>
        <v>0</v>
      </c>
      <c r="P235" s="106">
        <f t="shared" si="118"/>
        <v>0</v>
      </c>
      <c r="Q235" s="106">
        <f t="shared" si="118"/>
        <v>0</v>
      </c>
      <c r="R235" s="106">
        <f t="shared" si="118"/>
        <v>0</v>
      </c>
      <c r="S235" s="106">
        <f t="shared" si="118"/>
        <v>0</v>
      </c>
      <c r="T235" s="106">
        <f t="shared" si="118"/>
        <v>0</v>
      </c>
      <c r="U235" s="106">
        <f t="shared" si="118"/>
        <v>0</v>
      </c>
      <c r="V235" s="106">
        <f t="shared" si="118"/>
        <v>0</v>
      </c>
      <c r="W235" s="106">
        <f t="shared" si="118"/>
        <v>0</v>
      </c>
      <c r="X235" s="106">
        <f t="shared" si="118"/>
        <v>0</v>
      </c>
      <c r="Y235" s="106">
        <f t="shared" si="118"/>
        <v>0</v>
      </c>
      <c r="Z235" s="106">
        <f t="shared" si="118"/>
        <v>0</v>
      </c>
      <c r="AA235" s="106">
        <f t="shared" si="118"/>
        <v>0</v>
      </c>
    </row>
    <row r="236" spans="4:28" x14ac:dyDescent="0.25">
      <c r="E236" s="47" t="s">
        <v>645</v>
      </c>
      <c r="F236" s="47" t="s">
        <v>639</v>
      </c>
      <c r="G236" s="106">
        <f t="shared" ref="G236:AA236" si="119">G53</f>
        <v>0</v>
      </c>
      <c r="H236" s="106">
        <f t="shared" si="119"/>
        <v>0</v>
      </c>
      <c r="I236" s="106">
        <f t="shared" si="119"/>
        <v>0</v>
      </c>
      <c r="J236" s="106">
        <f t="shared" si="119"/>
        <v>0</v>
      </c>
      <c r="K236" s="106">
        <f t="shared" si="119"/>
        <v>0</v>
      </c>
      <c r="L236" s="106">
        <f t="shared" si="119"/>
        <v>0</v>
      </c>
      <c r="M236" s="106">
        <f t="shared" si="119"/>
        <v>0</v>
      </c>
      <c r="N236" s="106">
        <f t="shared" si="119"/>
        <v>0</v>
      </c>
      <c r="O236" s="106">
        <f t="shared" si="119"/>
        <v>0</v>
      </c>
      <c r="P236" s="106">
        <f t="shared" si="119"/>
        <v>0</v>
      </c>
      <c r="Q236" s="106">
        <f t="shared" si="119"/>
        <v>0</v>
      </c>
      <c r="R236" s="106">
        <f t="shared" si="119"/>
        <v>0</v>
      </c>
      <c r="S236" s="106">
        <f t="shared" si="119"/>
        <v>0</v>
      </c>
      <c r="T236" s="106">
        <f t="shared" si="119"/>
        <v>0</v>
      </c>
      <c r="U236" s="106">
        <f t="shared" si="119"/>
        <v>0</v>
      </c>
      <c r="V236" s="106">
        <f t="shared" si="119"/>
        <v>0</v>
      </c>
      <c r="W236" s="106">
        <f t="shared" si="119"/>
        <v>0</v>
      </c>
      <c r="X236" s="106">
        <f t="shared" si="119"/>
        <v>0</v>
      </c>
      <c r="Y236" s="106">
        <f t="shared" si="119"/>
        <v>0</v>
      </c>
      <c r="Z236" s="106">
        <f t="shared" si="119"/>
        <v>0</v>
      </c>
      <c r="AA236" s="106">
        <f t="shared" si="119"/>
        <v>0</v>
      </c>
    </row>
    <row r="237" spans="4:28" x14ac:dyDescent="0.25">
      <c r="E237" s="47" t="s">
        <v>723</v>
      </c>
      <c r="F237" s="47" t="s">
        <v>639</v>
      </c>
      <c r="G237" s="106">
        <f t="shared" ref="G237:AA237" si="120">G177</f>
        <v>0</v>
      </c>
      <c r="H237" s="106">
        <f t="shared" si="120"/>
        <v>5524465.144391017</v>
      </c>
      <c r="I237" s="106">
        <f t="shared" si="120"/>
        <v>11305381.01018407</v>
      </c>
      <c r="J237" s="106">
        <f t="shared" si="120"/>
        <v>16211079.883630246</v>
      </c>
      <c r="K237" s="106">
        <f t="shared" si="120"/>
        <v>21174148.819096472</v>
      </c>
      <c r="L237" s="106">
        <f t="shared" si="120"/>
        <v>26177158.51560393</v>
      </c>
      <c r="M237" s="106">
        <f t="shared" si="120"/>
        <v>31490407.482962038</v>
      </c>
      <c r="N237" s="106">
        <f t="shared" si="120"/>
        <v>36604967.462252885</v>
      </c>
      <c r="O237" s="106">
        <f t="shared" si="120"/>
        <v>41996919.953854851</v>
      </c>
      <c r="P237" s="106">
        <f t="shared" si="120"/>
        <v>47329054.891702086</v>
      </c>
      <c r="Q237" s="106">
        <f t="shared" si="120"/>
        <v>49298371.355165496</v>
      </c>
      <c r="R237" s="106">
        <f t="shared" si="120"/>
        <v>54598687.245796725</v>
      </c>
      <c r="S237" s="106">
        <f t="shared" si="120"/>
        <v>59899087.985174969</v>
      </c>
      <c r="T237" s="106">
        <f t="shared" si="120"/>
        <v>64935371.870224692</v>
      </c>
      <c r="U237" s="106">
        <f t="shared" si="120"/>
        <v>69993796.292358875</v>
      </c>
      <c r="V237" s="106">
        <f t="shared" si="120"/>
        <v>68305453.979751825</v>
      </c>
      <c r="W237" s="106">
        <f t="shared" si="120"/>
        <v>72853518.961814016</v>
      </c>
      <c r="X237" s="106">
        <f t="shared" si="120"/>
        <v>77096552.114747629</v>
      </c>
      <c r="Y237" s="106">
        <f t="shared" si="120"/>
        <v>81285162.680694506</v>
      </c>
      <c r="Z237" s="106">
        <f t="shared" si="120"/>
        <v>85243863.405998051</v>
      </c>
      <c r="AA237" s="106">
        <f t="shared" si="120"/>
        <v>89064503.870199367</v>
      </c>
      <c r="AB237" s="106">
        <f t="shared" ref="AB237:AB241" si="121">IF(V237=0,0,IF($G$15&gt;(AA237/V237)^(1/5)-1+2%,AA237*(AA237/V237)^(1/5)/($G$15-((AA237/V237)^(1/5)-1)),AA237*(1+$G$14)/$G$16))</f>
        <v>3695622567.228188</v>
      </c>
    </row>
    <row r="238" spans="4:28" x14ac:dyDescent="0.25">
      <c r="E238" s="47" t="s">
        <v>701</v>
      </c>
      <c r="F238" s="47" t="s">
        <v>639</v>
      </c>
      <c r="G238" s="106">
        <f t="shared" ref="G238:AA238" si="122">G224</f>
        <v>0</v>
      </c>
      <c r="H238" s="106">
        <f t="shared" si="122"/>
        <v>-1306863.7605778105</v>
      </c>
      <c r="I238" s="106">
        <f t="shared" si="122"/>
        <v>-2577082.8287231382</v>
      </c>
      <c r="J238" s="106">
        <f t="shared" si="122"/>
        <v>-3875006.4440736957</v>
      </c>
      <c r="K238" s="106">
        <f t="shared" si="122"/>
        <v>-4891730.6526194289</v>
      </c>
      <c r="L238" s="106">
        <f t="shared" si="122"/>
        <v>-5907018.8377299746</v>
      </c>
      <c r="M238" s="106">
        <f t="shared" si="122"/>
        <v>-6948405.4201544048</v>
      </c>
      <c r="N238" s="106">
        <f t="shared" si="122"/>
        <v>-7929985.9338508081</v>
      </c>
      <c r="O238" s="106">
        <f t="shared" si="122"/>
        <v>-8955762.5296962783</v>
      </c>
      <c r="P238" s="106">
        <f t="shared" si="122"/>
        <v>-9942199.6430761088</v>
      </c>
      <c r="Q238" s="106">
        <f t="shared" si="122"/>
        <v>-10887996.828297595</v>
      </c>
      <c r="R238" s="106">
        <f t="shared" si="122"/>
        <v>-11750053.960807072</v>
      </c>
      <c r="S238" s="106">
        <f t="shared" si="122"/>
        <v>-12555638.373047311</v>
      </c>
      <c r="T238" s="106">
        <f t="shared" si="122"/>
        <v>-13279214.611542897</v>
      </c>
      <c r="U238" s="106">
        <f t="shared" si="122"/>
        <v>-13961785.128372649</v>
      </c>
      <c r="V238" s="106">
        <f t="shared" si="122"/>
        <v>-14592340.071704799</v>
      </c>
      <c r="W238" s="106">
        <f t="shared" si="122"/>
        <v>-15185572.44599391</v>
      </c>
      <c r="X238" s="106">
        <f t="shared" si="122"/>
        <v>-15932755.604998369</v>
      </c>
      <c r="Y238" s="106">
        <f t="shared" si="122"/>
        <v>-16483066.393340295</v>
      </c>
      <c r="Z238" s="106">
        <f t="shared" si="122"/>
        <v>-16963243.313973121</v>
      </c>
      <c r="AA238" s="106">
        <f t="shared" si="122"/>
        <v>-17394948.727259599</v>
      </c>
      <c r="AB238" s="106">
        <f t="shared" si="121"/>
        <v>-721782104.86554325</v>
      </c>
    </row>
    <row r="239" spans="4:28" x14ac:dyDescent="0.25">
      <c r="E239" s="47" t="s">
        <v>702</v>
      </c>
      <c r="F239" s="47" t="s">
        <v>639</v>
      </c>
      <c r="G239" s="106">
        <f t="shared" ref="G239:AA239" si="123">-G200</f>
        <v>0</v>
      </c>
      <c r="H239" s="106">
        <f t="shared" si="123"/>
        <v>-1351426.4744930035</v>
      </c>
      <c r="I239" s="106">
        <f t="shared" si="123"/>
        <v>-2735973.3522872683</v>
      </c>
      <c r="J239" s="106">
        <f t="shared" si="123"/>
        <v>-3884344.8852252271</v>
      </c>
      <c r="K239" s="106">
        <f t="shared" si="123"/>
        <v>-5047350.4189871075</v>
      </c>
      <c r="L239" s="106">
        <f t="shared" si="123"/>
        <v>-6234115.1788626732</v>
      </c>
      <c r="M239" s="106">
        <f t="shared" si="123"/>
        <v>-7477575.0771041131</v>
      </c>
      <c r="N239" s="106">
        <f t="shared" si="123"/>
        <v>-8664488.7798850294</v>
      </c>
      <c r="O239" s="106">
        <f t="shared" si="123"/>
        <v>-9896035.184569994</v>
      </c>
      <c r="P239" s="106">
        <f t="shared" si="123"/>
        <v>-11115801.638055591</v>
      </c>
      <c r="Q239" s="106">
        <f t="shared" si="123"/>
        <v>-12482043.653349742</v>
      </c>
      <c r="R239" s="106">
        <f t="shared" si="123"/>
        <v>-13847841.58046728</v>
      </c>
      <c r="S239" s="106">
        <f t="shared" si="123"/>
        <v>-15203340.796505995</v>
      </c>
      <c r="T239" s="106">
        <f t="shared" si="123"/>
        <v>-16531003.348570427</v>
      </c>
      <c r="U239" s="106">
        <f t="shared" si="123"/>
        <v>-17853283.944230188</v>
      </c>
      <c r="V239" s="106">
        <f t="shared" si="123"/>
        <v>-19162547.503176495</v>
      </c>
      <c r="W239" s="106">
        <f t="shared" si="123"/>
        <v>-20456559.009314757</v>
      </c>
      <c r="X239" s="106">
        <f t="shared" si="123"/>
        <v>-21728125.39805115</v>
      </c>
      <c r="Y239" s="106">
        <f t="shared" si="123"/>
        <v>-22945429.789725389</v>
      </c>
      <c r="Z239" s="106">
        <f t="shared" si="123"/>
        <v>-24098242.766334951</v>
      </c>
      <c r="AA239" s="106">
        <f t="shared" si="123"/>
        <v>-25189153.292030584</v>
      </c>
      <c r="AB239" s="106">
        <f t="shared" si="121"/>
        <v>-1045193082.6568702</v>
      </c>
    </row>
    <row r="240" spans="4:28" x14ac:dyDescent="0.25">
      <c r="E240" s="47" t="s">
        <v>709</v>
      </c>
      <c r="F240" s="47" t="s">
        <v>639</v>
      </c>
      <c r="G240" s="106">
        <f t="shared" ref="G240:AA240" si="124">G207</f>
        <v>0</v>
      </c>
      <c r="H240" s="106">
        <f t="shared" si="124"/>
        <v>0</v>
      </c>
      <c r="I240" s="106">
        <f t="shared" si="124"/>
        <v>0</v>
      </c>
      <c r="J240" s="106">
        <f t="shared" si="124"/>
        <v>0</v>
      </c>
      <c r="K240" s="106">
        <f t="shared" si="124"/>
        <v>0</v>
      </c>
      <c r="L240" s="106">
        <f t="shared" si="124"/>
        <v>0</v>
      </c>
      <c r="M240" s="106">
        <f t="shared" si="124"/>
        <v>0</v>
      </c>
      <c r="N240" s="106">
        <f t="shared" si="124"/>
        <v>0</v>
      </c>
      <c r="O240" s="106">
        <f t="shared" si="124"/>
        <v>0</v>
      </c>
      <c r="P240" s="106">
        <f t="shared" si="124"/>
        <v>0</v>
      </c>
      <c r="Q240" s="106">
        <f t="shared" si="124"/>
        <v>0</v>
      </c>
      <c r="R240" s="106">
        <f t="shared" si="124"/>
        <v>0</v>
      </c>
      <c r="S240" s="106">
        <f t="shared" si="124"/>
        <v>0</v>
      </c>
      <c r="T240" s="106">
        <f t="shared" si="124"/>
        <v>0</v>
      </c>
      <c r="U240" s="106">
        <f t="shared" si="124"/>
        <v>0</v>
      </c>
      <c r="V240" s="106">
        <f t="shared" si="124"/>
        <v>0</v>
      </c>
      <c r="W240" s="106">
        <f t="shared" si="124"/>
        <v>0</v>
      </c>
      <c r="X240" s="106">
        <f t="shared" si="124"/>
        <v>0</v>
      </c>
      <c r="Y240" s="106">
        <f t="shared" si="124"/>
        <v>0</v>
      </c>
      <c r="Z240" s="106">
        <f t="shared" si="124"/>
        <v>0</v>
      </c>
      <c r="AA240" s="106">
        <f t="shared" si="124"/>
        <v>0</v>
      </c>
      <c r="AB240" s="106">
        <f t="shared" si="121"/>
        <v>0</v>
      </c>
    </row>
    <row r="241" spans="3:40" x14ac:dyDescent="0.25">
      <c r="E241" s="47" t="s">
        <v>714</v>
      </c>
      <c r="F241" s="47" t="s">
        <v>639</v>
      </c>
      <c r="G241" s="106">
        <f t="shared" ref="G241:AA241" si="125">G214</f>
        <v>0</v>
      </c>
      <c r="H241" s="106">
        <f t="shared" si="125"/>
        <v>0</v>
      </c>
      <c r="I241" s="106">
        <f t="shared" si="125"/>
        <v>0</v>
      </c>
      <c r="J241" s="106">
        <f t="shared" si="125"/>
        <v>0</v>
      </c>
      <c r="K241" s="106">
        <f t="shared" si="125"/>
        <v>0</v>
      </c>
      <c r="L241" s="106">
        <f t="shared" si="125"/>
        <v>0</v>
      </c>
      <c r="M241" s="106">
        <f t="shared" si="125"/>
        <v>0</v>
      </c>
      <c r="N241" s="106">
        <f t="shared" si="125"/>
        <v>0</v>
      </c>
      <c r="O241" s="106">
        <f t="shared" si="125"/>
        <v>0</v>
      </c>
      <c r="P241" s="106">
        <f t="shared" si="125"/>
        <v>0</v>
      </c>
      <c r="Q241" s="106">
        <f t="shared" si="125"/>
        <v>0</v>
      </c>
      <c r="R241" s="106">
        <f t="shared" si="125"/>
        <v>0</v>
      </c>
      <c r="S241" s="106">
        <f t="shared" si="125"/>
        <v>0</v>
      </c>
      <c r="T241" s="106">
        <f t="shared" si="125"/>
        <v>0</v>
      </c>
      <c r="U241" s="106">
        <f t="shared" si="125"/>
        <v>0</v>
      </c>
      <c r="V241" s="106">
        <f t="shared" si="125"/>
        <v>0</v>
      </c>
      <c r="W241" s="106">
        <f t="shared" si="125"/>
        <v>0</v>
      </c>
      <c r="X241" s="106">
        <f t="shared" si="125"/>
        <v>0</v>
      </c>
      <c r="Y241" s="106">
        <f t="shared" si="125"/>
        <v>0</v>
      </c>
      <c r="Z241" s="106">
        <f t="shared" si="125"/>
        <v>0</v>
      </c>
      <c r="AA241" s="106">
        <f t="shared" si="125"/>
        <v>0</v>
      </c>
      <c r="AB241" s="106">
        <f t="shared" si="121"/>
        <v>0</v>
      </c>
    </row>
    <row r="242" spans="3:40" x14ac:dyDescent="0.25">
      <c r="E242" s="47" t="s">
        <v>458</v>
      </c>
      <c r="F242" s="47" t="s">
        <v>639</v>
      </c>
      <c r="G242" s="106">
        <f t="shared" ref="G242:AA242" si="126">G231</f>
        <v>0</v>
      </c>
      <c r="H242" s="106">
        <f t="shared" si="126"/>
        <v>-37352973.697352052</v>
      </c>
      <c r="I242" s="106">
        <f t="shared" si="126"/>
        <v>-39980557.401021682</v>
      </c>
      <c r="J242" s="106">
        <f t="shared" si="126"/>
        <v>-36682672.491974555</v>
      </c>
      <c r="K242" s="106">
        <f t="shared" si="126"/>
        <v>-38032353.377963625</v>
      </c>
      <c r="L242" s="106">
        <f t="shared" si="126"/>
        <v>-38738081.427439682</v>
      </c>
      <c r="M242" s="106">
        <f t="shared" si="126"/>
        <v>-41704727.66704946</v>
      </c>
      <c r="N242" s="106">
        <f t="shared" si="126"/>
        <v>-41464190.325567484</v>
      </c>
      <c r="O242" s="106">
        <f t="shared" si="126"/>
        <v>-44457051.167603195</v>
      </c>
      <c r="P242" s="106">
        <f t="shared" si="126"/>
        <v>-45710693.214857958</v>
      </c>
      <c r="Q242" s="106">
        <f t="shared" si="126"/>
        <v>-45364880.574184798</v>
      </c>
      <c r="R242" s="106">
        <f t="shared" si="126"/>
        <v>-45825791.990267508</v>
      </c>
      <c r="S242" s="106">
        <f t="shared" si="126"/>
        <v>-46026261.338535652</v>
      </c>
      <c r="T242" s="106">
        <f t="shared" si="126"/>
        <v>-45611387.522936761</v>
      </c>
      <c r="U242" s="106">
        <f t="shared" si="126"/>
        <v>-45936755.975697868</v>
      </c>
      <c r="V242" s="106">
        <f t="shared" si="126"/>
        <v>-44021324.799120806</v>
      </c>
      <c r="W242" s="106">
        <f t="shared" si="126"/>
        <v>-44042839.680023648</v>
      </c>
      <c r="X242" s="106">
        <f t="shared" si="126"/>
        <v>-43674651.513448313</v>
      </c>
      <c r="Y242" s="106">
        <f t="shared" si="126"/>
        <v>-42383992.711229749</v>
      </c>
      <c r="Z242" s="106">
        <f t="shared" si="126"/>
        <v>-40684547.804408818</v>
      </c>
      <c r="AA242" s="106">
        <f t="shared" si="126"/>
        <v>-38937209.038805366</v>
      </c>
      <c r="AB242" s="106">
        <f>IF(V242=0,0,IF($G$15&gt;(AA242/V242)^(1/5)-1+2%,AA242*(AA242/V242)^(1/5)/($G$15-((AA242/V242)^(1/5)-1)),AA242*(1+$G$14)/$G$16))</f>
        <v>-785859032.34552681</v>
      </c>
      <c r="AN242" s="104"/>
    </row>
    <row r="243" spans="3:40" x14ac:dyDescent="0.25">
      <c r="E243" s="47" t="s">
        <v>730</v>
      </c>
      <c r="F243" s="47" t="s">
        <v>639</v>
      </c>
      <c r="G243" s="106">
        <f>-$G$17*G242</f>
        <v>0</v>
      </c>
      <c r="H243" s="106">
        <f t="shared" ref="H243:AA243" si="127">-$G$17*H242</f>
        <v>18676486.848676026</v>
      </c>
      <c r="I243" s="106">
        <f t="shared" si="127"/>
        <v>19990278.700510841</v>
      </c>
      <c r="J243" s="106">
        <f t="shared" si="127"/>
        <v>18341336.245987277</v>
      </c>
      <c r="K243" s="106">
        <f t="shared" si="127"/>
        <v>19016176.688981812</v>
      </c>
      <c r="L243" s="106">
        <f t="shared" si="127"/>
        <v>19369040.713719841</v>
      </c>
      <c r="M243" s="106">
        <f t="shared" si="127"/>
        <v>20852363.83352473</v>
      </c>
      <c r="N243" s="106">
        <f t="shared" si="127"/>
        <v>20732095.162783742</v>
      </c>
      <c r="O243" s="106">
        <f t="shared" si="127"/>
        <v>22228525.583801597</v>
      </c>
      <c r="P243" s="106">
        <f t="shared" si="127"/>
        <v>22855346.607428979</v>
      </c>
      <c r="Q243" s="106">
        <f t="shared" si="127"/>
        <v>22682440.287092399</v>
      </c>
      <c r="R243" s="106">
        <f t="shared" si="127"/>
        <v>22912895.995133754</v>
      </c>
      <c r="S243" s="106">
        <f t="shared" si="127"/>
        <v>23013130.669267826</v>
      </c>
      <c r="T243" s="106">
        <f t="shared" si="127"/>
        <v>22805693.761468381</v>
      </c>
      <c r="U243" s="106">
        <f t="shared" si="127"/>
        <v>22968377.987848934</v>
      </c>
      <c r="V243" s="106">
        <f t="shared" si="127"/>
        <v>22010662.399560403</v>
      </c>
      <c r="W243" s="106">
        <f t="shared" si="127"/>
        <v>22021419.840011824</v>
      </c>
      <c r="X243" s="106">
        <f t="shared" si="127"/>
        <v>21837325.756724156</v>
      </c>
      <c r="Y243" s="106">
        <f t="shared" si="127"/>
        <v>21191996.355614875</v>
      </c>
      <c r="Z243" s="106">
        <f t="shared" si="127"/>
        <v>20342273.902204409</v>
      </c>
      <c r="AA243" s="106">
        <f t="shared" si="127"/>
        <v>19468604.519402683</v>
      </c>
      <c r="AB243" s="106">
        <f t="shared" ref="AB243" si="128">IF(V243=0,0,IF($G$15&gt;(AA243/V243)^(1/5)-1+2%,AA243*(AA243/V243)^(1/5)/($G$15-((AA243/V243)^(1/5)-1)),AA243*(1+$G$14)/$G$16))</f>
        <v>392929516.17276341</v>
      </c>
    </row>
    <row r="244" spans="3:40" x14ac:dyDescent="0.25">
      <c r="E244" s="47" t="s">
        <v>731</v>
      </c>
      <c r="F244" s="47" t="s">
        <v>639</v>
      </c>
      <c r="G244" s="116">
        <f>SUM(G234:G243)</f>
        <v>0</v>
      </c>
      <c r="H244" s="116">
        <f t="shared" ref="H244:AA244" si="129">SUM(H234:H243)</f>
        <v>-123851810.37421399</v>
      </c>
      <c r="I244" s="116">
        <f t="shared" si="129"/>
        <v>-108448209.44867624</v>
      </c>
      <c r="J244" s="116">
        <f t="shared" si="129"/>
        <v>-111974850.91648446</v>
      </c>
      <c r="K244" s="116">
        <f t="shared" si="129"/>
        <v>-83906742.993584901</v>
      </c>
      <c r="L244" s="116">
        <f t="shared" si="129"/>
        <v>-95697223.214492589</v>
      </c>
      <c r="M244" s="116">
        <f t="shared" si="129"/>
        <v>-96734969.320133895</v>
      </c>
      <c r="N244" s="116">
        <f t="shared" si="129"/>
        <v>-75643317.048618704</v>
      </c>
      <c r="O244" s="116">
        <f t="shared" si="129"/>
        <v>-68209611.764721155</v>
      </c>
      <c r="P244" s="116">
        <f t="shared" si="129"/>
        <v>-47270785.896663025</v>
      </c>
      <c r="Q244" s="116">
        <f t="shared" si="129"/>
        <v>-72363240.498926491</v>
      </c>
      <c r="R244" s="116">
        <f t="shared" si="129"/>
        <v>-69521235.375963628</v>
      </c>
      <c r="S244" s="116">
        <f t="shared" si="129"/>
        <v>-66482152.938998424</v>
      </c>
      <c r="T244" s="116">
        <f t="shared" si="129"/>
        <v>-63289670.93670927</v>
      </c>
      <c r="U244" s="116">
        <f t="shared" si="129"/>
        <v>-60398781.853445143</v>
      </c>
      <c r="V244" s="116">
        <f t="shared" si="129"/>
        <v>-63069227.080042124</v>
      </c>
      <c r="W244" s="116">
        <f t="shared" si="129"/>
        <v>-60419163.418858722</v>
      </c>
      <c r="X244" s="116">
        <f t="shared" si="129"/>
        <v>-58010785.730378307</v>
      </c>
      <c r="Y244" s="116">
        <f t="shared" si="129"/>
        <v>-54944460.943338305</v>
      </c>
      <c r="Z244" s="116">
        <f t="shared" si="129"/>
        <v>-51769027.66186668</v>
      </c>
      <c r="AA244" s="116">
        <f t="shared" si="129"/>
        <v>-48597333.753845751</v>
      </c>
      <c r="AB244" s="116">
        <f>SUM(AB234:AB243)</f>
        <v>1535717863.533011</v>
      </c>
    </row>
    <row r="245" spans="3:40" x14ac:dyDescent="0.25">
      <c r="E245" s="47" t="s">
        <v>732</v>
      </c>
      <c r="F245" s="47" t="s">
        <v>639</v>
      </c>
      <c r="G245" s="116">
        <f>NPV($G$15,H244:AA244)+G244</f>
        <v>-1205444948.1297014</v>
      </c>
      <c r="H245" s="48"/>
      <c r="I245" s="48"/>
      <c r="J245" s="48"/>
      <c r="K245" s="48"/>
      <c r="L245" s="48"/>
      <c r="M245" s="48"/>
      <c r="N245" s="48"/>
      <c r="O245" s="48"/>
      <c r="P245" s="48"/>
      <c r="Q245" s="48"/>
      <c r="R245" s="48"/>
      <c r="S245" s="48"/>
      <c r="T245" s="48"/>
      <c r="U245" s="48"/>
      <c r="V245" s="48"/>
      <c r="W245" s="48"/>
      <c r="X245" s="48"/>
      <c r="Y245" s="48"/>
      <c r="Z245" s="48"/>
      <c r="AA245" s="48"/>
      <c r="AB245" s="48"/>
    </row>
    <row r="246" spans="3:40" x14ac:dyDescent="0.25">
      <c r="G246" s="48"/>
      <c r="H246" s="48"/>
      <c r="I246" s="48"/>
      <c r="J246" s="48"/>
      <c r="K246" s="48"/>
      <c r="L246" s="48"/>
      <c r="M246" s="48"/>
      <c r="N246" s="48"/>
      <c r="O246" s="48"/>
      <c r="P246" s="48"/>
      <c r="Q246" s="48"/>
      <c r="R246" s="48"/>
      <c r="S246" s="48"/>
      <c r="T246" s="48"/>
      <c r="U246" s="48"/>
      <c r="V246" s="48"/>
      <c r="W246" s="48"/>
      <c r="X246" s="48"/>
      <c r="Y246" s="48"/>
      <c r="Z246" s="48"/>
      <c r="AA246" s="48"/>
      <c r="AB246" s="48"/>
    </row>
    <row r="247" spans="3:40" x14ac:dyDescent="0.25">
      <c r="E247" s="47" t="s">
        <v>725</v>
      </c>
      <c r="F247" s="47" t="s">
        <v>639</v>
      </c>
      <c r="G247" s="48"/>
      <c r="H247" s="116">
        <f t="shared" ref="H247:AA247" si="130">H219</f>
        <v>72101218.306021318</v>
      </c>
      <c r="I247" s="116">
        <f t="shared" si="130"/>
        <v>78103762.529196367</v>
      </c>
      <c r="J247" s="116">
        <f t="shared" si="130"/>
        <v>67482485.851317674</v>
      </c>
      <c r="K247" s="116">
        <f t="shared" si="130"/>
        <v>69354474.965993017</v>
      </c>
      <c r="L247" s="116">
        <f t="shared" si="130"/>
        <v>72376125.968320653</v>
      </c>
      <c r="M247" s="116">
        <f t="shared" si="130"/>
        <v>77550408.733796701</v>
      </c>
      <c r="N247" s="116">
        <f t="shared" si="130"/>
        <v>76365590.813285753</v>
      </c>
      <c r="O247" s="116">
        <f t="shared" si="130"/>
        <v>81325944.172122523</v>
      </c>
      <c r="P247" s="116">
        <f t="shared" si="130"/>
        <v>82771194.802775785</v>
      </c>
      <c r="Q247" s="116">
        <f t="shared" si="130"/>
        <v>83262998.606875598</v>
      </c>
      <c r="R247" s="116">
        <f t="shared" si="130"/>
        <v>83235934.504896015</v>
      </c>
      <c r="S247" s="116">
        <f t="shared" si="130"/>
        <v>82608299.315369114</v>
      </c>
      <c r="T247" s="116">
        <f t="shared" si="130"/>
        <v>80911847.231649607</v>
      </c>
      <c r="U247" s="116">
        <f t="shared" si="130"/>
        <v>80583854.22337769</v>
      </c>
      <c r="V247" s="116">
        <f t="shared" si="130"/>
        <v>79790555.892916664</v>
      </c>
      <c r="W247" s="116">
        <f t="shared" si="130"/>
        <v>78861048.79425317</v>
      </c>
      <c r="X247" s="116">
        <f t="shared" si="130"/>
        <v>77493174.173181593</v>
      </c>
      <c r="Y247" s="116">
        <f t="shared" si="130"/>
        <v>74186280.859100819</v>
      </c>
      <c r="Z247" s="116">
        <f t="shared" si="130"/>
        <v>70255975.289095268</v>
      </c>
      <c r="AA247" s="116">
        <f t="shared" si="130"/>
        <v>66483449.172557816</v>
      </c>
      <c r="AB247" s="48"/>
    </row>
    <row r="248" spans="3:40" x14ac:dyDescent="0.25">
      <c r="E248" s="47" t="s">
        <v>733</v>
      </c>
      <c r="F248" s="47" t="s">
        <v>639</v>
      </c>
      <c r="G248" s="117">
        <f>NPV($G$15,H247:AA247)+G247</f>
        <v>1205444948.1297007</v>
      </c>
      <c r="H248" s="48"/>
      <c r="I248" s="48"/>
      <c r="J248" s="48"/>
      <c r="K248" s="48"/>
      <c r="L248" s="48"/>
      <c r="M248" s="48"/>
      <c r="N248" s="48"/>
      <c r="O248" s="48"/>
      <c r="P248" s="48"/>
      <c r="Q248" s="48"/>
      <c r="R248" s="48"/>
      <c r="S248" s="48"/>
      <c r="T248" s="48"/>
      <c r="U248" s="48"/>
      <c r="V248" s="48"/>
      <c r="W248" s="48"/>
      <c r="X248" s="48"/>
      <c r="Y248" s="48"/>
      <c r="Z248" s="48"/>
      <c r="AA248" s="48"/>
      <c r="AB248" s="48"/>
    </row>
    <row r="249" spans="3:40" x14ac:dyDescent="0.25">
      <c r="E249" s="111" t="s">
        <v>734</v>
      </c>
      <c r="F249" s="111"/>
      <c r="G249" s="118" t="str">
        <f>IF(G245&gt;0,"N/A",IF(ABS(G245+G248)&gt;1,"Error","OK"))</f>
        <v>OK</v>
      </c>
    </row>
    <row r="251" spans="3:40" x14ac:dyDescent="0.25">
      <c r="C251" s="100" t="s">
        <v>735</v>
      </c>
      <c r="D251" s="100"/>
    </row>
    <row r="252" spans="3:40" x14ac:dyDescent="0.25">
      <c r="C252" s="100"/>
      <c r="D252" s="100"/>
    </row>
    <row r="253" spans="3:40" x14ac:dyDescent="0.25">
      <c r="C253" s="100"/>
      <c r="D253" s="47" t="s">
        <v>735</v>
      </c>
      <c r="F253" s="47" t="s">
        <v>639</v>
      </c>
      <c r="G253" s="115" t="e">
        <f>MAX(0,-G279)</f>
        <v>#REF!</v>
      </c>
    </row>
    <row r="255" spans="3:40" x14ac:dyDescent="0.25">
      <c r="D255" s="47" t="s">
        <v>722</v>
      </c>
    </row>
    <row r="256" spans="3:40" x14ac:dyDescent="0.25">
      <c r="E256" s="47" t="s">
        <v>573</v>
      </c>
      <c r="F256" s="47" t="s">
        <v>639</v>
      </c>
      <c r="G256" s="106">
        <f t="shared" ref="G256:AA261" si="131">G222</f>
        <v>0</v>
      </c>
      <c r="H256" s="106">
        <f t="shared" si="131"/>
        <v>51602078.051148698</v>
      </c>
      <c r="I256" s="106">
        <f t="shared" si="131"/>
        <v>53290001.108287737</v>
      </c>
      <c r="J256" s="106">
        <f t="shared" si="131"/>
        <v>52727881.734018296</v>
      </c>
      <c r="K256" s="106">
        <f t="shared" si="131"/>
        <v>54348335.955898404</v>
      </c>
      <c r="L256" s="106">
        <f t="shared" si="131"/>
        <v>52493865.327404477</v>
      </c>
      <c r="M256" s="106">
        <f t="shared" si="131"/>
        <v>55872890.840626143</v>
      </c>
      <c r="N256" s="106">
        <f t="shared" si="131"/>
        <v>54786683.384502426</v>
      </c>
      <c r="O256" s="106">
        <f t="shared" si="131"/>
        <v>58110227.49664633</v>
      </c>
      <c r="P256" s="106">
        <f t="shared" si="131"/>
        <v>58964785.839146852</v>
      </c>
      <c r="Q256" s="106">
        <f t="shared" si="131"/>
        <v>59192902.887546867</v>
      </c>
      <c r="R256" s="106">
        <f t="shared" si="131"/>
        <v>59214019.087601095</v>
      </c>
      <c r="S256" s="106">
        <f t="shared" si="131"/>
        <v>58897189.540760815</v>
      </c>
      <c r="T256" s="106">
        <f t="shared" si="131"/>
        <v>57739441.154204175</v>
      </c>
      <c r="U256" s="106">
        <f t="shared" si="131"/>
        <v>57610749.80098705</v>
      </c>
      <c r="V256" s="106">
        <f t="shared" si="131"/>
        <v>57154698.560692005</v>
      </c>
      <c r="W256" s="106">
        <f t="shared" si="131"/>
        <v>57000649.372701071</v>
      </c>
      <c r="X256" s="106">
        <f t="shared" si="131"/>
        <v>56415998.929261521</v>
      </c>
      <c r="Y256" s="106">
        <f t="shared" si="131"/>
        <v>54477211.193327636</v>
      </c>
      <c r="Z256" s="106">
        <f t="shared" si="131"/>
        <v>51865480.694751553</v>
      </c>
      <c r="AA256" s="106">
        <f t="shared" si="131"/>
        <v>48931410.064830668</v>
      </c>
    </row>
    <row r="257" spans="4:28" x14ac:dyDescent="0.25">
      <c r="E257" s="47" t="s">
        <v>723</v>
      </c>
      <c r="F257" s="47" t="s">
        <v>639</v>
      </c>
      <c r="G257" s="106">
        <f t="shared" si="131"/>
        <v>0</v>
      </c>
      <c r="H257" s="106">
        <f t="shared" si="131"/>
        <v>5524465.144391017</v>
      </c>
      <c r="I257" s="106">
        <f t="shared" si="131"/>
        <v>11305381.01018407</v>
      </c>
      <c r="J257" s="106">
        <f t="shared" si="131"/>
        <v>16211079.883630246</v>
      </c>
      <c r="K257" s="106">
        <f t="shared" si="131"/>
        <v>21174148.819096472</v>
      </c>
      <c r="L257" s="106">
        <f t="shared" si="131"/>
        <v>26177158.51560393</v>
      </c>
      <c r="M257" s="106">
        <f t="shared" si="131"/>
        <v>31490407.482962038</v>
      </c>
      <c r="N257" s="106">
        <f t="shared" si="131"/>
        <v>36604967.462252885</v>
      </c>
      <c r="O257" s="106">
        <f t="shared" si="131"/>
        <v>41996919.953854851</v>
      </c>
      <c r="P257" s="106">
        <f t="shared" si="131"/>
        <v>47329054.891702086</v>
      </c>
      <c r="Q257" s="106">
        <f t="shared" si="131"/>
        <v>49298371.355165496</v>
      </c>
      <c r="R257" s="106">
        <f t="shared" si="131"/>
        <v>54598687.245796725</v>
      </c>
      <c r="S257" s="106">
        <f t="shared" si="131"/>
        <v>59899087.985174969</v>
      </c>
      <c r="T257" s="106">
        <f t="shared" si="131"/>
        <v>64935371.870224692</v>
      </c>
      <c r="U257" s="106">
        <f t="shared" si="131"/>
        <v>69993796.292358875</v>
      </c>
      <c r="V257" s="106">
        <f t="shared" si="131"/>
        <v>68305453.979751825</v>
      </c>
      <c r="W257" s="106">
        <f t="shared" si="131"/>
        <v>72853518.961814016</v>
      </c>
      <c r="X257" s="106">
        <f t="shared" si="131"/>
        <v>77096552.114747629</v>
      </c>
      <c r="Y257" s="106">
        <f t="shared" si="131"/>
        <v>81285162.680694506</v>
      </c>
      <c r="Z257" s="106">
        <f t="shared" si="131"/>
        <v>85243863.405998051</v>
      </c>
      <c r="AA257" s="106">
        <f t="shared" si="131"/>
        <v>89064503.870199367</v>
      </c>
    </row>
    <row r="258" spans="4:28" x14ac:dyDescent="0.25">
      <c r="E258" s="47" t="s">
        <v>701</v>
      </c>
      <c r="F258" s="47" t="s">
        <v>639</v>
      </c>
      <c r="G258" s="106">
        <f t="shared" si="131"/>
        <v>0</v>
      </c>
      <c r="H258" s="106">
        <f t="shared" si="131"/>
        <v>-1306863.7605778105</v>
      </c>
      <c r="I258" s="106">
        <f t="shared" si="131"/>
        <v>-2577082.8287231382</v>
      </c>
      <c r="J258" s="106">
        <f t="shared" si="131"/>
        <v>-3875006.4440736957</v>
      </c>
      <c r="K258" s="106">
        <f t="shared" si="131"/>
        <v>-4891730.6526194289</v>
      </c>
      <c r="L258" s="106">
        <f t="shared" si="131"/>
        <v>-5907018.8377299746</v>
      </c>
      <c r="M258" s="106">
        <f t="shared" si="131"/>
        <v>-6948405.4201544048</v>
      </c>
      <c r="N258" s="106">
        <f t="shared" si="131"/>
        <v>-7929985.9338508081</v>
      </c>
      <c r="O258" s="106">
        <f t="shared" si="131"/>
        <v>-8955762.5296962783</v>
      </c>
      <c r="P258" s="106">
        <f t="shared" si="131"/>
        <v>-9942199.6430761088</v>
      </c>
      <c r="Q258" s="106">
        <f t="shared" si="131"/>
        <v>-10887996.828297595</v>
      </c>
      <c r="R258" s="106">
        <f t="shared" si="131"/>
        <v>-11750053.960807072</v>
      </c>
      <c r="S258" s="106">
        <f t="shared" si="131"/>
        <v>-12555638.373047311</v>
      </c>
      <c r="T258" s="106">
        <f t="shared" si="131"/>
        <v>-13279214.611542897</v>
      </c>
      <c r="U258" s="106">
        <f t="shared" si="131"/>
        <v>-13961785.128372649</v>
      </c>
      <c r="V258" s="106">
        <f t="shared" si="131"/>
        <v>-14592340.071704799</v>
      </c>
      <c r="W258" s="106">
        <f t="shared" si="131"/>
        <v>-15185572.44599391</v>
      </c>
      <c r="X258" s="106">
        <f t="shared" si="131"/>
        <v>-15932755.604998369</v>
      </c>
      <c r="Y258" s="106">
        <f t="shared" si="131"/>
        <v>-16483066.393340295</v>
      </c>
      <c r="Z258" s="106">
        <f t="shared" si="131"/>
        <v>-16963243.313973121</v>
      </c>
      <c r="AA258" s="106">
        <f t="shared" si="131"/>
        <v>-17394948.727259599</v>
      </c>
    </row>
    <row r="259" spans="4:28" x14ac:dyDescent="0.25">
      <c r="E259" s="47" t="s">
        <v>702</v>
      </c>
      <c r="F259" s="47" t="s">
        <v>639</v>
      </c>
      <c r="G259" s="106">
        <f t="shared" si="131"/>
        <v>0</v>
      </c>
      <c r="H259" s="106">
        <f t="shared" si="131"/>
        <v>-1351426.4744930035</v>
      </c>
      <c r="I259" s="106">
        <f t="shared" si="131"/>
        <v>-2735973.3522872683</v>
      </c>
      <c r="J259" s="106">
        <f t="shared" si="131"/>
        <v>-3884344.8852252271</v>
      </c>
      <c r="K259" s="106">
        <f t="shared" si="131"/>
        <v>-5047350.4189871075</v>
      </c>
      <c r="L259" s="106">
        <f t="shared" si="131"/>
        <v>-6234115.1788626732</v>
      </c>
      <c r="M259" s="106">
        <f t="shared" si="131"/>
        <v>-7477575.0771041131</v>
      </c>
      <c r="N259" s="106">
        <f t="shared" si="131"/>
        <v>-8664488.7798850294</v>
      </c>
      <c r="O259" s="106">
        <f t="shared" si="131"/>
        <v>-9896035.184569994</v>
      </c>
      <c r="P259" s="106">
        <f t="shared" si="131"/>
        <v>-11115801.638055591</v>
      </c>
      <c r="Q259" s="106">
        <f t="shared" si="131"/>
        <v>-12482043.653349742</v>
      </c>
      <c r="R259" s="106">
        <f t="shared" si="131"/>
        <v>-13847841.58046728</v>
      </c>
      <c r="S259" s="106">
        <f t="shared" si="131"/>
        <v>-15203340.796505995</v>
      </c>
      <c r="T259" s="106">
        <f t="shared" si="131"/>
        <v>-16531003.348570427</v>
      </c>
      <c r="U259" s="106">
        <f t="shared" si="131"/>
        <v>-17853283.944230188</v>
      </c>
      <c r="V259" s="106">
        <f t="shared" si="131"/>
        <v>-19162547.503176495</v>
      </c>
      <c r="W259" s="106">
        <f t="shared" si="131"/>
        <v>-20456559.009314757</v>
      </c>
      <c r="X259" s="106">
        <f t="shared" si="131"/>
        <v>-21728125.39805115</v>
      </c>
      <c r="Y259" s="106">
        <f t="shared" si="131"/>
        <v>-22945429.789725389</v>
      </c>
      <c r="Z259" s="106">
        <f t="shared" si="131"/>
        <v>-24098242.766334951</v>
      </c>
      <c r="AA259" s="106">
        <f t="shared" si="131"/>
        <v>-25189153.292030584</v>
      </c>
    </row>
    <row r="260" spans="4:28" x14ac:dyDescent="0.25">
      <c r="E260" s="47" t="s">
        <v>724</v>
      </c>
      <c r="F260" s="47" t="s">
        <v>639</v>
      </c>
      <c r="G260" s="106">
        <f t="shared" si="131"/>
        <v>0</v>
      </c>
      <c r="H260" s="106">
        <f t="shared" si="131"/>
        <v>-2059558.9419833547</v>
      </c>
      <c r="I260" s="106">
        <f t="shared" si="131"/>
        <v>-4117563.7965854765</v>
      </c>
      <c r="J260" s="106">
        <f t="shared" si="131"/>
        <v>-6386521.1664187936</v>
      </c>
      <c r="K260" s="106">
        <f t="shared" si="131"/>
        <v>-8163367.409502618</v>
      </c>
      <c r="L260" s="106">
        <f t="shared" si="131"/>
        <v>-9779077.7032707855</v>
      </c>
      <c r="M260" s="106">
        <f t="shared" si="131"/>
        <v>-11471967.669961488</v>
      </c>
      <c r="N260" s="106">
        <f t="shared" si="131"/>
        <v>-12948799.194413632</v>
      </c>
      <c r="O260" s="106">
        <f t="shared" si="131"/>
        <v>-14391123.349680085</v>
      </c>
      <c r="P260" s="106">
        <f t="shared" si="131"/>
        <v>-15638056.869633168</v>
      </c>
      <c r="Q260" s="106">
        <f t="shared" si="131"/>
        <v>-17167963.78732463</v>
      </c>
      <c r="R260" s="106">
        <f t="shared" si="131"/>
        <v>-18698105.329461135</v>
      </c>
      <c r="S260" s="106">
        <f t="shared" si="131"/>
        <v>-20224726.543299422</v>
      </c>
      <c r="T260" s="106">
        <f t="shared" si="131"/>
        <v>-21738483.88617596</v>
      </c>
      <c r="U260" s="106">
        <f t="shared" si="131"/>
        <v>-23250811.32512787</v>
      </c>
      <c r="V260" s="106">
        <f t="shared" si="131"/>
        <v>-24758071.528076496</v>
      </c>
      <c r="W260" s="106">
        <f t="shared" si="131"/>
        <v>-26263620.073380783</v>
      </c>
      <c r="X260" s="106">
        <f t="shared" si="131"/>
        <v>-27762672.502646849</v>
      </c>
      <c r="Y260" s="106">
        <f t="shared" si="131"/>
        <v>-29240182.845958099</v>
      </c>
      <c r="Z260" s="106">
        <f t="shared" si="131"/>
        <v>-30688673.961507387</v>
      </c>
      <c r="AA260" s="106">
        <f t="shared" si="131"/>
        <v>-32104564.29227978</v>
      </c>
    </row>
    <row r="261" spans="4:28" x14ac:dyDescent="0.25">
      <c r="E261" s="47" t="s">
        <v>709</v>
      </c>
      <c r="F261" s="47" t="s">
        <v>639</v>
      </c>
      <c r="G261" s="106">
        <f t="shared" si="131"/>
        <v>0</v>
      </c>
      <c r="H261" s="106">
        <f t="shared" si="131"/>
        <v>0</v>
      </c>
      <c r="I261" s="106">
        <f t="shared" si="131"/>
        <v>0</v>
      </c>
      <c r="J261" s="106">
        <f t="shared" si="131"/>
        <v>0</v>
      </c>
      <c r="K261" s="106">
        <f t="shared" si="131"/>
        <v>0</v>
      </c>
      <c r="L261" s="106">
        <f t="shared" si="131"/>
        <v>0</v>
      </c>
      <c r="M261" s="106">
        <f t="shared" si="131"/>
        <v>0</v>
      </c>
      <c r="N261" s="106">
        <f t="shared" si="131"/>
        <v>0</v>
      </c>
      <c r="O261" s="106">
        <f t="shared" si="131"/>
        <v>0</v>
      </c>
      <c r="P261" s="106">
        <f t="shared" si="131"/>
        <v>0</v>
      </c>
      <c r="Q261" s="106">
        <f t="shared" si="131"/>
        <v>0</v>
      </c>
      <c r="R261" s="106">
        <f t="shared" si="131"/>
        <v>0</v>
      </c>
      <c r="S261" s="106">
        <f t="shared" si="131"/>
        <v>0</v>
      </c>
      <c r="T261" s="106">
        <f t="shared" si="131"/>
        <v>0</v>
      </c>
      <c r="U261" s="106">
        <f t="shared" si="131"/>
        <v>0</v>
      </c>
      <c r="V261" s="106">
        <f t="shared" si="131"/>
        <v>0</v>
      </c>
      <c r="W261" s="106">
        <f t="shared" si="131"/>
        <v>0</v>
      </c>
      <c r="X261" s="106">
        <f t="shared" si="131"/>
        <v>0</v>
      </c>
      <c r="Y261" s="106">
        <f t="shared" si="131"/>
        <v>0</v>
      </c>
      <c r="Z261" s="106">
        <f t="shared" si="131"/>
        <v>0</v>
      </c>
      <c r="AA261" s="106">
        <f t="shared" si="131"/>
        <v>0</v>
      </c>
    </row>
    <row r="262" spans="4:28" x14ac:dyDescent="0.25">
      <c r="E262" s="47" t="s">
        <v>725</v>
      </c>
      <c r="F262" s="47" t="s">
        <v>639</v>
      </c>
      <c r="G262" s="106" t="e">
        <f>G253</f>
        <v>#REF!</v>
      </c>
      <c r="H262" s="106"/>
      <c r="I262" s="106"/>
      <c r="J262" s="106"/>
      <c r="K262" s="106"/>
      <c r="L262" s="106"/>
      <c r="M262" s="106"/>
      <c r="N262" s="106"/>
      <c r="O262" s="106"/>
      <c r="P262" s="106"/>
      <c r="Q262" s="106"/>
      <c r="R262" s="106"/>
      <c r="S262" s="106"/>
      <c r="T262" s="106"/>
      <c r="U262" s="106"/>
      <c r="V262" s="106"/>
      <c r="W262" s="106"/>
      <c r="X262" s="106"/>
      <c r="Y262" s="106"/>
      <c r="Z262" s="106"/>
      <c r="AA262" s="106"/>
    </row>
    <row r="264" spans="4:28" x14ac:dyDescent="0.25">
      <c r="E264" s="47" t="s">
        <v>726</v>
      </c>
      <c r="F264" s="47" t="s">
        <v>639</v>
      </c>
      <c r="G264" s="106" t="e">
        <f t="shared" ref="G264:AA264" si="132">SUM(G256:G262)</f>
        <v>#REF!</v>
      </c>
      <c r="H264" s="106">
        <f t="shared" si="132"/>
        <v>52408694.018485539</v>
      </c>
      <c r="I264" s="106">
        <f t="shared" si="132"/>
        <v>55164762.140875921</v>
      </c>
      <c r="J264" s="106">
        <f t="shared" si="132"/>
        <v>54793089.12193083</v>
      </c>
      <c r="K264" s="106">
        <f t="shared" si="132"/>
        <v>57420036.29388573</v>
      </c>
      <c r="L264" s="106">
        <f t="shared" si="132"/>
        <v>56750812.123144962</v>
      </c>
      <c r="M264" s="106">
        <f t="shared" si="132"/>
        <v>61465350.156368174</v>
      </c>
      <c r="N264" s="106">
        <f t="shared" si="132"/>
        <v>61848376.938605845</v>
      </c>
      <c r="O264" s="106">
        <f t="shared" si="132"/>
        <v>66864226.386554807</v>
      </c>
      <c r="P264" s="106">
        <f t="shared" si="132"/>
        <v>69597782.580084071</v>
      </c>
      <c r="Q264" s="106">
        <f t="shared" si="132"/>
        <v>67953269.973740399</v>
      </c>
      <c r="R264" s="106">
        <f t="shared" si="132"/>
        <v>69516705.462662339</v>
      </c>
      <c r="S264" s="106">
        <f t="shared" si="132"/>
        <v>70812571.813083068</v>
      </c>
      <c r="T264" s="106">
        <f t="shared" si="132"/>
        <v>71126111.178139597</v>
      </c>
      <c r="U264" s="106">
        <f t="shared" si="132"/>
        <v>72538665.695615217</v>
      </c>
      <c r="V264" s="106">
        <f t="shared" si="132"/>
        <v>66947193.437486038</v>
      </c>
      <c r="W264" s="106">
        <f t="shared" si="132"/>
        <v>67948416.805825636</v>
      </c>
      <c r="X264" s="106">
        <f t="shared" si="132"/>
        <v>68088997.538312778</v>
      </c>
      <c r="Y264" s="106">
        <f t="shared" si="132"/>
        <v>67093694.844998345</v>
      </c>
      <c r="Z264" s="106">
        <f t="shared" si="132"/>
        <v>65359184.058934145</v>
      </c>
      <c r="AA264" s="106">
        <f t="shared" si="132"/>
        <v>63307247.623460069</v>
      </c>
    </row>
    <row r="265" spans="4:28" x14ac:dyDescent="0.25">
      <c r="E265" s="47" t="s">
        <v>727</v>
      </c>
      <c r="F265" s="47" t="s">
        <v>639</v>
      </c>
      <c r="G265" s="106" t="e">
        <f>-G264*G$18</f>
        <v>#REF!</v>
      </c>
      <c r="H265" s="106">
        <f t="shared" ref="H265:AA265" si="133">-H264*H$18</f>
        <v>-15722608.20554566</v>
      </c>
      <c r="I265" s="106">
        <f t="shared" si="133"/>
        <v>-16549428.642262775</v>
      </c>
      <c r="J265" s="106">
        <f t="shared" si="133"/>
        <v>-16437926.736579249</v>
      </c>
      <c r="K265" s="106">
        <f t="shared" si="133"/>
        <v>-17226010.88816572</v>
      </c>
      <c r="L265" s="106">
        <f t="shared" si="133"/>
        <v>-17025243.636943489</v>
      </c>
      <c r="M265" s="106">
        <f t="shared" si="133"/>
        <v>-18439605.04691045</v>
      </c>
      <c r="N265" s="106">
        <f t="shared" si="133"/>
        <v>-18554513.081581753</v>
      </c>
      <c r="O265" s="106">
        <f t="shared" si="133"/>
        <v>-20059267.91596644</v>
      </c>
      <c r="P265" s="106">
        <f t="shared" si="133"/>
        <v>-20879334.77402522</v>
      </c>
      <c r="Q265" s="106">
        <f t="shared" si="133"/>
        <v>-20385980.992122117</v>
      </c>
      <c r="R265" s="106">
        <f t="shared" si="133"/>
        <v>-20855011.638798703</v>
      </c>
      <c r="S265" s="106">
        <f t="shared" si="133"/>
        <v>-21243771.54392492</v>
      </c>
      <c r="T265" s="106">
        <f t="shared" si="133"/>
        <v>-21337833.353441879</v>
      </c>
      <c r="U265" s="106">
        <f t="shared" si="133"/>
        <v>-21761599.708684564</v>
      </c>
      <c r="V265" s="106">
        <f t="shared" si="133"/>
        <v>-20084158.031245809</v>
      </c>
      <c r="W265" s="106">
        <f t="shared" si="133"/>
        <v>-20384525.041747689</v>
      </c>
      <c r="X265" s="106">
        <f t="shared" si="133"/>
        <v>-20426699.261493832</v>
      </c>
      <c r="Y265" s="106">
        <f t="shared" si="133"/>
        <v>-20128108.453499503</v>
      </c>
      <c r="Z265" s="106">
        <f t="shared" si="133"/>
        <v>-19607755.217680242</v>
      </c>
      <c r="AA265" s="106">
        <f t="shared" si="133"/>
        <v>-18992174.287038021</v>
      </c>
    </row>
    <row r="267" spans="4:28" x14ac:dyDescent="0.25">
      <c r="D267" s="47" t="s">
        <v>728</v>
      </c>
    </row>
    <row r="268" spans="4:28" x14ac:dyDescent="0.25">
      <c r="E268" s="47" t="s">
        <v>638</v>
      </c>
      <c r="F268" s="47" t="s">
        <v>639</v>
      </c>
      <c r="G268" s="106">
        <f t="shared" ref="G268:AA275" si="134">G234</f>
        <v>0</v>
      </c>
      <c r="H268" s="106">
        <f t="shared" si="134"/>
        <v>-108041498.43485816</v>
      </c>
      <c r="I268" s="106">
        <f t="shared" si="134"/>
        <v>-94450255.577339083</v>
      </c>
      <c r="J268" s="106">
        <f t="shared" si="134"/>
        <v>-102085243.22482851</v>
      </c>
      <c r="K268" s="106">
        <f t="shared" si="134"/>
        <v>-76125634.052093029</v>
      </c>
      <c r="L268" s="106">
        <f t="shared" si="134"/>
        <v>-90364206.999784023</v>
      </c>
      <c r="M268" s="106">
        <f t="shared" si="134"/>
        <v>-92947032.472312689</v>
      </c>
      <c r="N268" s="106">
        <f t="shared" si="134"/>
        <v>-74921714.634352013</v>
      </c>
      <c r="O268" s="106">
        <f t="shared" si="134"/>
        <v>-69126208.420508131</v>
      </c>
      <c r="P268" s="106">
        <f t="shared" si="134"/>
        <v>-50686492.899804428</v>
      </c>
      <c r="Q268" s="106">
        <f t="shared" si="134"/>
        <v>-75609131.085352257</v>
      </c>
      <c r="R268" s="106">
        <f t="shared" si="134"/>
        <v>-75609131.085352257</v>
      </c>
      <c r="S268" s="106">
        <f t="shared" si="134"/>
        <v>-75609131.085352257</v>
      </c>
      <c r="T268" s="106">
        <f t="shared" si="134"/>
        <v>-75609131.085352257</v>
      </c>
      <c r="U268" s="106">
        <f t="shared" si="134"/>
        <v>-75609131.085352257</v>
      </c>
      <c r="V268" s="106">
        <f t="shared" si="134"/>
        <v>-75609131.085352257</v>
      </c>
      <c r="W268" s="106">
        <f t="shared" si="134"/>
        <v>-75609131.085352257</v>
      </c>
      <c r="X268" s="106">
        <f t="shared" si="134"/>
        <v>-75609131.085352257</v>
      </c>
      <c r="Y268" s="106">
        <f t="shared" si="134"/>
        <v>-75609131.085352257</v>
      </c>
      <c r="Z268" s="106">
        <f t="shared" si="134"/>
        <v>-75609131.085352257</v>
      </c>
      <c r="AA268" s="106">
        <f t="shared" si="134"/>
        <v>-75609131.085352257</v>
      </c>
    </row>
    <row r="269" spans="4:28" x14ac:dyDescent="0.25">
      <c r="E269" s="47" t="s">
        <v>729</v>
      </c>
      <c r="F269" s="47" t="s">
        <v>639</v>
      </c>
      <c r="G269" s="106">
        <f t="shared" si="134"/>
        <v>0</v>
      </c>
      <c r="H269" s="106">
        <f t="shared" si="134"/>
        <v>0</v>
      </c>
      <c r="I269" s="106">
        <f t="shared" si="134"/>
        <v>0</v>
      </c>
      <c r="J269" s="106">
        <f t="shared" si="134"/>
        <v>0</v>
      </c>
      <c r="K269" s="106">
        <f t="shared" si="134"/>
        <v>0</v>
      </c>
      <c r="L269" s="106">
        <f t="shared" si="134"/>
        <v>0</v>
      </c>
      <c r="M269" s="106">
        <f t="shared" si="134"/>
        <v>0</v>
      </c>
      <c r="N269" s="106">
        <f t="shared" si="134"/>
        <v>0</v>
      </c>
      <c r="O269" s="106">
        <f t="shared" si="134"/>
        <v>0</v>
      </c>
      <c r="P269" s="106">
        <f t="shared" si="134"/>
        <v>0</v>
      </c>
      <c r="Q269" s="106">
        <f t="shared" si="134"/>
        <v>0</v>
      </c>
      <c r="R269" s="106">
        <f t="shared" si="134"/>
        <v>0</v>
      </c>
      <c r="S269" s="106">
        <f t="shared" si="134"/>
        <v>0</v>
      </c>
      <c r="T269" s="106">
        <f t="shared" si="134"/>
        <v>0</v>
      </c>
      <c r="U269" s="106">
        <f t="shared" si="134"/>
        <v>0</v>
      </c>
      <c r="V269" s="106">
        <f t="shared" si="134"/>
        <v>0</v>
      </c>
      <c r="W269" s="106">
        <f t="shared" si="134"/>
        <v>0</v>
      </c>
      <c r="X269" s="106">
        <f t="shared" si="134"/>
        <v>0</v>
      </c>
      <c r="Y269" s="106">
        <f t="shared" si="134"/>
        <v>0</v>
      </c>
      <c r="Z269" s="106">
        <f t="shared" si="134"/>
        <v>0</v>
      </c>
      <c r="AA269" s="106">
        <f t="shared" si="134"/>
        <v>0</v>
      </c>
    </row>
    <row r="270" spans="4:28" x14ac:dyDescent="0.25">
      <c r="E270" s="47" t="s">
        <v>645</v>
      </c>
      <c r="F270" s="47" t="s">
        <v>639</v>
      </c>
      <c r="G270" s="106">
        <f t="shared" si="134"/>
        <v>0</v>
      </c>
      <c r="H270" s="106">
        <f t="shared" si="134"/>
        <v>0</v>
      </c>
      <c r="I270" s="106">
        <f t="shared" si="134"/>
        <v>0</v>
      </c>
      <c r="J270" s="106">
        <f t="shared" si="134"/>
        <v>0</v>
      </c>
      <c r="K270" s="106">
        <f t="shared" si="134"/>
        <v>0</v>
      </c>
      <c r="L270" s="106">
        <f t="shared" si="134"/>
        <v>0</v>
      </c>
      <c r="M270" s="106">
        <f t="shared" si="134"/>
        <v>0</v>
      </c>
      <c r="N270" s="106">
        <f t="shared" si="134"/>
        <v>0</v>
      </c>
      <c r="O270" s="106">
        <f t="shared" si="134"/>
        <v>0</v>
      </c>
      <c r="P270" s="106">
        <f t="shared" si="134"/>
        <v>0</v>
      </c>
      <c r="Q270" s="106">
        <f t="shared" si="134"/>
        <v>0</v>
      </c>
      <c r="R270" s="106">
        <f t="shared" si="134"/>
        <v>0</v>
      </c>
      <c r="S270" s="106">
        <f t="shared" si="134"/>
        <v>0</v>
      </c>
      <c r="T270" s="106">
        <f t="shared" si="134"/>
        <v>0</v>
      </c>
      <c r="U270" s="106">
        <f t="shared" si="134"/>
        <v>0</v>
      </c>
      <c r="V270" s="106">
        <f t="shared" si="134"/>
        <v>0</v>
      </c>
      <c r="W270" s="106">
        <f t="shared" si="134"/>
        <v>0</v>
      </c>
      <c r="X270" s="106">
        <f t="shared" si="134"/>
        <v>0</v>
      </c>
      <c r="Y270" s="106">
        <f t="shared" si="134"/>
        <v>0</v>
      </c>
      <c r="Z270" s="106">
        <f t="shared" si="134"/>
        <v>0</v>
      </c>
      <c r="AA270" s="106">
        <f t="shared" si="134"/>
        <v>0</v>
      </c>
    </row>
    <row r="271" spans="4:28" x14ac:dyDescent="0.25">
      <c r="E271" s="47" t="s">
        <v>723</v>
      </c>
      <c r="F271" s="47" t="s">
        <v>639</v>
      </c>
      <c r="G271" s="106">
        <f t="shared" si="134"/>
        <v>0</v>
      </c>
      <c r="H271" s="106">
        <f t="shared" si="134"/>
        <v>5524465.144391017</v>
      </c>
      <c r="I271" s="106">
        <f t="shared" si="134"/>
        <v>11305381.01018407</v>
      </c>
      <c r="J271" s="106">
        <f t="shared" si="134"/>
        <v>16211079.883630246</v>
      </c>
      <c r="K271" s="106">
        <f t="shared" si="134"/>
        <v>21174148.819096472</v>
      </c>
      <c r="L271" s="106">
        <f t="shared" si="134"/>
        <v>26177158.51560393</v>
      </c>
      <c r="M271" s="106">
        <f t="shared" si="134"/>
        <v>31490407.482962038</v>
      </c>
      <c r="N271" s="106">
        <f t="shared" si="134"/>
        <v>36604967.462252885</v>
      </c>
      <c r="O271" s="106">
        <f t="shared" si="134"/>
        <v>41996919.953854851</v>
      </c>
      <c r="P271" s="106">
        <f t="shared" si="134"/>
        <v>47329054.891702086</v>
      </c>
      <c r="Q271" s="106">
        <f t="shared" si="134"/>
        <v>49298371.355165496</v>
      </c>
      <c r="R271" s="106">
        <f t="shared" si="134"/>
        <v>54598687.245796725</v>
      </c>
      <c r="S271" s="106">
        <f t="shared" si="134"/>
        <v>59899087.985174969</v>
      </c>
      <c r="T271" s="106">
        <f t="shared" si="134"/>
        <v>64935371.870224692</v>
      </c>
      <c r="U271" s="106">
        <f t="shared" si="134"/>
        <v>69993796.292358875</v>
      </c>
      <c r="V271" s="106">
        <f t="shared" si="134"/>
        <v>68305453.979751825</v>
      </c>
      <c r="W271" s="106">
        <f t="shared" si="134"/>
        <v>72853518.961814016</v>
      </c>
      <c r="X271" s="106">
        <f t="shared" si="134"/>
        <v>77096552.114747629</v>
      </c>
      <c r="Y271" s="106">
        <f t="shared" si="134"/>
        <v>81285162.680694506</v>
      </c>
      <c r="Z271" s="106">
        <f t="shared" si="134"/>
        <v>85243863.405998051</v>
      </c>
      <c r="AA271" s="106">
        <f t="shared" si="134"/>
        <v>89064503.870199367</v>
      </c>
      <c r="AB271" s="106">
        <f t="shared" ref="AB271:AB275" si="135">IF(V271=0,0,IF($G$15&gt;(AA271/V271)^(1/5)-1+2%,AA271*(AA271/V271)^(1/5)/($G$15-((AA271/V271)^(1/5)-1)),AA271*(1+$G$14)/$G$16))</f>
        <v>3695622567.228188</v>
      </c>
    </row>
    <row r="272" spans="4:28" x14ac:dyDescent="0.25">
      <c r="E272" s="47" t="s">
        <v>701</v>
      </c>
      <c r="F272" s="47" t="s">
        <v>639</v>
      </c>
      <c r="G272" s="106">
        <f t="shared" si="134"/>
        <v>0</v>
      </c>
      <c r="H272" s="106">
        <f t="shared" si="134"/>
        <v>-1306863.7605778105</v>
      </c>
      <c r="I272" s="106">
        <f t="shared" si="134"/>
        <v>-2577082.8287231382</v>
      </c>
      <c r="J272" s="106">
        <f t="shared" si="134"/>
        <v>-3875006.4440736957</v>
      </c>
      <c r="K272" s="106">
        <f t="shared" si="134"/>
        <v>-4891730.6526194289</v>
      </c>
      <c r="L272" s="106">
        <f t="shared" si="134"/>
        <v>-5907018.8377299746</v>
      </c>
      <c r="M272" s="106">
        <f t="shared" si="134"/>
        <v>-6948405.4201544048</v>
      </c>
      <c r="N272" s="106">
        <f t="shared" si="134"/>
        <v>-7929985.9338508081</v>
      </c>
      <c r="O272" s="106">
        <f t="shared" si="134"/>
        <v>-8955762.5296962783</v>
      </c>
      <c r="P272" s="106">
        <f t="shared" si="134"/>
        <v>-9942199.6430761088</v>
      </c>
      <c r="Q272" s="106">
        <f t="shared" si="134"/>
        <v>-10887996.828297595</v>
      </c>
      <c r="R272" s="106">
        <f t="shared" si="134"/>
        <v>-11750053.960807072</v>
      </c>
      <c r="S272" s="106">
        <f t="shared" si="134"/>
        <v>-12555638.373047311</v>
      </c>
      <c r="T272" s="106">
        <f t="shared" si="134"/>
        <v>-13279214.611542897</v>
      </c>
      <c r="U272" s="106">
        <f t="shared" si="134"/>
        <v>-13961785.128372649</v>
      </c>
      <c r="V272" s="106">
        <f t="shared" si="134"/>
        <v>-14592340.071704799</v>
      </c>
      <c r="W272" s="106">
        <f t="shared" si="134"/>
        <v>-15185572.44599391</v>
      </c>
      <c r="X272" s="106">
        <f t="shared" si="134"/>
        <v>-15932755.604998369</v>
      </c>
      <c r="Y272" s="106">
        <f t="shared" si="134"/>
        <v>-16483066.393340295</v>
      </c>
      <c r="Z272" s="106">
        <f t="shared" si="134"/>
        <v>-16963243.313973121</v>
      </c>
      <c r="AA272" s="106">
        <f t="shared" si="134"/>
        <v>-17394948.727259599</v>
      </c>
      <c r="AB272" s="106">
        <f t="shared" si="135"/>
        <v>-721782104.86554325</v>
      </c>
    </row>
    <row r="273" spans="1:28" x14ac:dyDescent="0.25">
      <c r="E273" s="47" t="s">
        <v>702</v>
      </c>
      <c r="F273" s="47" t="s">
        <v>639</v>
      </c>
      <c r="G273" s="106">
        <f t="shared" si="134"/>
        <v>0</v>
      </c>
      <c r="H273" s="106">
        <f t="shared" si="134"/>
        <v>-1351426.4744930035</v>
      </c>
      <c r="I273" s="106">
        <f t="shared" si="134"/>
        <v>-2735973.3522872683</v>
      </c>
      <c r="J273" s="106">
        <f t="shared" si="134"/>
        <v>-3884344.8852252271</v>
      </c>
      <c r="K273" s="106">
        <f t="shared" si="134"/>
        <v>-5047350.4189871075</v>
      </c>
      <c r="L273" s="106">
        <f t="shared" si="134"/>
        <v>-6234115.1788626732</v>
      </c>
      <c r="M273" s="106">
        <f t="shared" si="134"/>
        <v>-7477575.0771041131</v>
      </c>
      <c r="N273" s="106">
        <f t="shared" si="134"/>
        <v>-8664488.7798850294</v>
      </c>
      <c r="O273" s="106">
        <f t="shared" si="134"/>
        <v>-9896035.184569994</v>
      </c>
      <c r="P273" s="106">
        <f t="shared" si="134"/>
        <v>-11115801.638055591</v>
      </c>
      <c r="Q273" s="106">
        <f t="shared" si="134"/>
        <v>-12482043.653349742</v>
      </c>
      <c r="R273" s="106">
        <f t="shared" si="134"/>
        <v>-13847841.58046728</v>
      </c>
      <c r="S273" s="106">
        <f t="shared" si="134"/>
        <v>-15203340.796505995</v>
      </c>
      <c r="T273" s="106">
        <f t="shared" si="134"/>
        <v>-16531003.348570427</v>
      </c>
      <c r="U273" s="106">
        <f t="shared" si="134"/>
        <v>-17853283.944230188</v>
      </c>
      <c r="V273" s="106">
        <f t="shared" si="134"/>
        <v>-19162547.503176495</v>
      </c>
      <c r="W273" s="106">
        <f t="shared" si="134"/>
        <v>-20456559.009314757</v>
      </c>
      <c r="X273" s="106">
        <f t="shared" si="134"/>
        <v>-21728125.39805115</v>
      </c>
      <c r="Y273" s="106">
        <f t="shared" si="134"/>
        <v>-22945429.789725389</v>
      </c>
      <c r="Z273" s="106">
        <f t="shared" si="134"/>
        <v>-24098242.766334951</v>
      </c>
      <c r="AA273" s="106">
        <f t="shared" si="134"/>
        <v>-25189153.292030584</v>
      </c>
      <c r="AB273" s="106">
        <f t="shared" si="135"/>
        <v>-1045193082.6568702</v>
      </c>
    </row>
    <row r="274" spans="1:28" x14ac:dyDescent="0.25">
      <c r="E274" s="47" t="s">
        <v>709</v>
      </c>
      <c r="F274" s="47" t="s">
        <v>639</v>
      </c>
      <c r="G274" s="106">
        <f t="shared" si="134"/>
        <v>0</v>
      </c>
      <c r="H274" s="106">
        <f t="shared" si="134"/>
        <v>0</v>
      </c>
      <c r="I274" s="106">
        <f t="shared" si="134"/>
        <v>0</v>
      </c>
      <c r="J274" s="106">
        <f t="shared" si="134"/>
        <v>0</v>
      </c>
      <c r="K274" s="106">
        <f t="shared" si="134"/>
        <v>0</v>
      </c>
      <c r="L274" s="106">
        <f t="shared" si="134"/>
        <v>0</v>
      </c>
      <c r="M274" s="106">
        <f t="shared" si="134"/>
        <v>0</v>
      </c>
      <c r="N274" s="106">
        <f t="shared" si="134"/>
        <v>0</v>
      </c>
      <c r="O274" s="106">
        <f t="shared" si="134"/>
        <v>0</v>
      </c>
      <c r="P274" s="106">
        <f t="shared" si="134"/>
        <v>0</v>
      </c>
      <c r="Q274" s="106">
        <f t="shared" si="134"/>
        <v>0</v>
      </c>
      <c r="R274" s="106">
        <f t="shared" si="134"/>
        <v>0</v>
      </c>
      <c r="S274" s="106">
        <f t="shared" si="134"/>
        <v>0</v>
      </c>
      <c r="T274" s="106">
        <f t="shared" si="134"/>
        <v>0</v>
      </c>
      <c r="U274" s="106">
        <f t="shared" si="134"/>
        <v>0</v>
      </c>
      <c r="V274" s="106">
        <f t="shared" si="134"/>
        <v>0</v>
      </c>
      <c r="W274" s="106">
        <f t="shared" si="134"/>
        <v>0</v>
      </c>
      <c r="X274" s="106">
        <f t="shared" si="134"/>
        <v>0</v>
      </c>
      <c r="Y274" s="106">
        <f t="shared" si="134"/>
        <v>0</v>
      </c>
      <c r="Z274" s="106">
        <f t="shared" si="134"/>
        <v>0</v>
      </c>
      <c r="AA274" s="106">
        <f t="shared" si="134"/>
        <v>0</v>
      </c>
      <c r="AB274" s="106">
        <f t="shared" si="135"/>
        <v>0</v>
      </c>
    </row>
    <row r="275" spans="1:28" x14ac:dyDescent="0.25">
      <c r="E275" s="47" t="s">
        <v>714</v>
      </c>
      <c r="F275" s="47" t="s">
        <v>639</v>
      </c>
      <c r="G275" s="106">
        <f t="shared" si="134"/>
        <v>0</v>
      </c>
      <c r="H275" s="106">
        <f t="shared" si="134"/>
        <v>0</v>
      </c>
      <c r="I275" s="106">
        <f t="shared" si="134"/>
        <v>0</v>
      </c>
      <c r="J275" s="106">
        <f t="shared" si="134"/>
        <v>0</v>
      </c>
      <c r="K275" s="106">
        <f t="shared" si="134"/>
        <v>0</v>
      </c>
      <c r="L275" s="106">
        <f t="shared" si="134"/>
        <v>0</v>
      </c>
      <c r="M275" s="106">
        <f t="shared" si="134"/>
        <v>0</v>
      </c>
      <c r="N275" s="106">
        <f t="shared" si="134"/>
        <v>0</v>
      </c>
      <c r="O275" s="106">
        <f t="shared" si="134"/>
        <v>0</v>
      </c>
      <c r="P275" s="106">
        <f t="shared" si="134"/>
        <v>0</v>
      </c>
      <c r="Q275" s="106">
        <f t="shared" si="134"/>
        <v>0</v>
      </c>
      <c r="R275" s="106">
        <f t="shared" si="134"/>
        <v>0</v>
      </c>
      <c r="S275" s="106">
        <f t="shared" si="134"/>
        <v>0</v>
      </c>
      <c r="T275" s="106">
        <f t="shared" si="134"/>
        <v>0</v>
      </c>
      <c r="U275" s="106">
        <f t="shared" si="134"/>
        <v>0</v>
      </c>
      <c r="V275" s="106">
        <f t="shared" si="134"/>
        <v>0</v>
      </c>
      <c r="W275" s="106">
        <f t="shared" si="134"/>
        <v>0</v>
      </c>
      <c r="X275" s="106">
        <f t="shared" si="134"/>
        <v>0</v>
      </c>
      <c r="Y275" s="106">
        <f t="shared" si="134"/>
        <v>0</v>
      </c>
      <c r="Z275" s="106">
        <f t="shared" si="134"/>
        <v>0</v>
      </c>
      <c r="AA275" s="106">
        <f t="shared" si="134"/>
        <v>0</v>
      </c>
      <c r="AB275" s="106">
        <f t="shared" si="135"/>
        <v>0</v>
      </c>
    </row>
    <row r="276" spans="1:28" x14ac:dyDescent="0.25">
      <c r="E276" s="47" t="s">
        <v>458</v>
      </c>
      <c r="F276" s="47" t="s">
        <v>639</v>
      </c>
      <c r="G276" s="106" t="e">
        <f t="shared" ref="G276:AA276" si="136">G265</f>
        <v>#REF!</v>
      </c>
      <c r="H276" s="106">
        <f t="shared" si="136"/>
        <v>-15722608.20554566</v>
      </c>
      <c r="I276" s="106">
        <f t="shared" si="136"/>
        <v>-16549428.642262775</v>
      </c>
      <c r="J276" s="106">
        <f t="shared" si="136"/>
        <v>-16437926.736579249</v>
      </c>
      <c r="K276" s="106">
        <f t="shared" si="136"/>
        <v>-17226010.88816572</v>
      </c>
      <c r="L276" s="106">
        <f t="shared" si="136"/>
        <v>-17025243.636943489</v>
      </c>
      <c r="M276" s="106">
        <f t="shared" si="136"/>
        <v>-18439605.04691045</v>
      </c>
      <c r="N276" s="106">
        <f t="shared" si="136"/>
        <v>-18554513.081581753</v>
      </c>
      <c r="O276" s="106">
        <f t="shared" si="136"/>
        <v>-20059267.91596644</v>
      </c>
      <c r="P276" s="106">
        <f t="shared" si="136"/>
        <v>-20879334.77402522</v>
      </c>
      <c r="Q276" s="106">
        <f t="shared" si="136"/>
        <v>-20385980.992122117</v>
      </c>
      <c r="R276" s="106">
        <f t="shared" si="136"/>
        <v>-20855011.638798703</v>
      </c>
      <c r="S276" s="106">
        <f t="shared" si="136"/>
        <v>-21243771.54392492</v>
      </c>
      <c r="T276" s="106">
        <f t="shared" si="136"/>
        <v>-21337833.353441879</v>
      </c>
      <c r="U276" s="106">
        <f t="shared" si="136"/>
        <v>-21761599.708684564</v>
      </c>
      <c r="V276" s="106">
        <f t="shared" si="136"/>
        <v>-20084158.031245809</v>
      </c>
      <c r="W276" s="106">
        <f t="shared" si="136"/>
        <v>-20384525.041747689</v>
      </c>
      <c r="X276" s="106">
        <f t="shared" si="136"/>
        <v>-20426699.261493832</v>
      </c>
      <c r="Y276" s="106">
        <f t="shared" si="136"/>
        <v>-20128108.453499503</v>
      </c>
      <c r="Z276" s="106">
        <f t="shared" si="136"/>
        <v>-19607755.217680242</v>
      </c>
      <c r="AA276" s="106">
        <f t="shared" si="136"/>
        <v>-18992174.287038021</v>
      </c>
      <c r="AB276" s="106">
        <f>IF(V276=0,0,IF($G$15&gt;(AA276/V276)^(1/5)-1+2%,AA276*(AA276/V276)^(1/5)/($G$15-((AA276/V276)^(1/5)-1)),AA276*(1+$G$14)/$G$16))</f>
        <v>-533269688.9417994</v>
      </c>
    </row>
    <row r="277" spans="1:28" x14ac:dyDescent="0.25">
      <c r="E277" s="47" t="s">
        <v>730</v>
      </c>
      <c r="F277" s="47" t="s">
        <v>639</v>
      </c>
      <c r="G277" s="106" t="e">
        <f>-$G$17*G276</f>
        <v>#REF!</v>
      </c>
      <c r="H277" s="106">
        <f t="shared" ref="H277:AA277" si="137">-$G$17*H276</f>
        <v>7861304.1027728301</v>
      </c>
      <c r="I277" s="106">
        <f t="shared" si="137"/>
        <v>8274714.3211313877</v>
      </c>
      <c r="J277" s="106">
        <f t="shared" si="137"/>
        <v>8218963.3682896243</v>
      </c>
      <c r="K277" s="106">
        <f t="shared" si="137"/>
        <v>8613005.4440828599</v>
      </c>
      <c r="L277" s="106">
        <f t="shared" si="137"/>
        <v>8512621.8184717447</v>
      </c>
      <c r="M277" s="106">
        <f t="shared" si="137"/>
        <v>9219802.5234552249</v>
      </c>
      <c r="N277" s="106">
        <f t="shared" si="137"/>
        <v>9277256.5407908764</v>
      </c>
      <c r="O277" s="106">
        <f t="shared" si="137"/>
        <v>10029633.95798322</v>
      </c>
      <c r="P277" s="106">
        <f t="shared" si="137"/>
        <v>10439667.38701261</v>
      </c>
      <c r="Q277" s="106">
        <f t="shared" si="137"/>
        <v>10192990.496061059</v>
      </c>
      <c r="R277" s="106">
        <f t="shared" si="137"/>
        <v>10427505.819399351</v>
      </c>
      <c r="S277" s="106">
        <f t="shared" si="137"/>
        <v>10621885.77196246</v>
      </c>
      <c r="T277" s="106">
        <f t="shared" si="137"/>
        <v>10668916.67672094</v>
      </c>
      <c r="U277" s="106">
        <f t="shared" si="137"/>
        <v>10880799.854342282</v>
      </c>
      <c r="V277" s="106">
        <f t="shared" si="137"/>
        <v>10042079.015622905</v>
      </c>
      <c r="W277" s="106">
        <f t="shared" si="137"/>
        <v>10192262.520873845</v>
      </c>
      <c r="X277" s="106">
        <f t="shared" si="137"/>
        <v>10213349.630746916</v>
      </c>
      <c r="Y277" s="106">
        <f t="shared" si="137"/>
        <v>10064054.226749752</v>
      </c>
      <c r="Z277" s="106">
        <f t="shared" si="137"/>
        <v>9803877.608840121</v>
      </c>
      <c r="AA277" s="106">
        <f t="shared" si="137"/>
        <v>9496087.1435190104</v>
      </c>
      <c r="AB277" s="106">
        <f t="shared" ref="AB277" si="138">IF(V277=0,0,IF($G$15&gt;(AA277/V277)^(1/5)-1+2%,AA277*(AA277/V277)^(1/5)/($G$15-((AA277/V277)^(1/5)-1)),AA277*(1+$G$14)/$G$16))</f>
        <v>266634844.4708997</v>
      </c>
    </row>
    <row r="278" spans="1:28" x14ac:dyDescent="0.25">
      <c r="E278" s="47" t="s">
        <v>731</v>
      </c>
      <c r="F278" s="47" t="s">
        <v>639</v>
      </c>
      <c r="G278" s="106" t="e">
        <f t="shared" ref="G278:AA278" si="139">SUM(G268:G277)</f>
        <v>#REF!</v>
      </c>
      <c r="H278" s="106">
        <f t="shared" si="139"/>
        <v>-113036627.62831078</v>
      </c>
      <c r="I278" s="106">
        <f t="shared" si="139"/>
        <v>-96732645.069296792</v>
      </c>
      <c r="J278" s="106">
        <f t="shared" si="139"/>
        <v>-101852478.03878681</v>
      </c>
      <c r="K278" s="106">
        <f t="shared" si="139"/>
        <v>-73503571.748685956</v>
      </c>
      <c r="L278" s="106">
        <f t="shared" si="139"/>
        <v>-84840804.319244489</v>
      </c>
      <c r="M278" s="106">
        <f t="shared" si="139"/>
        <v>-85102408.010064393</v>
      </c>
      <c r="N278" s="106">
        <f t="shared" si="139"/>
        <v>-64188478.42662584</v>
      </c>
      <c r="O278" s="106">
        <f t="shared" si="139"/>
        <v>-56010720.138902776</v>
      </c>
      <c r="P278" s="106">
        <f t="shared" si="139"/>
        <v>-34855106.676246651</v>
      </c>
      <c r="Q278" s="106">
        <f t="shared" si="139"/>
        <v>-59873790.70789516</v>
      </c>
      <c r="R278" s="106">
        <f t="shared" si="139"/>
        <v>-57035845.200229235</v>
      </c>
      <c r="S278" s="106">
        <f t="shared" si="139"/>
        <v>-54090908.041693062</v>
      </c>
      <c r="T278" s="106">
        <f t="shared" si="139"/>
        <v>-51152893.851961829</v>
      </c>
      <c r="U278" s="106">
        <f t="shared" si="139"/>
        <v>-48311203.719938502</v>
      </c>
      <c r="V278" s="106">
        <f t="shared" si="139"/>
        <v>-51100643.696104623</v>
      </c>
      <c r="W278" s="106">
        <f t="shared" si="139"/>
        <v>-48590006.099720746</v>
      </c>
      <c r="X278" s="106">
        <f t="shared" si="139"/>
        <v>-46386809.604401067</v>
      </c>
      <c r="Y278" s="106">
        <f t="shared" si="139"/>
        <v>-43816518.814473182</v>
      </c>
      <c r="Z278" s="106">
        <f t="shared" si="139"/>
        <v>-41230631.368502393</v>
      </c>
      <c r="AA278" s="106">
        <f t="shared" si="139"/>
        <v>-38624816.377962083</v>
      </c>
      <c r="AB278" s="106" t="e">
        <f>SUM(AB268:AB277)*IF(DASH!#REF!="yes",1,0)</f>
        <v>#REF!</v>
      </c>
    </row>
    <row r="279" spans="1:28" x14ac:dyDescent="0.25">
      <c r="E279" s="47" t="s">
        <v>732</v>
      </c>
      <c r="F279" s="47" t="s">
        <v>639</v>
      </c>
      <c r="G279" s="106" t="e">
        <f>NPV($G$15,H278:AQ278)+G278</f>
        <v>#REF!</v>
      </c>
    </row>
    <row r="280" spans="1:28" x14ac:dyDescent="0.25">
      <c r="E280" s="111" t="s">
        <v>734</v>
      </c>
      <c r="F280" s="111"/>
      <c r="G280" s="118" t="e">
        <f>IF(G279&gt;0,"N/A",IF(ABS(G279+G253)&gt;1,"Error","OK"))</f>
        <v>#REF!</v>
      </c>
    </row>
    <row r="282" spans="1:28" x14ac:dyDescent="0.25">
      <c r="C282" s="100" t="s">
        <v>736</v>
      </c>
      <c r="D282" s="100"/>
    </row>
    <row r="283" spans="1:28" x14ac:dyDescent="0.25">
      <c r="A283" s="101">
        <v>54</v>
      </c>
      <c r="C283" s="100"/>
      <c r="D283" s="100"/>
      <c r="E283" s="47" t="s">
        <v>737</v>
      </c>
      <c r="F283" s="47" t="s">
        <v>655</v>
      </c>
      <c r="G283" s="102">
        <v>1</v>
      </c>
      <c r="H283" s="102">
        <v>1</v>
      </c>
      <c r="I283" s="102">
        <v>1</v>
      </c>
      <c r="J283" s="102">
        <v>1</v>
      </c>
      <c r="K283" s="102">
        <v>1</v>
      </c>
      <c r="L283" s="102">
        <v>1</v>
      </c>
      <c r="M283" s="102">
        <v>0</v>
      </c>
      <c r="N283" s="102">
        <v>0</v>
      </c>
      <c r="O283" s="102">
        <v>0</v>
      </c>
      <c r="P283" s="102">
        <v>0</v>
      </c>
      <c r="Q283" s="102">
        <v>0</v>
      </c>
      <c r="R283" s="102">
        <v>0</v>
      </c>
      <c r="S283" s="102">
        <v>0</v>
      </c>
      <c r="T283" s="102">
        <v>0</v>
      </c>
      <c r="U283" s="102">
        <v>0</v>
      </c>
      <c r="V283" s="102">
        <v>0</v>
      </c>
      <c r="W283" s="102">
        <v>0</v>
      </c>
      <c r="X283" s="102">
        <v>0</v>
      </c>
      <c r="Y283" s="102">
        <v>0</v>
      </c>
      <c r="Z283" s="102">
        <v>0</v>
      </c>
      <c r="AA283" s="102">
        <v>0</v>
      </c>
    </row>
    <row r="284" spans="1:28" x14ac:dyDescent="0.25">
      <c r="E284" s="47" t="s">
        <v>738</v>
      </c>
      <c r="F284" s="47" t="s">
        <v>739</v>
      </c>
      <c r="G284" s="115" t="e">
        <f>MAX(0,-G311/(NPV($G$16,H283:AA283)+G283))</f>
        <v>#VALUE!</v>
      </c>
      <c r="H284" s="106" t="e">
        <f t="shared" ref="H284:AA284" si="140">G284*(1+$G$14)</f>
        <v>#VALUE!</v>
      </c>
      <c r="I284" s="106" t="e">
        <f t="shared" si="140"/>
        <v>#VALUE!</v>
      </c>
      <c r="J284" s="106" t="e">
        <f t="shared" si="140"/>
        <v>#VALUE!</v>
      </c>
      <c r="K284" s="106" t="e">
        <f t="shared" si="140"/>
        <v>#VALUE!</v>
      </c>
      <c r="L284" s="106" t="e">
        <f t="shared" si="140"/>
        <v>#VALUE!</v>
      </c>
      <c r="M284" s="106" t="e">
        <f t="shared" si="140"/>
        <v>#VALUE!</v>
      </c>
      <c r="N284" s="106" t="e">
        <f t="shared" si="140"/>
        <v>#VALUE!</v>
      </c>
      <c r="O284" s="106" t="e">
        <f t="shared" si="140"/>
        <v>#VALUE!</v>
      </c>
      <c r="P284" s="106" t="e">
        <f t="shared" si="140"/>
        <v>#VALUE!</v>
      </c>
      <c r="Q284" s="106" t="e">
        <f t="shared" si="140"/>
        <v>#VALUE!</v>
      </c>
      <c r="R284" s="106" t="e">
        <f t="shared" si="140"/>
        <v>#VALUE!</v>
      </c>
      <c r="S284" s="106" t="e">
        <f t="shared" si="140"/>
        <v>#VALUE!</v>
      </c>
      <c r="T284" s="106" t="e">
        <f t="shared" si="140"/>
        <v>#VALUE!</v>
      </c>
      <c r="U284" s="106" t="e">
        <f t="shared" si="140"/>
        <v>#VALUE!</v>
      </c>
      <c r="V284" s="106" t="e">
        <f t="shared" si="140"/>
        <v>#VALUE!</v>
      </c>
      <c r="W284" s="106" t="e">
        <f t="shared" si="140"/>
        <v>#VALUE!</v>
      </c>
      <c r="X284" s="106" t="e">
        <f t="shared" si="140"/>
        <v>#VALUE!</v>
      </c>
      <c r="Y284" s="106" t="e">
        <f t="shared" si="140"/>
        <v>#VALUE!</v>
      </c>
      <c r="Z284" s="106" t="e">
        <f t="shared" si="140"/>
        <v>#VALUE!</v>
      </c>
      <c r="AA284" s="106" t="e">
        <f t="shared" si="140"/>
        <v>#VALUE!</v>
      </c>
    </row>
    <row r="285" spans="1:28" x14ac:dyDescent="0.25">
      <c r="E285" s="47" t="s">
        <v>721</v>
      </c>
      <c r="F285" s="47" t="s">
        <v>639</v>
      </c>
      <c r="G285" s="106" t="e">
        <f>G283*G284</f>
        <v>#VALUE!</v>
      </c>
      <c r="H285" s="106" t="e">
        <f t="shared" ref="H285:AA285" si="141">H283*H284</f>
        <v>#VALUE!</v>
      </c>
      <c r="I285" s="106" t="e">
        <f t="shared" si="141"/>
        <v>#VALUE!</v>
      </c>
      <c r="J285" s="106" t="e">
        <f t="shared" si="141"/>
        <v>#VALUE!</v>
      </c>
      <c r="K285" s="106" t="e">
        <f t="shared" si="141"/>
        <v>#VALUE!</v>
      </c>
      <c r="L285" s="106" t="e">
        <f t="shared" si="141"/>
        <v>#VALUE!</v>
      </c>
      <c r="M285" s="106" t="e">
        <f t="shared" si="141"/>
        <v>#VALUE!</v>
      </c>
      <c r="N285" s="106" t="e">
        <f t="shared" si="141"/>
        <v>#VALUE!</v>
      </c>
      <c r="O285" s="106" t="e">
        <f t="shared" si="141"/>
        <v>#VALUE!</v>
      </c>
      <c r="P285" s="106" t="e">
        <f t="shared" si="141"/>
        <v>#VALUE!</v>
      </c>
      <c r="Q285" s="106" t="e">
        <f t="shared" si="141"/>
        <v>#VALUE!</v>
      </c>
      <c r="R285" s="106" t="e">
        <f t="shared" si="141"/>
        <v>#VALUE!</v>
      </c>
      <c r="S285" s="106" t="e">
        <f t="shared" si="141"/>
        <v>#VALUE!</v>
      </c>
      <c r="T285" s="106" t="e">
        <f t="shared" si="141"/>
        <v>#VALUE!</v>
      </c>
      <c r="U285" s="106" t="e">
        <f t="shared" si="141"/>
        <v>#VALUE!</v>
      </c>
      <c r="V285" s="106" t="e">
        <f t="shared" si="141"/>
        <v>#VALUE!</v>
      </c>
      <c r="W285" s="106" t="e">
        <f t="shared" si="141"/>
        <v>#VALUE!</v>
      </c>
      <c r="X285" s="106" t="e">
        <f t="shared" si="141"/>
        <v>#VALUE!</v>
      </c>
      <c r="Y285" s="106" t="e">
        <f t="shared" si="141"/>
        <v>#VALUE!</v>
      </c>
      <c r="Z285" s="106" t="e">
        <f t="shared" si="141"/>
        <v>#VALUE!</v>
      </c>
      <c r="AA285" s="106" t="e">
        <f t="shared" si="141"/>
        <v>#VALUE!</v>
      </c>
    </row>
    <row r="287" spans="1:28" x14ac:dyDescent="0.25">
      <c r="D287" s="47" t="s">
        <v>722</v>
      </c>
    </row>
    <row r="288" spans="1:28" x14ac:dyDescent="0.25">
      <c r="E288" s="47" t="s">
        <v>573</v>
      </c>
      <c r="F288" s="47" t="s">
        <v>639</v>
      </c>
      <c r="G288" s="106">
        <f t="shared" ref="G288:AA293" si="142">G222</f>
        <v>0</v>
      </c>
      <c r="H288" s="106">
        <f t="shared" si="142"/>
        <v>51602078.051148698</v>
      </c>
      <c r="I288" s="106">
        <f t="shared" si="142"/>
        <v>53290001.108287737</v>
      </c>
      <c r="J288" s="106">
        <f t="shared" si="142"/>
        <v>52727881.734018296</v>
      </c>
      <c r="K288" s="106">
        <f t="shared" si="142"/>
        <v>54348335.955898404</v>
      </c>
      <c r="L288" s="106">
        <f t="shared" si="142"/>
        <v>52493865.327404477</v>
      </c>
      <c r="M288" s="106">
        <f t="shared" si="142"/>
        <v>55872890.840626143</v>
      </c>
      <c r="N288" s="106">
        <f t="shared" si="142"/>
        <v>54786683.384502426</v>
      </c>
      <c r="O288" s="106">
        <f t="shared" si="142"/>
        <v>58110227.49664633</v>
      </c>
      <c r="P288" s="106">
        <f t="shared" si="142"/>
        <v>58964785.839146852</v>
      </c>
      <c r="Q288" s="106">
        <f t="shared" si="142"/>
        <v>59192902.887546867</v>
      </c>
      <c r="R288" s="106">
        <f t="shared" si="142"/>
        <v>59214019.087601095</v>
      </c>
      <c r="S288" s="106">
        <f t="shared" si="142"/>
        <v>58897189.540760815</v>
      </c>
      <c r="T288" s="106">
        <f t="shared" si="142"/>
        <v>57739441.154204175</v>
      </c>
      <c r="U288" s="106">
        <f t="shared" si="142"/>
        <v>57610749.80098705</v>
      </c>
      <c r="V288" s="106">
        <f t="shared" si="142"/>
        <v>57154698.560692005</v>
      </c>
      <c r="W288" s="106">
        <f t="shared" si="142"/>
        <v>57000649.372701071</v>
      </c>
      <c r="X288" s="106">
        <f t="shared" si="142"/>
        <v>56415998.929261521</v>
      </c>
      <c r="Y288" s="106">
        <f t="shared" si="142"/>
        <v>54477211.193327636</v>
      </c>
      <c r="Z288" s="106">
        <f t="shared" si="142"/>
        <v>51865480.694751553</v>
      </c>
      <c r="AA288" s="106">
        <f t="shared" si="142"/>
        <v>48931410.064830668</v>
      </c>
    </row>
    <row r="289" spans="4:28" x14ac:dyDescent="0.25">
      <c r="E289" s="47" t="s">
        <v>723</v>
      </c>
      <c r="F289" s="47" t="s">
        <v>639</v>
      </c>
      <c r="G289" s="106">
        <f t="shared" si="142"/>
        <v>0</v>
      </c>
      <c r="H289" s="106">
        <f t="shared" si="142"/>
        <v>5524465.144391017</v>
      </c>
      <c r="I289" s="106">
        <f t="shared" si="142"/>
        <v>11305381.01018407</v>
      </c>
      <c r="J289" s="106">
        <f t="shared" si="142"/>
        <v>16211079.883630246</v>
      </c>
      <c r="K289" s="106">
        <f t="shared" si="142"/>
        <v>21174148.819096472</v>
      </c>
      <c r="L289" s="106">
        <f t="shared" si="142"/>
        <v>26177158.51560393</v>
      </c>
      <c r="M289" s="106">
        <f t="shared" si="142"/>
        <v>31490407.482962038</v>
      </c>
      <c r="N289" s="106">
        <f t="shared" si="142"/>
        <v>36604967.462252885</v>
      </c>
      <c r="O289" s="106">
        <f t="shared" si="142"/>
        <v>41996919.953854851</v>
      </c>
      <c r="P289" s="106">
        <f t="shared" si="142"/>
        <v>47329054.891702086</v>
      </c>
      <c r="Q289" s="106">
        <f t="shared" si="142"/>
        <v>49298371.355165496</v>
      </c>
      <c r="R289" s="106">
        <f t="shared" si="142"/>
        <v>54598687.245796725</v>
      </c>
      <c r="S289" s="106">
        <f t="shared" si="142"/>
        <v>59899087.985174969</v>
      </c>
      <c r="T289" s="106">
        <f t="shared" si="142"/>
        <v>64935371.870224692</v>
      </c>
      <c r="U289" s="106">
        <f t="shared" si="142"/>
        <v>69993796.292358875</v>
      </c>
      <c r="V289" s="106">
        <f t="shared" si="142"/>
        <v>68305453.979751825</v>
      </c>
      <c r="W289" s="106">
        <f t="shared" si="142"/>
        <v>72853518.961814016</v>
      </c>
      <c r="X289" s="106">
        <f t="shared" si="142"/>
        <v>77096552.114747629</v>
      </c>
      <c r="Y289" s="106">
        <f t="shared" si="142"/>
        <v>81285162.680694506</v>
      </c>
      <c r="Z289" s="106">
        <f t="shared" si="142"/>
        <v>85243863.405998051</v>
      </c>
      <c r="AA289" s="106">
        <f t="shared" si="142"/>
        <v>89064503.870199367</v>
      </c>
    </row>
    <row r="290" spans="4:28" x14ac:dyDescent="0.25">
      <c r="E290" s="47" t="s">
        <v>701</v>
      </c>
      <c r="F290" s="47" t="s">
        <v>639</v>
      </c>
      <c r="G290" s="106">
        <f t="shared" si="142"/>
        <v>0</v>
      </c>
      <c r="H290" s="106">
        <f t="shared" si="142"/>
        <v>-1306863.7605778105</v>
      </c>
      <c r="I290" s="106">
        <f t="shared" si="142"/>
        <v>-2577082.8287231382</v>
      </c>
      <c r="J290" s="106">
        <f t="shared" si="142"/>
        <v>-3875006.4440736957</v>
      </c>
      <c r="K290" s="106">
        <f t="shared" si="142"/>
        <v>-4891730.6526194289</v>
      </c>
      <c r="L290" s="106">
        <f t="shared" si="142"/>
        <v>-5907018.8377299746</v>
      </c>
      <c r="M290" s="106">
        <f t="shared" si="142"/>
        <v>-6948405.4201544048</v>
      </c>
      <c r="N290" s="106">
        <f t="shared" si="142"/>
        <v>-7929985.9338508081</v>
      </c>
      <c r="O290" s="106">
        <f t="shared" si="142"/>
        <v>-8955762.5296962783</v>
      </c>
      <c r="P290" s="106">
        <f t="shared" si="142"/>
        <v>-9942199.6430761088</v>
      </c>
      <c r="Q290" s="106">
        <f t="shared" si="142"/>
        <v>-10887996.828297595</v>
      </c>
      <c r="R290" s="106">
        <f t="shared" si="142"/>
        <v>-11750053.960807072</v>
      </c>
      <c r="S290" s="106">
        <f t="shared" si="142"/>
        <v>-12555638.373047311</v>
      </c>
      <c r="T290" s="106">
        <f t="shared" si="142"/>
        <v>-13279214.611542897</v>
      </c>
      <c r="U290" s="106">
        <f t="shared" si="142"/>
        <v>-13961785.128372649</v>
      </c>
      <c r="V290" s="106">
        <f t="shared" si="142"/>
        <v>-14592340.071704799</v>
      </c>
      <c r="W290" s="106">
        <f t="shared" si="142"/>
        <v>-15185572.44599391</v>
      </c>
      <c r="X290" s="106">
        <f t="shared" si="142"/>
        <v>-15932755.604998369</v>
      </c>
      <c r="Y290" s="106">
        <f t="shared" si="142"/>
        <v>-16483066.393340295</v>
      </c>
      <c r="Z290" s="106">
        <f t="shared" si="142"/>
        <v>-16963243.313973121</v>
      </c>
      <c r="AA290" s="106">
        <f t="shared" si="142"/>
        <v>-17394948.727259599</v>
      </c>
    </row>
    <row r="291" spans="4:28" x14ac:dyDescent="0.25">
      <c r="E291" s="47" t="s">
        <v>702</v>
      </c>
      <c r="F291" s="47" t="s">
        <v>639</v>
      </c>
      <c r="G291" s="106">
        <f t="shared" si="142"/>
        <v>0</v>
      </c>
      <c r="H291" s="106">
        <f t="shared" si="142"/>
        <v>-1351426.4744930035</v>
      </c>
      <c r="I291" s="106">
        <f t="shared" si="142"/>
        <v>-2735973.3522872683</v>
      </c>
      <c r="J291" s="106">
        <f t="shared" si="142"/>
        <v>-3884344.8852252271</v>
      </c>
      <c r="K291" s="106">
        <f t="shared" si="142"/>
        <v>-5047350.4189871075</v>
      </c>
      <c r="L291" s="106">
        <f t="shared" si="142"/>
        <v>-6234115.1788626732</v>
      </c>
      <c r="M291" s="106">
        <f t="shared" si="142"/>
        <v>-7477575.0771041131</v>
      </c>
      <c r="N291" s="106">
        <f t="shared" si="142"/>
        <v>-8664488.7798850294</v>
      </c>
      <c r="O291" s="106">
        <f t="shared" si="142"/>
        <v>-9896035.184569994</v>
      </c>
      <c r="P291" s="106">
        <f t="shared" si="142"/>
        <v>-11115801.638055591</v>
      </c>
      <c r="Q291" s="106">
        <f t="shared" si="142"/>
        <v>-12482043.653349742</v>
      </c>
      <c r="R291" s="106">
        <f t="shared" si="142"/>
        <v>-13847841.58046728</v>
      </c>
      <c r="S291" s="106">
        <f t="shared" si="142"/>
        <v>-15203340.796505995</v>
      </c>
      <c r="T291" s="106">
        <f t="shared" si="142"/>
        <v>-16531003.348570427</v>
      </c>
      <c r="U291" s="106">
        <f t="shared" si="142"/>
        <v>-17853283.944230188</v>
      </c>
      <c r="V291" s="106">
        <f t="shared" si="142"/>
        <v>-19162547.503176495</v>
      </c>
      <c r="W291" s="106">
        <f t="shared" si="142"/>
        <v>-20456559.009314757</v>
      </c>
      <c r="X291" s="106">
        <f t="shared" si="142"/>
        <v>-21728125.39805115</v>
      </c>
      <c r="Y291" s="106">
        <f t="shared" si="142"/>
        <v>-22945429.789725389</v>
      </c>
      <c r="Z291" s="106">
        <f t="shared" si="142"/>
        <v>-24098242.766334951</v>
      </c>
      <c r="AA291" s="106">
        <f t="shared" si="142"/>
        <v>-25189153.292030584</v>
      </c>
    </row>
    <row r="292" spans="4:28" x14ac:dyDescent="0.25">
      <c r="E292" s="47" t="s">
        <v>724</v>
      </c>
      <c r="F292" s="47" t="s">
        <v>639</v>
      </c>
      <c r="G292" s="106">
        <f t="shared" si="142"/>
        <v>0</v>
      </c>
      <c r="H292" s="106">
        <f t="shared" si="142"/>
        <v>-2059558.9419833547</v>
      </c>
      <c r="I292" s="106">
        <f t="shared" si="142"/>
        <v>-4117563.7965854765</v>
      </c>
      <c r="J292" s="106">
        <f t="shared" si="142"/>
        <v>-6386521.1664187936</v>
      </c>
      <c r="K292" s="106">
        <f t="shared" si="142"/>
        <v>-8163367.409502618</v>
      </c>
      <c r="L292" s="106">
        <f t="shared" si="142"/>
        <v>-9779077.7032707855</v>
      </c>
      <c r="M292" s="106">
        <f t="shared" si="142"/>
        <v>-11471967.669961488</v>
      </c>
      <c r="N292" s="106">
        <f t="shared" si="142"/>
        <v>-12948799.194413632</v>
      </c>
      <c r="O292" s="106">
        <f t="shared" si="142"/>
        <v>-14391123.349680085</v>
      </c>
      <c r="P292" s="106">
        <f t="shared" si="142"/>
        <v>-15638056.869633168</v>
      </c>
      <c r="Q292" s="106">
        <f t="shared" si="142"/>
        <v>-17167963.78732463</v>
      </c>
      <c r="R292" s="106">
        <f t="shared" si="142"/>
        <v>-18698105.329461135</v>
      </c>
      <c r="S292" s="106">
        <f t="shared" si="142"/>
        <v>-20224726.543299422</v>
      </c>
      <c r="T292" s="106">
        <f t="shared" si="142"/>
        <v>-21738483.88617596</v>
      </c>
      <c r="U292" s="106">
        <f t="shared" si="142"/>
        <v>-23250811.32512787</v>
      </c>
      <c r="V292" s="106">
        <f t="shared" si="142"/>
        <v>-24758071.528076496</v>
      </c>
      <c r="W292" s="106">
        <f t="shared" si="142"/>
        <v>-26263620.073380783</v>
      </c>
      <c r="X292" s="106">
        <f t="shared" si="142"/>
        <v>-27762672.502646849</v>
      </c>
      <c r="Y292" s="106">
        <f t="shared" si="142"/>
        <v>-29240182.845958099</v>
      </c>
      <c r="Z292" s="106">
        <f t="shared" si="142"/>
        <v>-30688673.961507387</v>
      </c>
      <c r="AA292" s="106">
        <f t="shared" si="142"/>
        <v>-32104564.29227978</v>
      </c>
    </row>
    <row r="293" spans="4:28" x14ac:dyDescent="0.25">
      <c r="E293" s="47" t="s">
        <v>709</v>
      </c>
      <c r="F293" s="47" t="s">
        <v>639</v>
      </c>
      <c r="G293" s="106">
        <f t="shared" si="142"/>
        <v>0</v>
      </c>
      <c r="H293" s="106">
        <f t="shared" si="142"/>
        <v>0</v>
      </c>
      <c r="I293" s="106">
        <f t="shared" si="142"/>
        <v>0</v>
      </c>
      <c r="J293" s="106">
        <f t="shared" si="142"/>
        <v>0</v>
      </c>
      <c r="K293" s="106">
        <f t="shared" si="142"/>
        <v>0</v>
      </c>
      <c r="L293" s="106">
        <f t="shared" si="142"/>
        <v>0</v>
      </c>
      <c r="M293" s="106">
        <f t="shared" si="142"/>
        <v>0</v>
      </c>
      <c r="N293" s="106">
        <f t="shared" si="142"/>
        <v>0</v>
      </c>
      <c r="O293" s="106">
        <f t="shared" si="142"/>
        <v>0</v>
      </c>
      <c r="P293" s="106">
        <f t="shared" si="142"/>
        <v>0</v>
      </c>
      <c r="Q293" s="106">
        <f t="shared" si="142"/>
        <v>0</v>
      </c>
      <c r="R293" s="106">
        <f t="shared" si="142"/>
        <v>0</v>
      </c>
      <c r="S293" s="106">
        <f t="shared" si="142"/>
        <v>0</v>
      </c>
      <c r="T293" s="106">
        <f t="shared" si="142"/>
        <v>0</v>
      </c>
      <c r="U293" s="106">
        <f t="shared" si="142"/>
        <v>0</v>
      </c>
      <c r="V293" s="106">
        <f t="shared" si="142"/>
        <v>0</v>
      </c>
      <c r="W293" s="106">
        <f t="shared" si="142"/>
        <v>0</v>
      </c>
      <c r="X293" s="106">
        <f t="shared" si="142"/>
        <v>0</v>
      </c>
      <c r="Y293" s="106">
        <f t="shared" si="142"/>
        <v>0</v>
      </c>
      <c r="Z293" s="106">
        <f t="shared" si="142"/>
        <v>0</v>
      </c>
      <c r="AA293" s="106">
        <f t="shared" si="142"/>
        <v>0</v>
      </c>
    </row>
    <row r="294" spans="4:28" x14ac:dyDescent="0.25">
      <c r="E294" s="47" t="s">
        <v>725</v>
      </c>
      <c r="F294" s="47" t="s">
        <v>639</v>
      </c>
      <c r="G294" s="106" t="e">
        <f t="shared" ref="G294:AA294" si="143">G285</f>
        <v>#VALUE!</v>
      </c>
      <c r="H294" s="106" t="e">
        <f t="shared" si="143"/>
        <v>#VALUE!</v>
      </c>
      <c r="I294" s="106" t="e">
        <f t="shared" si="143"/>
        <v>#VALUE!</v>
      </c>
      <c r="J294" s="106" t="e">
        <f t="shared" si="143"/>
        <v>#VALUE!</v>
      </c>
      <c r="K294" s="106" t="e">
        <f t="shared" si="143"/>
        <v>#VALUE!</v>
      </c>
      <c r="L294" s="106" t="e">
        <f t="shared" si="143"/>
        <v>#VALUE!</v>
      </c>
      <c r="M294" s="106" t="e">
        <f t="shared" si="143"/>
        <v>#VALUE!</v>
      </c>
      <c r="N294" s="106" t="e">
        <f t="shared" si="143"/>
        <v>#VALUE!</v>
      </c>
      <c r="O294" s="106" t="e">
        <f t="shared" si="143"/>
        <v>#VALUE!</v>
      </c>
      <c r="P294" s="106" t="e">
        <f t="shared" si="143"/>
        <v>#VALUE!</v>
      </c>
      <c r="Q294" s="106" t="e">
        <f t="shared" si="143"/>
        <v>#VALUE!</v>
      </c>
      <c r="R294" s="106" t="e">
        <f t="shared" si="143"/>
        <v>#VALUE!</v>
      </c>
      <c r="S294" s="106" t="e">
        <f t="shared" si="143"/>
        <v>#VALUE!</v>
      </c>
      <c r="T294" s="106" t="e">
        <f t="shared" si="143"/>
        <v>#VALUE!</v>
      </c>
      <c r="U294" s="106" t="e">
        <f t="shared" si="143"/>
        <v>#VALUE!</v>
      </c>
      <c r="V294" s="106" t="e">
        <f t="shared" si="143"/>
        <v>#VALUE!</v>
      </c>
      <c r="W294" s="106" t="e">
        <f t="shared" si="143"/>
        <v>#VALUE!</v>
      </c>
      <c r="X294" s="106" t="e">
        <f t="shared" si="143"/>
        <v>#VALUE!</v>
      </c>
      <c r="Y294" s="106" t="e">
        <f t="shared" si="143"/>
        <v>#VALUE!</v>
      </c>
      <c r="Z294" s="106" t="e">
        <f t="shared" si="143"/>
        <v>#VALUE!</v>
      </c>
      <c r="AA294" s="106" t="e">
        <f t="shared" si="143"/>
        <v>#VALUE!</v>
      </c>
    </row>
    <row r="296" spans="4:28" x14ac:dyDescent="0.25">
      <c r="E296" s="47" t="s">
        <v>726</v>
      </c>
      <c r="F296" s="47" t="s">
        <v>639</v>
      </c>
      <c r="G296" s="106" t="e">
        <f t="shared" ref="G296:AA296" si="144">SUM(G288:G294)</f>
        <v>#VALUE!</v>
      </c>
      <c r="H296" s="106" t="e">
        <f t="shared" si="144"/>
        <v>#VALUE!</v>
      </c>
      <c r="I296" s="106" t="e">
        <f t="shared" si="144"/>
        <v>#VALUE!</v>
      </c>
      <c r="J296" s="106" t="e">
        <f t="shared" si="144"/>
        <v>#VALUE!</v>
      </c>
      <c r="K296" s="106" t="e">
        <f t="shared" si="144"/>
        <v>#VALUE!</v>
      </c>
      <c r="L296" s="106" t="e">
        <f t="shared" si="144"/>
        <v>#VALUE!</v>
      </c>
      <c r="M296" s="106" t="e">
        <f t="shared" si="144"/>
        <v>#VALUE!</v>
      </c>
      <c r="N296" s="106" t="e">
        <f t="shared" si="144"/>
        <v>#VALUE!</v>
      </c>
      <c r="O296" s="106" t="e">
        <f t="shared" si="144"/>
        <v>#VALUE!</v>
      </c>
      <c r="P296" s="106" t="e">
        <f t="shared" si="144"/>
        <v>#VALUE!</v>
      </c>
      <c r="Q296" s="106" t="e">
        <f t="shared" si="144"/>
        <v>#VALUE!</v>
      </c>
      <c r="R296" s="106" t="e">
        <f t="shared" si="144"/>
        <v>#VALUE!</v>
      </c>
      <c r="S296" s="106" t="e">
        <f t="shared" si="144"/>
        <v>#VALUE!</v>
      </c>
      <c r="T296" s="106" t="e">
        <f t="shared" si="144"/>
        <v>#VALUE!</v>
      </c>
      <c r="U296" s="106" t="e">
        <f t="shared" si="144"/>
        <v>#VALUE!</v>
      </c>
      <c r="V296" s="106" t="e">
        <f t="shared" si="144"/>
        <v>#VALUE!</v>
      </c>
      <c r="W296" s="106" t="e">
        <f t="shared" si="144"/>
        <v>#VALUE!</v>
      </c>
      <c r="X296" s="106" t="e">
        <f t="shared" si="144"/>
        <v>#VALUE!</v>
      </c>
      <c r="Y296" s="106" t="e">
        <f t="shared" si="144"/>
        <v>#VALUE!</v>
      </c>
      <c r="Z296" s="106" t="e">
        <f t="shared" si="144"/>
        <v>#VALUE!</v>
      </c>
      <c r="AA296" s="106" t="e">
        <f t="shared" si="144"/>
        <v>#VALUE!</v>
      </c>
    </row>
    <row r="297" spans="4:28" x14ac:dyDescent="0.25">
      <c r="E297" s="47" t="s">
        <v>727</v>
      </c>
      <c r="F297" s="47" t="s">
        <v>639</v>
      </c>
      <c r="G297" s="106" t="e">
        <f t="shared" ref="G297:AA297" si="145">-G296*G$18</f>
        <v>#VALUE!</v>
      </c>
      <c r="H297" s="106" t="e">
        <f t="shared" si="145"/>
        <v>#VALUE!</v>
      </c>
      <c r="I297" s="106" t="e">
        <f t="shared" si="145"/>
        <v>#VALUE!</v>
      </c>
      <c r="J297" s="106" t="e">
        <f t="shared" si="145"/>
        <v>#VALUE!</v>
      </c>
      <c r="K297" s="106" t="e">
        <f t="shared" si="145"/>
        <v>#VALUE!</v>
      </c>
      <c r="L297" s="106" t="e">
        <f t="shared" si="145"/>
        <v>#VALUE!</v>
      </c>
      <c r="M297" s="106" t="e">
        <f t="shared" si="145"/>
        <v>#VALUE!</v>
      </c>
      <c r="N297" s="106" t="e">
        <f t="shared" si="145"/>
        <v>#VALUE!</v>
      </c>
      <c r="O297" s="106" t="e">
        <f t="shared" si="145"/>
        <v>#VALUE!</v>
      </c>
      <c r="P297" s="106" t="e">
        <f t="shared" si="145"/>
        <v>#VALUE!</v>
      </c>
      <c r="Q297" s="106" t="e">
        <f t="shared" si="145"/>
        <v>#VALUE!</v>
      </c>
      <c r="R297" s="106" t="e">
        <f t="shared" si="145"/>
        <v>#VALUE!</v>
      </c>
      <c r="S297" s="106" t="e">
        <f t="shared" si="145"/>
        <v>#VALUE!</v>
      </c>
      <c r="T297" s="106" t="e">
        <f t="shared" si="145"/>
        <v>#VALUE!</v>
      </c>
      <c r="U297" s="106" t="e">
        <f t="shared" si="145"/>
        <v>#VALUE!</v>
      </c>
      <c r="V297" s="106" t="e">
        <f t="shared" si="145"/>
        <v>#VALUE!</v>
      </c>
      <c r="W297" s="106" t="e">
        <f t="shared" si="145"/>
        <v>#VALUE!</v>
      </c>
      <c r="X297" s="106" t="e">
        <f t="shared" si="145"/>
        <v>#VALUE!</v>
      </c>
      <c r="Y297" s="106" t="e">
        <f t="shared" si="145"/>
        <v>#VALUE!</v>
      </c>
      <c r="Z297" s="106" t="e">
        <f t="shared" si="145"/>
        <v>#VALUE!</v>
      </c>
      <c r="AA297" s="106" t="e">
        <f t="shared" si="145"/>
        <v>#VALUE!</v>
      </c>
    </row>
    <row r="299" spans="4:28" x14ac:dyDescent="0.25">
      <c r="D299" s="47" t="s">
        <v>728</v>
      </c>
    </row>
    <row r="300" spans="4:28" x14ac:dyDescent="0.25">
      <c r="E300" s="47" t="s">
        <v>638</v>
      </c>
      <c r="F300" s="47" t="s">
        <v>639</v>
      </c>
      <c r="G300" s="106">
        <f t="shared" ref="G300:AA307" si="146">G234</f>
        <v>0</v>
      </c>
      <c r="H300" s="106">
        <f t="shared" si="146"/>
        <v>-108041498.43485816</v>
      </c>
      <c r="I300" s="106">
        <f t="shared" si="146"/>
        <v>-94450255.577339083</v>
      </c>
      <c r="J300" s="106">
        <f t="shared" si="146"/>
        <v>-102085243.22482851</v>
      </c>
      <c r="K300" s="106">
        <f t="shared" si="146"/>
        <v>-76125634.052093029</v>
      </c>
      <c r="L300" s="106">
        <f t="shared" si="146"/>
        <v>-90364206.999784023</v>
      </c>
      <c r="M300" s="106">
        <f t="shared" si="146"/>
        <v>-92947032.472312689</v>
      </c>
      <c r="N300" s="106">
        <f t="shared" si="146"/>
        <v>-74921714.634352013</v>
      </c>
      <c r="O300" s="106">
        <f t="shared" si="146"/>
        <v>-69126208.420508131</v>
      </c>
      <c r="P300" s="106">
        <f t="shared" si="146"/>
        <v>-50686492.899804428</v>
      </c>
      <c r="Q300" s="106">
        <f t="shared" si="146"/>
        <v>-75609131.085352257</v>
      </c>
      <c r="R300" s="106">
        <f t="shared" si="146"/>
        <v>-75609131.085352257</v>
      </c>
      <c r="S300" s="106">
        <f t="shared" si="146"/>
        <v>-75609131.085352257</v>
      </c>
      <c r="T300" s="106">
        <f t="shared" si="146"/>
        <v>-75609131.085352257</v>
      </c>
      <c r="U300" s="106">
        <f t="shared" si="146"/>
        <v>-75609131.085352257</v>
      </c>
      <c r="V300" s="106">
        <f t="shared" si="146"/>
        <v>-75609131.085352257</v>
      </c>
      <c r="W300" s="106">
        <f t="shared" si="146"/>
        <v>-75609131.085352257</v>
      </c>
      <c r="X300" s="106">
        <f t="shared" si="146"/>
        <v>-75609131.085352257</v>
      </c>
      <c r="Y300" s="106">
        <f t="shared" si="146"/>
        <v>-75609131.085352257</v>
      </c>
      <c r="Z300" s="106">
        <f t="shared" si="146"/>
        <v>-75609131.085352257</v>
      </c>
      <c r="AA300" s="106">
        <f t="shared" si="146"/>
        <v>-75609131.085352257</v>
      </c>
    </row>
    <row r="301" spans="4:28" x14ac:dyDescent="0.25">
      <c r="E301" s="47" t="s">
        <v>729</v>
      </c>
      <c r="F301" s="47" t="s">
        <v>639</v>
      </c>
      <c r="G301" s="106">
        <f t="shared" si="146"/>
        <v>0</v>
      </c>
      <c r="H301" s="106">
        <f t="shared" si="146"/>
        <v>0</v>
      </c>
      <c r="I301" s="106">
        <f t="shared" si="146"/>
        <v>0</v>
      </c>
      <c r="J301" s="106">
        <f t="shared" si="146"/>
        <v>0</v>
      </c>
      <c r="K301" s="106">
        <f t="shared" si="146"/>
        <v>0</v>
      </c>
      <c r="L301" s="106">
        <f t="shared" si="146"/>
        <v>0</v>
      </c>
      <c r="M301" s="106">
        <f t="shared" si="146"/>
        <v>0</v>
      </c>
      <c r="N301" s="106">
        <f t="shared" si="146"/>
        <v>0</v>
      </c>
      <c r="O301" s="106">
        <f t="shared" si="146"/>
        <v>0</v>
      </c>
      <c r="P301" s="106">
        <f t="shared" si="146"/>
        <v>0</v>
      </c>
      <c r="Q301" s="106">
        <f t="shared" si="146"/>
        <v>0</v>
      </c>
      <c r="R301" s="106">
        <f t="shared" si="146"/>
        <v>0</v>
      </c>
      <c r="S301" s="106">
        <f t="shared" si="146"/>
        <v>0</v>
      </c>
      <c r="T301" s="106">
        <f t="shared" si="146"/>
        <v>0</v>
      </c>
      <c r="U301" s="106">
        <f t="shared" si="146"/>
        <v>0</v>
      </c>
      <c r="V301" s="106">
        <f t="shared" si="146"/>
        <v>0</v>
      </c>
      <c r="W301" s="106">
        <f t="shared" si="146"/>
        <v>0</v>
      </c>
      <c r="X301" s="106">
        <f t="shared" si="146"/>
        <v>0</v>
      </c>
      <c r="Y301" s="106">
        <f t="shared" si="146"/>
        <v>0</v>
      </c>
      <c r="Z301" s="106">
        <f t="shared" si="146"/>
        <v>0</v>
      </c>
      <c r="AA301" s="106">
        <f t="shared" si="146"/>
        <v>0</v>
      </c>
    </row>
    <row r="302" spans="4:28" x14ac:dyDescent="0.25">
      <c r="E302" s="47" t="s">
        <v>645</v>
      </c>
      <c r="F302" s="47" t="s">
        <v>639</v>
      </c>
      <c r="G302" s="106">
        <f t="shared" si="146"/>
        <v>0</v>
      </c>
      <c r="H302" s="106">
        <f t="shared" si="146"/>
        <v>0</v>
      </c>
      <c r="I302" s="106">
        <f t="shared" si="146"/>
        <v>0</v>
      </c>
      <c r="J302" s="106">
        <f t="shared" si="146"/>
        <v>0</v>
      </c>
      <c r="K302" s="106">
        <f t="shared" si="146"/>
        <v>0</v>
      </c>
      <c r="L302" s="106">
        <f t="shared" si="146"/>
        <v>0</v>
      </c>
      <c r="M302" s="106">
        <f t="shared" si="146"/>
        <v>0</v>
      </c>
      <c r="N302" s="106">
        <f t="shared" si="146"/>
        <v>0</v>
      </c>
      <c r="O302" s="106">
        <f t="shared" si="146"/>
        <v>0</v>
      </c>
      <c r="P302" s="106">
        <f t="shared" si="146"/>
        <v>0</v>
      </c>
      <c r="Q302" s="106">
        <f t="shared" si="146"/>
        <v>0</v>
      </c>
      <c r="R302" s="106">
        <f t="shared" si="146"/>
        <v>0</v>
      </c>
      <c r="S302" s="106">
        <f t="shared" si="146"/>
        <v>0</v>
      </c>
      <c r="T302" s="106">
        <f t="shared" si="146"/>
        <v>0</v>
      </c>
      <c r="U302" s="106">
        <f t="shared" si="146"/>
        <v>0</v>
      </c>
      <c r="V302" s="106">
        <f t="shared" si="146"/>
        <v>0</v>
      </c>
      <c r="W302" s="106">
        <f t="shared" si="146"/>
        <v>0</v>
      </c>
      <c r="X302" s="106">
        <f t="shared" si="146"/>
        <v>0</v>
      </c>
      <c r="Y302" s="106">
        <f t="shared" si="146"/>
        <v>0</v>
      </c>
      <c r="Z302" s="106">
        <f t="shared" si="146"/>
        <v>0</v>
      </c>
      <c r="AA302" s="106">
        <f t="shared" si="146"/>
        <v>0</v>
      </c>
    </row>
    <row r="303" spans="4:28" x14ac:dyDescent="0.25">
      <c r="E303" s="47" t="s">
        <v>723</v>
      </c>
      <c r="F303" s="47" t="s">
        <v>639</v>
      </c>
      <c r="G303" s="106">
        <f t="shared" si="146"/>
        <v>0</v>
      </c>
      <c r="H303" s="106">
        <f t="shared" si="146"/>
        <v>5524465.144391017</v>
      </c>
      <c r="I303" s="106">
        <f t="shared" si="146"/>
        <v>11305381.01018407</v>
      </c>
      <c r="J303" s="106">
        <f t="shared" si="146"/>
        <v>16211079.883630246</v>
      </c>
      <c r="K303" s="106">
        <f t="shared" si="146"/>
        <v>21174148.819096472</v>
      </c>
      <c r="L303" s="106">
        <f t="shared" si="146"/>
        <v>26177158.51560393</v>
      </c>
      <c r="M303" s="106">
        <f t="shared" si="146"/>
        <v>31490407.482962038</v>
      </c>
      <c r="N303" s="106">
        <f t="shared" si="146"/>
        <v>36604967.462252885</v>
      </c>
      <c r="O303" s="106">
        <f t="shared" si="146"/>
        <v>41996919.953854851</v>
      </c>
      <c r="P303" s="106">
        <f t="shared" si="146"/>
        <v>47329054.891702086</v>
      </c>
      <c r="Q303" s="106">
        <f t="shared" si="146"/>
        <v>49298371.355165496</v>
      </c>
      <c r="R303" s="106">
        <f t="shared" si="146"/>
        <v>54598687.245796725</v>
      </c>
      <c r="S303" s="106">
        <f t="shared" si="146"/>
        <v>59899087.985174969</v>
      </c>
      <c r="T303" s="106">
        <f t="shared" si="146"/>
        <v>64935371.870224692</v>
      </c>
      <c r="U303" s="106">
        <f t="shared" si="146"/>
        <v>69993796.292358875</v>
      </c>
      <c r="V303" s="106">
        <f t="shared" si="146"/>
        <v>68305453.979751825</v>
      </c>
      <c r="W303" s="106">
        <f t="shared" si="146"/>
        <v>72853518.961814016</v>
      </c>
      <c r="X303" s="106">
        <f t="shared" si="146"/>
        <v>77096552.114747629</v>
      </c>
      <c r="Y303" s="106">
        <f t="shared" si="146"/>
        <v>81285162.680694506</v>
      </c>
      <c r="Z303" s="106">
        <f t="shared" si="146"/>
        <v>85243863.405998051</v>
      </c>
      <c r="AA303" s="106">
        <f t="shared" si="146"/>
        <v>89064503.870199367</v>
      </c>
      <c r="AB303" s="106">
        <f t="shared" ref="AB303:AB307" si="147">IF(V303=0,0,IF($G$15&gt;(AA303/V303)^(1/5)-1+2%,AA303*(AA303/V303)^(1/5)/($G$15-((AA303/V303)^(1/5)-1)),AA303*(1+$G$14)/$G$16))</f>
        <v>3695622567.228188</v>
      </c>
    </row>
    <row r="304" spans="4:28" x14ac:dyDescent="0.25">
      <c r="E304" s="47" t="s">
        <v>701</v>
      </c>
      <c r="F304" s="47" t="s">
        <v>639</v>
      </c>
      <c r="G304" s="106">
        <f t="shared" si="146"/>
        <v>0</v>
      </c>
      <c r="H304" s="106">
        <f t="shared" si="146"/>
        <v>-1306863.7605778105</v>
      </c>
      <c r="I304" s="106">
        <f t="shared" si="146"/>
        <v>-2577082.8287231382</v>
      </c>
      <c r="J304" s="106">
        <f t="shared" si="146"/>
        <v>-3875006.4440736957</v>
      </c>
      <c r="K304" s="106">
        <f t="shared" si="146"/>
        <v>-4891730.6526194289</v>
      </c>
      <c r="L304" s="106">
        <f t="shared" si="146"/>
        <v>-5907018.8377299746</v>
      </c>
      <c r="M304" s="106">
        <f t="shared" si="146"/>
        <v>-6948405.4201544048</v>
      </c>
      <c r="N304" s="106">
        <f t="shared" si="146"/>
        <v>-7929985.9338508081</v>
      </c>
      <c r="O304" s="106">
        <f t="shared" si="146"/>
        <v>-8955762.5296962783</v>
      </c>
      <c r="P304" s="106">
        <f t="shared" si="146"/>
        <v>-9942199.6430761088</v>
      </c>
      <c r="Q304" s="106">
        <f t="shared" si="146"/>
        <v>-10887996.828297595</v>
      </c>
      <c r="R304" s="106">
        <f t="shared" si="146"/>
        <v>-11750053.960807072</v>
      </c>
      <c r="S304" s="106">
        <f t="shared" si="146"/>
        <v>-12555638.373047311</v>
      </c>
      <c r="T304" s="106">
        <f t="shared" si="146"/>
        <v>-13279214.611542897</v>
      </c>
      <c r="U304" s="106">
        <f t="shared" si="146"/>
        <v>-13961785.128372649</v>
      </c>
      <c r="V304" s="106">
        <f t="shared" si="146"/>
        <v>-14592340.071704799</v>
      </c>
      <c r="W304" s="106">
        <f t="shared" si="146"/>
        <v>-15185572.44599391</v>
      </c>
      <c r="X304" s="106">
        <f t="shared" si="146"/>
        <v>-15932755.604998369</v>
      </c>
      <c r="Y304" s="106">
        <f t="shared" si="146"/>
        <v>-16483066.393340295</v>
      </c>
      <c r="Z304" s="106">
        <f t="shared" si="146"/>
        <v>-16963243.313973121</v>
      </c>
      <c r="AA304" s="106">
        <f t="shared" si="146"/>
        <v>-17394948.727259599</v>
      </c>
      <c r="AB304" s="106">
        <f t="shared" si="147"/>
        <v>-721782104.86554325</v>
      </c>
    </row>
    <row r="305" spans="1:28" x14ac:dyDescent="0.25">
      <c r="E305" s="47" t="s">
        <v>702</v>
      </c>
      <c r="F305" s="47" t="s">
        <v>639</v>
      </c>
      <c r="G305" s="106">
        <f t="shared" si="146"/>
        <v>0</v>
      </c>
      <c r="H305" s="106">
        <f t="shared" si="146"/>
        <v>-1351426.4744930035</v>
      </c>
      <c r="I305" s="106">
        <f t="shared" si="146"/>
        <v>-2735973.3522872683</v>
      </c>
      <c r="J305" s="106">
        <f t="shared" si="146"/>
        <v>-3884344.8852252271</v>
      </c>
      <c r="K305" s="106">
        <f t="shared" si="146"/>
        <v>-5047350.4189871075</v>
      </c>
      <c r="L305" s="106">
        <f t="shared" si="146"/>
        <v>-6234115.1788626732</v>
      </c>
      <c r="M305" s="106">
        <f t="shared" si="146"/>
        <v>-7477575.0771041131</v>
      </c>
      <c r="N305" s="106">
        <f t="shared" si="146"/>
        <v>-8664488.7798850294</v>
      </c>
      <c r="O305" s="106">
        <f t="shared" si="146"/>
        <v>-9896035.184569994</v>
      </c>
      <c r="P305" s="106">
        <f t="shared" si="146"/>
        <v>-11115801.638055591</v>
      </c>
      <c r="Q305" s="106">
        <f t="shared" si="146"/>
        <v>-12482043.653349742</v>
      </c>
      <c r="R305" s="106">
        <f t="shared" si="146"/>
        <v>-13847841.58046728</v>
      </c>
      <c r="S305" s="106">
        <f t="shared" si="146"/>
        <v>-15203340.796505995</v>
      </c>
      <c r="T305" s="106">
        <f t="shared" si="146"/>
        <v>-16531003.348570427</v>
      </c>
      <c r="U305" s="106">
        <f t="shared" si="146"/>
        <v>-17853283.944230188</v>
      </c>
      <c r="V305" s="106">
        <f t="shared" si="146"/>
        <v>-19162547.503176495</v>
      </c>
      <c r="W305" s="106">
        <f t="shared" si="146"/>
        <v>-20456559.009314757</v>
      </c>
      <c r="X305" s="106">
        <f t="shared" si="146"/>
        <v>-21728125.39805115</v>
      </c>
      <c r="Y305" s="106">
        <f t="shared" si="146"/>
        <v>-22945429.789725389</v>
      </c>
      <c r="Z305" s="106">
        <f t="shared" si="146"/>
        <v>-24098242.766334951</v>
      </c>
      <c r="AA305" s="106">
        <f t="shared" si="146"/>
        <v>-25189153.292030584</v>
      </c>
      <c r="AB305" s="106">
        <f t="shared" si="147"/>
        <v>-1045193082.6568702</v>
      </c>
    </row>
    <row r="306" spans="1:28" x14ac:dyDescent="0.25">
      <c r="E306" s="47" t="s">
        <v>709</v>
      </c>
      <c r="F306" s="47" t="s">
        <v>639</v>
      </c>
      <c r="G306" s="106">
        <f t="shared" si="146"/>
        <v>0</v>
      </c>
      <c r="H306" s="106">
        <f t="shared" si="146"/>
        <v>0</v>
      </c>
      <c r="I306" s="106">
        <f t="shared" si="146"/>
        <v>0</v>
      </c>
      <c r="J306" s="106">
        <f t="shared" si="146"/>
        <v>0</v>
      </c>
      <c r="K306" s="106">
        <f t="shared" si="146"/>
        <v>0</v>
      </c>
      <c r="L306" s="106">
        <f t="shared" si="146"/>
        <v>0</v>
      </c>
      <c r="M306" s="106">
        <f t="shared" si="146"/>
        <v>0</v>
      </c>
      <c r="N306" s="106">
        <f t="shared" si="146"/>
        <v>0</v>
      </c>
      <c r="O306" s="106">
        <f t="shared" si="146"/>
        <v>0</v>
      </c>
      <c r="P306" s="106">
        <f t="shared" si="146"/>
        <v>0</v>
      </c>
      <c r="Q306" s="106">
        <f t="shared" si="146"/>
        <v>0</v>
      </c>
      <c r="R306" s="106">
        <f t="shared" si="146"/>
        <v>0</v>
      </c>
      <c r="S306" s="106">
        <f t="shared" si="146"/>
        <v>0</v>
      </c>
      <c r="T306" s="106">
        <f t="shared" si="146"/>
        <v>0</v>
      </c>
      <c r="U306" s="106">
        <f t="shared" si="146"/>
        <v>0</v>
      </c>
      <c r="V306" s="106">
        <f t="shared" si="146"/>
        <v>0</v>
      </c>
      <c r="W306" s="106">
        <f t="shared" si="146"/>
        <v>0</v>
      </c>
      <c r="X306" s="106">
        <f t="shared" si="146"/>
        <v>0</v>
      </c>
      <c r="Y306" s="106">
        <f t="shared" si="146"/>
        <v>0</v>
      </c>
      <c r="Z306" s="106">
        <f t="shared" si="146"/>
        <v>0</v>
      </c>
      <c r="AA306" s="106">
        <f t="shared" si="146"/>
        <v>0</v>
      </c>
      <c r="AB306" s="106">
        <f t="shared" si="147"/>
        <v>0</v>
      </c>
    </row>
    <row r="307" spans="1:28" x14ac:dyDescent="0.25">
      <c r="E307" s="47" t="s">
        <v>714</v>
      </c>
      <c r="F307" s="47" t="s">
        <v>639</v>
      </c>
      <c r="G307" s="106">
        <f t="shared" si="146"/>
        <v>0</v>
      </c>
      <c r="H307" s="106">
        <f t="shared" si="146"/>
        <v>0</v>
      </c>
      <c r="I307" s="106">
        <f t="shared" si="146"/>
        <v>0</v>
      </c>
      <c r="J307" s="106">
        <f t="shared" si="146"/>
        <v>0</v>
      </c>
      <c r="K307" s="106">
        <f t="shared" si="146"/>
        <v>0</v>
      </c>
      <c r="L307" s="106">
        <f t="shared" si="146"/>
        <v>0</v>
      </c>
      <c r="M307" s="106">
        <f t="shared" si="146"/>
        <v>0</v>
      </c>
      <c r="N307" s="106">
        <f t="shared" si="146"/>
        <v>0</v>
      </c>
      <c r="O307" s="106">
        <f t="shared" si="146"/>
        <v>0</v>
      </c>
      <c r="P307" s="106">
        <f t="shared" si="146"/>
        <v>0</v>
      </c>
      <c r="Q307" s="106">
        <f t="shared" si="146"/>
        <v>0</v>
      </c>
      <c r="R307" s="106">
        <f t="shared" si="146"/>
        <v>0</v>
      </c>
      <c r="S307" s="106">
        <f t="shared" si="146"/>
        <v>0</v>
      </c>
      <c r="T307" s="106">
        <f t="shared" si="146"/>
        <v>0</v>
      </c>
      <c r="U307" s="106">
        <f t="shared" si="146"/>
        <v>0</v>
      </c>
      <c r="V307" s="106">
        <f t="shared" si="146"/>
        <v>0</v>
      </c>
      <c r="W307" s="106">
        <f t="shared" si="146"/>
        <v>0</v>
      </c>
      <c r="X307" s="106">
        <f t="shared" si="146"/>
        <v>0</v>
      </c>
      <c r="Y307" s="106">
        <f t="shared" si="146"/>
        <v>0</v>
      </c>
      <c r="Z307" s="106">
        <f t="shared" si="146"/>
        <v>0</v>
      </c>
      <c r="AA307" s="106">
        <f t="shared" si="146"/>
        <v>0</v>
      </c>
      <c r="AB307" s="106">
        <f t="shared" si="147"/>
        <v>0</v>
      </c>
    </row>
    <row r="308" spans="1:28" x14ac:dyDescent="0.25">
      <c r="E308" s="47" t="s">
        <v>458</v>
      </c>
      <c r="F308" s="47" t="s">
        <v>639</v>
      </c>
      <c r="G308" s="106" t="e">
        <f t="shared" ref="G308:AA308" si="148">G297</f>
        <v>#VALUE!</v>
      </c>
      <c r="H308" s="106" t="e">
        <f t="shared" si="148"/>
        <v>#VALUE!</v>
      </c>
      <c r="I308" s="106" t="e">
        <f t="shared" si="148"/>
        <v>#VALUE!</v>
      </c>
      <c r="J308" s="106" t="e">
        <f t="shared" si="148"/>
        <v>#VALUE!</v>
      </c>
      <c r="K308" s="106" t="e">
        <f t="shared" si="148"/>
        <v>#VALUE!</v>
      </c>
      <c r="L308" s="106" t="e">
        <f t="shared" si="148"/>
        <v>#VALUE!</v>
      </c>
      <c r="M308" s="106" t="e">
        <f t="shared" si="148"/>
        <v>#VALUE!</v>
      </c>
      <c r="N308" s="106" t="e">
        <f t="shared" si="148"/>
        <v>#VALUE!</v>
      </c>
      <c r="O308" s="106" t="e">
        <f t="shared" si="148"/>
        <v>#VALUE!</v>
      </c>
      <c r="P308" s="106" t="e">
        <f t="shared" si="148"/>
        <v>#VALUE!</v>
      </c>
      <c r="Q308" s="106" t="e">
        <f t="shared" si="148"/>
        <v>#VALUE!</v>
      </c>
      <c r="R308" s="106" t="e">
        <f t="shared" si="148"/>
        <v>#VALUE!</v>
      </c>
      <c r="S308" s="106" t="e">
        <f t="shared" si="148"/>
        <v>#VALUE!</v>
      </c>
      <c r="T308" s="106" t="e">
        <f t="shared" si="148"/>
        <v>#VALUE!</v>
      </c>
      <c r="U308" s="106" t="e">
        <f t="shared" si="148"/>
        <v>#VALUE!</v>
      </c>
      <c r="V308" s="106" t="e">
        <f t="shared" si="148"/>
        <v>#VALUE!</v>
      </c>
      <c r="W308" s="106" t="e">
        <f t="shared" si="148"/>
        <v>#VALUE!</v>
      </c>
      <c r="X308" s="106" t="e">
        <f t="shared" si="148"/>
        <v>#VALUE!</v>
      </c>
      <c r="Y308" s="106" t="e">
        <f t="shared" si="148"/>
        <v>#VALUE!</v>
      </c>
      <c r="Z308" s="106" t="e">
        <f t="shared" si="148"/>
        <v>#VALUE!</v>
      </c>
      <c r="AA308" s="106" t="e">
        <f t="shared" si="148"/>
        <v>#VALUE!</v>
      </c>
      <c r="AB308" s="106" t="e">
        <f>IF(V308=0,0,IF($G$15&gt;(AA308/V308)^(1/5)-1+2%,AA308*(AA308/V308)^(1/5)/($G$15-((AA308/V308)^(1/5)-1)),AA308*(1+$G$14)/$G$16))</f>
        <v>#VALUE!</v>
      </c>
    </row>
    <row r="309" spans="1:28" x14ac:dyDescent="0.25">
      <c r="E309" s="47" t="s">
        <v>730</v>
      </c>
      <c r="F309" s="47" t="s">
        <v>639</v>
      </c>
      <c r="G309" s="106" t="e">
        <f>-$G$17*G308</f>
        <v>#VALUE!</v>
      </c>
      <c r="H309" s="106" t="e">
        <f t="shared" ref="H309:AA309" si="149">-$G$17*H308</f>
        <v>#VALUE!</v>
      </c>
      <c r="I309" s="106" t="e">
        <f t="shared" si="149"/>
        <v>#VALUE!</v>
      </c>
      <c r="J309" s="106" t="e">
        <f t="shared" si="149"/>
        <v>#VALUE!</v>
      </c>
      <c r="K309" s="106" t="e">
        <f t="shared" si="149"/>
        <v>#VALUE!</v>
      </c>
      <c r="L309" s="106" t="e">
        <f t="shared" si="149"/>
        <v>#VALUE!</v>
      </c>
      <c r="M309" s="106" t="e">
        <f t="shared" si="149"/>
        <v>#VALUE!</v>
      </c>
      <c r="N309" s="106" t="e">
        <f t="shared" si="149"/>
        <v>#VALUE!</v>
      </c>
      <c r="O309" s="106" t="e">
        <f t="shared" si="149"/>
        <v>#VALUE!</v>
      </c>
      <c r="P309" s="106" t="e">
        <f t="shared" si="149"/>
        <v>#VALUE!</v>
      </c>
      <c r="Q309" s="106" t="e">
        <f t="shared" si="149"/>
        <v>#VALUE!</v>
      </c>
      <c r="R309" s="106" t="e">
        <f t="shared" si="149"/>
        <v>#VALUE!</v>
      </c>
      <c r="S309" s="106" t="e">
        <f t="shared" si="149"/>
        <v>#VALUE!</v>
      </c>
      <c r="T309" s="106" t="e">
        <f t="shared" si="149"/>
        <v>#VALUE!</v>
      </c>
      <c r="U309" s="106" t="e">
        <f t="shared" si="149"/>
        <v>#VALUE!</v>
      </c>
      <c r="V309" s="106" t="e">
        <f t="shared" si="149"/>
        <v>#VALUE!</v>
      </c>
      <c r="W309" s="106" t="e">
        <f t="shared" si="149"/>
        <v>#VALUE!</v>
      </c>
      <c r="X309" s="106" t="e">
        <f t="shared" si="149"/>
        <v>#VALUE!</v>
      </c>
      <c r="Y309" s="106" t="e">
        <f t="shared" si="149"/>
        <v>#VALUE!</v>
      </c>
      <c r="Z309" s="106" t="e">
        <f t="shared" si="149"/>
        <v>#VALUE!</v>
      </c>
      <c r="AA309" s="106" t="e">
        <f t="shared" si="149"/>
        <v>#VALUE!</v>
      </c>
      <c r="AB309" s="106" t="e">
        <f t="shared" ref="AB309" si="150">IF(V309=0,0,IF($G$15&gt;(AA309/V309)^(1/5)-1+2%,AA309*(AA309/V309)^(1/5)/($G$15-((AA309/V309)^(1/5)-1)),AA309*(1+$G$14)/$G$16))</f>
        <v>#VALUE!</v>
      </c>
    </row>
    <row r="310" spans="1:28" x14ac:dyDescent="0.25">
      <c r="E310" s="47" t="s">
        <v>731</v>
      </c>
      <c r="F310" s="47" t="s">
        <v>639</v>
      </c>
      <c r="G310" s="106" t="e">
        <f t="shared" ref="G310:AA310" si="151">SUM(G300:G309)</f>
        <v>#VALUE!</v>
      </c>
      <c r="H310" s="106" t="e">
        <f t="shared" si="151"/>
        <v>#VALUE!</v>
      </c>
      <c r="I310" s="106" t="e">
        <f t="shared" si="151"/>
        <v>#VALUE!</v>
      </c>
      <c r="J310" s="106" t="e">
        <f t="shared" si="151"/>
        <v>#VALUE!</v>
      </c>
      <c r="K310" s="106" t="e">
        <f t="shared" si="151"/>
        <v>#VALUE!</v>
      </c>
      <c r="L310" s="106" t="e">
        <f t="shared" si="151"/>
        <v>#VALUE!</v>
      </c>
      <c r="M310" s="106" t="e">
        <f t="shared" si="151"/>
        <v>#VALUE!</v>
      </c>
      <c r="N310" s="106" t="e">
        <f t="shared" si="151"/>
        <v>#VALUE!</v>
      </c>
      <c r="O310" s="106" t="e">
        <f t="shared" si="151"/>
        <v>#VALUE!</v>
      </c>
      <c r="P310" s="106" t="e">
        <f t="shared" si="151"/>
        <v>#VALUE!</v>
      </c>
      <c r="Q310" s="106" t="e">
        <f t="shared" si="151"/>
        <v>#VALUE!</v>
      </c>
      <c r="R310" s="106" t="e">
        <f t="shared" si="151"/>
        <v>#VALUE!</v>
      </c>
      <c r="S310" s="106" t="e">
        <f t="shared" si="151"/>
        <v>#VALUE!</v>
      </c>
      <c r="T310" s="106" t="e">
        <f t="shared" si="151"/>
        <v>#VALUE!</v>
      </c>
      <c r="U310" s="106" t="e">
        <f t="shared" si="151"/>
        <v>#VALUE!</v>
      </c>
      <c r="V310" s="106" t="e">
        <f t="shared" si="151"/>
        <v>#VALUE!</v>
      </c>
      <c r="W310" s="106" t="e">
        <f t="shared" si="151"/>
        <v>#VALUE!</v>
      </c>
      <c r="X310" s="106" t="e">
        <f t="shared" si="151"/>
        <v>#VALUE!</v>
      </c>
      <c r="Y310" s="106" t="e">
        <f t="shared" si="151"/>
        <v>#VALUE!</v>
      </c>
      <c r="Z310" s="106" t="e">
        <f t="shared" si="151"/>
        <v>#VALUE!</v>
      </c>
      <c r="AA310" s="106" t="e">
        <f t="shared" si="151"/>
        <v>#VALUE!</v>
      </c>
      <c r="AB310" s="106" t="e">
        <f>SUM(AB300:AB309)*IF(DASH!#REF!="yes",1,0)</f>
        <v>#VALUE!</v>
      </c>
    </row>
    <row r="311" spans="1:28" x14ac:dyDescent="0.25">
      <c r="E311" s="47" t="s">
        <v>732</v>
      </c>
      <c r="F311" s="47" t="s">
        <v>639</v>
      </c>
      <c r="G311" s="106" t="e">
        <f>NPV($G$15,H310:AQ310)+G310</f>
        <v>#VALUE!</v>
      </c>
    </row>
    <row r="313" spans="1:28" x14ac:dyDescent="0.25">
      <c r="E313" s="47" t="s">
        <v>725</v>
      </c>
      <c r="F313" s="47" t="s">
        <v>639</v>
      </c>
      <c r="G313" s="106" t="e">
        <f t="shared" ref="G313:AA313" si="152">G285</f>
        <v>#VALUE!</v>
      </c>
      <c r="H313" s="106" t="e">
        <f t="shared" si="152"/>
        <v>#VALUE!</v>
      </c>
      <c r="I313" s="106" t="e">
        <f t="shared" si="152"/>
        <v>#VALUE!</v>
      </c>
      <c r="J313" s="106" t="e">
        <f t="shared" si="152"/>
        <v>#VALUE!</v>
      </c>
      <c r="K313" s="106" t="e">
        <f t="shared" si="152"/>
        <v>#VALUE!</v>
      </c>
      <c r="L313" s="106" t="e">
        <f t="shared" si="152"/>
        <v>#VALUE!</v>
      </c>
      <c r="M313" s="106" t="e">
        <f t="shared" si="152"/>
        <v>#VALUE!</v>
      </c>
      <c r="N313" s="106" t="e">
        <f t="shared" si="152"/>
        <v>#VALUE!</v>
      </c>
      <c r="O313" s="106" t="e">
        <f t="shared" si="152"/>
        <v>#VALUE!</v>
      </c>
      <c r="P313" s="106" t="e">
        <f t="shared" si="152"/>
        <v>#VALUE!</v>
      </c>
      <c r="Q313" s="106" t="e">
        <f t="shared" si="152"/>
        <v>#VALUE!</v>
      </c>
      <c r="R313" s="106" t="e">
        <f t="shared" si="152"/>
        <v>#VALUE!</v>
      </c>
      <c r="S313" s="106" t="e">
        <f t="shared" si="152"/>
        <v>#VALUE!</v>
      </c>
      <c r="T313" s="106" t="e">
        <f t="shared" si="152"/>
        <v>#VALUE!</v>
      </c>
      <c r="U313" s="106" t="e">
        <f t="shared" si="152"/>
        <v>#VALUE!</v>
      </c>
      <c r="V313" s="106" t="e">
        <f t="shared" si="152"/>
        <v>#VALUE!</v>
      </c>
      <c r="W313" s="106" t="e">
        <f t="shared" si="152"/>
        <v>#VALUE!</v>
      </c>
      <c r="X313" s="106" t="e">
        <f t="shared" si="152"/>
        <v>#VALUE!</v>
      </c>
      <c r="Y313" s="106" t="e">
        <f t="shared" si="152"/>
        <v>#VALUE!</v>
      </c>
      <c r="Z313" s="106" t="e">
        <f t="shared" si="152"/>
        <v>#VALUE!</v>
      </c>
      <c r="AA313" s="106" t="e">
        <f t="shared" si="152"/>
        <v>#VALUE!</v>
      </c>
    </row>
    <row r="314" spans="1:28" x14ac:dyDescent="0.25">
      <c r="E314" s="47" t="s">
        <v>733</v>
      </c>
      <c r="F314" s="47" t="s">
        <v>639</v>
      </c>
      <c r="G314" s="106" t="e">
        <f>NPV($G$15,H313:AP313)+G313</f>
        <v>#VALUE!</v>
      </c>
    </row>
    <row r="315" spans="1:28" x14ac:dyDescent="0.25">
      <c r="E315" s="111" t="s">
        <v>734</v>
      </c>
      <c r="F315" s="111"/>
      <c r="G315" s="118" t="e">
        <f>IF(G311&gt;0,"N/A",IF(ABS(G311+G314)&gt;1,"Error","OK"))</f>
        <v>#VALUE!</v>
      </c>
    </row>
    <row r="318" spans="1:28" x14ac:dyDescent="0.25">
      <c r="C318" s="100" t="s">
        <v>740</v>
      </c>
    </row>
    <row r="319" spans="1:28" x14ac:dyDescent="0.25">
      <c r="E319" s="47" t="s">
        <v>741</v>
      </c>
      <c r="F319" s="47" t="s">
        <v>742</v>
      </c>
    </row>
    <row r="320" spans="1:28" x14ac:dyDescent="0.25">
      <c r="A320" s="101">
        <v>55</v>
      </c>
      <c r="E320" s="119" t="s">
        <v>301</v>
      </c>
      <c r="F320" s="119" t="s">
        <v>743</v>
      </c>
    </row>
    <row r="321" spans="5:6" x14ac:dyDescent="0.25">
      <c r="E321" s="119" t="s">
        <v>303</v>
      </c>
      <c r="F321" s="119" t="s">
        <v>744</v>
      </c>
    </row>
    <row r="322" spans="5:6" x14ac:dyDescent="0.25">
      <c r="E322" s="119" t="s">
        <v>310</v>
      </c>
      <c r="F322" s="119" t="s">
        <v>745</v>
      </c>
    </row>
    <row r="323" spans="5:6" x14ac:dyDescent="0.25">
      <c r="E323" s="119" t="s">
        <v>305</v>
      </c>
      <c r="F323" s="119" t="s">
        <v>746</v>
      </c>
    </row>
  </sheetData>
  <mergeCells count="1">
    <mergeCell ref="G4:H4"/>
  </mergeCells>
  <dataValidations disablePrompts="1" count="1">
    <dataValidation type="list" showInputMessage="1" showErrorMessage="1" sqref="G4:H4" xr:uid="{C391A3F1-8A39-4F26-BB19-9999250A81DD}">
      <formula1>$E$320:$E$323</formula1>
    </dataValidation>
  </dataValidations>
  <pageMargins left="0.75" right="0.75" top="1" bottom="1" header="0.5" footer="0.5"/>
  <pageSetup paperSize="9" orientation="portrait" horizontalDpi="4294967292" verticalDpi="4294967292"/>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6456-BE01-4D06-8D8E-1206BDBAF73E}">
  <sheetPr codeName="Sheet44">
    <tabColor rgb="FF8EA9DB"/>
  </sheetPr>
  <dimension ref="A1:AN323"/>
  <sheetViews>
    <sheetView zoomScale="85" zoomScaleNormal="85" workbookViewId="0">
      <pane xSplit="5" ySplit="2" topLeftCell="F206" activePane="bottomRight" state="frozenSplit"/>
      <selection pane="topRight" activeCell="A2" sqref="A2:A1048576"/>
      <selection pane="bottomLeft" activeCell="A2" sqref="A2:A1048576"/>
      <selection pane="bottomRight" activeCell="G218" sqref="G218"/>
    </sheetView>
  </sheetViews>
  <sheetFormatPr defaultColWidth="14" defaultRowHeight="15.75" x14ac:dyDescent="0.25"/>
  <cols>
    <col min="1" max="1" width="12.83203125" style="101" customWidth="1"/>
    <col min="2" max="2" width="3.83203125" style="47" customWidth="1"/>
    <col min="3" max="3" width="4.33203125" style="47" customWidth="1"/>
    <col min="4" max="4" width="3.6640625" style="47" customWidth="1"/>
    <col min="5" max="5" width="46.5" style="47" bestFit="1" customWidth="1"/>
    <col min="6" max="6" width="22.33203125" style="47" customWidth="1"/>
    <col min="7" max="7" width="16.5" style="47" customWidth="1"/>
    <col min="8" max="27" width="17" style="47" bestFit="1" customWidth="1"/>
    <col min="28" max="28" width="18.33203125" style="47" bestFit="1" customWidth="1"/>
    <col min="29" max="16384" width="14" style="47"/>
  </cols>
  <sheetData>
    <row r="1" spans="1:27" ht="28.5" x14ac:dyDescent="0.45">
      <c r="A1" s="95" t="str" cm="1">
        <f t="array" ref="A1">RIGHT(CELL("filename",A1),LEN(CELL("filename",A1))-SEARCH("]",CELL("filename",A1)))</f>
        <v>WR</v>
      </c>
      <c r="E1" s="96" t="str">
        <f>INDEX(TariffName,MATCH(A1,TariffCode,0))</f>
        <v>Wyndham RW</v>
      </c>
      <c r="F1" s="97">
        <f>G218</f>
        <v>12389.871520623583</v>
      </c>
      <c r="G1" s="98" t="str">
        <f>'INPUT Opex'!AC7</f>
        <v>2023-24</v>
      </c>
      <c r="H1" s="98" t="str">
        <f>'INPUT Opex'!AD7</f>
        <v>2024-25</v>
      </c>
      <c r="I1" s="98" t="str">
        <f>'INPUT Opex'!AE7</f>
        <v>2025-26</v>
      </c>
      <c r="J1" s="98" t="str">
        <f>'INPUT Opex'!AF7</f>
        <v>2026-27</v>
      </c>
      <c r="K1" s="98" t="str">
        <f>'INPUT Opex'!AG7</f>
        <v>2027-28</v>
      </c>
      <c r="L1" s="98" t="str">
        <f>'INPUT Opex'!AH7</f>
        <v>2028-29</v>
      </c>
      <c r="M1" s="98" t="str">
        <f>'INPUT Opex'!AI7</f>
        <v>2029-30</v>
      </c>
      <c r="N1" s="98" t="str">
        <f>'INPUT Opex'!AJ7</f>
        <v>2030-31</v>
      </c>
      <c r="O1" s="98" t="str">
        <f>'INPUT Opex'!AK7</f>
        <v>2031-32</v>
      </c>
      <c r="P1" s="98" t="str">
        <f>'INPUT Opex'!AL7</f>
        <v>2032-33</v>
      </c>
      <c r="Q1" s="98" t="str">
        <f>'INPUT Opex'!AM7</f>
        <v>2033-34</v>
      </c>
      <c r="R1" s="98" t="str">
        <f>'INPUT Opex'!AN7</f>
        <v>2034-35</v>
      </c>
      <c r="S1" s="98" t="str">
        <f>'INPUT Opex'!AO7</f>
        <v>2035-36</v>
      </c>
      <c r="T1" s="98" t="str">
        <f>'INPUT Opex'!AP7</f>
        <v>2036-37</v>
      </c>
      <c r="U1" s="98" t="str">
        <f>'INPUT Opex'!AQ7</f>
        <v>2037-38</v>
      </c>
      <c r="V1" s="98" t="str">
        <f>'INPUT Opex'!AR7</f>
        <v>2038-39</v>
      </c>
      <c r="W1" s="98" t="str">
        <f>'INPUT Opex'!AS7</f>
        <v>2039-40</v>
      </c>
      <c r="X1" s="98" t="str">
        <f>'INPUT Opex'!AT7</f>
        <v>2040-41</v>
      </c>
      <c r="Y1" s="98" t="str">
        <f>'INPUT Opex'!AU7</f>
        <v>2041-42</v>
      </c>
      <c r="Z1" s="98" t="str">
        <f>'INPUT Opex'!AV7</f>
        <v>2042-43</v>
      </c>
      <c r="AA1" s="98" t="str">
        <f>'INPUT Opex'!AW7</f>
        <v>2043-44</v>
      </c>
    </row>
    <row r="2" spans="1:27" x14ac:dyDescent="0.25">
      <c r="A2" s="99" t="s">
        <v>687</v>
      </c>
      <c r="C2" s="100" t="s">
        <v>625</v>
      </c>
      <c r="D2" s="100"/>
      <c r="F2" s="97"/>
      <c r="G2" s="47">
        <v>0</v>
      </c>
      <c r="H2" s="47">
        <v>1</v>
      </c>
      <c r="I2" s="47">
        <v>2</v>
      </c>
      <c r="J2" s="47">
        <v>3</v>
      </c>
      <c r="K2" s="47">
        <v>4</v>
      </c>
      <c r="L2" s="47">
        <v>5</v>
      </c>
      <c r="M2" s="47">
        <v>6</v>
      </c>
      <c r="N2" s="47">
        <v>7</v>
      </c>
      <c r="O2" s="47">
        <v>8</v>
      </c>
      <c r="P2" s="47">
        <v>9</v>
      </c>
      <c r="Q2" s="47">
        <v>10</v>
      </c>
      <c r="R2" s="47">
        <v>11</v>
      </c>
      <c r="S2" s="47">
        <v>12</v>
      </c>
      <c r="T2" s="47">
        <v>13</v>
      </c>
      <c r="U2" s="47">
        <v>14</v>
      </c>
      <c r="V2" s="47">
        <v>15</v>
      </c>
      <c r="W2" s="47">
        <v>16</v>
      </c>
      <c r="X2" s="47">
        <v>17</v>
      </c>
      <c r="Y2" s="47">
        <v>18</v>
      </c>
      <c r="Z2" s="47">
        <v>19</v>
      </c>
      <c r="AA2" s="47">
        <v>20</v>
      </c>
    </row>
    <row r="4" spans="1:27" x14ac:dyDescent="0.25">
      <c r="A4" s="101">
        <v>1</v>
      </c>
      <c r="C4" s="100" t="s">
        <v>626</v>
      </c>
      <c r="F4" s="47" t="s">
        <v>627</v>
      </c>
      <c r="G4" s="310" t="str">
        <f>INDEX(TariffProduct,MATCH(A1,TariffCode,0))</f>
        <v>Recycled</v>
      </c>
      <c r="H4" s="310"/>
    </row>
    <row r="6" spans="1:27" x14ac:dyDescent="0.25">
      <c r="C6" s="100" t="s">
        <v>628</v>
      </c>
    </row>
    <row r="7" spans="1:27" x14ac:dyDescent="0.25">
      <c r="A7" s="101">
        <v>2</v>
      </c>
      <c r="E7" s="102" t="s">
        <v>616</v>
      </c>
      <c r="F7" s="47" t="s">
        <v>629</v>
      </c>
      <c r="G7" s="102">
        <f>Assumptions!H23</f>
        <v>90</v>
      </c>
    </row>
    <row r="8" spans="1:27" x14ac:dyDescent="0.25">
      <c r="A8" s="101">
        <v>3</v>
      </c>
      <c r="E8" s="102" t="s">
        <v>617</v>
      </c>
      <c r="F8" s="47" t="s">
        <v>629</v>
      </c>
      <c r="G8" s="102">
        <f>Assumptions!H24</f>
        <v>30</v>
      </c>
    </row>
    <row r="9" spans="1:27" x14ac:dyDescent="0.25">
      <c r="A9" s="101">
        <v>4</v>
      </c>
      <c r="E9" s="102" t="s">
        <v>144</v>
      </c>
      <c r="F9" s="47" t="s">
        <v>629</v>
      </c>
      <c r="G9" s="102">
        <f>Assumptions!H25</f>
        <v>80</v>
      </c>
    </row>
    <row r="10" spans="1:27" x14ac:dyDescent="0.25">
      <c r="A10" s="101">
        <v>5</v>
      </c>
      <c r="E10" s="47" t="s">
        <v>630</v>
      </c>
      <c r="F10" s="47" t="s">
        <v>629</v>
      </c>
      <c r="G10" s="102">
        <f>Assumptions!H26</f>
        <v>5</v>
      </c>
    </row>
    <row r="13" spans="1:27" x14ac:dyDescent="0.25">
      <c r="C13" s="100" t="s">
        <v>631</v>
      </c>
    </row>
    <row r="14" spans="1:27" x14ac:dyDescent="0.25">
      <c r="A14" s="101">
        <v>6</v>
      </c>
      <c r="E14" s="47" t="s">
        <v>632</v>
      </c>
      <c r="F14" s="47" t="s">
        <v>633</v>
      </c>
      <c r="G14" s="103">
        <f>Assumptions!H16</f>
        <v>0</v>
      </c>
    </row>
    <row r="15" spans="1:27" x14ac:dyDescent="0.25">
      <c r="A15" s="101">
        <v>7</v>
      </c>
      <c r="E15" s="47" t="s">
        <v>634</v>
      </c>
      <c r="F15" s="47" t="s">
        <v>633</v>
      </c>
      <c r="G15" s="103">
        <f>'INPUT Reg'!AD20</f>
        <v>2.41E-2</v>
      </c>
    </row>
    <row r="16" spans="1:27" x14ac:dyDescent="0.25">
      <c r="E16" s="47" t="s">
        <v>635</v>
      </c>
      <c r="F16" s="47" t="s">
        <v>633</v>
      </c>
      <c r="G16" s="104">
        <f>(1+G15)/(1+G14)-1</f>
        <v>2.410000000000001E-2</v>
      </c>
    </row>
    <row r="17" spans="1:27" x14ac:dyDescent="0.25">
      <c r="E17" s="47" t="s">
        <v>636</v>
      </c>
      <c r="F17" s="47" t="s">
        <v>633</v>
      </c>
      <c r="G17" s="105">
        <f>'INPUT Reg'!E22</f>
        <v>0.5</v>
      </c>
    </row>
    <row r="18" spans="1:27" x14ac:dyDescent="0.25">
      <c r="A18" s="101">
        <v>9</v>
      </c>
      <c r="E18" s="47" t="s">
        <v>637</v>
      </c>
      <c r="F18" s="47" t="s">
        <v>633</v>
      </c>
      <c r="G18" s="105">
        <f>'INPUT Reg'!E23</f>
        <v>0.3</v>
      </c>
      <c r="H18" s="105">
        <f>G18</f>
        <v>0.3</v>
      </c>
      <c r="I18" s="105">
        <f t="shared" ref="I18:AA18" si="0">H18</f>
        <v>0.3</v>
      </c>
      <c r="J18" s="105">
        <f t="shared" si="0"/>
        <v>0.3</v>
      </c>
      <c r="K18" s="105">
        <f t="shared" si="0"/>
        <v>0.3</v>
      </c>
      <c r="L18" s="105">
        <f t="shared" si="0"/>
        <v>0.3</v>
      </c>
      <c r="M18" s="105">
        <f>L18</f>
        <v>0.3</v>
      </c>
      <c r="N18" s="105">
        <f t="shared" si="0"/>
        <v>0.3</v>
      </c>
      <c r="O18" s="105">
        <f t="shared" si="0"/>
        <v>0.3</v>
      </c>
      <c r="P18" s="105">
        <f t="shared" si="0"/>
        <v>0.3</v>
      </c>
      <c r="Q18" s="105">
        <f t="shared" si="0"/>
        <v>0.3</v>
      </c>
      <c r="R18" s="105">
        <f t="shared" si="0"/>
        <v>0.3</v>
      </c>
      <c r="S18" s="105">
        <f t="shared" si="0"/>
        <v>0.3</v>
      </c>
      <c r="T18" s="105">
        <f t="shared" si="0"/>
        <v>0.3</v>
      </c>
      <c r="U18" s="105">
        <f t="shared" si="0"/>
        <v>0.3</v>
      </c>
      <c r="V18" s="105">
        <f t="shared" si="0"/>
        <v>0.3</v>
      </c>
      <c r="W18" s="105">
        <f t="shared" si="0"/>
        <v>0.3</v>
      </c>
      <c r="X18" s="105">
        <f t="shared" si="0"/>
        <v>0.3</v>
      </c>
      <c r="Y18" s="105">
        <f t="shared" si="0"/>
        <v>0.3</v>
      </c>
      <c r="Z18" s="105">
        <f t="shared" si="0"/>
        <v>0.3</v>
      </c>
      <c r="AA18" s="105">
        <f t="shared" si="0"/>
        <v>0.3</v>
      </c>
    </row>
    <row r="20" spans="1:27" x14ac:dyDescent="0.25">
      <c r="A20" s="101">
        <v>10</v>
      </c>
      <c r="C20" s="100" t="s">
        <v>638</v>
      </c>
      <c r="D20" s="100"/>
    </row>
    <row r="21" spans="1:27" x14ac:dyDescent="0.25">
      <c r="E21" s="106" t="str">
        <f>E7</f>
        <v>Pipes / Storage</v>
      </c>
      <c r="F21" s="47" t="s">
        <v>639</v>
      </c>
      <c r="G21" s="102">
        <f>(SUMIFS('INPUT Capex'!AC$236:AC$255,'INPUT Capex'!$A$236:$A$255,$A$1,'INPUT Capex'!$G$236:$G$255,$E21)+SUMIFS('INPUT Capex'!AC$211:AC$228,'INPUT Capex'!$A$211:$A$228,$A$1,'INPUT Capex'!$G$211:$G$228,$E21))*IF(G$2=0,DASH!$E$8,1)</f>
        <v>0</v>
      </c>
      <c r="H21" s="102">
        <f>(SUMIFS('INPUT Capex'!AD$236:AD$255,'INPUT Capex'!$A$236:$A$255,$A$1,'INPUT Capex'!$G$236:$G$255,$E21)+SUMIFS('INPUT Capex'!AD$211:AD$228,'INPUT Capex'!$A$211:$A$228,$A$1,'INPUT Capex'!$G$211:$G$228,$E21))*IF(H$2=0,DASH!$E$8,1)</f>
        <v>4332242.13075059</v>
      </c>
      <c r="I21" s="102">
        <f>(SUMIFS('INPUT Capex'!AE$236:AE$255,'INPUT Capex'!$A$236:$A$255,$A$1,'INPUT Capex'!$G$236:$G$255,$E21)+SUMIFS('INPUT Capex'!AE$211:AE$228,'INPUT Capex'!$A$211:$A$228,$A$1,'INPUT Capex'!$G$211:$G$228,$E21))*IF(I$2=0,DASH!$E$8,1)</f>
        <v>1108745.7627118595</v>
      </c>
      <c r="J21" s="102">
        <f>(SUMIFS('INPUT Capex'!AF$236:AF$255,'INPUT Capex'!$A$236:$A$255,$A$1,'INPUT Capex'!$G$236:$G$255,$E21)+SUMIFS('INPUT Capex'!AF$211:AF$228,'INPUT Capex'!$A$211:$A$228,$A$1,'INPUT Capex'!$G$211:$G$228,$E21))*IF(J$2=0,DASH!$E$8,1)</f>
        <v>573636.80387408938</v>
      </c>
      <c r="K21" s="102">
        <f>(SUMIFS('INPUT Capex'!AG$236:AG$255,'INPUT Capex'!$A$236:$A$255,$A$1,'INPUT Capex'!$G$236:$G$255,$E21)+SUMIFS('INPUT Capex'!AG$211:AG$228,'INPUT Capex'!$A$211:$A$228,$A$1,'INPUT Capex'!$G$211:$G$228,$E21))*IF(K$2=0,DASH!$E$8,1)</f>
        <v>573636.80387408938</v>
      </c>
      <c r="L21" s="102">
        <f>(SUMIFS('INPUT Capex'!AH$236:AH$255,'INPUT Capex'!$A$236:$A$255,$A$1,'INPUT Capex'!$G$236:$G$255,$E21)+SUMIFS('INPUT Capex'!AH$211:AH$228,'INPUT Capex'!$A$211:$A$228,$A$1,'INPUT Capex'!$G$211:$G$228,$E21))*IF(L$2=0,DASH!$E$8,1)</f>
        <v>7063224.2130750287</v>
      </c>
      <c r="M21" s="102">
        <f>(SUMIFS('INPUT Capex'!AI$236:AI$255,'INPUT Capex'!$A$236:$A$255,$A$1,'INPUT Capex'!$G$236:$G$255,$E21)+SUMIFS('INPUT Capex'!AI$211:AI$228,'INPUT Capex'!$A$211:$A$228,$A$1,'INPUT Capex'!$G$211:$G$228,$E21))*IF(M$2=0,DASH!$E$8,1)</f>
        <v>18621577.72397086</v>
      </c>
      <c r="N21" s="102">
        <f>(SUMIFS('INPUT Capex'!AJ$236:AJ$255,'INPUT Capex'!$A$236:$A$255,$A$1,'INPUT Capex'!$G$236:$G$255,$E21)+SUMIFS('INPUT Capex'!AJ$211:AJ$228,'INPUT Capex'!$A$211:$A$228,$A$1,'INPUT Capex'!$G$211:$G$228,$E21))*IF(N$2=0,DASH!$E$8,1)</f>
        <v>28499689.104116093</v>
      </c>
      <c r="O21" s="102">
        <f>(SUMIFS('INPUT Capex'!AK$236:AK$255,'INPUT Capex'!$A$236:$A$255,$A$1,'INPUT Capex'!$G$236:$G$255,$E21)+SUMIFS('INPUT Capex'!AK$211:AK$228,'INPUT Capex'!$A$211:$A$228,$A$1,'INPUT Capex'!$G$211:$G$228,$E21))*IF(O$2=0,DASH!$E$8,1)</f>
        <v>39126953.026634201</v>
      </c>
      <c r="P21" s="102">
        <f>(SUMIFS('INPUT Capex'!AL$236:AL$255,'INPUT Capex'!$A$236:$A$255,$A$1,'INPUT Capex'!$G$236:$G$255,$E21)+SUMIFS('INPUT Capex'!AL$211:AL$228,'INPUT Capex'!$A$211:$A$228,$A$1,'INPUT Capex'!$G$211:$G$228,$E21))*IF(P$2=0,DASH!$E$8,1)</f>
        <v>24582691.525423624</v>
      </c>
      <c r="Q21" s="102">
        <f>(SUMIFS('INPUT Capex'!AM$236:AM$255,'INPUT Capex'!$A$236:$A$255,$A$1,'INPUT Capex'!$G$236:$G$255,$E21)+SUMIFS('INPUT Capex'!AM$211:AM$228,'INPUT Capex'!$A$211:$A$228,$A$1,'INPUT Capex'!$G$211:$G$228,$E21))*IF(Q$2=0,DASH!$E$8,1)</f>
        <v>23578827.118643962</v>
      </c>
      <c r="R21" s="102">
        <f>(SUMIFS('INPUT Capex'!AN$236:AN$255,'INPUT Capex'!$A$236:$A$255,$A$1,'INPUT Capex'!$G$236:$G$255,$E21)+SUMIFS('INPUT Capex'!AN$211:AN$228,'INPUT Capex'!$A$211:$A$228,$A$1,'INPUT Capex'!$G$211:$G$228,$E21))*IF(R$2=0,DASH!$E$8,1)</f>
        <v>23578827.118643962</v>
      </c>
      <c r="S21" s="102">
        <f>(SUMIFS('INPUT Capex'!AO$236:AO$255,'INPUT Capex'!$A$236:$A$255,$A$1,'INPUT Capex'!$G$236:$G$255,$E21)+SUMIFS('INPUT Capex'!AO$211:AO$228,'INPUT Capex'!$A$211:$A$228,$A$1,'INPUT Capex'!$G$211:$G$228,$E21))*IF(S$2=0,DASH!$E$8,1)</f>
        <v>23578827.118643962</v>
      </c>
      <c r="T21" s="102">
        <f>(SUMIFS('INPUT Capex'!AP$236:AP$255,'INPUT Capex'!$A$236:$A$255,$A$1,'INPUT Capex'!$G$236:$G$255,$E21)+SUMIFS('INPUT Capex'!AP$211:AP$228,'INPUT Capex'!$A$211:$A$228,$A$1,'INPUT Capex'!$G$211:$G$228,$E21))*IF(T$2=0,DASH!$E$8,1)</f>
        <v>23578827.118643962</v>
      </c>
      <c r="U21" s="102">
        <f>(SUMIFS('INPUT Capex'!AQ$236:AQ$255,'INPUT Capex'!$A$236:$A$255,$A$1,'INPUT Capex'!$G$236:$G$255,$E21)+SUMIFS('INPUT Capex'!AQ$211:AQ$228,'INPUT Capex'!$A$211:$A$228,$A$1,'INPUT Capex'!$G$211:$G$228,$E21))*IF(U$2=0,DASH!$E$8,1)</f>
        <v>23578827.118643962</v>
      </c>
      <c r="V21" s="102">
        <f>(SUMIFS('INPUT Capex'!AR$236:AR$255,'INPUT Capex'!$A$236:$A$255,$A$1,'INPUT Capex'!$G$236:$G$255,$E21)+SUMIFS('INPUT Capex'!AR$211:AR$228,'INPUT Capex'!$A$211:$A$228,$A$1,'INPUT Capex'!$G$211:$G$228,$E21))*IF(V$2=0,DASH!$E$8,1)</f>
        <v>23578827.118643962</v>
      </c>
      <c r="W21" s="102">
        <f>(SUMIFS('INPUT Capex'!AS$236:AS$255,'INPUT Capex'!$A$236:$A$255,$A$1,'INPUT Capex'!$G$236:$G$255,$E21)+SUMIFS('INPUT Capex'!AS$211:AS$228,'INPUT Capex'!$A$211:$A$228,$A$1,'INPUT Capex'!$G$211:$G$228,$E21))*IF(W$2=0,DASH!$E$8,1)</f>
        <v>23578827.118643962</v>
      </c>
      <c r="X21" s="102">
        <f>(SUMIFS('INPUT Capex'!AT$236:AT$255,'INPUT Capex'!$A$236:$A$255,$A$1,'INPUT Capex'!$G$236:$G$255,$E21)+SUMIFS('INPUT Capex'!AT$211:AT$228,'INPUT Capex'!$A$211:$A$228,$A$1,'INPUT Capex'!$G$211:$G$228,$E21))*IF(X$2=0,DASH!$E$8,1)</f>
        <v>23578827.118643962</v>
      </c>
      <c r="Y21" s="102">
        <f>(SUMIFS('INPUT Capex'!AU$236:AU$255,'INPUT Capex'!$A$236:$A$255,$A$1,'INPUT Capex'!$G$236:$G$255,$E21)+SUMIFS('INPUT Capex'!AU$211:AU$228,'INPUT Capex'!$A$211:$A$228,$A$1,'INPUT Capex'!$G$211:$G$228,$E21))*IF(Y$2=0,DASH!$E$8,1)</f>
        <v>23578827.118643962</v>
      </c>
      <c r="Z21" s="102">
        <f>(SUMIFS('INPUT Capex'!AV$236:AV$255,'INPUT Capex'!$A$236:$A$255,$A$1,'INPUT Capex'!$G$236:$G$255,$E21)+SUMIFS('INPUT Capex'!AV$211:AV$228,'INPUT Capex'!$A$211:$A$228,$A$1,'INPUT Capex'!$G$211:$G$228,$E21))*IF(Z$2=0,DASH!$E$8,1)</f>
        <v>23578827.118643962</v>
      </c>
      <c r="AA21" s="102">
        <f>(SUMIFS('INPUT Capex'!AW$236:AW$255,'INPUT Capex'!$A$236:$A$255,$A$1,'INPUT Capex'!$G$236:$G$255,$E21)+SUMIFS('INPUT Capex'!AW$211:AW$228,'INPUT Capex'!$A$211:$A$228,$A$1,'INPUT Capex'!$G$211:$G$228,$E21))*IF(AA$2=0,DASH!$E$8,1)</f>
        <v>23578827.118643962</v>
      </c>
    </row>
    <row r="22" spans="1:27" x14ac:dyDescent="0.25">
      <c r="E22" s="106" t="str">
        <f>E8</f>
        <v>Pumps / Valves</v>
      </c>
      <c r="F22" s="47" t="s">
        <v>639</v>
      </c>
      <c r="G22" s="102">
        <f>(SUMIFS('INPUT Capex'!AC$236:AC$255,'INPUT Capex'!$A$236:$A$255,$A$1,'INPUT Capex'!$G$236:$G$255,$E22)+SUMIFS('INPUT Capex'!AC$211:AC$228,'INPUT Capex'!$A$211:$A$228,$A$1,'INPUT Capex'!$G$211:$G$228,$E22))*IF(G$2=0,DASH!$E$8,1)</f>
        <v>0</v>
      </c>
      <c r="H22" s="102">
        <f>(SUMIFS('INPUT Capex'!AD$236:AD$255,'INPUT Capex'!$A$236:$A$255,$A$1,'INPUT Capex'!$G$236:$G$255,$E22)+SUMIFS('INPUT Capex'!AD$211:AD$228,'INPUT Capex'!$A$211:$A$228,$A$1,'INPUT Capex'!$G$211:$G$228,$E22))*IF(H$2=0,DASH!$E$8,1)</f>
        <v>0</v>
      </c>
      <c r="I22" s="102">
        <f>(SUMIFS('INPUT Capex'!AE$236:AE$255,'INPUT Capex'!$A$236:$A$255,$A$1,'INPUT Capex'!$G$236:$G$255,$E22)+SUMIFS('INPUT Capex'!AE$211:AE$228,'INPUT Capex'!$A$211:$A$228,$A$1,'INPUT Capex'!$G$211:$G$228,$E22))*IF(I$2=0,DASH!$E$8,1)</f>
        <v>0</v>
      </c>
      <c r="J22" s="102">
        <f>(SUMIFS('INPUT Capex'!AF$236:AF$255,'INPUT Capex'!$A$236:$A$255,$A$1,'INPUT Capex'!$G$236:$G$255,$E22)+SUMIFS('INPUT Capex'!AF$211:AF$228,'INPUT Capex'!$A$211:$A$228,$A$1,'INPUT Capex'!$G$211:$G$228,$E22))*IF(J$2=0,DASH!$E$8,1)</f>
        <v>0</v>
      </c>
      <c r="K22" s="102">
        <f>(SUMIFS('INPUT Capex'!AG$236:AG$255,'INPUT Capex'!$A$236:$A$255,$A$1,'INPUT Capex'!$G$236:$G$255,$E22)+SUMIFS('INPUT Capex'!AG$211:AG$228,'INPUT Capex'!$A$211:$A$228,$A$1,'INPUT Capex'!$G$211:$G$228,$E22))*IF(K$2=0,DASH!$E$8,1)</f>
        <v>0</v>
      </c>
      <c r="L22" s="102">
        <f>(SUMIFS('INPUT Capex'!AH$236:AH$255,'INPUT Capex'!$A$236:$A$255,$A$1,'INPUT Capex'!$G$236:$G$255,$E22)+SUMIFS('INPUT Capex'!AH$211:AH$228,'INPUT Capex'!$A$211:$A$228,$A$1,'INPUT Capex'!$G$211:$G$228,$E22))*IF(L$2=0,DASH!$E$8,1)</f>
        <v>0</v>
      </c>
      <c r="M22" s="102">
        <f>(SUMIFS('INPUT Capex'!AI$236:AI$255,'INPUT Capex'!$A$236:$A$255,$A$1,'INPUT Capex'!$G$236:$G$255,$E22)+SUMIFS('INPUT Capex'!AI$211:AI$228,'INPUT Capex'!$A$211:$A$228,$A$1,'INPUT Capex'!$G$211:$G$228,$E22))*IF(M$2=0,DASH!$E$8,1)</f>
        <v>0</v>
      </c>
      <c r="N22" s="102">
        <f>(SUMIFS('INPUT Capex'!AJ$236:AJ$255,'INPUT Capex'!$A$236:$A$255,$A$1,'INPUT Capex'!$G$236:$G$255,$E22)+SUMIFS('INPUT Capex'!AJ$211:AJ$228,'INPUT Capex'!$A$211:$A$228,$A$1,'INPUT Capex'!$G$211:$G$228,$E22))*IF(N$2=0,DASH!$E$8,1)</f>
        <v>0</v>
      </c>
      <c r="O22" s="102">
        <f>(SUMIFS('INPUT Capex'!AK$236:AK$255,'INPUT Capex'!$A$236:$A$255,$A$1,'INPUT Capex'!$G$236:$G$255,$E22)+SUMIFS('INPUT Capex'!AK$211:AK$228,'INPUT Capex'!$A$211:$A$228,$A$1,'INPUT Capex'!$G$211:$G$228,$E22))*IF(O$2=0,DASH!$E$8,1)</f>
        <v>0</v>
      </c>
      <c r="P22" s="102">
        <f>(SUMIFS('INPUT Capex'!AL$236:AL$255,'INPUT Capex'!$A$236:$A$255,$A$1,'INPUT Capex'!$G$236:$G$255,$E22)+SUMIFS('INPUT Capex'!AL$211:AL$228,'INPUT Capex'!$A$211:$A$228,$A$1,'INPUT Capex'!$G$211:$G$228,$E22))*IF(P$2=0,DASH!$E$8,1)</f>
        <v>0</v>
      </c>
      <c r="Q22" s="102">
        <f>(SUMIFS('INPUT Capex'!AM$236:AM$255,'INPUT Capex'!$A$236:$A$255,$A$1,'INPUT Capex'!$G$236:$G$255,$E22)+SUMIFS('INPUT Capex'!AM$211:AM$228,'INPUT Capex'!$A$211:$A$228,$A$1,'INPUT Capex'!$G$211:$G$228,$E22))*IF(Q$2=0,DASH!$E$8,1)</f>
        <v>0</v>
      </c>
      <c r="R22" s="102">
        <f>(SUMIFS('INPUT Capex'!AN$236:AN$255,'INPUT Capex'!$A$236:$A$255,$A$1,'INPUT Capex'!$G$236:$G$255,$E22)+SUMIFS('INPUT Capex'!AN$211:AN$228,'INPUT Capex'!$A$211:$A$228,$A$1,'INPUT Capex'!$G$211:$G$228,$E22))*IF(R$2=0,DASH!$E$8,1)</f>
        <v>0</v>
      </c>
      <c r="S22" s="102">
        <f>(SUMIFS('INPUT Capex'!AO$236:AO$255,'INPUT Capex'!$A$236:$A$255,$A$1,'INPUT Capex'!$G$236:$G$255,$E22)+SUMIFS('INPUT Capex'!AO$211:AO$228,'INPUT Capex'!$A$211:$A$228,$A$1,'INPUT Capex'!$G$211:$G$228,$E22))*IF(S$2=0,DASH!$E$8,1)</f>
        <v>0</v>
      </c>
      <c r="T22" s="102">
        <f>(SUMIFS('INPUT Capex'!AP$236:AP$255,'INPUT Capex'!$A$236:$A$255,$A$1,'INPUT Capex'!$G$236:$G$255,$E22)+SUMIFS('INPUT Capex'!AP$211:AP$228,'INPUT Capex'!$A$211:$A$228,$A$1,'INPUT Capex'!$G$211:$G$228,$E22))*IF(T$2=0,DASH!$E$8,1)</f>
        <v>0</v>
      </c>
      <c r="U22" s="102">
        <f>(SUMIFS('INPUT Capex'!AQ$236:AQ$255,'INPUT Capex'!$A$236:$A$255,$A$1,'INPUT Capex'!$G$236:$G$255,$E22)+SUMIFS('INPUT Capex'!AQ$211:AQ$228,'INPUT Capex'!$A$211:$A$228,$A$1,'INPUT Capex'!$G$211:$G$228,$E22))*IF(U$2=0,DASH!$E$8,1)</f>
        <v>0</v>
      </c>
      <c r="V22" s="102">
        <f>(SUMIFS('INPUT Capex'!AR$236:AR$255,'INPUT Capex'!$A$236:$A$255,$A$1,'INPUT Capex'!$G$236:$G$255,$E22)+SUMIFS('INPUT Capex'!AR$211:AR$228,'INPUT Capex'!$A$211:$A$228,$A$1,'INPUT Capex'!$G$211:$G$228,$E22))*IF(V$2=0,DASH!$E$8,1)</f>
        <v>0</v>
      </c>
      <c r="W22" s="102">
        <f>(SUMIFS('INPUT Capex'!AS$236:AS$255,'INPUT Capex'!$A$236:$A$255,$A$1,'INPUT Capex'!$G$236:$G$255,$E22)+SUMIFS('INPUT Capex'!AS$211:AS$228,'INPUT Capex'!$A$211:$A$228,$A$1,'INPUT Capex'!$G$211:$G$228,$E22))*IF(W$2=0,DASH!$E$8,1)</f>
        <v>0</v>
      </c>
      <c r="X22" s="102">
        <f>(SUMIFS('INPUT Capex'!AT$236:AT$255,'INPUT Capex'!$A$236:$A$255,$A$1,'INPUT Capex'!$G$236:$G$255,$E22)+SUMIFS('INPUT Capex'!AT$211:AT$228,'INPUT Capex'!$A$211:$A$228,$A$1,'INPUT Capex'!$G$211:$G$228,$E22))*IF(X$2=0,DASH!$E$8,1)</f>
        <v>0</v>
      </c>
      <c r="Y22" s="102">
        <f>(SUMIFS('INPUT Capex'!AU$236:AU$255,'INPUT Capex'!$A$236:$A$255,$A$1,'INPUT Capex'!$G$236:$G$255,$E22)+SUMIFS('INPUT Capex'!AU$211:AU$228,'INPUT Capex'!$A$211:$A$228,$A$1,'INPUT Capex'!$G$211:$G$228,$E22))*IF(Y$2=0,DASH!$E$8,1)</f>
        <v>0</v>
      </c>
      <c r="Z22" s="102">
        <f>(SUMIFS('INPUT Capex'!AV$236:AV$255,'INPUT Capex'!$A$236:$A$255,$A$1,'INPUT Capex'!$G$236:$G$255,$E22)+SUMIFS('INPUT Capex'!AV$211:AV$228,'INPUT Capex'!$A$211:$A$228,$A$1,'INPUT Capex'!$G$211:$G$228,$E22))*IF(Z$2=0,DASH!$E$8,1)</f>
        <v>0</v>
      </c>
      <c r="AA22" s="102">
        <f>(SUMIFS('INPUT Capex'!AW$236:AW$255,'INPUT Capex'!$A$236:$A$255,$A$1,'INPUT Capex'!$G$236:$G$255,$E22)+SUMIFS('INPUT Capex'!AW$211:AW$228,'INPUT Capex'!$A$211:$A$228,$A$1,'INPUT Capex'!$G$211:$G$228,$E22))*IF(AA$2=0,DASH!$E$8,1)</f>
        <v>0</v>
      </c>
    </row>
    <row r="23" spans="1:27" x14ac:dyDescent="0.25">
      <c r="E23" s="106" t="str">
        <f>E9</f>
        <v>Treatment</v>
      </c>
      <c r="F23" s="47" t="s">
        <v>639</v>
      </c>
      <c r="G23" s="102">
        <f>(SUMIFS('INPUT Capex'!AC$236:AC$255,'INPUT Capex'!$A$236:$A$255,$A$1,'INPUT Capex'!$G$236:$G$255,$E23)+SUMIFS('INPUT Capex'!AC$211:AC$228,'INPUT Capex'!$A$211:$A$228,$A$1,'INPUT Capex'!$G$211:$G$228,$E23))*IF(G$2=0,DASH!$E$8,1)</f>
        <v>0</v>
      </c>
      <c r="H23" s="102">
        <f>(SUMIFS('INPUT Capex'!AD$236:AD$255,'INPUT Capex'!$A$236:$A$255,$A$1,'INPUT Capex'!$G$236:$G$255,$E23)+SUMIFS('INPUT Capex'!AD$211:AD$228,'INPUT Capex'!$A$211:$A$228,$A$1,'INPUT Capex'!$G$211:$G$228,$E23))*IF(H$2=0,DASH!$E$8,1)</f>
        <v>0</v>
      </c>
      <c r="I23" s="102">
        <f>(SUMIFS('INPUT Capex'!AE$236:AE$255,'INPUT Capex'!$A$236:$A$255,$A$1,'INPUT Capex'!$G$236:$G$255,$E23)+SUMIFS('INPUT Capex'!AE$211:AE$228,'INPUT Capex'!$A$211:$A$228,$A$1,'INPUT Capex'!$G$211:$G$228,$E23))*IF(I$2=0,DASH!$E$8,1)</f>
        <v>0</v>
      </c>
      <c r="J23" s="102">
        <f>(SUMIFS('INPUT Capex'!AF$236:AF$255,'INPUT Capex'!$A$236:$A$255,$A$1,'INPUT Capex'!$G$236:$G$255,$E23)+SUMIFS('INPUT Capex'!AF$211:AF$228,'INPUT Capex'!$A$211:$A$228,$A$1,'INPUT Capex'!$G$211:$G$228,$E23))*IF(J$2=0,DASH!$E$8,1)</f>
        <v>0</v>
      </c>
      <c r="K23" s="102">
        <f>(SUMIFS('INPUT Capex'!AG$236:AG$255,'INPUT Capex'!$A$236:$A$255,$A$1,'INPUT Capex'!$G$236:$G$255,$E23)+SUMIFS('INPUT Capex'!AG$211:AG$228,'INPUT Capex'!$A$211:$A$228,$A$1,'INPUT Capex'!$G$211:$G$228,$E23))*IF(K$2=0,DASH!$E$8,1)</f>
        <v>0</v>
      </c>
      <c r="L23" s="102">
        <f>(SUMIFS('INPUT Capex'!AH$236:AH$255,'INPUT Capex'!$A$236:$A$255,$A$1,'INPUT Capex'!$G$236:$G$255,$E23)+SUMIFS('INPUT Capex'!AH$211:AH$228,'INPUT Capex'!$A$211:$A$228,$A$1,'INPUT Capex'!$G$211:$G$228,$E23))*IF(L$2=0,DASH!$E$8,1)</f>
        <v>0</v>
      </c>
      <c r="M23" s="102">
        <f>(SUMIFS('INPUT Capex'!AI$236:AI$255,'INPUT Capex'!$A$236:$A$255,$A$1,'INPUT Capex'!$G$236:$G$255,$E23)+SUMIFS('INPUT Capex'!AI$211:AI$228,'INPUT Capex'!$A$211:$A$228,$A$1,'INPUT Capex'!$G$211:$G$228,$E23))*IF(M$2=0,DASH!$E$8,1)</f>
        <v>0</v>
      </c>
      <c r="N23" s="102">
        <f>(SUMIFS('INPUT Capex'!AJ$236:AJ$255,'INPUT Capex'!$A$236:$A$255,$A$1,'INPUT Capex'!$G$236:$G$255,$E23)+SUMIFS('INPUT Capex'!AJ$211:AJ$228,'INPUT Capex'!$A$211:$A$228,$A$1,'INPUT Capex'!$G$211:$G$228,$E23))*IF(N$2=0,DASH!$E$8,1)</f>
        <v>0</v>
      </c>
      <c r="O23" s="102">
        <f>(SUMIFS('INPUT Capex'!AK$236:AK$255,'INPUT Capex'!$A$236:$A$255,$A$1,'INPUT Capex'!$G$236:$G$255,$E23)+SUMIFS('INPUT Capex'!AK$211:AK$228,'INPUT Capex'!$A$211:$A$228,$A$1,'INPUT Capex'!$G$211:$G$228,$E23))*IF(O$2=0,DASH!$E$8,1)</f>
        <v>0</v>
      </c>
      <c r="P23" s="102">
        <f>(SUMIFS('INPUT Capex'!AL$236:AL$255,'INPUT Capex'!$A$236:$A$255,$A$1,'INPUT Capex'!$G$236:$G$255,$E23)+SUMIFS('INPUT Capex'!AL$211:AL$228,'INPUT Capex'!$A$211:$A$228,$A$1,'INPUT Capex'!$G$211:$G$228,$E23))*IF(P$2=0,DASH!$E$8,1)</f>
        <v>0</v>
      </c>
      <c r="Q23" s="102">
        <f>(SUMIFS('INPUT Capex'!AM$236:AM$255,'INPUT Capex'!$A$236:$A$255,$A$1,'INPUT Capex'!$G$236:$G$255,$E23)+SUMIFS('INPUT Capex'!AM$211:AM$228,'INPUT Capex'!$A$211:$A$228,$A$1,'INPUT Capex'!$G$211:$G$228,$E23))*IF(Q$2=0,DASH!$E$8,1)</f>
        <v>0</v>
      </c>
      <c r="R23" s="102">
        <f>(SUMIFS('INPUT Capex'!AN$236:AN$255,'INPUT Capex'!$A$236:$A$255,$A$1,'INPUT Capex'!$G$236:$G$255,$E23)+SUMIFS('INPUT Capex'!AN$211:AN$228,'INPUT Capex'!$A$211:$A$228,$A$1,'INPUT Capex'!$G$211:$G$228,$E23))*IF(R$2=0,DASH!$E$8,1)</f>
        <v>0</v>
      </c>
      <c r="S23" s="102">
        <f>(SUMIFS('INPUT Capex'!AO$236:AO$255,'INPUT Capex'!$A$236:$A$255,$A$1,'INPUT Capex'!$G$236:$G$255,$E23)+SUMIFS('INPUT Capex'!AO$211:AO$228,'INPUT Capex'!$A$211:$A$228,$A$1,'INPUT Capex'!$G$211:$G$228,$E23))*IF(S$2=0,DASH!$E$8,1)</f>
        <v>0</v>
      </c>
      <c r="T23" s="102">
        <f>(SUMIFS('INPUT Capex'!AP$236:AP$255,'INPUT Capex'!$A$236:$A$255,$A$1,'INPUT Capex'!$G$236:$G$255,$E23)+SUMIFS('INPUT Capex'!AP$211:AP$228,'INPUT Capex'!$A$211:$A$228,$A$1,'INPUT Capex'!$G$211:$G$228,$E23))*IF(T$2=0,DASH!$E$8,1)</f>
        <v>0</v>
      </c>
      <c r="U23" s="102">
        <f>(SUMIFS('INPUT Capex'!AQ$236:AQ$255,'INPUT Capex'!$A$236:$A$255,$A$1,'INPUT Capex'!$G$236:$G$255,$E23)+SUMIFS('INPUT Capex'!AQ$211:AQ$228,'INPUT Capex'!$A$211:$A$228,$A$1,'INPUT Capex'!$G$211:$G$228,$E23))*IF(U$2=0,DASH!$E$8,1)</f>
        <v>0</v>
      </c>
      <c r="V23" s="102">
        <f>(SUMIFS('INPUT Capex'!AR$236:AR$255,'INPUT Capex'!$A$236:$A$255,$A$1,'INPUT Capex'!$G$236:$G$255,$E23)+SUMIFS('INPUT Capex'!AR$211:AR$228,'INPUT Capex'!$A$211:$A$228,$A$1,'INPUT Capex'!$G$211:$G$228,$E23))*IF(V$2=0,DASH!$E$8,1)</f>
        <v>0</v>
      </c>
      <c r="W23" s="102">
        <f>(SUMIFS('INPUT Capex'!AS$236:AS$255,'INPUT Capex'!$A$236:$A$255,$A$1,'INPUT Capex'!$G$236:$G$255,$E23)+SUMIFS('INPUT Capex'!AS$211:AS$228,'INPUT Capex'!$A$211:$A$228,$A$1,'INPUT Capex'!$G$211:$G$228,$E23))*IF(W$2=0,DASH!$E$8,1)</f>
        <v>0</v>
      </c>
      <c r="X23" s="102">
        <f>(SUMIFS('INPUT Capex'!AT$236:AT$255,'INPUT Capex'!$A$236:$A$255,$A$1,'INPUT Capex'!$G$236:$G$255,$E23)+SUMIFS('INPUT Capex'!AT$211:AT$228,'INPUT Capex'!$A$211:$A$228,$A$1,'INPUT Capex'!$G$211:$G$228,$E23))*IF(X$2=0,DASH!$E$8,1)</f>
        <v>0</v>
      </c>
      <c r="Y23" s="102">
        <f>(SUMIFS('INPUT Capex'!AU$236:AU$255,'INPUT Capex'!$A$236:$A$255,$A$1,'INPUT Capex'!$G$236:$G$255,$E23)+SUMIFS('INPUT Capex'!AU$211:AU$228,'INPUT Capex'!$A$211:$A$228,$A$1,'INPUT Capex'!$G$211:$G$228,$E23))*IF(Y$2=0,DASH!$E$8,1)</f>
        <v>0</v>
      </c>
      <c r="Z23" s="102">
        <f>(SUMIFS('INPUT Capex'!AV$236:AV$255,'INPUT Capex'!$A$236:$A$255,$A$1,'INPUT Capex'!$G$236:$G$255,$E23)+SUMIFS('INPUT Capex'!AV$211:AV$228,'INPUT Capex'!$A$211:$A$228,$A$1,'INPUT Capex'!$G$211:$G$228,$E23))*IF(Z$2=0,DASH!$E$8,1)</f>
        <v>0</v>
      </c>
      <c r="AA23" s="102">
        <f>(SUMIFS('INPUT Capex'!AW$236:AW$255,'INPUT Capex'!$A$236:$A$255,$A$1,'INPUT Capex'!$G$236:$G$255,$E23)+SUMIFS('INPUT Capex'!AW$211:AW$228,'INPUT Capex'!$A$211:$A$228,$A$1,'INPUT Capex'!$G$211:$G$228,$E23))*IF(AA$2=0,DASH!$E$8,1)</f>
        <v>0</v>
      </c>
    </row>
    <row r="24" spans="1:27" x14ac:dyDescent="0.25">
      <c r="E24" s="47" t="s">
        <v>630</v>
      </c>
      <c r="F24" s="47" t="s">
        <v>639</v>
      </c>
      <c r="G24" s="102"/>
      <c r="H24" s="102"/>
      <c r="I24" s="102"/>
      <c r="J24" s="102"/>
      <c r="K24" s="102"/>
      <c r="L24" s="102"/>
      <c r="M24" s="102"/>
      <c r="N24" s="102"/>
      <c r="O24" s="102"/>
      <c r="P24" s="102"/>
      <c r="Q24" s="102"/>
      <c r="R24" s="102"/>
      <c r="S24" s="102"/>
      <c r="T24" s="102"/>
      <c r="U24" s="102"/>
      <c r="V24" s="102"/>
      <c r="W24" s="102"/>
      <c r="X24" s="102"/>
      <c r="Y24" s="102"/>
      <c r="Z24" s="102"/>
      <c r="AA24" s="102"/>
    </row>
    <row r="25" spans="1:27" x14ac:dyDescent="0.25">
      <c r="E25" s="47" t="s">
        <v>640</v>
      </c>
      <c r="F25" s="47" t="s">
        <v>639</v>
      </c>
      <c r="G25" s="102"/>
      <c r="H25" s="102"/>
      <c r="I25" s="102"/>
      <c r="J25" s="102"/>
      <c r="K25" s="102"/>
      <c r="L25" s="102"/>
      <c r="M25" s="102"/>
      <c r="N25" s="102"/>
      <c r="O25" s="102"/>
      <c r="P25" s="102"/>
      <c r="Q25" s="102"/>
      <c r="R25" s="102"/>
      <c r="S25" s="102"/>
      <c r="T25" s="102"/>
      <c r="U25" s="102"/>
      <c r="V25" s="102"/>
      <c r="W25" s="102"/>
      <c r="X25" s="102"/>
      <c r="Y25" s="102"/>
      <c r="Z25" s="102"/>
      <c r="AA25" s="102"/>
    </row>
    <row r="26" spans="1:27" x14ac:dyDescent="0.25">
      <c r="G26" s="106">
        <f>SUM(G21:G25)</f>
        <v>0</v>
      </c>
      <c r="H26" s="106">
        <f t="shared" ref="H26:AA26" si="1">SUM(H21:H25)</f>
        <v>4332242.13075059</v>
      </c>
      <c r="I26" s="106">
        <f t="shared" si="1"/>
        <v>1108745.7627118595</v>
      </c>
      <c r="J26" s="106">
        <f t="shared" si="1"/>
        <v>573636.80387408938</v>
      </c>
      <c r="K26" s="106">
        <f t="shared" si="1"/>
        <v>573636.80387408938</v>
      </c>
      <c r="L26" s="106">
        <f t="shared" si="1"/>
        <v>7063224.2130750287</v>
      </c>
      <c r="M26" s="106">
        <f t="shared" si="1"/>
        <v>18621577.72397086</v>
      </c>
      <c r="N26" s="106">
        <f t="shared" si="1"/>
        <v>28499689.104116093</v>
      </c>
      <c r="O26" s="106">
        <f t="shared" si="1"/>
        <v>39126953.026634201</v>
      </c>
      <c r="P26" s="106">
        <f t="shared" si="1"/>
        <v>24582691.525423624</v>
      </c>
      <c r="Q26" s="106">
        <f t="shared" si="1"/>
        <v>23578827.118643962</v>
      </c>
      <c r="R26" s="106">
        <f t="shared" si="1"/>
        <v>23578827.118643962</v>
      </c>
      <c r="S26" s="106">
        <f t="shared" si="1"/>
        <v>23578827.118643962</v>
      </c>
      <c r="T26" s="106">
        <f t="shared" si="1"/>
        <v>23578827.118643962</v>
      </c>
      <c r="U26" s="106">
        <f t="shared" si="1"/>
        <v>23578827.118643962</v>
      </c>
      <c r="V26" s="106">
        <f t="shared" si="1"/>
        <v>23578827.118643962</v>
      </c>
      <c r="W26" s="106">
        <f t="shared" si="1"/>
        <v>23578827.118643962</v>
      </c>
      <c r="X26" s="106">
        <f t="shared" si="1"/>
        <v>23578827.118643962</v>
      </c>
      <c r="Y26" s="106">
        <f t="shared" si="1"/>
        <v>23578827.118643962</v>
      </c>
      <c r="Z26" s="106">
        <f t="shared" si="1"/>
        <v>23578827.118643962</v>
      </c>
      <c r="AA26" s="106">
        <f t="shared" si="1"/>
        <v>23578827.118643962</v>
      </c>
    </row>
    <row r="27" spans="1:27" x14ac:dyDescent="0.25">
      <c r="G27" s="106"/>
      <c r="H27" s="106"/>
      <c r="I27" s="106"/>
      <c r="J27" s="106"/>
      <c r="K27" s="106"/>
      <c r="L27" s="106"/>
      <c r="M27" s="106"/>
      <c r="N27" s="106"/>
      <c r="O27" s="106"/>
      <c r="P27" s="106"/>
      <c r="Q27" s="106"/>
    </row>
    <row r="28" spans="1:27" x14ac:dyDescent="0.25">
      <c r="D28" s="47" t="s">
        <v>641</v>
      </c>
      <c r="G28" s="106"/>
      <c r="H28" s="106"/>
      <c r="I28" s="106"/>
      <c r="J28" s="106"/>
      <c r="K28" s="106"/>
      <c r="L28" s="106"/>
      <c r="M28" s="106"/>
      <c r="N28" s="106"/>
      <c r="O28" s="106"/>
      <c r="P28" s="106"/>
      <c r="Q28" s="106"/>
    </row>
    <row r="29" spans="1:27" x14ac:dyDescent="0.25">
      <c r="E29" s="106" t="str">
        <f>E21</f>
        <v>Pipes / Storage</v>
      </c>
      <c r="F29" s="47" t="s">
        <v>639</v>
      </c>
      <c r="G29" s="106">
        <f>G21/$G7+IF((G$2-$G7+1)&gt;0,-INDEX($G21:$AP21,1,(G$2-$G7+1))/$G7,0)</f>
        <v>0</v>
      </c>
      <c r="H29" s="106">
        <f t="shared" ref="H29:AA29" si="2">H21/$G7+IF((H$2-$G7+1)&gt;0,-INDEX($G21:$AP21,1,(H$2-$G7+1))/$G7,0)</f>
        <v>48136.023675006552</v>
      </c>
      <c r="I29" s="106">
        <f t="shared" si="2"/>
        <v>12319.397363465107</v>
      </c>
      <c r="J29" s="106">
        <f t="shared" si="2"/>
        <v>6373.7422652676596</v>
      </c>
      <c r="K29" s="106">
        <f t="shared" si="2"/>
        <v>6373.7422652676596</v>
      </c>
      <c r="L29" s="106">
        <f t="shared" si="2"/>
        <v>78480.26903416698</v>
      </c>
      <c r="M29" s="106">
        <f t="shared" si="2"/>
        <v>206906.41915523179</v>
      </c>
      <c r="N29" s="106">
        <f t="shared" si="2"/>
        <v>316663.21226795658</v>
      </c>
      <c r="O29" s="106">
        <f t="shared" si="2"/>
        <v>434743.92251815781</v>
      </c>
      <c r="P29" s="106">
        <f t="shared" si="2"/>
        <v>273141.01694915135</v>
      </c>
      <c r="Q29" s="106">
        <f t="shared" si="2"/>
        <v>261986.96798493291</v>
      </c>
      <c r="R29" s="106">
        <f t="shared" si="2"/>
        <v>261986.96798493291</v>
      </c>
      <c r="S29" s="106">
        <f t="shared" si="2"/>
        <v>261986.96798493291</v>
      </c>
      <c r="T29" s="106">
        <f t="shared" si="2"/>
        <v>261986.96798493291</v>
      </c>
      <c r="U29" s="106">
        <f t="shared" si="2"/>
        <v>261986.96798493291</v>
      </c>
      <c r="V29" s="106">
        <f t="shared" si="2"/>
        <v>261986.96798493291</v>
      </c>
      <c r="W29" s="106">
        <f t="shared" si="2"/>
        <v>261986.96798493291</v>
      </c>
      <c r="X29" s="106">
        <f t="shared" si="2"/>
        <v>261986.96798493291</v>
      </c>
      <c r="Y29" s="106">
        <f t="shared" si="2"/>
        <v>261986.96798493291</v>
      </c>
      <c r="Z29" s="106">
        <f t="shared" si="2"/>
        <v>261986.96798493291</v>
      </c>
      <c r="AA29" s="106">
        <f t="shared" si="2"/>
        <v>261986.96798493291</v>
      </c>
    </row>
    <row r="30" spans="1:27" x14ac:dyDescent="0.25">
      <c r="E30" s="106" t="str">
        <f t="shared" ref="E30:E32" si="3">E22</f>
        <v>Pumps / Valves</v>
      </c>
      <c r="F30" s="47" t="s">
        <v>639</v>
      </c>
      <c r="G30" s="106">
        <f t="shared" ref="G30:AA32" si="4">G22/$G8+IF((G$2-$G8+1)&gt;0,-INDEX($G22:$AP22,1,(G$2-$G8+1))/$G8,0)</f>
        <v>0</v>
      </c>
      <c r="H30" s="106">
        <f t="shared" si="4"/>
        <v>0</v>
      </c>
      <c r="I30" s="106">
        <f t="shared" si="4"/>
        <v>0</v>
      </c>
      <c r="J30" s="106">
        <f t="shared" si="4"/>
        <v>0</v>
      </c>
      <c r="K30" s="106">
        <f t="shared" si="4"/>
        <v>0</v>
      </c>
      <c r="L30" s="106">
        <f t="shared" si="4"/>
        <v>0</v>
      </c>
      <c r="M30" s="106">
        <f t="shared" si="4"/>
        <v>0</v>
      </c>
      <c r="N30" s="106">
        <f t="shared" si="4"/>
        <v>0</v>
      </c>
      <c r="O30" s="106">
        <f t="shared" si="4"/>
        <v>0</v>
      </c>
      <c r="P30" s="106">
        <f t="shared" si="4"/>
        <v>0</v>
      </c>
      <c r="Q30" s="106">
        <f t="shared" si="4"/>
        <v>0</v>
      </c>
      <c r="R30" s="106">
        <f t="shared" si="4"/>
        <v>0</v>
      </c>
      <c r="S30" s="106">
        <f t="shared" si="4"/>
        <v>0</v>
      </c>
      <c r="T30" s="106">
        <f t="shared" si="4"/>
        <v>0</v>
      </c>
      <c r="U30" s="106">
        <f t="shared" si="4"/>
        <v>0</v>
      </c>
      <c r="V30" s="106">
        <f t="shared" si="4"/>
        <v>0</v>
      </c>
      <c r="W30" s="106">
        <f t="shared" si="4"/>
        <v>0</v>
      </c>
      <c r="X30" s="106">
        <f t="shared" si="4"/>
        <v>0</v>
      </c>
      <c r="Y30" s="106">
        <f t="shared" si="4"/>
        <v>0</v>
      </c>
      <c r="Z30" s="106">
        <f t="shared" si="4"/>
        <v>0</v>
      </c>
      <c r="AA30" s="106">
        <f t="shared" si="4"/>
        <v>0</v>
      </c>
    </row>
    <row r="31" spans="1:27" x14ac:dyDescent="0.25">
      <c r="E31" s="106" t="str">
        <f t="shared" si="3"/>
        <v>Treatment</v>
      </c>
      <c r="F31" s="47" t="s">
        <v>639</v>
      </c>
      <c r="G31" s="106">
        <f t="shared" si="4"/>
        <v>0</v>
      </c>
      <c r="H31" s="106">
        <f t="shared" si="4"/>
        <v>0</v>
      </c>
      <c r="I31" s="106">
        <f t="shared" si="4"/>
        <v>0</v>
      </c>
      <c r="J31" s="106">
        <f t="shared" si="4"/>
        <v>0</v>
      </c>
      <c r="K31" s="106">
        <f t="shared" si="4"/>
        <v>0</v>
      </c>
      <c r="L31" s="106">
        <f t="shared" si="4"/>
        <v>0</v>
      </c>
      <c r="M31" s="106">
        <f t="shared" si="4"/>
        <v>0</v>
      </c>
      <c r="N31" s="106">
        <f t="shared" si="4"/>
        <v>0</v>
      </c>
      <c r="O31" s="106">
        <f t="shared" si="4"/>
        <v>0</v>
      </c>
      <c r="P31" s="106">
        <f t="shared" si="4"/>
        <v>0</v>
      </c>
      <c r="Q31" s="106">
        <f t="shared" si="4"/>
        <v>0</v>
      </c>
      <c r="R31" s="106">
        <f t="shared" si="4"/>
        <v>0</v>
      </c>
      <c r="S31" s="106">
        <f t="shared" si="4"/>
        <v>0</v>
      </c>
      <c r="T31" s="106">
        <f t="shared" si="4"/>
        <v>0</v>
      </c>
      <c r="U31" s="106">
        <f t="shared" si="4"/>
        <v>0</v>
      </c>
      <c r="V31" s="106">
        <f t="shared" si="4"/>
        <v>0</v>
      </c>
      <c r="W31" s="106">
        <f t="shared" si="4"/>
        <v>0</v>
      </c>
      <c r="X31" s="106">
        <f t="shared" si="4"/>
        <v>0</v>
      </c>
      <c r="Y31" s="106">
        <f t="shared" si="4"/>
        <v>0</v>
      </c>
      <c r="Z31" s="106">
        <f t="shared" si="4"/>
        <v>0</v>
      </c>
      <c r="AA31" s="106">
        <f t="shared" si="4"/>
        <v>0</v>
      </c>
    </row>
    <row r="32" spans="1:27" x14ac:dyDescent="0.25">
      <c r="E32" s="106" t="str">
        <f t="shared" si="3"/>
        <v>Temporary Assets</v>
      </c>
      <c r="F32" s="47" t="s">
        <v>639</v>
      </c>
      <c r="G32" s="106">
        <f t="shared" si="4"/>
        <v>0</v>
      </c>
      <c r="H32" s="106">
        <f t="shared" si="4"/>
        <v>0</v>
      </c>
      <c r="I32" s="106">
        <f t="shared" si="4"/>
        <v>0</v>
      </c>
      <c r="J32" s="106">
        <f t="shared" si="4"/>
        <v>0</v>
      </c>
      <c r="K32" s="106">
        <f t="shared" si="4"/>
        <v>0</v>
      </c>
      <c r="L32" s="106">
        <f t="shared" si="4"/>
        <v>0</v>
      </c>
      <c r="M32" s="106">
        <f t="shared" si="4"/>
        <v>0</v>
      </c>
      <c r="N32" s="106">
        <f t="shared" si="4"/>
        <v>0</v>
      </c>
      <c r="O32" s="106">
        <f t="shared" si="4"/>
        <v>0</v>
      </c>
      <c r="P32" s="106">
        <f t="shared" si="4"/>
        <v>0</v>
      </c>
      <c r="Q32" s="106">
        <f t="shared" si="4"/>
        <v>0</v>
      </c>
      <c r="R32" s="106">
        <f t="shared" si="4"/>
        <v>0</v>
      </c>
      <c r="S32" s="106">
        <f t="shared" si="4"/>
        <v>0</v>
      </c>
      <c r="T32" s="106">
        <f t="shared" si="4"/>
        <v>0</v>
      </c>
      <c r="U32" s="106">
        <f t="shared" si="4"/>
        <v>0</v>
      </c>
      <c r="V32" s="106">
        <f t="shared" si="4"/>
        <v>0</v>
      </c>
      <c r="W32" s="106">
        <f t="shared" si="4"/>
        <v>0</v>
      </c>
      <c r="X32" s="106">
        <f t="shared" si="4"/>
        <v>0</v>
      </c>
      <c r="Y32" s="106">
        <f t="shared" si="4"/>
        <v>0</v>
      </c>
      <c r="Z32" s="106">
        <f t="shared" si="4"/>
        <v>0</v>
      </c>
      <c r="AA32" s="106">
        <f t="shared" si="4"/>
        <v>0</v>
      </c>
    </row>
    <row r="33" spans="1:27" x14ac:dyDescent="0.25">
      <c r="G33" s="106"/>
      <c r="H33" s="106"/>
      <c r="I33" s="106"/>
      <c r="J33" s="106"/>
      <c r="K33" s="106"/>
      <c r="L33" s="106"/>
      <c r="M33" s="106"/>
      <c r="N33" s="106"/>
      <c r="O33" s="106"/>
      <c r="P33" s="106"/>
      <c r="Q33" s="106"/>
    </row>
    <row r="34" spans="1:27" x14ac:dyDescent="0.25">
      <c r="D34" s="47" t="s">
        <v>642</v>
      </c>
      <c r="F34" s="47" t="s">
        <v>639</v>
      </c>
      <c r="G34" s="106">
        <f>SUM($G$29:G32)</f>
        <v>0</v>
      </c>
      <c r="H34" s="106">
        <f>SUM($G$29:H32)</f>
        <v>48136.023675006552</v>
      </c>
      <c r="I34" s="106">
        <f>SUM($G$29:I32)</f>
        <v>60455.421038471657</v>
      </c>
      <c r="J34" s="106">
        <f>SUM($G$29:J32)</f>
        <v>66829.163303739319</v>
      </c>
      <c r="K34" s="106">
        <f>SUM($G$29:K32)</f>
        <v>73202.90556900698</v>
      </c>
      <c r="L34" s="106">
        <f>SUM($G$29:L32)</f>
        <v>151683.17460317397</v>
      </c>
      <c r="M34" s="106">
        <f>SUM($G$29:M32)</f>
        <v>358589.59375840577</v>
      </c>
      <c r="N34" s="106">
        <f>SUM($G$29:N32)</f>
        <v>675252.80602636235</v>
      </c>
      <c r="O34" s="106">
        <f>SUM($G$29:O32)</f>
        <v>1109996.7285445202</v>
      </c>
      <c r="P34" s="106">
        <f>SUM($G$29:P32)</f>
        <v>1383137.7454936716</v>
      </c>
      <c r="Q34" s="106">
        <f>SUM($G$29:Q32)</f>
        <v>1645124.7134786046</v>
      </c>
      <c r="R34" s="106">
        <f>SUM($G$29:R32)</f>
        <v>1907111.6814635375</v>
      </c>
      <c r="S34" s="106">
        <f>SUM($G$29:S32)</f>
        <v>2169098.6494484702</v>
      </c>
      <c r="T34" s="106">
        <f>SUM($G$29:T32)</f>
        <v>2431085.6174334032</v>
      </c>
      <c r="U34" s="106">
        <f>SUM($G$29:U32)</f>
        <v>2693072.5854183361</v>
      </c>
      <c r="V34" s="106">
        <f>SUM($G$29:V32)</f>
        <v>2955059.553403269</v>
      </c>
      <c r="W34" s="106">
        <f>SUM($G$29:W32)</f>
        <v>3217046.521388202</v>
      </c>
      <c r="X34" s="106">
        <f>SUM($G$29:X32)</f>
        <v>3479033.4893731349</v>
      </c>
      <c r="Y34" s="106">
        <f>SUM($G$29:Y32)</f>
        <v>3741020.4573580679</v>
      </c>
      <c r="Z34" s="106">
        <f>SUM($G$29:Z32)</f>
        <v>4003007.4253430008</v>
      </c>
      <c r="AA34" s="106">
        <f>SUM($G$29:AA32)</f>
        <v>4264994.3933279337</v>
      </c>
    </row>
    <row r="35" spans="1:27" x14ac:dyDescent="0.25">
      <c r="G35" s="106"/>
      <c r="H35" s="106"/>
      <c r="I35" s="106"/>
      <c r="J35" s="106"/>
      <c r="K35" s="106"/>
      <c r="L35" s="106"/>
      <c r="M35" s="106"/>
      <c r="N35" s="106"/>
      <c r="O35" s="106"/>
      <c r="P35" s="106"/>
      <c r="Q35" s="106"/>
      <c r="R35" s="106"/>
      <c r="S35" s="106"/>
      <c r="T35" s="106"/>
      <c r="U35" s="106"/>
      <c r="V35" s="106"/>
      <c r="W35" s="106"/>
      <c r="X35" s="106"/>
      <c r="Y35" s="106"/>
      <c r="Z35" s="106"/>
      <c r="AA35" s="106"/>
    </row>
    <row r="36" spans="1:27" x14ac:dyDescent="0.25">
      <c r="A36" s="101">
        <v>11</v>
      </c>
      <c r="C36" s="100" t="s">
        <v>573</v>
      </c>
      <c r="D36" s="100"/>
    </row>
    <row r="37" spans="1:27" x14ac:dyDescent="0.25">
      <c r="E37" s="106" t="str">
        <f>E7</f>
        <v>Pipes / Storage</v>
      </c>
      <c r="F37" s="47" t="s">
        <v>639</v>
      </c>
      <c r="G37" s="102">
        <f>SUMIFS('INPUT Capex'!AC$48:AC$53,'INPUT Capex'!$A$48:$A$53,$A$1)*IF(G$2=0,DASH!$E$8,1)</f>
        <v>0</v>
      </c>
      <c r="H37" s="102">
        <f>SUMIFS('INPUT Capex'!AD$48:AD$53,'INPUT Capex'!$A$48:$A$53,$A$1)*IF(H$2=0,DASH!$E$8,1)</f>
        <v>7078833.1890508123</v>
      </c>
      <c r="I37" s="102">
        <f>SUMIFS('INPUT Capex'!AE$48:AE$53,'INPUT Capex'!$A$48:$A$53,$A$1)*IF(I$2=0,DASH!$E$8,1)</f>
        <v>7300612.9780549556</v>
      </c>
      <c r="J37" s="102">
        <f>SUMIFS('INPUT Capex'!AF$48:AF$53,'INPUT Capex'!$A$48:$A$53,$A$1)*IF(J$2=0,DASH!$E$8,1)</f>
        <v>7664083.6733834883</v>
      </c>
      <c r="K37" s="102">
        <f>SUMIFS('INPUT Capex'!AG$48:AG$53,'INPUT Capex'!$A$48:$A$53,$A$1)*IF(K$2=0,DASH!$E$8,1)</f>
        <v>7937810.4700211519</v>
      </c>
      <c r="L37" s="102">
        <f>SUMIFS('INPUT Capex'!AH$48:AH$53,'INPUT Capex'!$A$48:$A$53,$A$1)*IF(L$2=0,DASH!$E$8,1)</f>
        <v>6573437.9304173952</v>
      </c>
      <c r="M37" s="102">
        <f>SUMIFS('INPUT Capex'!AI$48:AI$53,'INPUT Capex'!$A$48:$A$53,$A$1)*IF(M$2=0,DASH!$E$8,1)</f>
        <v>6584328.3259038888</v>
      </c>
      <c r="N37" s="102">
        <f>SUMIFS('INPUT Capex'!AJ$48:AJ$53,'INPUT Capex'!$A$48:$A$53,$A$1)*IF(N$2=0,DASH!$E$8,1)</f>
        <v>6468773.886980623</v>
      </c>
      <c r="O37" s="102">
        <f>SUMIFS('INPUT Capex'!AK$48:AK$53,'INPUT Capex'!$A$48:$A$53,$A$1)*IF(O$2=0,DASH!$E$8,1)</f>
        <v>6690295.6958756866</v>
      </c>
      <c r="P37" s="102">
        <f>SUMIFS('INPUT Capex'!AL$48:AL$53,'INPUT Capex'!$A$48:$A$53,$A$1)*IF(P$2=0,DASH!$E$8,1)</f>
        <v>6765860.1281621726</v>
      </c>
      <c r="Q37" s="102">
        <f>SUMIFS('INPUT Capex'!AM$48:AM$53,'INPUT Capex'!$A$48:$A$53,$A$1)*IF(Q$2=0,DASH!$E$8,1)</f>
        <v>6685033.0853401497</v>
      </c>
      <c r="R37" s="102">
        <f>SUMIFS('INPUT Capex'!AN$48:AN$53,'INPUT Capex'!$A$48:$A$53,$A$1)*IF(R$2=0,DASH!$E$8,1)</f>
        <v>6585938.6949096369</v>
      </c>
      <c r="S37" s="102">
        <f>SUMIFS('INPUT Capex'!AO$48:AO$53,'INPUT Capex'!$A$48:$A$53,$A$1)*IF(S$2=0,DASH!$E$8,1)</f>
        <v>6153389.2737363772</v>
      </c>
      <c r="T37" s="102">
        <f>SUMIFS('INPUT Capex'!AP$48:AP$53,'INPUT Capex'!$A$48:$A$53,$A$1)*IF(T$2=0,DASH!$E$8,1)</f>
        <v>5479755.8229854377</v>
      </c>
      <c r="U37" s="102">
        <f>SUMIFS('INPUT Capex'!AQ$48:AQ$53,'INPUT Capex'!$A$48:$A$53,$A$1)*IF(U$2=0,DASH!$E$8,1)</f>
        <v>4910144.0957102692</v>
      </c>
      <c r="V37" s="102">
        <f>SUMIFS('INPUT Capex'!AR$48:AR$53,'INPUT Capex'!$A$48:$A$53,$A$1)*IF(V$2=0,DASH!$E$8,1)</f>
        <v>4436959.7506784908</v>
      </c>
      <c r="W37" s="102">
        <f>SUMIFS('INPUT Capex'!AS$48:AS$53,'INPUT Capex'!$A$48:$A$53,$A$1)*IF(W$2=0,DASH!$E$8,1)</f>
        <v>4012811.9961089646</v>
      </c>
      <c r="X37" s="102">
        <f>SUMIFS('INPUT Capex'!AT$48:AT$53,'INPUT Capex'!$A$48:$A$53,$A$1)*IF(X$2=0,DASH!$E$8,1)</f>
        <v>3878296.1983543457</v>
      </c>
      <c r="Y37" s="102">
        <f>SUMIFS('INPUT Capex'!AU$48:AU$53,'INPUT Capex'!$A$48:$A$53,$A$1)*IF(Y$2=0,DASH!$E$8,1)</f>
        <v>3492740.5031295945</v>
      </c>
      <c r="Z37" s="102">
        <f>SUMIFS('INPUT Capex'!AV$48:AV$53,'INPUT Capex'!$A$48:$A$53,$A$1)*IF(Z$2=0,DASH!$E$8,1)</f>
        <v>3072313.8805138827</v>
      </c>
      <c r="AA37" s="102">
        <f>SUMIFS('INPUT Capex'!AW$48:AW$53,'INPUT Capex'!$A$48:$A$53,$A$1)*IF(AA$2=0,DASH!$E$8,1)</f>
        <v>2648263.7792713102</v>
      </c>
    </row>
    <row r="38" spans="1:27" x14ac:dyDescent="0.25">
      <c r="E38" s="106" t="str">
        <f>E8</f>
        <v>Pumps / Valves</v>
      </c>
      <c r="F38" s="47" t="s">
        <v>639</v>
      </c>
      <c r="G38" s="102"/>
      <c r="H38" s="102"/>
      <c r="I38" s="102"/>
      <c r="J38" s="102"/>
      <c r="K38" s="102"/>
      <c r="L38" s="102"/>
      <c r="M38" s="102"/>
      <c r="N38" s="102"/>
      <c r="O38" s="102"/>
      <c r="P38" s="102"/>
      <c r="Q38" s="102"/>
      <c r="R38" s="102"/>
      <c r="S38" s="102"/>
      <c r="T38" s="102"/>
      <c r="U38" s="102"/>
      <c r="V38" s="102"/>
      <c r="W38" s="102"/>
      <c r="X38" s="102"/>
      <c r="Y38" s="102"/>
      <c r="Z38" s="102"/>
      <c r="AA38" s="102"/>
    </row>
    <row r="39" spans="1:27" x14ac:dyDescent="0.25">
      <c r="E39" s="106" t="str">
        <f>E9</f>
        <v>Treatment</v>
      </c>
      <c r="F39" s="47" t="s">
        <v>639</v>
      </c>
      <c r="G39" s="102"/>
      <c r="H39" s="102"/>
      <c r="I39" s="102"/>
      <c r="J39" s="102"/>
      <c r="K39" s="102"/>
      <c r="L39" s="102"/>
      <c r="M39" s="102"/>
      <c r="N39" s="102"/>
      <c r="O39" s="102"/>
      <c r="P39" s="102"/>
      <c r="Q39" s="102"/>
      <c r="R39" s="102"/>
      <c r="S39" s="102"/>
      <c r="T39" s="102"/>
      <c r="U39" s="102"/>
      <c r="V39" s="102"/>
      <c r="W39" s="102"/>
      <c r="X39" s="102"/>
      <c r="Y39" s="102"/>
      <c r="Z39" s="102"/>
      <c r="AA39" s="102"/>
    </row>
    <row r="40" spans="1:27" x14ac:dyDescent="0.25">
      <c r="E40" s="106" t="str">
        <f>E10</f>
        <v>Temporary Assets</v>
      </c>
      <c r="F40" s="47" t="s">
        <v>639</v>
      </c>
      <c r="G40" s="102"/>
      <c r="H40" s="102"/>
      <c r="I40" s="102"/>
      <c r="J40" s="102"/>
      <c r="K40" s="102"/>
      <c r="L40" s="102"/>
      <c r="M40" s="102"/>
      <c r="N40" s="102"/>
      <c r="O40" s="102"/>
      <c r="P40" s="102"/>
      <c r="Q40" s="102"/>
      <c r="R40" s="102"/>
      <c r="S40" s="102"/>
      <c r="T40" s="102"/>
      <c r="U40" s="102"/>
      <c r="V40" s="102"/>
      <c r="W40" s="102"/>
      <c r="X40" s="102"/>
      <c r="Y40" s="102"/>
      <c r="Z40" s="102"/>
      <c r="AA40" s="102"/>
    </row>
    <row r="41" spans="1:27" x14ac:dyDescent="0.25">
      <c r="E41" s="47" t="s">
        <v>640</v>
      </c>
      <c r="F41" s="47" t="s">
        <v>639</v>
      </c>
      <c r="G41" s="102"/>
      <c r="H41" s="102"/>
      <c r="I41" s="102"/>
      <c r="J41" s="102"/>
      <c r="K41" s="102"/>
      <c r="L41" s="102"/>
      <c r="M41" s="102"/>
      <c r="N41" s="102"/>
      <c r="O41" s="102"/>
      <c r="P41" s="102"/>
      <c r="Q41" s="102"/>
      <c r="R41" s="102"/>
      <c r="S41" s="102"/>
      <c r="T41" s="102"/>
      <c r="U41" s="102"/>
      <c r="V41" s="102"/>
      <c r="W41" s="102"/>
      <c r="X41" s="102"/>
      <c r="Y41" s="102"/>
      <c r="Z41" s="102"/>
      <c r="AA41" s="102"/>
    </row>
    <row r="42" spans="1:27" x14ac:dyDescent="0.25">
      <c r="G42" s="106">
        <f>SUM(G37:G41)</f>
        <v>0</v>
      </c>
      <c r="H42" s="106">
        <f t="shared" ref="H42:AA42" si="5">SUM(H37:H41)</f>
        <v>7078833.1890508123</v>
      </c>
      <c r="I42" s="106">
        <f t="shared" si="5"/>
        <v>7300612.9780549556</v>
      </c>
      <c r="J42" s="106">
        <f t="shared" si="5"/>
        <v>7664083.6733834883</v>
      </c>
      <c r="K42" s="106">
        <f t="shared" si="5"/>
        <v>7937810.4700211519</v>
      </c>
      <c r="L42" s="106">
        <f t="shared" si="5"/>
        <v>6573437.9304173952</v>
      </c>
      <c r="M42" s="106">
        <f t="shared" si="5"/>
        <v>6584328.3259038888</v>
      </c>
      <c r="N42" s="106">
        <f t="shared" si="5"/>
        <v>6468773.886980623</v>
      </c>
      <c r="O42" s="106">
        <f t="shared" si="5"/>
        <v>6690295.6958756866</v>
      </c>
      <c r="P42" s="106">
        <f t="shared" si="5"/>
        <v>6765860.1281621726</v>
      </c>
      <c r="Q42" s="106">
        <f t="shared" si="5"/>
        <v>6685033.0853401497</v>
      </c>
      <c r="R42" s="106">
        <f t="shared" si="5"/>
        <v>6585938.6949096369</v>
      </c>
      <c r="S42" s="106">
        <f t="shared" si="5"/>
        <v>6153389.2737363772</v>
      </c>
      <c r="T42" s="106">
        <f t="shared" si="5"/>
        <v>5479755.8229854377</v>
      </c>
      <c r="U42" s="106">
        <f t="shared" si="5"/>
        <v>4910144.0957102692</v>
      </c>
      <c r="V42" s="106">
        <f t="shared" si="5"/>
        <v>4436959.7506784908</v>
      </c>
      <c r="W42" s="106">
        <f t="shared" si="5"/>
        <v>4012811.9961089646</v>
      </c>
      <c r="X42" s="106">
        <f t="shared" si="5"/>
        <v>3878296.1983543457</v>
      </c>
      <c r="Y42" s="106">
        <f t="shared" si="5"/>
        <v>3492740.5031295945</v>
      </c>
      <c r="Z42" s="106">
        <f t="shared" si="5"/>
        <v>3072313.8805138827</v>
      </c>
      <c r="AA42" s="106">
        <f t="shared" si="5"/>
        <v>2648263.7792713102</v>
      </c>
    </row>
    <row r="43" spans="1:27" x14ac:dyDescent="0.25">
      <c r="G43" s="106"/>
      <c r="H43" s="106"/>
      <c r="I43" s="106"/>
      <c r="J43" s="106"/>
      <c r="K43" s="106"/>
      <c r="L43" s="106"/>
      <c r="M43" s="106"/>
      <c r="N43" s="106"/>
      <c r="O43" s="106"/>
      <c r="P43" s="106"/>
      <c r="Q43" s="106"/>
    </row>
    <row r="44" spans="1:27" x14ac:dyDescent="0.25">
      <c r="D44" s="47" t="s">
        <v>643</v>
      </c>
      <c r="G44" s="106"/>
      <c r="H44" s="106"/>
      <c r="I44" s="106"/>
      <c r="J44" s="106"/>
      <c r="K44" s="106"/>
      <c r="L44" s="106"/>
      <c r="M44" s="106"/>
      <c r="N44" s="106"/>
      <c r="O44" s="106"/>
      <c r="P44" s="106"/>
      <c r="Q44" s="106"/>
    </row>
    <row r="45" spans="1:27" x14ac:dyDescent="0.25">
      <c r="E45" s="106" t="str">
        <f>E37</f>
        <v>Pipes / Storage</v>
      </c>
      <c r="F45" s="47" t="s">
        <v>639</v>
      </c>
      <c r="G45" s="106">
        <f>G37/$G7+IF((G$2-$G7+1)&gt;0,-INDEX($G37:$AP37,1,(G$2-$G7+1))/$G7,0)</f>
        <v>0</v>
      </c>
      <c r="H45" s="106">
        <f t="shared" ref="H45:AA45" si="6">H37/$G7+IF((H$2-$G7+1)&gt;0,-INDEX($G37:$AP37,1,(H$2-$G7+1))/$G7,0)</f>
        <v>78653.70210056458</v>
      </c>
      <c r="I45" s="106">
        <f t="shared" si="6"/>
        <v>81117.921978388389</v>
      </c>
      <c r="J45" s="106">
        <f t="shared" si="6"/>
        <v>85156.485259816531</v>
      </c>
      <c r="K45" s="106">
        <f t="shared" si="6"/>
        <v>88197.894111346133</v>
      </c>
      <c r="L45" s="106">
        <f t="shared" si="6"/>
        <v>73038.199226859942</v>
      </c>
      <c r="M45" s="106">
        <f t="shared" si="6"/>
        <v>73159.203621154316</v>
      </c>
      <c r="N45" s="106">
        <f t="shared" si="6"/>
        <v>71875.265410895809</v>
      </c>
      <c r="O45" s="106">
        <f t="shared" si="6"/>
        <v>74336.618843063188</v>
      </c>
      <c r="P45" s="106">
        <f t="shared" si="6"/>
        <v>75176.223646246362</v>
      </c>
      <c r="Q45" s="106">
        <f t="shared" si="6"/>
        <v>74278.145392668332</v>
      </c>
      <c r="R45" s="106">
        <f t="shared" si="6"/>
        <v>73177.096610107081</v>
      </c>
      <c r="S45" s="106">
        <f t="shared" si="6"/>
        <v>68370.991930404198</v>
      </c>
      <c r="T45" s="106">
        <f t="shared" si="6"/>
        <v>60886.175810949309</v>
      </c>
      <c r="U45" s="106">
        <f t="shared" si="6"/>
        <v>54557.156619002992</v>
      </c>
      <c r="V45" s="106">
        <f t="shared" si="6"/>
        <v>49299.552785316562</v>
      </c>
      <c r="W45" s="106">
        <f t="shared" si="6"/>
        <v>44586.79995676627</v>
      </c>
      <c r="X45" s="106">
        <f t="shared" si="6"/>
        <v>43092.179981714951</v>
      </c>
      <c r="Y45" s="106">
        <f t="shared" si="6"/>
        <v>38808.227812551049</v>
      </c>
      <c r="Z45" s="106">
        <f t="shared" si="6"/>
        <v>34136.820894598699</v>
      </c>
      <c r="AA45" s="106">
        <f t="shared" si="6"/>
        <v>29425.153103014556</v>
      </c>
    </row>
    <row r="46" spans="1:27" x14ac:dyDescent="0.25">
      <c r="E46" s="106" t="str">
        <f t="shared" ref="E46:E48" si="7">E38</f>
        <v>Pumps / Valves</v>
      </c>
      <c r="F46" s="47" t="s">
        <v>639</v>
      </c>
      <c r="G46" s="106">
        <f t="shared" ref="G46:AA48" si="8">G38/$G8+IF((G$2-$G8+1)&gt;0,-INDEX($G38:$AP38,1,(G$2-$G8+1))/$G8,0)</f>
        <v>0</v>
      </c>
      <c r="H46" s="106">
        <f t="shared" si="8"/>
        <v>0</v>
      </c>
      <c r="I46" s="106">
        <f t="shared" si="8"/>
        <v>0</v>
      </c>
      <c r="J46" s="106">
        <f t="shared" si="8"/>
        <v>0</v>
      </c>
      <c r="K46" s="106">
        <f t="shared" si="8"/>
        <v>0</v>
      </c>
      <c r="L46" s="106">
        <f t="shared" si="8"/>
        <v>0</v>
      </c>
      <c r="M46" s="106">
        <f t="shared" si="8"/>
        <v>0</v>
      </c>
      <c r="N46" s="106">
        <f t="shared" si="8"/>
        <v>0</v>
      </c>
      <c r="O46" s="106">
        <f t="shared" si="8"/>
        <v>0</v>
      </c>
      <c r="P46" s="106">
        <f t="shared" si="8"/>
        <v>0</v>
      </c>
      <c r="Q46" s="106">
        <f t="shared" si="8"/>
        <v>0</v>
      </c>
      <c r="R46" s="106">
        <f t="shared" si="8"/>
        <v>0</v>
      </c>
      <c r="S46" s="106">
        <f t="shared" si="8"/>
        <v>0</v>
      </c>
      <c r="T46" s="106">
        <f t="shared" si="8"/>
        <v>0</v>
      </c>
      <c r="U46" s="106">
        <f t="shared" si="8"/>
        <v>0</v>
      </c>
      <c r="V46" s="106">
        <f t="shared" si="8"/>
        <v>0</v>
      </c>
      <c r="W46" s="106">
        <f t="shared" si="8"/>
        <v>0</v>
      </c>
      <c r="X46" s="106">
        <f t="shared" si="8"/>
        <v>0</v>
      </c>
      <c r="Y46" s="106">
        <f t="shared" si="8"/>
        <v>0</v>
      </c>
      <c r="Z46" s="106">
        <f t="shared" si="8"/>
        <v>0</v>
      </c>
      <c r="AA46" s="106">
        <f t="shared" si="8"/>
        <v>0</v>
      </c>
    </row>
    <row r="47" spans="1:27" x14ac:dyDescent="0.25">
      <c r="E47" s="106" t="str">
        <f t="shared" si="7"/>
        <v>Treatment</v>
      </c>
      <c r="F47" s="47" t="s">
        <v>639</v>
      </c>
      <c r="G47" s="106">
        <f t="shared" si="8"/>
        <v>0</v>
      </c>
      <c r="H47" s="106">
        <f t="shared" si="8"/>
        <v>0</v>
      </c>
      <c r="I47" s="106">
        <f t="shared" si="8"/>
        <v>0</v>
      </c>
      <c r="J47" s="106">
        <f t="shared" si="8"/>
        <v>0</v>
      </c>
      <c r="K47" s="106">
        <f t="shared" si="8"/>
        <v>0</v>
      </c>
      <c r="L47" s="106">
        <f t="shared" si="8"/>
        <v>0</v>
      </c>
      <c r="M47" s="106">
        <f t="shared" si="8"/>
        <v>0</v>
      </c>
      <c r="N47" s="106">
        <f t="shared" si="8"/>
        <v>0</v>
      </c>
      <c r="O47" s="106">
        <f t="shared" si="8"/>
        <v>0</v>
      </c>
      <c r="P47" s="106">
        <f t="shared" si="8"/>
        <v>0</v>
      </c>
      <c r="Q47" s="106">
        <f t="shared" si="8"/>
        <v>0</v>
      </c>
      <c r="R47" s="106">
        <f t="shared" si="8"/>
        <v>0</v>
      </c>
      <c r="S47" s="106">
        <f t="shared" si="8"/>
        <v>0</v>
      </c>
      <c r="T47" s="106">
        <f t="shared" si="8"/>
        <v>0</v>
      </c>
      <c r="U47" s="106">
        <f t="shared" si="8"/>
        <v>0</v>
      </c>
      <c r="V47" s="106">
        <f t="shared" si="8"/>
        <v>0</v>
      </c>
      <c r="W47" s="106">
        <f t="shared" si="8"/>
        <v>0</v>
      </c>
      <c r="X47" s="106">
        <f t="shared" si="8"/>
        <v>0</v>
      </c>
      <c r="Y47" s="106">
        <f t="shared" si="8"/>
        <v>0</v>
      </c>
      <c r="Z47" s="106">
        <f t="shared" si="8"/>
        <v>0</v>
      </c>
      <c r="AA47" s="106">
        <f t="shared" si="8"/>
        <v>0</v>
      </c>
    </row>
    <row r="48" spans="1:27" x14ac:dyDescent="0.25">
      <c r="E48" s="106" t="str">
        <f t="shared" si="7"/>
        <v>Temporary Assets</v>
      </c>
      <c r="F48" s="47" t="s">
        <v>639</v>
      </c>
      <c r="G48" s="106">
        <f t="shared" si="8"/>
        <v>0</v>
      </c>
      <c r="H48" s="106">
        <f t="shared" si="8"/>
        <v>0</v>
      </c>
      <c r="I48" s="106">
        <f t="shared" si="8"/>
        <v>0</v>
      </c>
      <c r="J48" s="106">
        <f t="shared" si="8"/>
        <v>0</v>
      </c>
      <c r="K48" s="106">
        <f t="shared" si="8"/>
        <v>0</v>
      </c>
      <c r="L48" s="106">
        <f t="shared" si="8"/>
        <v>0</v>
      </c>
      <c r="M48" s="106">
        <f t="shared" si="8"/>
        <v>0</v>
      </c>
      <c r="N48" s="106">
        <f t="shared" si="8"/>
        <v>0</v>
      </c>
      <c r="O48" s="106">
        <f t="shared" si="8"/>
        <v>0</v>
      </c>
      <c r="P48" s="106">
        <f t="shared" si="8"/>
        <v>0</v>
      </c>
      <c r="Q48" s="106">
        <f t="shared" si="8"/>
        <v>0</v>
      </c>
      <c r="R48" s="106">
        <f t="shared" si="8"/>
        <v>0</v>
      </c>
      <c r="S48" s="106">
        <f t="shared" si="8"/>
        <v>0</v>
      </c>
      <c r="T48" s="106">
        <f t="shared" si="8"/>
        <v>0</v>
      </c>
      <c r="U48" s="106">
        <f t="shared" si="8"/>
        <v>0</v>
      </c>
      <c r="V48" s="106">
        <f t="shared" si="8"/>
        <v>0</v>
      </c>
      <c r="W48" s="106">
        <f t="shared" si="8"/>
        <v>0</v>
      </c>
      <c r="X48" s="106">
        <f t="shared" si="8"/>
        <v>0</v>
      </c>
      <c r="Y48" s="106">
        <f t="shared" si="8"/>
        <v>0</v>
      </c>
      <c r="Z48" s="106">
        <f t="shared" si="8"/>
        <v>0</v>
      </c>
      <c r="AA48" s="106">
        <f t="shared" si="8"/>
        <v>0</v>
      </c>
    </row>
    <row r="49" spans="1:27" x14ac:dyDescent="0.25">
      <c r="G49" s="106"/>
      <c r="H49" s="106"/>
      <c r="I49" s="106"/>
      <c r="J49" s="106"/>
      <c r="K49" s="106"/>
      <c r="L49" s="106"/>
      <c r="M49" s="106"/>
      <c r="N49" s="106"/>
      <c r="O49" s="106"/>
      <c r="P49" s="106"/>
      <c r="Q49" s="106"/>
    </row>
    <row r="50" spans="1:27" x14ac:dyDescent="0.25">
      <c r="D50" s="47" t="s">
        <v>644</v>
      </c>
      <c r="F50" s="47" t="s">
        <v>639</v>
      </c>
      <c r="G50" s="106">
        <f>SUM($G$45:G48)</f>
        <v>0</v>
      </c>
      <c r="H50" s="106">
        <f>SUM($G$45:H48)</f>
        <v>78653.70210056458</v>
      </c>
      <c r="I50" s="106">
        <f>SUM($G$45:I48)</f>
        <v>159771.62407895297</v>
      </c>
      <c r="J50" s="106">
        <f>SUM($G$45:J48)</f>
        <v>244928.10933876951</v>
      </c>
      <c r="K50" s="106">
        <f>SUM($G$45:K48)</f>
        <v>333126.00345011568</v>
      </c>
      <c r="L50" s="106">
        <f>SUM($G$45:L48)</f>
        <v>406164.20267697563</v>
      </c>
      <c r="M50" s="106">
        <f>SUM($G$45:M48)</f>
        <v>479323.40629812994</v>
      </c>
      <c r="N50" s="106">
        <f>SUM($G$45:N48)</f>
        <v>551198.67170902574</v>
      </c>
      <c r="O50" s="106">
        <f>SUM($G$45:O48)</f>
        <v>625535.29055208899</v>
      </c>
      <c r="P50" s="106">
        <f>SUM($G$45:P48)</f>
        <v>700711.51419833535</v>
      </c>
      <c r="Q50" s="106">
        <f>SUM($G$45:Q48)</f>
        <v>774989.65959100367</v>
      </c>
      <c r="R50" s="106">
        <f>SUM($G$45:R48)</f>
        <v>848166.75620111078</v>
      </c>
      <c r="S50" s="106">
        <f>SUM($G$45:S48)</f>
        <v>916537.74813151499</v>
      </c>
      <c r="T50" s="106">
        <f>SUM($G$45:T48)</f>
        <v>977423.92394246429</v>
      </c>
      <c r="U50" s="106">
        <f>SUM($G$45:U48)</f>
        <v>1031981.0805614673</v>
      </c>
      <c r="V50" s="106">
        <f>SUM($G$45:V48)</f>
        <v>1081280.6333467839</v>
      </c>
      <c r="W50" s="106">
        <f>SUM($G$45:W48)</f>
        <v>1125867.4333035501</v>
      </c>
      <c r="X50" s="106">
        <f>SUM($G$45:X48)</f>
        <v>1168959.6132852652</v>
      </c>
      <c r="Y50" s="106">
        <f>SUM($G$45:Y48)</f>
        <v>1207767.8410978161</v>
      </c>
      <c r="Z50" s="106">
        <f>SUM($G$45:Z48)</f>
        <v>1241904.6619924149</v>
      </c>
      <c r="AA50" s="106">
        <f>SUM($G$45:AA48)</f>
        <v>1271329.8150954293</v>
      </c>
    </row>
    <row r="51" spans="1:27" x14ac:dyDescent="0.25">
      <c r="G51" s="106"/>
      <c r="H51" s="106"/>
      <c r="I51" s="106"/>
      <c r="J51" s="106"/>
      <c r="K51" s="106"/>
      <c r="L51" s="106"/>
      <c r="M51" s="106"/>
      <c r="N51" s="106"/>
      <c r="O51" s="106"/>
      <c r="P51" s="106"/>
      <c r="Q51" s="106"/>
      <c r="R51" s="106"/>
      <c r="S51" s="106"/>
      <c r="T51" s="106"/>
      <c r="U51" s="106"/>
      <c r="V51" s="106"/>
      <c r="W51" s="106"/>
      <c r="X51" s="106"/>
      <c r="Y51" s="106"/>
      <c r="Z51" s="106"/>
      <c r="AA51" s="106"/>
    </row>
    <row r="52" spans="1:27" x14ac:dyDescent="0.25">
      <c r="A52" s="101">
        <v>12</v>
      </c>
      <c r="C52" s="100" t="s">
        <v>645</v>
      </c>
      <c r="G52" s="106"/>
      <c r="H52" s="106"/>
      <c r="I52" s="106"/>
      <c r="J52" s="106"/>
      <c r="K52" s="106"/>
      <c r="L52" s="106"/>
      <c r="M52" s="106"/>
      <c r="N52" s="106"/>
      <c r="O52" s="106"/>
      <c r="P52" s="106"/>
      <c r="Q52" s="106"/>
      <c r="R52" s="106"/>
      <c r="S52" s="106"/>
      <c r="T52" s="106"/>
      <c r="U52" s="106"/>
      <c r="V52" s="106"/>
      <c r="W52" s="106"/>
      <c r="X52" s="106"/>
      <c r="Y52" s="106"/>
      <c r="Z52" s="106"/>
      <c r="AA52" s="106"/>
    </row>
    <row r="53" spans="1:27" x14ac:dyDescent="0.25">
      <c r="E53" s="47" t="s">
        <v>645</v>
      </c>
      <c r="F53" s="47" t="s">
        <v>639</v>
      </c>
      <c r="G53" s="102"/>
      <c r="H53" s="102"/>
      <c r="I53" s="102"/>
      <c r="J53" s="102"/>
      <c r="K53" s="102"/>
      <c r="L53" s="102"/>
      <c r="M53" s="102"/>
      <c r="N53" s="102"/>
      <c r="O53" s="102"/>
      <c r="P53" s="102"/>
      <c r="Q53" s="102"/>
      <c r="R53" s="102"/>
      <c r="S53" s="102"/>
      <c r="T53" s="102"/>
      <c r="U53" s="102"/>
      <c r="V53" s="102"/>
      <c r="W53" s="102"/>
      <c r="X53" s="102"/>
      <c r="Y53" s="102"/>
      <c r="Z53" s="102"/>
      <c r="AA53" s="102"/>
    </row>
    <row r="55" spans="1:27" x14ac:dyDescent="0.25">
      <c r="C55" s="100" t="s">
        <v>646</v>
      </c>
      <c r="D55" s="100"/>
    </row>
    <row r="56" spans="1:27" x14ac:dyDescent="0.25">
      <c r="A56" s="101">
        <v>13</v>
      </c>
      <c r="D56" s="47" t="s">
        <v>647</v>
      </c>
    </row>
    <row r="57" spans="1:27" x14ac:dyDescent="0.25">
      <c r="E57" s="106" t="str">
        <f>E7</f>
        <v>Pipes / Storage</v>
      </c>
      <c r="F57" s="47" t="s">
        <v>639</v>
      </c>
      <c r="G57" s="102"/>
      <c r="H57" s="102"/>
      <c r="I57" s="102"/>
      <c r="J57" s="102"/>
      <c r="K57" s="102"/>
      <c r="L57" s="102"/>
      <c r="M57" s="102"/>
      <c r="N57" s="102"/>
      <c r="O57" s="102"/>
      <c r="P57" s="102"/>
      <c r="Q57" s="102"/>
      <c r="R57" s="102"/>
      <c r="S57" s="102"/>
      <c r="T57" s="102"/>
      <c r="U57" s="102"/>
      <c r="V57" s="102"/>
      <c r="W57" s="102"/>
      <c r="X57" s="102"/>
      <c r="Y57" s="102"/>
      <c r="Z57" s="102"/>
      <c r="AA57" s="102"/>
    </row>
    <row r="58" spans="1:27" x14ac:dyDescent="0.25">
      <c r="E58" s="106" t="str">
        <f>E8</f>
        <v>Pumps / Valves</v>
      </c>
      <c r="F58" s="47" t="s">
        <v>639</v>
      </c>
      <c r="G58" s="102"/>
      <c r="H58" s="102"/>
      <c r="I58" s="102"/>
      <c r="J58" s="102"/>
      <c r="K58" s="102"/>
      <c r="L58" s="102"/>
      <c r="M58" s="102"/>
      <c r="N58" s="102"/>
      <c r="O58" s="102"/>
      <c r="P58" s="102"/>
      <c r="Q58" s="102"/>
      <c r="R58" s="102"/>
      <c r="S58" s="102"/>
      <c r="T58" s="102"/>
      <c r="U58" s="102"/>
      <c r="V58" s="102"/>
      <c r="W58" s="102"/>
      <c r="X58" s="102"/>
      <c r="Y58" s="102"/>
      <c r="Z58" s="102"/>
      <c r="AA58" s="102"/>
    </row>
    <row r="59" spans="1:27" x14ac:dyDescent="0.25">
      <c r="E59" s="106" t="str">
        <f>E9</f>
        <v>Treatment</v>
      </c>
      <c r="F59" s="47" t="s">
        <v>639</v>
      </c>
      <c r="G59" s="102"/>
      <c r="H59" s="102"/>
      <c r="I59" s="102"/>
      <c r="J59" s="102"/>
      <c r="K59" s="102"/>
      <c r="L59" s="102"/>
      <c r="M59" s="102"/>
      <c r="N59" s="102"/>
      <c r="O59" s="102"/>
      <c r="P59" s="102"/>
      <c r="Q59" s="102"/>
      <c r="R59" s="102"/>
      <c r="S59" s="102"/>
      <c r="T59" s="102"/>
      <c r="U59" s="102"/>
      <c r="V59" s="102"/>
      <c r="W59" s="102"/>
      <c r="X59" s="102"/>
      <c r="Y59" s="102"/>
      <c r="Z59" s="102"/>
      <c r="AA59" s="102"/>
    </row>
    <row r="60" spans="1:27" x14ac:dyDescent="0.25">
      <c r="E60" s="47" t="s">
        <v>640</v>
      </c>
      <c r="F60" s="47" t="s">
        <v>639</v>
      </c>
      <c r="G60" s="102"/>
      <c r="H60" s="102"/>
      <c r="I60" s="102"/>
      <c r="J60" s="102"/>
      <c r="K60" s="102"/>
      <c r="L60" s="102"/>
      <c r="M60" s="102"/>
      <c r="N60" s="102"/>
      <c r="O60" s="102"/>
      <c r="P60" s="102"/>
      <c r="Q60" s="102"/>
      <c r="R60" s="102"/>
      <c r="S60" s="102"/>
      <c r="T60" s="102"/>
      <c r="U60" s="102"/>
      <c r="V60" s="102"/>
      <c r="W60" s="102"/>
      <c r="X60" s="102"/>
      <c r="Y60" s="102"/>
      <c r="Z60" s="102"/>
      <c r="AA60" s="102"/>
    </row>
    <row r="61" spans="1:27" x14ac:dyDescent="0.25">
      <c r="G61" s="106">
        <f>SUM(G57:G60)</f>
        <v>0</v>
      </c>
      <c r="H61" s="106">
        <f t="shared" ref="H61:AA61" si="9">SUM(H57:H60)</f>
        <v>0</v>
      </c>
      <c r="I61" s="106">
        <f t="shared" si="9"/>
        <v>0</v>
      </c>
      <c r="J61" s="106">
        <f t="shared" si="9"/>
        <v>0</v>
      </c>
      <c r="K61" s="106">
        <f t="shared" si="9"/>
        <v>0</v>
      </c>
      <c r="L61" s="106">
        <f t="shared" si="9"/>
        <v>0</v>
      </c>
      <c r="M61" s="106">
        <f t="shared" si="9"/>
        <v>0</v>
      </c>
      <c r="N61" s="106">
        <f t="shared" si="9"/>
        <v>0</v>
      </c>
      <c r="O61" s="106">
        <f t="shared" si="9"/>
        <v>0</v>
      </c>
      <c r="P61" s="106">
        <f t="shared" si="9"/>
        <v>0</v>
      </c>
      <c r="Q61" s="106">
        <f t="shared" si="9"/>
        <v>0</v>
      </c>
      <c r="R61" s="106">
        <f t="shared" si="9"/>
        <v>0</v>
      </c>
      <c r="S61" s="106">
        <f t="shared" si="9"/>
        <v>0</v>
      </c>
      <c r="T61" s="106">
        <f t="shared" si="9"/>
        <v>0</v>
      </c>
      <c r="U61" s="106">
        <f t="shared" si="9"/>
        <v>0</v>
      </c>
      <c r="V61" s="106">
        <f t="shared" si="9"/>
        <v>0</v>
      </c>
      <c r="W61" s="106">
        <f t="shared" si="9"/>
        <v>0</v>
      </c>
      <c r="X61" s="106">
        <f t="shared" si="9"/>
        <v>0</v>
      </c>
      <c r="Y61" s="106">
        <f t="shared" si="9"/>
        <v>0</v>
      </c>
      <c r="Z61" s="106">
        <f t="shared" si="9"/>
        <v>0</v>
      </c>
      <c r="AA61" s="106">
        <f t="shared" si="9"/>
        <v>0</v>
      </c>
    </row>
    <row r="63" spans="1:27" x14ac:dyDescent="0.25">
      <c r="D63" s="47" t="s">
        <v>648</v>
      </c>
      <c r="G63" s="106"/>
      <c r="H63" s="106"/>
      <c r="I63" s="106"/>
      <c r="J63" s="106"/>
      <c r="K63" s="106"/>
      <c r="L63" s="106"/>
      <c r="M63" s="106"/>
      <c r="N63" s="106"/>
      <c r="O63" s="106"/>
      <c r="P63" s="106"/>
      <c r="Q63" s="106"/>
    </row>
    <row r="64" spans="1:27" x14ac:dyDescent="0.25">
      <c r="E64" s="106" t="str">
        <f>E57</f>
        <v>Pipes / Storage</v>
      </c>
      <c r="F64" s="47" t="s">
        <v>639</v>
      </c>
      <c r="G64" s="106">
        <f>G57/$G7+IF((G$2-$G7+1)&gt;0,-INDEX($G57:$AP57,1,(G$2-$G7+1))/$G7,0)</f>
        <v>0</v>
      </c>
      <c r="H64" s="106">
        <f t="shared" ref="H64:AA64" si="10">H57/$G7+IF((H$2-$G7+1)&gt;0,-INDEX($G57:$AP57,1,(H$2-$G7+1))/$G7,0)</f>
        <v>0</v>
      </c>
      <c r="I64" s="106">
        <f t="shared" si="10"/>
        <v>0</v>
      </c>
      <c r="J64" s="106">
        <f t="shared" si="10"/>
        <v>0</v>
      </c>
      <c r="K64" s="106">
        <f t="shared" si="10"/>
        <v>0</v>
      </c>
      <c r="L64" s="106">
        <f t="shared" si="10"/>
        <v>0</v>
      </c>
      <c r="M64" s="106">
        <f t="shared" si="10"/>
        <v>0</v>
      </c>
      <c r="N64" s="106">
        <f t="shared" si="10"/>
        <v>0</v>
      </c>
      <c r="O64" s="106">
        <f t="shared" si="10"/>
        <v>0</v>
      </c>
      <c r="P64" s="106">
        <f t="shared" si="10"/>
        <v>0</v>
      </c>
      <c r="Q64" s="106">
        <f t="shared" si="10"/>
        <v>0</v>
      </c>
      <c r="R64" s="106">
        <f t="shared" si="10"/>
        <v>0</v>
      </c>
      <c r="S64" s="106">
        <f t="shared" si="10"/>
        <v>0</v>
      </c>
      <c r="T64" s="106">
        <f t="shared" si="10"/>
        <v>0</v>
      </c>
      <c r="U64" s="106">
        <f t="shared" si="10"/>
        <v>0</v>
      </c>
      <c r="V64" s="106">
        <f t="shared" si="10"/>
        <v>0</v>
      </c>
      <c r="W64" s="106">
        <f t="shared" si="10"/>
        <v>0</v>
      </c>
      <c r="X64" s="106">
        <f t="shared" si="10"/>
        <v>0</v>
      </c>
      <c r="Y64" s="106">
        <f t="shared" si="10"/>
        <v>0</v>
      </c>
      <c r="Z64" s="106">
        <f t="shared" si="10"/>
        <v>0</v>
      </c>
      <c r="AA64" s="106">
        <f t="shared" si="10"/>
        <v>0</v>
      </c>
    </row>
    <row r="65" spans="1:27" x14ac:dyDescent="0.25">
      <c r="E65" s="106" t="str">
        <f t="shared" ref="E65:E66" si="11">E58</f>
        <v>Pumps / Valves</v>
      </c>
      <c r="F65" s="47" t="s">
        <v>639</v>
      </c>
      <c r="G65" s="106">
        <f t="shared" ref="G65:AA66" si="12">G58/$G8+IF((G$2-$G8+1)&gt;0,-INDEX($G58:$AP58,1,(G$2-$G8+1))/$G8,0)</f>
        <v>0</v>
      </c>
      <c r="H65" s="106">
        <f t="shared" si="12"/>
        <v>0</v>
      </c>
      <c r="I65" s="106">
        <f t="shared" si="12"/>
        <v>0</v>
      </c>
      <c r="J65" s="106">
        <f t="shared" si="12"/>
        <v>0</v>
      </c>
      <c r="K65" s="106">
        <f t="shared" si="12"/>
        <v>0</v>
      </c>
      <c r="L65" s="106">
        <f t="shared" si="12"/>
        <v>0</v>
      </c>
      <c r="M65" s="106">
        <f t="shared" si="12"/>
        <v>0</v>
      </c>
      <c r="N65" s="106">
        <f t="shared" si="12"/>
        <v>0</v>
      </c>
      <c r="O65" s="106">
        <f t="shared" si="12"/>
        <v>0</v>
      </c>
      <c r="P65" s="106">
        <f t="shared" si="12"/>
        <v>0</v>
      </c>
      <c r="Q65" s="106">
        <f t="shared" si="12"/>
        <v>0</v>
      </c>
      <c r="R65" s="106">
        <f t="shared" si="12"/>
        <v>0</v>
      </c>
      <c r="S65" s="106">
        <f t="shared" si="12"/>
        <v>0</v>
      </c>
      <c r="T65" s="106">
        <f t="shared" si="12"/>
        <v>0</v>
      </c>
      <c r="U65" s="106">
        <f t="shared" si="12"/>
        <v>0</v>
      </c>
      <c r="V65" s="106">
        <f t="shared" si="12"/>
        <v>0</v>
      </c>
      <c r="W65" s="106">
        <f t="shared" si="12"/>
        <v>0</v>
      </c>
      <c r="X65" s="106">
        <f t="shared" si="12"/>
        <v>0</v>
      </c>
      <c r="Y65" s="106">
        <f t="shared" si="12"/>
        <v>0</v>
      </c>
      <c r="Z65" s="106">
        <f t="shared" si="12"/>
        <v>0</v>
      </c>
      <c r="AA65" s="106">
        <f t="shared" si="12"/>
        <v>0</v>
      </c>
    </row>
    <row r="66" spans="1:27" x14ac:dyDescent="0.25">
      <c r="E66" s="106" t="str">
        <f t="shared" si="11"/>
        <v>Treatment</v>
      </c>
      <c r="F66" s="47" t="s">
        <v>639</v>
      </c>
      <c r="G66" s="106">
        <f t="shared" si="12"/>
        <v>0</v>
      </c>
      <c r="H66" s="106">
        <f t="shared" si="12"/>
        <v>0</v>
      </c>
      <c r="I66" s="106">
        <f t="shared" si="12"/>
        <v>0</v>
      </c>
      <c r="J66" s="106">
        <f t="shared" si="12"/>
        <v>0</v>
      </c>
      <c r="K66" s="106">
        <f t="shared" si="12"/>
        <v>0</v>
      </c>
      <c r="L66" s="106">
        <f t="shared" si="12"/>
        <v>0</v>
      </c>
      <c r="M66" s="106">
        <f t="shared" si="12"/>
        <v>0</v>
      </c>
      <c r="N66" s="106">
        <f t="shared" si="12"/>
        <v>0</v>
      </c>
      <c r="O66" s="106">
        <f t="shared" si="12"/>
        <v>0</v>
      </c>
      <c r="P66" s="106">
        <f t="shared" si="12"/>
        <v>0</v>
      </c>
      <c r="Q66" s="106">
        <f t="shared" si="12"/>
        <v>0</v>
      </c>
      <c r="R66" s="106">
        <f t="shared" si="12"/>
        <v>0</v>
      </c>
      <c r="S66" s="106">
        <f t="shared" si="12"/>
        <v>0</v>
      </c>
      <c r="T66" s="106">
        <f t="shared" si="12"/>
        <v>0</v>
      </c>
      <c r="U66" s="106">
        <f t="shared" si="12"/>
        <v>0</v>
      </c>
      <c r="V66" s="106">
        <f t="shared" si="12"/>
        <v>0</v>
      </c>
      <c r="W66" s="106">
        <f t="shared" si="12"/>
        <v>0</v>
      </c>
      <c r="X66" s="106">
        <f t="shared" si="12"/>
        <v>0</v>
      </c>
      <c r="Y66" s="106">
        <f t="shared" si="12"/>
        <v>0</v>
      </c>
      <c r="Z66" s="106">
        <f t="shared" si="12"/>
        <v>0</v>
      </c>
      <c r="AA66" s="106">
        <f t="shared" si="12"/>
        <v>0</v>
      </c>
    </row>
    <row r="68" spans="1:27" x14ac:dyDescent="0.25">
      <c r="D68" s="47" t="s">
        <v>649</v>
      </c>
      <c r="F68" s="47" t="s">
        <v>639</v>
      </c>
      <c r="G68" s="106">
        <f>SUM($G$64:G66)</f>
        <v>0</v>
      </c>
      <c r="H68" s="106">
        <f>SUM($G$64:H66)</f>
        <v>0</v>
      </c>
      <c r="I68" s="106">
        <f>SUM($G$64:I66)</f>
        <v>0</v>
      </c>
      <c r="J68" s="106">
        <f>SUM($G$64:J66)</f>
        <v>0</v>
      </c>
      <c r="K68" s="106">
        <f>SUM($G$64:K66)</f>
        <v>0</v>
      </c>
      <c r="L68" s="106">
        <f>SUM($G$64:L66)</f>
        <v>0</v>
      </c>
      <c r="M68" s="106">
        <f>SUM($G$64:M66)</f>
        <v>0</v>
      </c>
      <c r="N68" s="106">
        <f>SUM($G$64:N66)</f>
        <v>0</v>
      </c>
      <c r="O68" s="106">
        <f>SUM($G$64:O66)</f>
        <v>0</v>
      </c>
      <c r="P68" s="106">
        <f>SUM($G$64:P66)</f>
        <v>0</v>
      </c>
      <c r="Q68" s="106">
        <f>SUM($G$64:Q66)</f>
        <v>0</v>
      </c>
      <c r="R68" s="106">
        <f>SUM($G$64:R66)</f>
        <v>0</v>
      </c>
      <c r="S68" s="106">
        <f>SUM($G$64:S66)</f>
        <v>0</v>
      </c>
      <c r="T68" s="106">
        <f>SUM($G$64:T66)</f>
        <v>0</v>
      </c>
      <c r="U68" s="106">
        <f>SUM($G$64:U66)</f>
        <v>0</v>
      </c>
      <c r="V68" s="106">
        <f>SUM($G$64:V66)</f>
        <v>0</v>
      </c>
      <c r="W68" s="106">
        <f>SUM($G$64:W66)</f>
        <v>0</v>
      </c>
      <c r="X68" s="106">
        <f>SUM($G$64:X66)</f>
        <v>0</v>
      </c>
      <c r="Y68" s="106">
        <f>SUM($G$64:Y66)</f>
        <v>0</v>
      </c>
      <c r="Z68" s="106">
        <f>SUM($G$64:Z66)</f>
        <v>0</v>
      </c>
      <c r="AA68" s="106">
        <f>SUM($G$64:AA66)</f>
        <v>0</v>
      </c>
    </row>
    <row r="70" spans="1:27" x14ac:dyDescent="0.25">
      <c r="A70" s="101">
        <v>14</v>
      </c>
      <c r="D70" s="47" t="s">
        <v>650</v>
      </c>
    </row>
    <row r="71" spans="1:27" x14ac:dyDescent="0.25">
      <c r="E71" s="106" t="str">
        <f>E7</f>
        <v>Pipes / Storage</v>
      </c>
      <c r="F71" s="47" t="s">
        <v>639</v>
      </c>
      <c r="G71" s="102"/>
      <c r="H71" s="102"/>
      <c r="I71" s="102"/>
      <c r="J71" s="102"/>
      <c r="K71" s="102"/>
      <c r="L71" s="102"/>
      <c r="M71" s="102"/>
      <c r="N71" s="102"/>
      <c r="O71" s="102"/>
      <c r="P71" s="102"/>
      <c r="Q71" s="102"/>
      <c r="R71" s="102"/>
      <c r="S71" s="102"/>
      <c r="T71" s="102"/>
      <c r="U71" s="102"/>
      <c r="V71" s="102"/>
      <c r="W71" s="102"/>
      <c r="X71" s="102"/>
      <c r="Y71" s="102"/>
      <c r="Z71" s="102"/>
      <c r="AA71" s="102"/>
    </row>
    <row r="72" spans="1:27" x14ac:dyDescent="0.25">
      <c r="E72" s="106" t="str">
        <f>E8</f>
        <v>Pumps / Valves</v>
      </c>
      <c r="F72" s="47" t="s">
        <v>639</v>
      </c>
      <c r="G72" s="102"/>
      <c r="H72" s="102"/>
      <c r="I72" s="102"/>
      <c r="J72" s="102"/>
      <c r="K72" s="102"/>
      <c r="L72" s="102"/>
      <c r="M72" s="102"/>
      <c r="N72" s="102"/>
      <c r="O72" s="102"/>
      <c r="P72" s="102"/>
      <c r="Q72" s="102"/>
      <c r="R72" s="102"/>
      <c r="S72" s="102"/>
      <c r="T72" s="102"/>
      <c r="U72" s="102"/>
      <c r="V72" s="102"/>
      <c r="W72" s="102"/>
      <c r="X72" s="102"/>
      <c r="Y72" s="102"/>
      <c r="Z72" s="102"/>
      <c r="AA72" s="102"/>
    </row>
    <row r="73" spans="1:27" x14ac:dyDescent="0.25">
      <c r="E73" s="106" t="str">
        <f>E9</f>
        <v>Treatment</v>
      </c>
      <c r="F73" s="47" t="s">
        <v>639</v>
      </c>
      <c r="G73" s="102"/>
      <c r="H73" s="102"/>
      <c r="I73" s="102"/>
      <c r="J73" s="102"/>
      <c r="K73" s="102"/>
      <c r="L73" s="102"/>
      <c r="M73" s="102"/>
      <c r="N73" s="102"/>
      <c r="O73" s="102"/>
      <c r="P73" s="102"/>
      <c r="Q73" s="102"/>
      <c r="R73" s="102"/>
      <c r="S73" s="102"/>
      <c r="T73" s="102"/>
      <c r="U73" s="102"/>
      <c r="V73" s="102"/>
      <c r="W73" s="102"/>
      <c r="X73" s="102"/>
      <c r="Y73" s="102"/>
      <c r="Z73" s="102"/>
      <c r="AA73" s="102"/>
    </row>
    <row r="74" spans="1:27" x14ac:dyDescent="0.25">
      <c r="E74" s="47" t="s">
        <v>640</v>
      </c>
      <c r="F74" s="47" t="s">
        <v>639</v>
      </c>
      <c r="G74" s="102"/>
      <c r="H74" s="102"/>
      <c r="I74" s="102"/>
      <c r="J74" s="102"/>
      <c r="K74" s="102"/>
      <c r="L74" s="102"/>
      <c r="M74" s="102"/>
      <c r="N74" s="102"/>
      <c r="O74" s="102"/>
      <c r="P74" s="102"/>
      <c r="Q74" s="102"/>
      <c r="R74" s="102"/>
      <c r="S74" s="102"/>
      <c r="T74" s="102"/>
      <c r="U74" s="102"/>
      <c r="V74" s="102"/>
      <c r="W74" s="102"/>
      <c r="X74" s="102"/>
      <c r="Y74" s="102"/>
      <c r="Z74" s="102"/>
      <c r="AA74" s="102"/>
    </row>
    <row r="75" spans="1:27" x14ac:dyDescent="0.25">
      <c r="G75" s="106">
        <f>SUM(G71:G74)</f>
        <v>0</v>
      </c>
      <c r="H75" s="106">
        <f t="shared" ref="H75:AA75" si="13">SUM(H71:H74)</f>
        <v>0</v>
      </c>
      <c r="I75" s="106">
        <f t="shared" si="13"/>
        <v>0</v>
      </c>
      <c r="J75" s="106">
        <f t="shared" si="13"/>
        <v>0</v>
      </c>
      <c r="K75" s="106">
        <f t="shared" si="13"/>
        <v>0</v>
      </c>
      <c r="L75" s="106">
        <f t="shared" si="13"/>
        <v>0</v>
      </c>
      <c r="M75" s="106">
        <f t="shared" si="13"/>
        <v>0</v>
      </c>
      <c r="N75" s="106">
        <f t="shared" si="13"/>
        <v>0</v>
      </c>
      <c r="O75" s="106">
        <f t="shared" si="13"/>
        <v>0</v>
      </c>
      <c r="P75" s="106">
        <f t="shared" si="13"/>
        <v>0</v>
      </c>
      <c r="Q75" s="106">
        <f t="shared" si="13"/>
        <v>0</v>
      </c>
      <c r="R75" s="106">
        <f t="shared" si="13"/>
        <v>0</v>
      </c>
      <c r="S75" s="106">
        <f t="shared" si="13"/>
        <v>0</v>
      </c>
      <c r="T75" s="106">
        <f t="shared" si="13"/>
        <v>0</v>
      </c>
      <c r="U75" s="106">
        <f t="shared" si="13"/>
        <v>0</v>
      </c>
      <c r="V75" s="106">
        <f t="shared" si="13"/>
        <v>0</v>
      </c>
      <c r="W75" s="106">
        <f t="shared" si="13"/>
        <v>0</v>
      </c>
      <c r="X75" s="106">
        <f t="shared" si="13"/>
        <v>0</v>
      </c>
      <c r="Y75" s="106">
        <f t="shared" si="13"/>
        <v>0</v>
      </c>
      <c r="Z75" s="106">
        <f t="shared" si="13"/>
        <v>0</v>
      </c>
      <c r="AA75" s="106">
        <f t="shared" si="13"/>
        <v>0</v>
      </c>
    </row>
    <row r="76" spans="1:27" x14ac:dyDescent="0.25">
      <c r="G76" s="106"/>
      <c r="H76" s="106"/>
      <c r="I76" s="106"/>
      <c r="J76" s="106"/>
      <c r="K76" s="106"/>
      <c r="L76" s="106"/>
      <c r="M76" s="106"/>
      <c r="N76" s="106"/>
      <c r="O76" s="106"/>
      <c r="P76" s="106"/>
      <c r="Q76" s="106"/>
      <c r="R76" s="106"/>
      <c r="S76" s="106"/>
      <c r="T76" s="106"/>
      <c r="U76" s="106"/>
      <c r="V76" s="106"/>
      <c r="W76" s="106"/>
      <c r="X76" s="106"/>
      <c r="Y76" s="106"/>
      <c r="Z76" s="106"/>
      <c r="AA76" s="106"/>
    </row>
    <row r="77" spans="1:27" x14ac:dyDescent="0.25">
      <c r="D77" s="47" t="s">
        <v>648</v>
      </c>
      <c r="G77" s="106"/>
      <c r="H77" s="106"/>
      <c r="I77" s="106"/>
      <c r="J77" s="106"/>
      <c r="K77" s="106"/>
      <c r="L77" s="106"/>
      <c r="M77" s="106"/>
      <c r="N77" s="106"/>
      <c r="O77" s="106"/>
      <c r="P77" s="106"/>
      <c r="Q77" s="106"/>
    </row>
    <row r="78" spans="1:27" x14ac:dyDescent="0.25">
      <c r="E78" s="106" t="str">
        <f>E71</f>
        <v>Pipes / Storage</v>
      </c>
      <c r="F78" s="47" t="s">
        <v>639</v>
      </c>
      <c r="G78" s="106">
        <f t="shared" ref="G78:AA80" si="14">G71/$G7+IF((G$2-$G7+1)&gt;0,-INDEX($G71:$AP71,1,(G$2-$G7+1))/$G7,0)</f>
        <v>0</v>
      </c>
      <c r="H78" s="106">
        <f t="shared" si="14"/>
        <v>0</v>
      </c>
      <c r="I78" s="106">
        <f t="shared" si="14"/>
        <v>0</v>
      </c>
      <c r="J78" s="106">
        <f t="shared" si="14"/>
        <v>0</v>
      </c>
      <c r="K78" s="106">
        <f t="shared" si="14"/>
        <v>0</v>
      </c>
      <c r="L78" s="106">
        <f t="shared" si="14"/>
        <v>0</v>
      </c>
      <c r="M78" s="106">
        <f t="shared" si="14"/>
        <v>0</v>
      </c>
      <c r="N78" s="106">
        <f t="shared" si="14"/>
        <v>0</v>
      </c>
      <c r="O78" s="106">
        <f t="shared" si="14"/>
        <v>0</v>
      </c>
      <c r="P78" s="106">
        <f t="shared" si="14"/>
        <v>0</v>
      </c>
      <c r="Q78" s="106">
        <f t="shared" si="14"/>
        <v>0</v>
      </c>
      <c r="R78" s="106">
        <f t="shared" si="14"/>
        <v>0</v>
      </c>
      <c r="S78" s="106">
        <f t="shared" si="14"/>
        <v>0</v>
      </c>
      <c r="T78" s="106">
        <f t="shared" si="14"/>
        <v>0</v>
      </c>
      <c r="U78" s="106">
        <f t="shared" si="14"/>
        <v>0</v>
      </c>
      <c r="V78" s="106">
        <f t="shared" si="14"/>
        <v>0</v>
      </c>
      <c r="W78" s="106">
        <f t="shared" si="14"/>
        <v>0</v>
      </c>
      <c r="X78" s="106">
        <f t="shared" si="14"/>
        <v>0</v>
      </c>
      <c r="Y78" s="106">
        <f t="shared" si="14"/>
        <v>0</v>
      </c>
      <c r="Z78" s="106">
        <f t="shared" si="14"/>
        <v>0</v>
      </c>
      <c r="AA78" s="106">
        <f t="shared" si="14"/>
        <v>0</v>
      </c>
    </row>
    <row r="79" spans="1:27" x14ac:dyDescent="0.25">
      <c r="E79" s="106" t="str">
        <f t="shared" ref="E79:E80" si="15">E72</f>
        <v>Pumps / Valves</v>
      </c>
      <c r="F79" s="47" t="s">
        <v>639</v>
      </c>
      <c r="G79" s="106">
        <f t="shared" si="14"/>
        <v>0</v>
      </c>
      <c r="H79" s="106">
        <f t="shared" si="14"/>
        <v>0</v>
      </c>
      <c r="I79" s="106">
        <f t="shared" si="14"/>
        <v>0</v>
      </c>
      <c r="J79" s="106">
        <f t="shared" si="14"/>
        <v>0</v>
      </c>
      <c r="K79" s="106">
        <f t="shared" si="14"/>
        <v>0</v>
      </c>
      <c r="L79" s="106">
        <f t="shared" si="14"/>
        <v>0</v>
      </c>
      <c r="M79" s="106">
        <f t="shared" si="14"/>
        <v>0</v>
      </c>
      <c r="N79" s="106">
        <f t="shared" si="14"/>
        <v>0</v>
      </c>
      <c r="O79" s="106">
        <f t="shared" si="14"/>
        <v>0</v>
      </c>
      <c r="P79" s="106">
        <f t="shared" si="14"/>
        <v>0</v>
      </c>
      <c r="Q79" s="106">
        <f t="shared" si="14"/>
        <v>0</v>
      </c>
      <c r="R79" s="106">
        <f t="shared" si="14"/>
        <v>0</v>
      </c>
      <c r="S79" s="106">
        <f t="shared" si="14"/>
        <v>0</v>
      </c>
      <c r="T79" s="106">
        <f t="shared" si="14"/>
        <v>0</v>
      </c>
      <c r="U79" s="106">
        <f t="shared" si="14"/>
        <v>0</v>
      </c>
      <c r="V79" s="106">
        <f t="shared" si="14"/>
        <v>0</v>
      </c>
      <c r="W79" s="106">
        <f t="shared" si="14"/>
        <v>0</v>
      </c>
      <c r="X79" s="106">
        <f t="shared" si="14"/>
        <v>0</v>
      </c>
      <c r="Y79" s="106">
        <f t="shared" si="14"/>
        <v>0</v>
      </c>
      <c r="Z79" s="106">
        <f t="shared" si="14"/>
        <v>0</v>
      </c>
      <c r="AA79" s="106">
        <f t="shared" si="14"/>
        <v>0</v>
      </c>
    </row>
    <row r="80" spans="1:27" x14ac:dyDescent="0.25">
      <c r="E80" s="106" t="str">
        <f t="shared" si="15"/>
        <v>Treatment</v>
      </c>
      <c r="F80" s="47" t="s">
        <v>639</v>
      </c>
      <c r="G80" s="106">
        <f t="shared" si="14"/>
        <v>0</v>
      </c>
      <c r="H80" s="106">
        <f t="shared" si="14"/>
        <v>0</v>
      </c>
      <c r="I80" s="106">
        <f t="shared" si="14"/>
        <v>0</v>
      </c>
      <c r="J80" s="106">
        <f t="shared" si="14"/>
        <v>0</v>
      </c>
      <c r="K80" s="106">
        <f t="shared" si="14"/>
        <v>0</v>
      </c>
      <c r="L80" s="106">
        <f t="shared" si="14"/>
        <v>0</v>
      </c>
      <c r="M80" s="106">
        <f t="shared" si="14"/>
        <v>0</v>
      </c>
      <c r="N80" s="106">
        <f t="shared" si="14"/>
        <v>0</v>
      </c>
      <c r="O80" s="106">
        <f t="shared" si="14"/>
        <v>0</v>
      </c>
      <c r="P80" s="106">
        <f t="shared" si="14"/>
        <v>0</v>
      </c>
      <c r="Q80" s="106">
        <f t="shared" si="14"/>
        <v>0</v>
      </c>
      <c r="R80" s="106">
        <f t="shared" si="14"/>
        <v>0</v>
      </c>
      <c r="S80" s="106">
        <f t="shared" si="14"/>
        <v>0</v>
      </c>
      <c r="T80" s="106">
        <f t="shared" si="14"/>
        <v>0</v>
      </c>
      <c r="U80" s="106">
        <f t="shared" si="14"/>
        <v>0</v>
      </c>
      <c r="V80" s="106">
        <f t="shared" si="14"/>
        <v>0</v>
      </c>
      <c r="W80" s="106">
        <f t="shared" si="14"/>
        <v>0</v>
      </c>
      <c r="X80" s="106">
        <f t="shared" si="14"/>
        <v>0</v>
      </c>
      <c r="Y80" s="106">
        <f t="shared" si="14"/>
        <v>0</v>
      </c>
      <c r="Z80" s="106">
        <f t="shared" si="14"/>
        <v>0</v>
      </c>
      <c r="AA80" s="106">
        <f t="shared" si="14"/>
        <v>0</v>
      </c>
    </row>
    <row r="82" spans="1:27" x14ac:dyDescent="0.25">
      <c r="D82" s="47" t="s">
        <v>649</v>
      </c>
      <c r="F82" s="47" t="s">
        <v>639</v>
      </c>
      <c r="G82" s="106">
        <f>SUM($G$77:G80)</f>
        <v>0</v>
      </c>
      <c r="H82" s="106">
        <f>SUM($G$77:H80)</f>
        <v>0</v>
      </c>
      <c r="I82" s="106">
        <f>SUM($G$77:I80)</f>
        <v>0</v>
      </c>
      <c r="J82" s="106">
        <f>SUM($G$77:J80)</f>
        <v>0</v>
      </c>
      <c r="K82" s="106">
        <f>SUM($G$77:K80)</f>
        <v>0</v>
      </c>
      <c r="L82" s="106">
        <f>SUM($G$77:L80)</f>
        <v>0</v>
      </c>
      <c r="M82" s="106">
        <f>SUM($G$77:M80)</f>
        <v>0</v>
      </c>
      <c r="N82" s="106">
        <f>SUM($G$77:N80)</f>
        <v>0</v>
      </c>
      <c r="O82" s="106">
        <f>SUM($G$77:O80)</f>
        <v>0</v>
      </c>
      <c r="P82" s="106">
        <f>SUM($G$77:P80)</f>
        <v>0</v>
      </c>
      <c r="Q82" s="106">
        <f>SUM($G$77:Q80)</f>
        <v>0</v>
      </c>
      <c r="R82" s="106">
        <f>SUM($G$77:R80)</f>
        <v>0</v>
      </c>
      <c r="S82" s="106">
        <f>SUM($G$77:S80)</f>
        <v>0</v>
      </c>
      <c r="T82" s="106">
        <f>SUM($G$77:T80)</f>
        <v>0</v>
      </c>
      <c r="U82" s="106">
        <f>SUM($G$77:U80)</f>
        <v>0</v>
      </c>
      <c r="V82" s="106">
        <f>SUM($G$77:V80)</f>
        <v>0</v>
      </c>
      <c r="W82" s="106">
        <f>SUM($G$77:W80)</f>
        <v>0</v>
      </c>
      <c r="X82" s="106">
        <f>SUM($G$77:X80)</f>
        <v>0</v>
      </c>
      <c r="Y82" s="106">
        <f>SUM($G$77:Y80)</f>
        <v>0</v>
      </c>
      <c r="Z82" s="106">
        <f>SUM($G$77:Z80)</f>
        <v>0</v>
      </c>
      <c r="AA82" s="106">
        <f>SUM($G$77:AA80)</f>
        <v>0</v>
      </c>
    </row>
    <row r="83" spans="1:27" x14ac:dyDescent="0.25">
      <c r="G83" s="106"/>
      <c r="H83" s="106"/>
      <c r="I83" s="106"/>
      <c r="J83" s="106"/>
      <c r="K83" s="106"/>
      <c r="L83" s="106"/>
      <c r="M83" s="106"/>
      <c r="N83" s="106"/>
      <c r="O83" s="106"/>
      <c r="P83" s="106"/>
      <c r="Q83" s="106"/>
      <c r="R83" s="106"/>
      <c r="S83" s="106"/>
      <c r="T83" s="106"/>
      <c r="U83" s="106"/>
      <c r="V83" s="106"/>
      <c r="W83" s="106"/>
      <c r="X83" s="106"/>
      <c r="Y83" s="106"/>
      <c r="Z83" s="106"/>
      <c r="AA83" s="106"/>
    </row>
    <row r="84" spans="1:27" x14ac:dyDescent="0.25">
      <c r="D84" s="47" t="s">
        <v>651</v>
      </c>
      <c r="F84" s="47" t="s">
        <v>639</v>
      </c>
      <c r="G84" s="106">
        <f t="shared" ref="G84:AA84" si="16">G61-G75</f>
        <v>0</v>
      </c>
      <c r="H84" s="106">
        <f t="shared" si="16"/>
        <v>0</v>
      </c>
      <c r="I84" s="106">
        <f t="shared" si="16"/>
        <v>0</v>
      </c>
      <c r="J84" s="106">
        <f t="shared" si="16"/>
        <v>0</v>
      </c>
      <c r="K84" s="106">
        <f t="shared" si="16"/>
        <v>0</v>
      </c>
      <c r="L84" s="106">
        <f t="shared" si="16"/>
        <v>0</v>
      </c>
      <c r="M84" s="106">
        <f t="shared" si="16"/>
        <v>0</v>
      </c>
      <c r="N84" s="106">
        <f t="shared" si="16"/>
        <v>0</v>
      </c>
      <c r="O84" s="106">
        <f t="shared" si="16"/>
        <v>0</v>
      </c>
      <c r="P84" s="106">
        <f t="shared" si="16"/>
        <v>0</v>
      </c>
      <c r="Q84" s="106">
        <f t="shared" si="16"/>
        <v>0</v>
      </c>
      <c r="R84" s="106">
        <f t="shared" si="16"/>
        <v>0</v>
      </c>
      <c r="S84" s="106">
        <f t="shared" si="16"/>
        <v>0</v>
      </c>
      <c r="T84" s="106">
        <f t="shared" si="16"/>
        <v>0</v>
      </c>
      <c r="U84" s="106">
        <f t="shared" si="16"/>
        <v>0</v>
      </c>
      <c r="V84" s="106">
        <f t="shared" si="16"/>
        <v>0</v>
      </c>
      <c r="W84" s="106">
        <f t="shared" si="16"/>
        <v>0</v>
      </c>
      <c r="X84" s="106">
        <f t="shared" si="16"/>
        <v>0</v>
      </c>
      <c r="Y84" s="106">
        <f t="shared" si="16"/>
        <v>0</v>
      </c>
      <c r="Z84" s="106">
        <f t="shared" si="16"/>
        <v>0</v>
      </c>
      <c r="AA84" s="106">
        <f t="shared" si="16"/>
        <v>0</v>
      </c>
    </row>
    <row r="85" spans="1:27" x14ac:dyDescent="0.25">
      <c r="D85" s="47" t="s">
        <v>652</v>
      </c>
      <c r="F85" s="47" t="s">
        <v>639</v>
      </c>
      <c r="G85" s="106">
        <f t="shared" ref="G85:AA85" si="17">-G68+G82</f>
        <v>0</v>
      </c>
      <c r="H85" s="106">
        <f t="shared" si="17"/>
        <v>0</v>
      </c>
      <c r="I85" s="106">
        <f t="shared" si="17"/>
        <v>0</v>
      </c>
      <c r="J85" s="106">
        <f t="shared" si="17"/>
        <v>0</v>
      </c>
      <c r="K85" s="106">
        <f t="shared" si="17"/>
        <v>0</v>
      </c>
      <c r="L85" s="106">
        <f t="shared" si="17"/>
        <v>0</v>
      </c>
      <c r="M85" s="106">
        <f t="shared" si="17"/>
        <v>0</v>
      </c>
      <c r="N85" s="106">
        <f t="shared" si="17"/>
        <v>0</v>
      </c>
      <c r="O85" s="106">
        <f t="shared" si="17"/>
        <v>0</v>
      </c>
      <c r="P85" s="106">
        <f t="shared" si="17"/>
        <v>0</v>
      </c>
      <c r="Q85" s="106">
        <f t="shared" si="17"/>
        <v>0</v>
      </c>
      <c r="R85" s="106">
        <f t="shared" si="17"/>
        <v>0</v>
      </c>
      <c r="S85" s="106">
        <f t="shared" si="17"/>
        <v>0</v>
      </c>
      <c r="T85" s="106">
        <f t="shared" si="17"/>
        <v>0</v>
      </c>
      <c r="U85" s="106">
        <f t="shared" si="17"/>
        <v>0</v>
      </c>
      <c r="V85" s="106">
        <f t="shared" si="17"/>
        <v>0</v>
      </c>
      <c r="W85" s="106">
        <f t="shared" si="17"/>
        <v>0</v>
      </c>
      <c r="X85" s="106">
        <f t="shared" si="17"/>
        <v>0</v>
      </c>
      <c r="Y85" s="106">
        <f t="shared" si="17"/>
        <v>0</v>
      </c>
      <c r="Z85" s="106">
        <f t="shared" si="17"/>
        <v>0</v>
      </c>
      <c r="AA85" s="106">
        <f t="shared" si="17"/>
        <v>0</v>
      </c>
    </row>
    <row r="87" spans="1:27" x14ac:dyDescent="0.25">
      <c r="C87" s="100" t="str">
        <f>"Incremental "&amp;G4&amp;" Service Revenue"</f>
        <v>Incremental Recycled Service Revenue</v>
      </c>
      <c r="D87" s="100"/>
    </row>
    <row r="88" spans="1:27" x14ac:dyDescent="0.25">
      <c r="C88" s="100"/>
      <c r="D88" s="100"/>
    </row>
    <row r="89" spans="1:27" x14ac:dyDescent="0.25">
      <c r="C89" s="100"/>
      <c r="D89" s="47" t="s">
        <v>653</v>
      </c>
    </row>
    <row r="90" spans="1:27" x14ac:dyDescent="0.25">
      <c r="A90" s="101">
        <v>15</v>
      </c>
      <c r="B90" s="107" t="s">
        <v>262</v>
      </c>
      <c r="C90" s="47" t="s">
        <v>405</v>
      </c>
      <c r="D90" s="100" t="str">
        <f>$G$4</f>
        <v>Recycled</v>
      </c>
      <c r="E90" s="47" t="s">
        <v>654</v>
      </c>
      <c r="F90" s="47" t="s">
        <v>655</v>
      </c>
      <c r="H90" s="102">
        <f>IF($G$4="Water and sewer",SUMIFS('INPUT Growth'!AD$64:AD$115,'INPUT Growth'!$B$64:$B$115,$A$1,'INPUT Growth'!$F$64:$F$115,$B90,'INPUT Growth'!$E$64:$E$115,$C90),SUMIFS('INPUT Growth'!AD$64:AD$115,'INPUT Growth'!$A$64:$A$115,$A$1,'INPUT Growth'!$F$64:$F$115,$B90,'INPUT Growth'!$E$64:$E$115,$C90))</f>
        <v>3384.2437416433677</v>
      </c>
      <c r="I90" s="102">
        <f>IF($G$4="Water and sewer",SUMIFS('INPUT Growth'!AE$64:AE$115,'INPUT Growth'!$B$64:$B$115,$A$1,'INPUT Growth'!$F$64:$F$115,$B90,'INPUT Growth'!$E$64:$E$115,$C90),SUMIFS('INPUT Growth'!AE$64:AE$115,'INPUT Growth'!$A$64:$A$115,$A$1,'INPUT Growth'!$F$64:$F$115,$B90,'INPUT Growth'!$E$64:$E$115,$C90))</f>
        <v>3448.50427823059</v>
      </c>
      <c r="J90" s="102">
        <f>IF($G$4="Water and sewer",SUMIFS('INPUT Growth'!AF$64:AF$115,'INPUT Growth'!$B$64:$B$115,$A$1,'INPUT Growth'!$F$64:$F$115,$B90,'INPUT Growth'!$E$64:$E$115,$C90),SUMIFS('INPUT Growth'!AF$64:AF$115,'INPUT Growth'!$A$64:$A$115,$A$1,'INPUT Growth'!$F$64:$F$115,$B90,'INPUT Growth'!$E$64:$E$115,$C90))</f>
        <v>2950.2631788688159</v>
      </c>
      <c r="K90" s="102">
        <f>IF($G$4="Water and sewer",SUMIFS('INPUT Growth'!AG$64:AG$115,'INPUT Growth'!$B$64:$B$115,$A$1,'INPUT Growth'!$F$64:$F$115,$B90,'INPUT Growth'!$E$64:$E$115,$C90),SUMIFS('INPUT Growth'!AG$64:AG$115,'INPUT Growth'!$A$64:$A$115,$A$1,'INPUT Growth'!$F$64:$F$115,$B90,'INPUT Growth'!$E$64:$E$115,$C90))</f>
        <v>2870.6425749978007</v>
      </c>
      <c r="L90" s="102">
        <f>IF($G$4="Water and sewer",SUMIFS('INPUT Growth'!AH$64:AH$115,'INPUT Growth'!$B$64:$B$115,$A$1,'INPUT Growth'!$F$64:$F$115,$B90,'INPUT Growth'!$E$64:$E$115,$C90),SUMIFS('INPUT Growth'!AH$64:AH$115,'INPUT Growth'!$A$64:$A$115,$A$1,'INPUT Growth'!$F$64:$F$115,$B90,'INPUT Growth'!$E$64:$E$115,$C90))</f>
        <v>2776.5078249494982</v>
      </c>
      <c r="M90" s="102">
        <f>IF($G$4="Water and sewer",SUMIFS('INPUT Growth'!AI$64:AI$115,'INPUT Growth'!$B$64:$B$115,$A$1,'INPUT Growth'!$F$64:$F$115,$B90,'INPUT Growth'!$E$64:$E$115,$C90),SUMIFS('INPUT Growth'!AI$64:AI$115,'INPUT Growth'!$A$64:$A$115,$A$1,'INPUT Growth'!$F$64:$F$115,$B90,'INPUT Growth'!$E$64:$E$115,$C90))</f>
        <v>2781.1077418582936</v>
      </c>
      <c r="N90" s="102">
        <f>IF($G$4="Water and sewer",SUMIFS('INPUT Growth'!AJ$64:AJ$115,'INPUT Growth'!$B$64:$B$115,$A$1,'INPUT Growth'!$F$64:$F$115,$B90,'INPUT Growth'!$E$64:$E$115,$C90),SUMIFS('INPUT Growth'!AJ$64:AJ$115,'INPUT Growth'!$A$64:$A$115,$A$1,'INPUT Growth'!$F$64:$F$115,$B90,'INPUT Growth'!$E$64:$E$115,$C90))</f>
        <v>2732.299521977875</v>
      </c>
      <c r="O90" s="102">
        <f>IF($G$4="Water and sewer",SUMIFS('INPUT Growth'!AK$64:AK$115,'INPUT Growth'!$B$64:$B$115,$A$1,'INPUT Growth'!$F$64:$F$115,$B90,'INPUT Growth'!$E$64:$E$115,$C90),SUMIFS('INPUT Growth'!AK$64:AK$115,'INPUT Growth'!$A$64:$A$115,$A$1,'INPUT Growth'!$F$64:$F$115,$B90,'INPUT Growth'!$E$64:$E$115,$C90))</f>
        <v>2825.8665476811293</v>
      </c>
      <c r="P90" s="102">
        <f>IF($G$4="Water and sewer",SUMIFS('INPUT Growth'!AL$64:AL$115,'INPUT Growth'!$B$64:$B$115,$A$1,'INPUT Growth'!$F$64:$F$115,$B90,'INPUT Growth'!$E$64:$E$115,$C90),SUMIFS('INPUT Growth'!AL$64:AL$115,'INPUT Growth'!$A$64:$A$115,$A$1,'INPUT Growth'!$F$64:$F$115,$B90,'INPUT Growth'!$E$64:$E$115,$C90))</f>
        <v>2857.7836722896172</v>
      </c>
      <c r="Q90" s="102">
        <f>IF($G$4="Water and sewer",SUMIFS('INPUT Growth'!AM$64:AM$115,'INPUT Growth'!$B$64:$B$115,$A$1,'INPUT Growth'!$F$64:$F$115,$B90,'INPUT Growth'!$E$64:$E$115,$C90),SUMIFS('INPUT Growth'!AM$64:AM$115,'INPUT Growth'!$A$64:$A$115,$A$1,'INPUT Growth'!$F$64:$F$115,$B90,'INPUT Growth'!$E$64:$E$115,$C90))</f>
        <v>2823.643710942386</v>
      </c>
      <c r="R90" s="102">
        <f>IF($G$4="Water and sewer",SUMIFS('INPUT Growth'!AN$64:AN$115,'INPUT Growth'!$B$64:$B$115,$A$1,'INPUT Growth'!$F$64:$F$115,$B90,'INPUT Growth'!$E$64:$E$115,$C90),SUMIFS('INPUT Growth'!AN$64:AN$115,'INPUT Growth'!$A$64:$A$115,$A$1,'INPUT Growth'!$F$64:$F$115,$B90,'INPUT Growth'!$E$64:$E$115,$C90))</f>
        <v>2781.7879342009983</v>
      </c>
      <c r="S90" s="102">
        <f>IF($G$4="Water and sewer",SUMIFS('INPUT Growth'!AO$64:AO$115,'INPUT Growth'!$B$64:$B$115,$A$1,'INPUT Growth'!$F$64:$F$115,$B90,'INPUT Growth'!$E$64:$E$115,$C90),SUMIFS('INPUT Growth'!AO$64:AO$115,'INPUT Growth'!$A$64:$A$115,$A$1,'INPUT Growth'!$F$64:$F$115,$B90,'INPUT Growth'!$E$64:$E$115,$C90))</f>
        <v>2599.0864520728064</v>
      </c>
      <c r="T90" s="102">
        <f>IF($G$4="Water and sewer",SUMIFS('INPUT Growth'!AP$64:AP$115,'INPUT Growth'!$B$64:$B$115,$A$1,'INPUT Growth'!$F$64:$F$115,$B90,'INPUT Growth'!$E$64:$E$115,$C90),SUMIFS('INPUT Growth'!AP$64:AP$115,'INPUT Growth'!$A$64:$A$115,$A$1,'INPUT Growth'!$F$64:$F$115,$B90,'INPUT Growth'!$E$64:$E$115,$C90))</f>
        <v>2314.5551965933846</v>
      </c>
      <c r="U90" s="102">
        <f>IF($G$4="Water and sewer",SUMIFS('INPUT Growth'!AQ$64:AQ$115,'INPUT Growth'!$B$64:$B$115,$A$1,'INPUT Growth'!$F$64:$F$115,$B90,'INPUT Growth'!$E$64:$E$115,$C90),SUMIFS('INPUT Growth'!AQ$64:AQ$115,'INPUT Growth'!$A$64:$A$115,$A$1,'INPUT Growth'!$F$64:$F$115,$B90,'INPUT Growth'!$E$64:$E$115,$C90))</f>
        <v>2073.9609391129488</v>
      </c>
      <c r="V90" s="102">
        <f>IF($G$4="Water and sewer",SUMIFS('INPUT Growth'!AR$64:AR$115,'INPUT Growth'!$B$64:$B$115,$A$1,'INPUT Growth'!$F$64:$F$115,$B90,'INPUT Growth'!$E$64:$E$115,$C90),SUMIFS('INPUT Growth'!AR$64:AR$115,'INPUT Growth'!$A$64:$A$115,$A$1,'INPUT Growth'!$F$64:$F$115,$B90,'INPUT Growth'!$E$64:$E$115,$C90))</f>
        <v>1874.0959597016481</v>
      </c>
      <c r="W90" s="102">
        <f>IF($G$4="Water and sewer",SUMIFS('INPUT Growth'!AS$64:AS$115,'INPUT Growth'!$B$64:$B$115,$A$1,'INPUT Growth'!$F$64:$F$115,$B90,'INPUT Growth'!$E$64:$E$115,$C90),SUMIFS('INPUT Growth'!AS$64:AS$115,'INPUT Growth'!$A$64:$A$115,$A$1,'INPUT Growth'!$F$64:$F$115,$B90,'INPUT Growth'!$E$64:$E$115,$C90))</f>
        <v>1694.9431979409128</v>
      </c>
      <c r="X90" s="102">
        <f>IF($G$4="Water and sewer",SUMIFS('INPUT Growth'!AT$64:AT$115,'INPUT Growth'!$B$64:$B$115,$A$1,'INPUT Growth'!$F$64:$F$115,$B90,'INPUT Growth'!$E$64:$E$115,$C90),SUMIFS('INPUT Growth'!AT$64:AT$115,'INPUT Growth'!$A$64:$A$115,$A$1,'INPUT Growth'!$F$64:$F$115,$B90,'INPUT Growth'!$E$64:$E$115,$C90))</f>
        <v>1638.1260241882264</v>
      </c>
      <c r="Y90" s="102">
        <f>IF($G$4="Water and sewer",SUMIFS('INPUT Growth'!AU$64:AU$115,'INPUT Growth'!$B$64:$B$115,$A$1,'INPUT Growth'!$F$64:$F$115,$B90,'INPUT Growth'!$E$64:$E$115,$C90),SUMIFS('INPUT Growth'!AU$64:AU$115,'INPUT Growth'!$A$64:$A$115,$A$1,'INPUT Growth'!$F$64:$F$115,$B90,'INPUT Growth'!$E$64:$E$115,$C90))</f>
        <v>1475.2738886577717</v>
      </c>
      <c r="Z90" s="102">
        <f>IF($G$4="Water and sewer",SUMIFS('INPUT Growth'!AV$64:AV$115,'INPUT Growth'!$B$64:$B$115,$A$1,'INPUT Growth'!$F$64:$F$115,$B90,'INPUT Growth'!$E$64:$E$115,$C90),SUMIFS('INPUT Growth'!AV$64:AV$115,'INPUT Growth'!$A$64:$A$115,$A$1,'INPUT Growth'!$F$64:$F$115,$B90,'INPUT Growth'!$E$64:$E$115,$C90))</f>
        <v>1297.6928694306698</v>
      </c>
      <c r="AA90" s="102">
        <f>IF($G$4="Water and sewer",SUMIFS('INPUT Growth'!AW$64:AW$115,'INPUT Growth'!$B$64:$B$115,$A$1,'INPUT Growth'!$F$64:$F$115,$B90,'INPUT Growth'!$E$64:$E$115,$C90),SUMIFS('INPUT Growth'!AW$64:AW$115,'INPUT Growth'!$A$64:$A$115,$A$1,'INPUT Growth'!$F$64:$F$115,$B90,'INPUT Growth'!$E$64:$E$115,$C90))</f>
        <v>1118.5813547660946</v>
      </c>
    </row>
    <row r="91" spans="1:27" x14ac:dyDescent="0.25">
      <c r="C91" s="100"/>
      <c r="D91" s="100"/>
      <c r="E91" s="47" t="s">
        <v>656</v>
      </c>
      <c r="F91" s="47" t="s">
        <v>655</v>
      </c>
      <c r="H91" s="106">
        <f>G91+H90</f>
        <v>3384.2437416433677</v>
      </c>
      <c r="I91" s="106">
        <f t="shared" ref="I91:AA91" si="18">H91+I90</f>
        <v>6832.7480198739577</v>
      </c>
      <c r="J91" s="106">
        <f t="shared" si="18"/>
        <v>9783.0111987427736</v>
      </c>
      <c r="K91" s="106">
        <f t="shared" si="18"/>
        <v>12653.653773740574</v>
      </c>
      <c r="L91" s="106">
        <f t="shared" si="18"/>
        <v>15430.161598690072</v>
      </c>
      <c r="M91" s="106">
        <f t="shared" si="18"/>
        <v>18211.269340548366</v>
      </c>
      <c r="N91" s="106">
        <f t="shared" si="18"/>
        <v>20943.568862526241</v>
      </c>
      <c r="O91" s="106">
        <f t="shared" si="18"/>
        <v>23769.43541020737</v>
      </c>
      <c r="P91" s="106">
        <f t="shared" si="18"/>
        <v>26627.219082496988</v>
      </c>
      <c r="Q91" s="106">
        <f t="shared" si="18"/>
        <v>29450.862793439373</v>
      </c>
      <c r="R91" s="106">
        <f t="shared" si="18"/>
        <v>32232.650727640372</v>
      </c>
      <c r="S91" s="106">
        <f t="shared" si="18"/>
        <v>34831.737179713178</v>
      </c>
      <c r="T91" s="106">
        <f t="shared" si="18"/>
        <v>37146.292376306563</v>
      </c>
      <c r="U91" s="106">
        <f t="shared" si="18"/>
        <v>39220.253315419512</v>
      </c>
      <c r="V91" s="106">
        <f t="shared" si="18"/>
        <v>41094.34927512116</v>
      </c>
      <c r="W91" s="106">
        <f t="shared" si="18"/>
        <v>42789.292473062073</v>
      </c>
      <c r="X91" s="106">
        <f t="shared" si="18"/>
        <v>44427.418497250299</v>
      </c>
      <c r="Y91" s="106">
        <f t="shared" si="18"/>
        <v>45902.692385908071</v>
      </c>
      <c r="Z91" s="106">
        <f t="shared" si="18"/>
        <v>47200.385255338741</v>
      </c>
      <c r="AA91" s="106">
        <f t="shared" si="18"/>
        <v>48318.966610104835</v>
      </c>
    </row>
    <row r="92" spans="1:27" x14ac:dyDescent="0.25">
      <c r="A92" s="101">
        <v>16</v>
      </c>
      <c r="C92" s="100"/>
      <c r="D92" s="100"/>
      <c r="E92" s="47" t="s">
        <v>657</v>
      </c>
      <c r="F92" s="47" t="s">
        <v>655</v>
      </c>
      <c r="G92" s="102">
        <f>Assumptions!$H$45</f>
        <v>1</v>
      </c>
    </row>
    <row r="93" spans="1:27" x14ac:dyDescent="0.25">
      <c r="C93" s="100"/>
      <c r="D93" s="100"/>
      <c r="E93" s="47" t="s">
        <v>658</v>
      </c>
      <c r="F93" s="47" t="s">
        <v>655</v>
      </c>
      <c r="H93" s="47">
        <f>H90*$G92</f>
        <v>3384.2437416433677</v>
      </c>
      <c r="I93" s="47">
        <f t="shared" ref="I93:AA93" si="19">I90*$G92</f>
        <v>3448.50427823059</v>
      </c>
      <c r="J93" s="47">
        <f t="shared" si="19"/>
        <v>2950.2631788688159</v>
      </c>
      <c r="K93" s="47">
        <f t="shared" si="19"/>
        <v>2870.6425749978007</v>
      </c>
      <c r="L93" s="47">
        <f t="shared" si="19"/>
        <v>2776.5078249494982</v>
      </c>
      <c r="M93" s="47">
        <f t="shared" si="19"/>
        <v>2781.1077418582936</v>
      </c>
      <c r="N93" s="47">
        <f t="shared" si="19"/>
        <v>2732.299521977875</v>
      </c>
      <c r="O93" s="47">
        <f t="shared" si="19"/>
        <v>2825.8665476811293</v>
      </c>
      <c r="P93" s="47">
        <f t="shared" si="19"/>
        <v>2857.7836722896172</v>
      </c>
      <c r="Q93" s="47">
        <f t="shared" si="19"/>
        <v>2823.643710942386</v>
      </c>
      <c r="R93" s="47">
        <f t="shared" si="19"/>
        <v>2781.7879342009983</v>
      </c>
      <c r="S93" s="47">
        <f t="shared" si="19"/>
        <v>2599.0864520728064</v>
      </c>
      <c r="T93" s="47">
        <f t="shared" si="19"/>
        <v>2314.5551965933846</v>
      </c>
      <c r="U93" s="47">
        <f t="shared" si="19"/>
        <v>2073.9609391129488</v>
      </c>
      <c r="V93" s="47">
        <f t="shared" si="19"/>
        <v>1874.0959597016481</v>
      </c>
      <c r="W93" s="47">
        <f t="shared" si="19"/>
        <v>1694.9431979409128</v>
      </c>
      <c r="X93" s="47">
        <f t="shared" si="19"/>
        <v>1638.1260241882264</v>
      </c>
      <c r="Y93" s="47">
        <f t="shared" si="19"/>
        <v>1475.2738886577717</v>
      </c>
      <c r="Z93" s="47">
        <f t="shared" si="19"/>
        <v>1297.6928694306698</v>
      </c>
      <c r="AA93" s="47">
        <f t="shared" si="19"/>
        <v>1118.5813547660946</v>
      </c>
    </row>
    <row r="94" spans="1:27" x14ac:dyDescent="0.25">
      <c r="C94" s="100"/>
      <c r="D94" s="100"/>
      <c r="E94" s="47" t="s">
        <v>659</v>
      </c>
      <c r="F94" s="47" t="s">
        <v>655</v>
      </c>
      <c r="H94" s="47">
        <f>H91*$G92</f>
        <v>3384.2437416433677</v>
      </c>
      <c r="I94" s="47">
        <f t="shared" ref="I94:AA94" si="20">I91*$G92</f>
        <v>6832.7480198739577</v>
      </c>
      <c r="J94" s="47">
        <f t="shared" si="20"/>
        <v>9783.0111987427736</v>
      </c>
      <c r="K94" s="47">
        <f t="shared" si="20"/>
        <v>12653.653773740574</v>
      </c>
      <c r="L94" s="47">
        <f t="shared" si="20"/>
        <v>15430.161598690072</v>
      </c>
      <c r="M94" s="47">
        <f t="shared" si="20"/>
        <v>18211.269340548366</v>
      </c>
      <c r="N94" s="47">
        <f t="shared" si="20"/>
        <v>20943.568862526241</v>
      </c>
      <c r="O94" s="47">
        <f t="shared" si="20"/>
        <v>23769.43541020737</v>
      </c>
      <c r="P94" s="47">
        <f t="shared" si="20"/>
        <v>26627.219082496988</v>
      </c>
      <c r="Q94" s="47">
        <f t="shared" si="20"/>
        <v>29450.862793439373</v>
      </c>
      <c r="R94" s="47">
        <f t="shared" si="20"/>
        <v>32232.650727640372</v>
      </c>
      <c r="S94" s="47">
        <f t="shared" si="20"/>
        <v>34831.737179713178</v>
      </c>
      <c r="T94" s="47">
        <f t="shared" si="20"/>
        <v>37146.292376306563</v>
      </c>
      <c r="U94" s="47">
        <f t="shared" si="20"/>
        <v>39220.253315419512</v>
      </c>
      <c r="V94" s="47">
        <f t="shared" si="20"/>
        <v>41094.34927512116</v>
      </c>
      <c r="W94" s="47">
        <f t="shared" si="20"/>
        <v>42789.292473062073</v>
      </c>
      <c r="X94" s="47">
        <f t="shared" si="20"/>
        <v>44427.418497250299</v>
      </c>
      <c r="Y94" s="47">
        <f t="shared" si="20"/>
        <v>45902.692385908071</v>
      </c>
      <c r="Z94" s="47">
        <f t="shared" si="20"/>
        <v>47200.385255338741</v>
      </c>
      <c r="AA94" s="47">
        <f t="shared" si="20"/>
        <v>48318.966610104835</v>
      </c>
    </row>
    <row r="95" spans="1:27" x14ac:dyDescent="0.25">
      <c r="A95" s="101">
        <v>17</v>
      </c>
      <c r="B95" s="47" t="str">
        <f>B90</f>
        <v>Central</v>
      </c>
      <c r="C95" s="47" t="str">
        <f>C90</f>
        <v>R</v>
      </c>
      <c r="D95" s="47" t="str">
        <f>D90</f>
        <v>Recycled</v>
      </c>
      <c r="E95" s="47" t="s">
        <v>660</v>
      </c>
      <c r="F95" s="47" t="s">
        <v>661</v>
      </c>
      <c r="H95" s="102">
        <f>IF(OR($D95=W,$D95=WS),'INPUT Reg'!AD113,IF($D95=RW,'INPUT Reg'!AD117,0))</f>
        <v>63.518788754833842</v>
      </c>
      <c r="I95" s="102">
        <f>IF(OR($D95=W,$D95=WS),'INPUT Reg'!AE113,IF($D95=RW,'INPUT Reg'!AE117,0))</f>
        <v>63.315334289132622</v>
      </c>
      <c r="J95" s="102">
        <f>IF(OR($D95=W,$D95=WS),'INPUT Reg'!AF113,IF($D95=RW,'INPUT Reg'!AF117,0))</f>
        <v>62.825865069138132</v>
      </c>
      <c r="K95" s="102">
        <f>IF(OR($D95=W,$D95=WS),'INPUT Reg'!AG113,IF($D95=RW,'INPUT Reg'!AG117,0))</f>
        <v>62.206403098357626</v>
      </c>
      <c r="L95" s="102">
        <f>IF(OR($D95=W,$D95=WS),'INPUT Reg'!AH113,IF($D95=RW,'INPUT Reg'!AH117,0))</f>
        <v>61.606911264828398</v>
      </c>
      <c r="M95" s="102">
        <f>IF(OR($D95=W,$D95=WS),'INPUT Reg'!AI113,IF($D95=RW,'INPUT Reg'!AI117,0))</f>
        <v>61.20295495855293</v>
      </c>
      <c r="N95" s="102">
        <f>IF(OR($D95=W,$D95=WS),'INPUT Reg'!AJ113,IF($D95=RW,'INPUT Reg'!AJ117,0))</f>
        <v>61.171405146482648</v>
      </c>
      <c r="O95" s="102">
        <f>IF(OR($D95=W,$D95=WS),'INPUT Reg'!AK113,IF($D95=RW,'INPUT Reg'!AK117,0))</f>
        <v>61.362122687904922</v>
      </c>
      <c r="P95" s="102">
        <f>IF(OR($D95=W,$D95=WS),'INPUT Reg'!AL113,IF($D95=RW,'INPUT Reg'!AL117,0))</f>
        <v>61.69955374302284</v>
      </c>
      <c r="Q95" s="102">
        <f>IF(OR($D95=W,$D95=WS),'INPUT Reg'!AM113,IF($D95=RW,'INPUT Reg'!AM117,0))</f>
        <v>62.119143736076218</v>
      </c>
      <c r="R95" s="102">
        <f>IF(OR($D95=W,$D95=WS),'INPUT Reg'!AN113,IF($D95=RW,'INPUT Reg'!AN117,0))</f>
        <v>62.516645844098598</v>
      </c>
      <c r="S95" s="102">
        <f>IF(OR($D95=W,$D95=WS),'INPUT Reg'!AO113,IF($D95=RW,'INPUT Reg'!AO117,0))</f>
        <v>62.933514379735371</v>
      </c>
      <c r="T95" s="102">
        <f>IF(OR($D95=W,$D95=WS),'INPUT Reg'!AP113,IF($D95=RW,'INPUT Reg'!AP117,0))</f>
        <v>63.45726082734101</v>
      </c>
      <c r="U95" s="102">
        <f>IF(OR($D95=W,$D95=WS),'INPUT Reg'!AQ113,IF($D95=RW,'INPUT Reg'!AQ117,0))</f>
        <v>64.083662870455697</v>
      </c>
      <c r="V95" s="102">
        <f>IF(OR($D95=W,$D95=WS),'INPUT Reg'!AR113,IF($D95=RW,'INPUT Reg'!AR117,0))</f>
        <v>64.781608014461611</v>
      </c>
      <c r="W95" s="102">
        <f>IF(OR($D95=W,$D95=WS),'INPUT Reg'!AS113,IF($D95=RW,'INPUT Reg'!AS117,0))</f>
        <v>65.286210837717761</v>
      </c>
      <c r="X95" s="102">
        <f>IF(OR($D95=W,$D95=WS),'INPUT Reg'!AT113,IF($D95=RW,'INPUT Reg'!AT117,0))</f>
        <v>65.525811042587506</v>
      </c>
      <c r="Y95" s="102">
        <f>IF(OR($D95=W,$D95=WS),'INPUT Reg'!AU113,IF($D95=RW,'INPUT Reg'!AU117,0))</f>
        <v>65.611736400735779</v>
      </c>
      <c r="Z95" s="102">
        <f>IF(OR($D95=W,$D95=WS),'INPUT Reg'!AV113,IF($D95=RW,'INPUT Reg'!AV117,0))</f>
        <v>65.615800309312306</v>
      </c>
      <c r="AA95" s="102">
        <f>IF(OR($D95=W,$D95=WS),'INPUT Reg'!AW113,IF($D95=RW,'INPUT Reg'!AW117,0))</f>
        <v>65.615800309312306</v>
      </c>
    </row>
    <row r="96" spans="1:27" x14ac:dyDescent="0.25">
      <c r="B96" s="47" t="str">
        <f>B90</f>
        <v>Central</v>
      </c>
      <c r="C96" s="47" t="str">
        <f t="shared" ref="C96:D96" si="21">C90</f>
        <v>R</v>
      </c>
      <c r="D96" s="47" t="str">
        <f t="shared" si="21"/>
        <v>Recycled</v>
      </c>
      <c r="E96" s="47" t="s">
        <v>662</v>
      </c>
      <c r="F96" s="47" t="s">
        <v>661</v>
      </c>
      <c r="H96" s="102">
        <f>IF(OR($D96=W,$D96=WS),'INPUT Reg'!AD114,0)</f>
        <v>0</v>
      </c>
      <c r="I96" s="102">
        <f>IF(OR($D96=W,$D96=WS),'INPUT Reg'!AE114,0)</f>
        <v>0</v>
      </c>
      <c r="J96" s="102">
        <f>IF(OR($D96=W,$D96=WS),'INPUT Reg'!AF114,0)</f>
        <v>0</v>
      </c>
      <c r="K96" s="102">
        <f>IF(OR($D96=W,$D96=WS),'INPUT Reg'!AG114,0)</f>
        <v>0</v>
      </c>
      <c r="L96" s="102">
        <f>IF(OR($D96=W,$D96=WS),'INPUT Reg'!AH114,0)</f>
        <v>0</v>
      </c>
      <c r="M96" s="102">
        <f>IF(OR($D96=W,$D96=WS),'INPUT Reg'!AI114,0)</f>
        <v>0</v>
      </c>
      <c r="N96" s="102">
        <f>IF(OR($D96=W,$D96=WS),'INPUT Reg'!AJ114,0)</f>
        <v>0</v>
      </c>
      <c r="O96" s="102">
        <f>IF(OR($D96=W,$D96=WS),'INPUT Reg'!AK114,0)</f>
        <v>0</v>
      </c>
      <c r="P96" s="102">
        <f>IF(OR($D96=W,$D96=WS),'INPUT Reg'!AL114,0)</f>
        <v>0</v>
      </c>
      <c r="Q96" s="102">
        <f>IF(OR($D96=W,$D96=WS),'INPUT Reg'!AM114,0)</f>
        <v>0</v>
      </c>
      <c r="R96" s="102">
        <f>IF(OR($D96=W,$D96=WS),'INPUT Reg'!AN114,0)</f>
        <v>0</v>
      </c>
      <c r="S96" s="102">
        <f>IF(OR($D96=W,$D96=WS),'INPUT Reg'!AO114,0)</f>
        <v>0</v>
      </c>
      <c r="T96" s="102">
        <f>IF(OR($D96=W,$D96=WS),'INPUT Reg'!AP114,0)</f>
        <v>0</v>
      </c>
      <c r="U96" s="102">
        <f>IF(OR($D96=W,$D96=WS),'INPUT Reg'!AQ114,0)</f>
        <v>0</v>
      </c>
      <c r="V96" s="102">
        <f>IF(OR($D96=W,$D96=WS),'INPUT Reg'!AR114,0)</f>
        <v>0</v>
      </c>
      <c r="W96" s="102">
        <f>IF(OR($D96=W,$D96=WS),'INPUT Reg'!AS114,0)</f>
        <v>0</v>
      </c>
      <c r="X96" s="102">
        <f>IF(OR($D96=W,$D96=WS),'INPUT Reg'!AT114,0)</f>
        <v>0</v>
      </c>
      <c r="Y96" s="102">
        <f>IF(OR($D96=W,$D96=WS),'INPUT Reg'!AU114,0)</f>
        <v>0</v>
      </c>
      <c r="Z96" s="102">
        <f>IF(OR($D96=W,$D96=WS),'INPUT Reg'!AV114,0)</f>
        <v>0</v>
      </c>
      <c r="AA96" s="102">
        <f>IF(OR($D96=W,$D96=WS),'INPUT Reg'!AW114,0)</f>
        <v>0</v>
      </c>
    </row>
    <row r="97" spans="1:27" x14ac:dyDescent="0.25">
      <c r="B97" s="47" t="str">
        <f>B90</f>
        <v>Central</v>
      </c>
      <c r="C97" s="47" t="str">
        <f t="shared" ref="C97:D97" si="22">C90</f>
        <v>R</v>
      </c>
      <c r="D97" s="47" t="str">
        <f t="shared" si="22"/>
        <v>Recycled</v>
      </c>
      <c r="E97" s="47" t="s">
        <v>663</v>
      </c>
      <c r="F97" s="47" t="s">
        <v>661</v>
      </c>
      <c r="H97" s="102">
        <f>IF(OR($D97=S,$D97=WS),'INPUT Reg'!AD116,0)</f>
        <v>0</v>
      </c>
      <c r="I97" s="102">
        <f>IF(OR($D97=S,$D97=WS),'INPUT Reg'!AE116,0)</f>
        <v>0</v>
      </c>
      <c r="J97" s="102">
        <f>IF(OR($D97=S,$D97=WS),'INPUT Reg'!AF116,0)</f>
        <v>0</v>
      </c>
      <c r="K97" s="102">
        <f>IF(OR($D97=S,$D97=WS),'INPUT Reg'!AG116,0)</f>
        <v>0</v>
      </c>
      <c r="L97" s="102">
        <f>IF(OR($D97=S,$D97=WS),'INPUT Reg'!AH116,0)</f>
        <v>0</v>
      </c>
      <c r="M97" s="102">
        <f>IF(OR($D97=S,$D97=WS),'INPUT Reg'!AI116,0)</f>
        <v>0</v>
      </c>
      <c r="N97" s="102">
        <f>IF(OR($D97=S,$D97=WS),'INPUT Reg'!AJ116,0)</f>
        <v>0</v>
      </c>
      <c r="O97" s="102">
        <f>IF(OR($D97=S,$D97=WS),'INPUT Reg'!AK116,0)</f>
        <v>0</v>
      </c>
      <c r="P97" s="102">
        <f>IF(OR($D97=S,$D97=WS),'INPUT Reg'!AL116,0)</f>
        <v>0</v>
      </c>
      <c r="Q97" s="102">
        <f>IF(OR($D97=S,$D97=WS),'INPUT Reg'!AM116,0)</f>
        <v>0</v>
      </c>
      <c r="R97" s="102">
        <f>IF(OR($D97=S,$D97=WS),'INPUT Reg'!AN116,0)</f>
        <v>0</v>
      </c>
      <c r="S97" s="102">
        <f>IF(OR($D97=S,$D97=WS),'INPUT Reg'!AO116,0)</f>
        <v>0</v>
      </c>
      <c r="T97" s="102">
        <f>IF(OR($D97=S,$D97=WS),'INPUT Reg'!AP116,0)</f>
        <v>0</v>
      </c>
      <c r="U97" s="102">
        <f>IF(OR($D97=S,$D97=WS),'INPUT Reg'!AQ116,0)</f>
        <v>0</v>
      </c>
      <c r="V97" s="102">
        <f>IF(OR($D97=S,$D97=WS),'INPUT Reg'!AR116,0)</f>
        <v>0</v>
      </c>
      <c r="W97" s="102">
        <f>IF(OR($D97=S,$D97=WS),'INPUT Reg'!AS116,0)</f>
        <v>0</v>
      </c>
      <c r="X97" s="102">
        <f>IF(OR($D97=S,$D97=WS),'INPUT Reg'!AT116,0)</f>
        <v>0</v>
      </c>
      <c r="Y97" s="102">
        <f>IF(OR($D97=S,$D97=WS),'INPUT Reg'!AU116,0)</f>
        <v>0</v>
      </c>
      <c r="Z97" s="102">
        <f>IF(OR($D97=S,$D97=WS),'INPUT Reg'!AV116,0)</f>
        <v>0</v>
      </c>
      <c r="AA97" s="102">
        <f>IF(OR($D97=S,$D97=WS),'INPUT Reg'!AW116,0)</f>
        <v>0</v>
      </c>
    </row>
    <row r="98" spans="1:27" x14ac:dyDescent="0.25">
      <c r="C98" s="100"/>
      <c r="D98" s="100"/>
      <c r="E98" s="47" t="s">
        <v>664</v>
      </c>
      <c r="F98" s="47" t="s">
        <v>665</v>
      </c>
      <c r="H98" s="106">
        <f>H91*H95</f>
        <v>214963.06332031355</v>
      </c>
      <c r="I98" s="106">
        <f t="shared" ref="I98:AA98" si="23">I91*I95</f>
        <v>432617.72499172861</v>
      </c>
      <c r="J98" s="106">
        <f t="shared" si="23"/>
        <v>614626.14154208079</v>
      </c>
      <c r="K98" s="106">
        <f t="shared" si="23"/>
        <v>787138.28731636028</v>
      </c>
      <c r="L98" s="106">
        <f t="shared" si="23"/>
        <v>950604.59641246195</v>
      </c>
      <c r="M98" s="106">
        <f t="shared" si="23"/>
        <v>1114583.4971876575</v>
      </c>
      <c r="N98" s="106">
        <f t="shared" si="23"/>
        <v>1281147.5361028514</v>
      </c>
      <c r="O98" s="106">
        <f t="shared" si="23"/>
        <v>1458543.0118633762</v>
      </c>
      <c r="P98" s="106">
        <f t="shared" si="23"/>
        <v>1642887.5348077661</v>
      </c>
      <c r="Q98" s="106">
        <f t="shared" si="23"/>
        <v>1829462.3790171195</v>
      </c>
      <c r="R98" s="106">
        <f t="shared" si="23"/>
        <v>2015077.21015642</v>
      </c>
      <c r="S98" s="106">
        <f t="shared" si="23"/>
        <v>2192083.6326706423</v>
      </c>
      <c r="T98" s="106">
        <f t="shared" si="23"/>
        <v>2357201.9640919543</v>
      </c>
      <c r="U98" s="106">
        <f t="shared" si="23"/>
        <v>2513377.4911592165</v>
      </c>
      <c r="V98" s="106">
        <f t="shared" si="23"/>
        <v>2662158.0263502738</v>
      </c>
      <c r="W98" s="106">
        <f t="shared" si="23"/>
        <v>2793550.7699930998</v>
      </c>
      <c r="X98" s="106">
        <f t="shared" si="23"/>
        <v>2911142.6295607802</v>
      </c>
      <c r="Y98" s="106">
        <f t="shared" si="23"/>
        <v>3011755.3529082616</v>
      </c>
      <c r="Z98" s="106">
        <f t="shared" si="23"/>
        <v>3097091.0534369159</v>
      </c>
      <c r="AA98" s="106">
        <f t="shared" si="23"/>
        <v>3170487.6642409679</v>
      </c>
    </row>
    <row r="99" spans="1:27" x14ac:dyDescent="0.25">
      <c r="C99" s="100"/>
      <c r="D99" s="100"/>
      <c r="E99" s="47" t="s">
        <v>666</v>
      </c>
      <c r="F99" s="47" t="s">
        <v>665</v>
      </c>
      <c r="H99" s="106">
        <f>H91*H96</f>
        <v>0</v>
      </c>
      <c r="I99" s="106">
        <f t="shared" ref="I99:AA99" si="24">I91*I96</f>
        <v>0</v>
      </c>
      <c r="J99" s="106">
        <f t="shared" si="24"/>
        <v>0</v>
      </c>
      <c r="K99" s="106">
        <f t="shared" si="24"/>
        <v>0</v>
      </c>
      <c r="L99" s="106">
        <f t="shared" si="24"/>
        <v>0</v>
      </c>
      <c r="M99" s="106">
        <f t="shared" si="24"/>
        <v>0</v>
      </c>
      <c r="N99" s="106">
        <f t="shared" si="24"/>
        <v>0</v>
      </c>
      <c r="O99" s="106">
        <f t="shared" si="24"/>
        <v>0</v>
      </c>
      <c r="P99" s="106">
        <f t="shared" si="24"/>
        <v>0</v>
      </c>
      <c r="Q99" s="106">
        <f t="shared" si="24"/>
        <v>0</v>
      </c>
      <c r="R99" s="106">
        <f t="shared" si="24"/>
        <v>0</v>
      </c>
      <c r="S99" s="106">
        <f t="shared" si="24"/>
        <v>0</v>
      </c>
      <c r="T99" s="106">
        <f t="shared" si="24"/>
        <v>0</v>
      </c>
      <c r="U99" s="106">
        <f t="shared" si="24"/>
        <v>0</v>
      </c>
      <c r="V99" s="106">
        <f t="shared" si="24"/>
        <v>0</v>
      </c>
      <c r="W99" s="106">
        <f t="shared" si="24"/>
        <v>0</v>
      </c>
      <c r="X99" s="106">
        <f t="shared" si="24"/>
        <v>0</v>
      </c>
      <c r="Y99" s="106">
        <f t="shared" si="24"/>
        <v>0</v>
      </c>
      <c r="Z99" s="106">
        <f t="shared" si="24"/>
        <v>0</v>
      </c>
      <c r="AA99" s="106">
        <f t="shared" si="24"/>
        <v>0</v>
      </c>
    </row>
    <row r="100" spans="1:27" x14ac:dyDescent="0.25">
      <c r="C100" s="100"/>
      <c r="D100" s="100"/>
      <c r="E100" s="47" t="s">
        <v>667</v>
      </c>
      <c r="F100" s="47" t="s">
        <v>665</v>
      </c>
      <c r="H100" s="106">
        <f>H91*H97</f>
        <v>0</v>
      </c>
      <c r="I100" s="106">
        <f t="shared" ref="I100:AA100" si="25">I91*I97</f>
        <v>0</v>
      </c>
      <c r="J100" s="106">
        <f t="shared" si="25"/>
        <v>0</v>
      </c>
      <c r="K100" s="106">
        <f t="shared" si="25"/>
        <v>0</v>
      </c>
      <c r="L100" s="106">
        <f t="shared" si="25"/>
        <v>0</v>
      </c>
      <c r="M100" s="106">
        <f t="shared" si="25"/>
        <v>0</v>
      </c>
      <c r="N100" s="106">
        <f t="shared" si="25"/>
        <v>0</v>
      </c>
      <c r="O100" s="106">
        <f t="shared" si="25"/>
        <v>0</v>
      </c>
      <c r="P100" s="106">
        <f t="shared" si="25"/>
        <v>0</v>
      </c>
      <c r="Q100" s="106">
        <f t="shared" si="25"/>
        <v>0</v>
      </c>
      <c r="R100" s="106">
        <f t="shared" si="25"/>
        <v>0</v>
      </c>
      <c r="S100" s="106">
        <f t="shared" si="25"/>
        <v>0</v>
      </c>
      <c r="T100" s="106">
        <f t="shared" si="25"/>
        <v>0</v>
      </c>
      <c r="U100" s="106">
        <f t="shared" si="25"/>
        <v>0</v>
      </c>
      <c r="V100" s="106">
        <f t="shared" si="25"/>
        <v>0</v>
      </c>
      <c r="W100" s="106">
        <f t="shared" si="25"/>
        <v>0</v>
      </c>
      <c r="X100" s="106">
        <f t="shared" si="25"/>
        <v>0</v>
      </c>
      <c r="Y100" s="106">
        <f t="shared" si="25"/>
        <v>0</v>
      </c>
      <c r="Z100" s="106">
        <f t="shared" si="25"/>
        <v>0</v>
      </c>
      <c r="AA100" s="106">
        <f t="shared" si="25"/>
        <v>0</v>
      </c>
    </row>
    <row r="101" spans="1:27" x14ac:dyDescent="0.25">
      <c r="A101" s="101">
        <v>18</v>
      </c>
      <c r="B101" s="47" t="str">
        <f>B95</f>
        <v>Central</v>
      </c>
      <c r="C101" s="47" t="str">
        <f t="shared" ref="C101:D101" si="26">C95</f>
        <v>R</v>
      </c>
      <c r="D101" s="47" t="str">
        <f t="shared" si="26"/>
        <v>Recycled</v>
      </c>
      <c r="E101" s="47" t="s">
        <v>668</v>
      </c>
      <c r="F101" s="47" t="s">
        <v>633</v>
      </c>
      <c r="H101" s="105">
        <f>SUMIFS('INPUT Reg'!AD$94:AD$109,'INPUT Reg'!$D$94:$D$109,$D101,'INPUT Reg'!$C$94:$C$109,$C101,'INPUT Reg'!$B$94:$B$109,$B101)</f>
        <v>8.7101910727980236E-3</v>
      </c>
      <c r="I101" s="105">
        <f>SUMIFS('INPUT Reg'!AE$94:AE$109,'INPUT Reg'!$D$94:$D$109,$D101,'INPUT Reg'!$C$94:$C$109,$C101,'INPUT Reg'!$B$94:$B$109,$B101)</f>
        <v>8.6349787579071968E-3</v>
      </c>
      <c r="J101" s="105">
        <f>SUMIFS('INPUT Reg'!AF$94:AF$109,'INPUT Reg'!$D$94:$D$109,$D101,'INPUT Reg'!$C$94:$C$109,$C101,'INPUT Reg'!$B$94:$B$109,$B101)</f>
        <v>8.5610542364302766E-3</v>
      </c>
      <c r="K101" s="105">
        <f>SUMIFS('INPUT Reg'!AG$94:AG$109,'INPUT Reg'!$D$94:$D$109,$D101,'INPUT Reg'!$C$94:$C$109,$C101,'INPUT Reg'!$B$94:$B$109,$B101)</f>
        <v>8.4883847145098557E-3</v>
      </c>
      <c r="L101" s="105">
        <f>SUMIFS('INPUT Reg'!AH$94:AH$109,'INPUT Reg'!$D$94:$D$109,$D101,'INPUT Reg'!$C$94:$C$109,$C101,'INPUT Reg'!$B$94:$B$109,$B101)</f>
        <v>9.6029349386337337E-3</v>
      </c>
      <c r="M101" s="105">
        <f>SUMIFS('INPUT Reg'!AI$94:AI$109,'INPUT Reg'!$D$94:$D$109,$D101,'INPUT Reg'!$C$94:$C$109,$C101,'INPUT Reg'!$B$94:$B$109,$B101)</f>
        <v>9.5115957039262344E-3</v>
      </c>
      <c r="N101" s="105">
        <f>SUMIFS('INPUT Reg'!AJ$94:AJ$109,'INPUT Reg'!$D$94:$D$109,$D101,'INPUT Reg'!$C$94:$C$109,$C101,'INPUT Reg'!$B$94:$B$109,$B101)</f>
        <v>9.4219776616768502E-3</v>
      </c>
      <c r="O101" s="105">
        <f>SUMIFS('INPUT Reg'!AK$94:AK$109,'INPUT Reg'!$D$94:$D$109,$D101,'INPUT Reg'!$C$94:$C$109,$C101,'INPUT Reg'!$B$94:$B$109,$B101)</f>
        <v>9.3340326148860786E-3</v>
      </c>
      <c r="P101" s="105">
        <f>SUMIFS('INPUT Reg'!AL$94:AL$109,'INPUT Reg'!$D$94:$D$109,$D101,'INPUT Reg'!$C$94:$C$109,$C101,'INPUT Reg'!$B$94:$B$109,$B101)</f>
        <v>1.3816215798010401E-2</v>
      </c>
      <c r="Q101" s="105">
        <f>SUMIFS('INPUT Reg'!AM$94:AM$109,'INPUT Reg'!$D$94:$D$109,$D101,'INPUT Reg'!$C$94:$C$109,$C101,'INPUT Reg'!$B$94:$B$109,$B101)</f>
        <v>-0.17717578877838569</v>
      </c>
      <c r="R101" s="105">
        <f>SUMIFS('INPUT Reg'!AN$94:AN$109,'INPUT Reg'!$D$94:$D$109,$D101,'INPUT Reg'!$C$94:$C$109,$C101,'INPUT Reg'!$B$94:$B$109,$B101)</f>
        <v>0</v>
      </c>
      <c r="S101" s="105">
        <f>SUMIFS('INPUT Reg'!AO$94:AO$109,'INPUT Reg'!$D$94:$D$109,$D101,'INPUT Reg'!$C$94:$C$109,$C101,'INPUT Reg'!$B$94:$B$109,$B101)</f>
        <v>0</v>
      </c>
      <c r="T101" s="105">
        <f>SUMIFS('INPUT Reg'!AP$94:AP$109,'INPUT Reg'!$D$94:$D$109,$D101,'INPUT Reg'!$C$94:$C$109,$C101,'INPUT Reg'!$B$94:$B$109,$B101)</f>
        <v>0</v>
      </c>
      <c r="U101" s="105">
        <f>SUMIFS('INPUT Reg'!AQ$94:AQ$109,'INPUT Reg'!$D$94:$D$109,$D101,'INPUT Reg'!$C$94:$C$109,$C101,'INPUT Reg'!$B$94:$B$109,$B101)</f>
        <v>0</v>
      </c>
      <c r="V101" s="105">
        <f>SUMIFS('INPUT Reg'!AR$94:AR$109,'INPUT Reg'!$D$94:$D$109,$D101,'INPUT Reg'!$C$94:$C$109,$C101,'INPUT Reg'!$B$94:$B$109,$B101)</f>
        <v>-0.10833701166993215</v>
      </c>
      <c r="W101" s="105">
        <f>SUMIFS('INPUT Reg'!AS$94:AS$109,'INPUT Reg'!$D$94:$D$109,$D101,'INPUT Reg'!$C$94:$C$109,$C101,'INPUT Reg'!$B$94:$B$109,$B101)</f>
        <v>0</v>
      </c>
      <c r="X101" s="105">
        <f>SUMIFS('INPUT Reg'!AT$94:AT$109,'INPUT Reg'!$D$94:$D$109,$D101,'INPUT Reg'!$C$94:$C$109,$C101,'INPUT Reg'!$B$94:$B$109,$B101)</f>
        <v>0</v>
      </c>
      <c r="Y101" s="105">
        <f>SUMIFS('INPUT Reg'!AU$94:AU$109,'INPUT Reg'!$D$94:$D$109,$D101,'INPUT Reg'!$C$94:$C$109,$C101,'INPUT Reg'!$B$94:$B$109,$B101)</f>
        <v>0</v>
      </c>
      <c r="Z101" s="105">
        <f>SUMIFS('INPUT Reg'!AV$94:AV$109,'INPUT Reg'!$D$94:$D$109,$D101,'INPUT Reg'!$C$94:$C$109,$C101,'INPUT Reg'!$B$94:$B$109,$B101)</f>
        <v>0</v>
      </c>
      <c r="AA101" s="105">
        <f>SUMIFS('INPUT Reg'!AW$94:AW$109,'INPUT Reg'!$D$94:$D$109,$D101,'INPUT Reg'!$C$94:$C$109,$C101,'INPUT Reg'!$B$94:$B$109,$B101)</f>
        <v>0</v>
      </c>
    </row>
    <row r="102" spans="1:27" x14ac:dyDescent="0.25">
      <c r="A102" s="101">
        <v>19</v>
      </c>
      <c r="B102" s="47" t="str">
        <f>B90</f>
        <v>Central</v>
      </c>
      <c r="C102" s="47" t="str">
        <f t="shared" ref="C102:D102" si="27">C90</f>
        <v>R</v>
      </c>
      <c r="D102" s="47" t="str">
        <f t="shared" si="27"/>
        <v>Recycled</v>
      </c>
      <c r="E102" s="47" t="s">
        <v>669</v>
      </c>
      <c r="F102" s="47" t="s">
        <v>670</v>
      </c>
      <c r="G102" s="108">
        <f>IF(D102=W,CWW_R_W_N,IF(D102=S,CWW_R_S_N,IF(D102=WS,CWW_R_W_N+CWW_R_S_N,CWW_R_R_N)))</f>
        <v>35.92</v>
      </c>
      <c r="H102" s="106">
        <f>G102*(1+$G$14)*(1+H101)</f>
        <v>36.232870063334907</v>
      </c>
      <c r="I102" s="106">
        <f t="shared" ref="I102:AA102" si="28">H102*(1+$G$14)*(1+I101)</f>
        <v>36.545740126669813</v>
      </c>
      <c r="J102" s="106">
        <f t="shared" si="28"/>
        <v>36.858610190004718</v>
      </c>
      <c r="K102" s="106">
        <f t="shared" si="28"/>
        <v>37.171480253339631</v>
      </c>
      <c r="L102" s="106">
        <f t="shared" si="28"/>
        <v>37.528435559785159</v>
      </c>
      <c r="M102" s="106">
        <f t="shared" si="28"/>
        <v>37.885390866230686</v>
      </c>
      <c r="N102" s="106">
        <f t="shared" si="28"/>
        <v>38.242346172676207</v>
      </c>
      <c r="O102" s="106">
        <f t="shared" si="28"/>
        <v>38.599301479121728</v>
      </c>
      <c r="P102" s="106">
        <f t="shared" si="28"/>
        <v>39.132597758009737</v>
      </c>
      <c r="Q102" s="106">
        <f t="shared" si="28"/>
        <v>32.199248883287076</v>
      </c>
      <c r="R102" s="106">
        <f t="shared" si="28"/>
        <v>32.199248883287076</v>
      </c>
      <c r="S102" s="106">
        <f t="shared" si="28"/>
        <v>32.199248883287076</v>
      </c>
      <c r="T102" s="106">
        <f t="shared" si="28"/>
        <v>32.199248883287076</v>
      </c>
      <c r="U102" s="106">
        <f t="shared" si="28"/>
        <v>32.199248883287076</v>
      </c>
      <c r="V102" s="106">
        <f t="shared" si="28"/>
        <v>28.710878481255353</v>
      </c>
      <c r="W102" s="106">
        <f t="shared" si="28"/>
        <v>28.710878481255353</v>
      </c>
      <c r="X102" s="106">
        <f t="shared" si="28"/>
        <v>28.710878481255353</v>
      </c>
      <c r="Y102" s="106">
        <f t="shared" si="28"/>
        <v>28.710878481255353</v>
      </c>
      <c r="Z102" s="106">
        <f t="shared" si="28"/>
        <v>28.710878481255353</v>
      </c>
      <c r="AA102" s="106">
        <f t="shared" si="28"/>
        <v>28.710878481255353</v>
      </c>
    </row>
    <row r="103" spans="1:27" x14ac:dyDescent="0.25">
      <c r="B103" s="47" t="str">
        <f>B90</f>
        <v>Central</v>
      </c>
      <c r="C103" s="47" t="str">
        <f t="shared" ref="C103:D103" si="29">C90</f>
        <v>R</v>
      </c>
      <c r="D103" s="47" t="str">
        <f t="shared" si="29"/>
        <v>Recycled</v>
      </c>
      <c r="E103" s="47" t="s">
        <v>671</v>
      </c>
      <c r="F103" s="47" t="s">
        <v>672</v>
      </c>
      <c r="G103" s="109">
        <f>IF(OR(D103=W,D103=WS),CWW_T1,IF(D103=RW,CWW_R_R_V,0))</f>
        <v>2.5074000000000001</v>
      </c>
      <c r="H103" s="110">
        <f>G103*(1+$G$14)*(1+H101)</f>
        <v>2.5292399330959339</v>
      </c>
      <c r="I103" s="110">
        <f t="shared" ref="I103:AA103" si="30">H103*(1+$G$14)*(1+I101)</f>
        <v>2.5510798661918677</v>
      </c>
      <c r="J103" s="110">
        <f t="shared" si="30"/>
        <v>2.5729197992878015</v>
      </c>
      <c r="K103" s="110">
        <f t="shared" si="30"/>
        <v>2.5947597323837357</v>
      </c>
      <c r="L103" s="110">
        <f t="shared" si="30"/>
        <v>2.6196770412752035</v>
      </c>
      <c r="M103" s="110">
        <f t="shared" si="30"/>
        <v>2.6445943501666709</v>
      </c>
      <c r="N103" s="110">
        <f t="shared" si="30"/>
        <v>2.6695116590581383</v>
      </c>
      <c r="O103" s="110">
        <f t="shared" si="30"/>
        <v>2.6944289679496056</v>
      </c>
      <c r="P103" s="110">
        <f t="shared" si="30"/>
        <v>2.7316557800232077</v>
      </c>
      <c r="Q103" s="110">
        <f t="shared" si="30"/>
        <v>2.2476725125265595</v>
      </c>
      <c r="R103" s="110">
        <f t="shared" si="30"/>
        <v>2.2476725125265595</v>
      </c>
      <c r="S103" s="110">
        <f t="shared" si="30"/>
        <v>2.2476725125265595</v>
      </c>
      <c r="T103" s="110">
        <f t="shared" si="30"/>
        <v>2.2476725125265595</v>
      </c>
      <c r="U103" s="110">
        <f t="shared" si="30"/>
        <v>2.2476725125265595</v>
      </c>
      <c r="V103" s="110">
        <f t="shared" si="30"/>
        <v>2.0041663893067838</v>
      </c>
      <c r="W103" s="110">
        <f t="shared" si="30"/>
        <v>2.0041663893067838</v>
      </c>
      <c r="X103" s="110">
        <f t="shared" si="30"/>
        <v>2.0041663893067838</v>
      </c>
      <c r="Y103" s="110">
        <f t="shared" si="30"/>
        <v>2.0041663893067838</v>
      </c>
      <c r="Z103" s="110">
        <f t="shared" si="30"/>
        <v>2.0041663893067838</v>
      </c>
      <c r="AA103" s="110">
        <f t="shared" si="30"/>
        <v>2.0041663893067838</v>
      </c>
    </row>
    <row r="104" spans="1:27" x14ac:dyDescent="0.25">
      <c r="B104" s="47" t="str">
        <f>B90</f>
        <v>Central</v>
      </c>
      <c r="C104" s="47" t="str">
        <f t="shared" ref="C104:D104" si="31">C90</f>
        <v>R</v>
      </c>
      <c r="D104" s="47" t="str">
        <f t="shared" si="31"/>
        <v>Recycled</v>
      </c>
      <c r="E104" s="47" t="s">
        <v>673</v>
      </c>
      <c r="F104" s="47" t="s">
        <v>672</v>
      </c>
      <c r="G104" s="109">
        <f>IF(OR(D104=W,D104=WS),CWW_T2,0)</f>
        <v>0</v>
      </c>
      <c r="H104" s="110">
        <f>G104*(1+$G$14)*(1+H101)</f>
        <v>0</v>
      </c>
      <c r="I104" s="110">
        <f t="shared" ref="I104:AA104" si="32">H104*(1+$G$14)*(1+I101)</f>
        <v>0</v>
      </c>
      <c r="J104" s="110">
        <f t="shared" si="32"/>
        <v>0</v>
      </c>
      <c r="K104" s="110">
        <f t="shared" si="32"/>
        <v>0</v>
      </c>
      <c r="L104" s="110">
        <f t="shared" si="32"/>
        <v>0</v>
      </c>
      <c r="M104" s="110">
        <f t="shared" si="32"/>
        <v>0</v>
      </c>
      <c r="N104" s="110">
        <f t="shared" si="32"/>
        <v>0</v>
      </c>
      <c r="O104" s="110">
        <f t="shared" si="32"/>
        <v>0</v>
      </c>
      <c r="P104" s="110">
        <f t="shared" si="32"/>
        <v>0</v>
      </c>
      <c r="Q104" s="110">
        <f t="shared" si="32"/>
        <v>0</v>
      </c>
      <c r="R104" s="110">
        <f t="shared" si="32"/>
        <v>0</v>
      </c>
      <c r="S104" s="110">
        <f t="shared" si="32"/>
        <v>0</v>
      </c>
      <c r="T104" s="110">
        <f t="shared" si="32"/>
        <v>0</v>
      </c>
      <c r="U104" s="110">
        <f t="shared" si="32"/>
        <v>0</v>
      </c>
      <c r="V104" s="110">
        <f t="shared" si="32"/>
        <v>0</v>
      </c>
      <c r="W104" s="110">
        <f t="shared" si="32"/>
        <v>0</v>
      </c>
      <c r="X104" s="110">
        <f t="shared" si="32"/>
        <v>0</v>
      </c>
      <c r="Y104" s="110">
        <f t="shared" si="32"/>
        <v>0</v>
      </c>
      <c r="Z104" s="110">
        <f t="shared" si="32"/>
        <v>0</v>
      </c>
      <c r="AA104" s="110">
        <f t="shared" si="32"/>
        <v>0</v>
      </c>
    </row>
    <row r="105" spans="1:27" x14ac:dyDescent="0.25">
      <c r="B105" s="47" t="str">
        <f>B90</f>
        <v>Central</v>
      </c>
      <c r="C105" s="47" t="str">
        <f t="shared" ref="C105:D105" si="33">C90</f>
        <v>R</v>
      </c>
      <c r="D105" s="47" t="str">
        <f t="shared" si="33"/>
        <v>Recycled</v>
      </c>
      <c r="E105" s="47" t="s">
        <v>674</v>
      </c>
      <c r="F105" s="47" t="s">
        <v>672</v>
      </c>
      <c r="G105" s="109">
        <f>IF(OR(D105=S,D105=WS),CWW_R_SDC,0)</f>
        <v>0</v>
      </c>
      <c r="H105" s="110">
        <f>G105*(1+$G$14)*(1+H101)</f>
        <v>0</v>
      </c>
      <c r="I105" s="110">
        <f t="shared" ref="I105:AA105" si="34">H105*(1+$G$14)*(1+I101)</f>
        <v>0</v>
      </c>
      <c r="J105" s="110">
        <f t="shared" si="34"/>
        <v>0</v>
      </c>
      <c r="K105" s="110">
        <f t="shared" si="34"/>
        <v>0</v>
      </c>
      <c r="L105" s="110">
        <f t="shared" si="34"/>
        <v>0</v>
      </c>
      <c r="M105" s="110">
        <f t="shared" si="34"/>
        <v>0</v>
      </c>
      <c r="N105" s="110">
        <f t="shared" si="34"/>
        <v>0</v>
      </c>
      <c r="O105" s="110">
        <f t="shared" si="34"/>
        <v>0</v>
      </c>
      <c r="P105" s="110">
        <f t="shared" si="34"/>
        <v>0</v>
      </c>
      <c r="Q105" s="110">
        <f t="shared" si="34"/>
        <v>0</v>
      </c>
      <c r="R105" s="110">
        <f t="shared" si="34"/>
        <v>0</v>
      </c>
      <c r="S105" s="110">
        <f t="shared" si="34"/>
        <v>0</v>
      </c>
      <c r="T105" s="110">
        <f t="shared" si="34"/>
        <v>0</v>
      </c>
      <c r="U105" s="110">
        <f t="shared" si="34"/>
        <v>0</v>
      </c>
      <c r="V105" s="110">
        <f t="shared" si="34"/>
        <v>0</v>
      </c>
      <c r="W105" s="110">
        <f t="shared" si="34"/>
        <v>0</v>
      </c>
      <c r="X105" s="110">
        <f t="shared" si="34"/>
        <v>0</v>
      </c>
      <c r="Y105" s="110">
        <f t="shared" si="34"/>
        <v>0</v>
      </c>
      <c r="Z105" s="110">
        <f t="shared" si="34"/>
        <v>0</v>
      </c>
      <c r="AA105" s="110">
        <f t="shared" si="34"/>
        <v>0</v>
      </c>
    </row>
    <row r="106" spans="1:27" x14ac:dyDescent="0.25">
      <c r="C106" s="100"/>
      <c r="D106" s="100"/>
    </row>
    <row r="107" spans="1:27" x14ac:dyDescent="0.25">
      <c r="C107" s="100"/>
      <c r="D107" s="100"/>
      <c r="E107" s="47" t="s">
        <v>675</v>
      </c>
      <c r="F107" s="47" t="s">
        <v>676</v>
      </c>
      <c r="H107" s="106">
        <f>SUM(H98:H100)/1000</f>
        <v>214.96306332031355</v>
      </c>
      <c r="I107" s="106">
        <f t="shared" ref="I107:AA107" si="35">SUM(I98:I100)/1000</f>
        <v>432.61772499172861</v>
      </c>
      <c r="J107" s="106">
        <f t="shared" si="35"/>
        <v>614.62614154208075</v>
      </c>
      <c r="K107" s="106">
        <f t="shared" si="35"/>
        <v>787.13828731636033</v>
      </c>
      <c r="L107" s="106">
        <f t="shared" si="35"/>
        <v>950.604596412462</v>
      </c>
      <c r="M107" s="106">
        <f t="shared" si="35"/>
        <v>1114.5834971876575</v>
      </c>
      <c r="N107" s="106">
        <f t="shared" si="35"/>
        <v>1281.1475361028513</v>
      </c>
      <c r="O107" s="106">
        <f t="shared" si="35"/>
        <v>1458.5430118633763</v>
      </c>
      <c r="P107" s="106">
        <f t="shared" si="35"/>
        <v>1642.8875348077661</v>
      </c>
      <c r="Q107" s="106">
        <f t="shared" si="35"/>
        <v>1829.4623790171195</v>
      </c>
      <c r="R107" s="106">
        <f t="shared" si="35"/>
        <v>2015.0772101564201</v>
      </c>
      <c r="S107" s="106">
        <f t="shared" si="35"/>
        <v>2192.0836326706421</v>
      </c>
      <c r="T107" s="106">
        <f t="shared" si="35"/>
        <v>2357.2019640919543</v>
      </c>
      <c r="U107" s="106">
        <f t="shared" si="35"/>
        <v>2513.3774911592163</v>
      </c>
      <c r="V107" s="106">
        <f t="shared" si="35"/>
        <v>2662.1580263502738</v>
      </c>
      <c r="W107" s="106">
        <f t="shared" si="35"/>
        <v>2793.5507699930999</v>
      </c>
      <c r="X107" s="106">
        <f t="shared" si="35"/>
        <v>2911.1426295607803</v>
      </c>
      <c r="Y107" s="106">
        <f t="shared" si="35"/>
        <v>3011.7553529082616</v>
      </c>
      <c r="Z107" s="106">
        <f t="shared" si="35"/>
        <v>3097.0910534369159</v>
      </c>
      <c r="AA107" s="106">
        <f t="shared" si="35"/>
        <v>3170.4876642409681</v>
      </c>
    </row>
    <row r="108" spans="1:27" x14ac:dyDescent="0.25">
      <c r="C108" s="100"/>
      <c r="D108" s="100"/>
      <c r="E108" s="47" t="s">
        <v>677</v>
      </c>
      <c r="F108" s="47" t="s">
        <v>639</v>
      </c>
      <c r="H108" s="106">
        <f>H91*H102+H98*H103+H99*H104+H100*H105</f>
        <v>666314.02764398535</v>
      </c>
      <c r="I108" s="106">
        <f t="shared" ref="I108:AA108" si="36">I91*I102+I98*I103+I99*I104+I100*I105</f>
        <v>1353350.2014694605</v>
      </c>
      <c r="J108" s="106">
        <f t="shared" si="36"/>
        <v>1941971.964992397</v>
      </c>
      <c r="K108" s="106">
        <f t="shared" si="36"/>
        <v>2512789.7731291857</v>
      </c>
      <c r="L108" s="106">
        <f t="shared" si="36"/>
        <v>3069346.8617859194</v>
      </c>
      <c r="M108" s="106">
        <f t="shared" si="36"/>
        <v>3637562.2765883664</v>
      </c>
      <c r="N108" s="106">
        <f t="shared" si="36"/>
        <v>4220969.4951321799</v>
      </c>
      <c r="O108" s="106">
        <f t="shared" si="36"/>
        <v>4847424.1455522515</v>
      </c>
      <c r="P108" s="106">
        <f t="shared" si="36"/>
        <v>5529795.4841554686</v>
      </c>
      <c r="Q108" s="106">
        <f t="shared" si="36"/>
        <v>5060327.9629317196</v>
      </c>
      <c r="R108" s="106">
        <f t="shared" si="36"/>
        <v>5567100.7988346471</v>
      </c>
      <c r="S108" s="106">
        <f t="shared" si="36"/>
        <v>6048641.900799999</v>
      </c>
      <c r="T108" s="106">
        <f t="shared" si="36"/>
        <v>6494300.7744791489</v>
      </c>
      <c r="U108" s="106">
        <f t="shared" si="36"/>
        <v>6912112.1982502947</v>
      </c>
      <c r="V108" s="106">
        <f t="shared" si="36"/>
        <v>6515262.5077387691</v>
      </c>
      <c r="W108" s="106">
        <f t="shared" si="36"/>
        <v>6827258.7365352362</v>
      </c>
      <c r="X108" s="106">
        <f t="shared" si="36"/>
        <v>7109964.4263543151</v>
      </c>
      <c r="Y108" s="106">
        <f t="shared" si="36"/>
        <v>7353965.474167781</v>
      </c>
      <c r="Z108" s="106">
        <f t="shared" si="36"/>
        <v>7562250.319255474</v>
      </c>
      <c r="AA108" s="106">
        <f t="shared" si="36"/>
        <v>7741464.7930660751</v>
      </c>
    </row>
    <row r="109" spans="1:27" x14ac:dyDescent="0.25">
      <c r="C109" s="100"/>
      <c r="D109" s="100"/>
    </row>
    <row r="110" spans="1:27" x14ac:dyDescent="0.25">
      <c r="C110" s="100"/>
      <c r="D110" s="47" t="s">
        <v>678</v>
      </c>
    </row>
    <row r="111" spans="1:27" x14ac:dyDescent="0.25">
      <c r="A111" s="101">
        <v>20</v>
      </c>
      <c r="B111" s="107" t="s">
        <v>262</v>
      </c>
      <c r="C111" s="47" t="s">
        <v>407</v>
      </c>
      <c r="D111" s="100" t="str">
        <f>$G$4</f>
        <v>Recycled</v>
      </c>
      <c r="E111" s="47" t="s">
        <v>654</v>
      </c>
      <c r="F111" s="47" t="s">
        <v>655</v>
      </c>
      <c r="H111" s="102">
        <f>IF($G$4="Water and sewer",SUMIFS('INPUT Growth'!AD$64:AD$115,'INPUT Growth'!$B$64:$B$115,$A$1,'INPUT Growth'!$F$64:$F$115,$B111,'INPUT Growth'!$E$64:$E$115,$C111),SUMIFS('INPUT Growth'!AD$64:AD$115,'INPUT Growth'!$A$64:$A$115,$A$1,'INPUT Growth'!$F$64:$F$115,$B111,'INPUT Growth'!$E$64:$E$115,$C111))</f>
        <v>0</v>
      </c>
      <c r="I111" s="102">
        <f>IF($G$4="Water and sewer",SUMIFS('INPUT Growth'!AE$64:AE$115,'INPUT Growth'!$B$64:$B$115,$A$1,'INPUT Growth'!$F$64:$F$115,$B111,'INPUT Growth'!$E$64:$E$115,$C111),SUMIFS('INPUT Growth'!AE$64:AE$115,'INPUT Growth'!$A$64:$A$115,$A$1,'INPUT Growth'!$F$64:$F$115,$B111,'INPUT Growth'!$E$64:$E$115,$C111))</f>
        <v>0</v>
      </c>
      <c r="J111" s="102">
        <f>IF($G$4="Water and sewer",SUMIFS('INPUT Growth'!AF$64:AF$115,'INPUT Growth'!$B$64:$B$115,$A$1,'INPUT Growth'!$F$64:$F$115,$B111,'INPUT Growth'!$E$64:$E$115,$C111),SUMIFS('INPUT Growth'!AF$64:AF$115,'INPUT Growth'!$A$64:$A$115,$A$1,'INPUT Growth'!$F$64:$F$115,$B111,'INPUT Growth'!$E$64:$E$115,$C111))</f>
        <v>0</v>
      </c>
      <c r="K111" s="102">
        <f>IF($G$4="Water and sewer",SUMIFS('INPUT Growth'!AG$64:AG$115,'INPUT Growth'!$B$64:$B$115,$A$1,'INPUT Growth'!$F$64:$F$115,$B111,'INPUT Growth'!$E$64:$E$115,$C111),SUMIFS('INPUT Growth'!AG$64:AG$115,'INPUT Growth'!$A$64:$A$115,$A$1,'INPUT Growth'!$F$64:$F$115,$B111,'INPUT Growth'!$E$64:$E$115,$C111))</f>
        <v>0</v>
      </c>
      <c r="L111" s="102">
        <f>IF($G$4="Water and sewer",SUMIFS('INPUT Growth'!AH$64:AH$115,'INPUT Growth'!$B$64:$B$115,$A$1,'INPUT Growth'!$F$64:$F$115,$B111,'INPUT Growth'!$E$64:$E$115,$C111),SUMIFS('INPUT Growth'!AH$64:AH$115,'INPUT Growth'!$A$64:$A$115,$A$1,'INPUT Growth'!$F$64:$F$115,$B111,'INPUT Growth'!$E$64:$E$115,$C111))</f>
        <v>0</v>
      </c>
      <c r="M111" s="102">
        <f>IF($G$4="Water and sewer",SUMIFS('INPUT Growth'!AI$64:AI$115,'INPUT Growth'!$B$64:$B$115,$A$1,'INPUT Growth'!$F$64:$F$115,$B111,'INPUT Growth'!$E$64:$E$115,$C111),SUMIFS('INPUT Growth'!AI$64:AI$115,'INPUT Growth'!$A$64:$A$115,$A$1,'INPUT Growth'!$F$64:$F$115,$B111,'INPUT Growth'!$E$64:$E$115,$C111))</f>
        <v>0</v>
      </c>
      <c r="N111" s="102">
        <f>IF($G$4="Water and sewer",SUMIFS('INPUT Growth'!AJ$64:AJ$115,'INPUT Growth'!$B$64:$B$115,$A$1,'INPUT Growth'!$F$64:$F$115,$B111,'INPUT Growth'!$E$64:$E$115,$C111),SUMIFS('INPUT Growth'!AJ$64:AJ$115,'INPUT Growth'!$A$64:$A$115,$A$1,'INPUT Growth'!$F$64:$F$115,$B111,'INPUT Growth'!$E$64:$E$115,$C111))</f>
        <v>0</v>
      </c>
      <c r="O111" s="102">
        <f>IF($G$4="Water and sewer",SUMIFS('INPUT Growth'!AK$64:AK$115,'INPUT Growth'!$B$64:$B$115,$A$1,'INPUT Growth'!$F$64:$F$115,$B111,'INPUT Growth'!$E$64:$E$115,$C111),SUMIFS('INPUT Growth'!AK$64:AK$115,'INPUT Growth'!$A$64:$A$115,$A$1,'INPUT Growth'!$F$64:$F$115,$B111,'INPUT Growth'!$E$64:$E$115,$C111))</f>
        <v>0</v>
      </c>
      <c r="P111" s="102">
        <f>IF($G$4="Water and sewer",SUMIFS('INPUT Growth'!AL$64:AL$115,'INPUT Growth'!$B$64:$B$115,$A$1,'INPUT Growth'!$F$64:$F$115,$B111,'INPUT Growth'!$E$64:$E$115,$C111),SUMIFS('INPUT Growth'!AL$64:AL$115,'INPUT Growth'!$A$64:$A$115,$A$1,'INPUT Growth'!$F$64:$F$115,$B111,'INPUT Growth'!$E$64:$E$115,$C111))</f>
        <v>0</v>
      </c>
      <c r="Q111" s="102">
        <f>IF($G$4="Water and sewer",SUMIFS('INPUT Growth'!AM$64:AM$115,'INPUT Growth'!$B$64:$B$115,$A$1,'INPUT Growth'!$F$64:$F$115,$B111,'INPUT Growth'!$E$64:$E$115,$C111),SUMIFS('INPUT Growth'!AM$64:AM$115,'INPUT Growth'!$A$64:$A$115,$A$1,'INPUT Growth'!$F$64:$F$115,$B111,'INPUT Growth'!$E$64:$E$115,$C111))</f>
        <v>0</v>
      </c>
      <c r="R111" s="102">
        <f>IF($G$4="Water and sewer",SUMIFS('INPUT Growth'!AN$64:AN$115,'INPUT Growth'!$B$64:$B$115,$A$1,'INPUT Growth'!$F$64:$F$115,$B111,'INPUT Growth'!$E$64:$E$115,$C111),SUMIFS('INPUT Growth'!AN$64:AN$115,'INPUT Growth'!$A$64:$A$115,$A$1,'INPUT Growth'!$F$64:$F$115,$B111,'INPUT Growth'!$E$64:$E$115,$C111))</f>
        <v>0</v>
      </c>
      <c r="S111" s="102">
        <f>IF($G$4="Water and sewer",SUMIFS('INPUT Growth'!AO$64:AO$115,'INPUT Growth'!$B$64:$B$115,$A$1,'INPUT Growth'!$F$64:$F$115,$B111,'INPUT Growth'!$E$64:$E$115,$C111),SUMIFS('INPUT Growth'!AO$64:AO$115,'INPUT Growth'!$A$64:$A$115,$A$1,'INPUT Growth'!$F$64:$F$115,$B111,'INPUT Growth'!$E$64:$E$115,$C111))</f>
        <v>0</v>
      </c>
      <c r="T111" s="102">
        <f>IF($G$4="Water and sewer",SUMIFS('INPUT Growth'!AP$64:AP$115,'INPUT Growth'!$B$64:$B$115,$A$1,'INPUT Growth'!$F$64:$F$115,$B111,'INPUT Growth'!$E$64:$E$115,$C111),SUMIFS('INPUT Growth'!AP$64:AP$115,'INPUT Growth'!$A$64:$A$115,$A$1,'INPUT Growth'!$F$64:$F$115,$B111,'INPUT Growth'!$E$64:$E$115,$C111))</f>
        <v>0</v>
      </c>
      <c r="U111" s="102">
        <f>IF($G$4="Water and sewer",SUMIFS('INPUT Growth'!AQ$64:AQ$115,'INPUT Growth'!$B$64:$B$115,$A$1,'INPUT Growth'!$F$64:$F$115,$B111,'INPUT Growth'!$E$64:$E$115,$C111),SUMIFS('INPUT Growth'!AQ$64:AQ$115,'INPUT Growth'!$A$64:$A$115,$A$1,'INPUT Growth'!$F$64:$F$115,$B111,'INPUT Growth'!$E$64:$E$115,$C111))</f>
        <v>0</v>
      </c>
      <c r="V111" s="102">
        <f>IF($G$4="Water and sewer",SUMIFS('INPUT Growth'!AR$64:AR$115,'INPUT Growth'!$B$64:$B$115,$A$1,'INPUT Growth'!$F$64:$F$115,$B111,'INPUT Growth'!$E$64:$E$115,$C111),SUMIFS('INPUT Growth'!AR$64:AR$115,'INPUT Growth'!$A$64:$A$115,$A$1,'INPUT Growth'!$F$64:$F$115,$B111,'INPUT Growth'!$E$64:$E$115,$C111))</f>
        <v>0</v>
      </c>
      <c r="W111" s="102">
        <f>IF($G$4="Water and sewer",SUMIFS('INPUT Growth'!AS$64:AS$115,'INPUT Growth'!$B$64:$B$115,$A$1,'INPUT Growth'!$F$64:$F$115,$B111,'INPUT Growth'!$E$64:$E$115,$C111),SUMIFS('INPUT Growth'!AS$64:AS$115,'INPUT Growth'!$A$64:$A$115,$A$1,'INPUT Growth'!$F$64:$F$115,$B111,'INPUT Growth'!$E$64:$E$115,$C111))</f>
        <v>0</v>
      </c>
      <c r="X111" s="102">
        <f>IF($G$4="Water and sewer",SUMIFS('INPUT Growth'!AT$64:AT$115,'INPUT Growth'!$B$64:$B$115,$A$1,'INPUT Growth'!$F$64:$F$115,$B111,'INPUT Growth'!$E$64:$E$115,$C111),SUMIFS('INPUT Growth'!AT$64:AT$115,'INPUT Growth'!$A$64:$A$115,$A$1,'INPUT Growth'!$F$64:$F$115,$B111,'INPUT Growth'!$E$64:$E$115,$C111))</f>
        <v>0</v>
      </c>
      <c r="Y111" s="102">
        <f>IF($G$4="Water and sewer",SUMIFS('INPUT Growth'!AU$64:AU$115,'INPUT Growth'!$B$64:$B$115,$A$1,'INPUT Growth'!$F$64:$F$115,$B111,'INPUT Growth'!$E$64:$E$115,$C111),SUMIFS('INPUT Growth'!AU$64:AU$115,'INPUT Growth'!$A$64:$A$115,$A$1,'INPUT Growth'!$F$64:$F$115,$B111,'INPUT Growth'!$E$64:$E$115,$C111))</f>
        <v>0</v>
      </c>
      <c r="Z111" s="102">
        <f>IF($G$4="Water and sewer",SUMIFS('INPUT Growth'!AV$64:AV$115,'INPUT Growth'!$B$64:$B$115,$A$1,'INPUT Growth'!$F$64:$F$115,$B111,'INPUT Growth'!$E$64:$E$115,$C111),SUMIFS('INPUT Growth'!AV$64:AV$115,'INPUT Growth'!$A$64:$A$115,$A$1,'INPUT Growth'!$F$64:$F$115,$B111,'INPUT Growth'!$E$64:$E$115,$C111))</f>
        <v>0</v>
      </c>
      <c r="AA111" s="102">
        <f>IF($G$4="Water and sewer",SUMIFS('INPUT Growth'!AW$64:AW$115,'INPUT Growth'!$B$64:$B$115,$A$1,'INPUT Growth'!$F$64:$F$115,$B111,'INPUT Growth'!$E$64:$E$115,$C111),SUMIFS('INPUT Growth'!AW$64:AW$115,'INPUT Growth'!$A$64:$A$115,$A$1,'INPUT Growth'!$F$64:$F$115,$B111,'INPUT Growth'!$E$64:$E$115,$C111))</f>
        <v>0</v>
      </c>
    </row>
    <row r="112" spans="1:27" x14ac:dyDescent="0.25">
      <c r="C112" s="100"/>
      <c r="D112" s="100"/>
      <c r="E112" s="47" t="s">
        <v>656</v>
      </c>
      <c r="F112" s="47" t="s">
        <v>655</v>
      </c>
      <c r="H112" s="106">
        <f>G112+H111</f>
        <v>0</v>
      </c>
      <c r="I112" s="106">
        <f t="shared" ref="I112:AA112" si="37">H112+I111</f>
        <v>0</v>
      </c>
      <c r="J112" s="106">
        <f t="shared" si="37"/>
        <v>0</v>
      </c>
      <c r="K112" s="106">
        <f t="shared" si="37"/>
        <v>0</v>
      </c>
      <c r="L112" s="106">
        <f t="shared" si="37"/>
        <v>0</v>
      </c>
      <c r="M112" s="106">
        <f t="shared" si="37"/>
        <v>0</v>
      </c>
      <c r="N112" s="106">
        <f t="shared" si="37"/>
        <v>0</v>
      </c>
      <c r="O112" s="106">
        <f t="shared" si="37"/>
        <v>0</v>
      </c>
      <c r="P112" s="106">
        <f t="shared" si="37"/>
        <v>0</v>
      </c>
      <c r="Q112" s="106">
        <f t="shared" si="37"/>
        <v>0</v>
      </c>
      <c r="R112" s="106">
        <f t="shared" si="37"/>
        <v>0</v>
      </c>
      <c r="S112" s="106">
        <f t="shared" si="37"/>
        <v>0</v>
      </c>
      <c r="T112" s="106">
        <f t="shared" si="37"/>
        <v>0</v>
      </c>
      <c r="U112" s="106">
        <f t="shared" si="37"/>
        <v>0</v>
      </c>
      <c r="V112" s="106">
        <f t="shared" si="37"/>
        <v>0</v>
      </c>
      <c r="W112" s="106">
        <f t="shared" si="37"/>
        <v>0</v>
      </c>
      <c r="X112" s="106">
        <f t="shared" si="37"/>
        <v>0</v>
      </c>
      <c r="Y112" s="106">
        <f t="shared" si="37"/>
        <v>0</v>
      </c>
      <c r="Z112" s="106">
        <f t="shared" si="37"/>
        <v>0</v>
      </c>
      <c r="AA112" s="106">
        <f t="shared" si="37"/>
        <v>0</v>
      </c>
    </row>
    <row r="113" spans="1:27" x14ac:dyDescent="0.25">
      <c r="A113" s="101">
        <v>21</v>
      </c>
      <c r="C113" s="100"/>
      <c r="D113" s="100"/>
      <c r="E113" s="47" t="s">
        <v>657</v>
      </c>
      <c r="F113" s="47" t="s">
        <v>655</v>
      </c>
      <c r="G113" s="102">
        <f>Assumptions!$H$46</f>
        <v>2</v>
      </c>
    </row>
    <row r="114" spans="1:27" x14ac:dyDescent="0.25">
      <c r="C114" s="100"/>
      <c r="D114" s="100"/>
      <c r="E114" s="47" t="s">
        <v>658</v>
      </c>
      <c r="F114" s="47" t="s">
        <v>655</v>
      </c>
      <c r="H114" s="47">
        <f>H111*$G113</f>
        <v>0</v>
      </c>
      <c r="I114" s="47">
        <f t="shared" ref="I114:AA114" si="38">I111*$G113</f>
        <v>0</v>
      </c>
      <c r="J114" s="47">
        <f t="shared" si="38"/>
        <v>0</v>
      </c>
      <c r="K114" s="47">
        <f t="shared" si="38"/>
        <v>0</v>
      </c>
      <c r="L114" s="47">
        <f t="shared" si="38"/>
        <v>0</v>
      </c>
      <c r="M114" s="47">
        <f t="shared" si="38"/>
        <v>0</v>
      </c>
      <c r="N114" s="47">
        <f t="shared" si="38"/>
        <v>0</v>
      </c>
      <c r="O114" s="47">
        <f t="shared" si="38"/>
        <v>0</v>
      </c>
      <c r="P114" s="47">
        <f t="shared" si="38"/>
        <v>0</v>
      </c>
      <c r="Q114" s="47">
        <f t="shared" si="38"/>
        <v>0</v>
      </c>
      <c r="R114" s="47">
        <f t="shared" si="38"/>
        <v>0</v>
      </c>
      <c r="S114" s="47">
        <f t="shared" si="38"/>
        <v>0</v>
      </c>
      <c r="T114" s="47">
        <f t="shared" si="38"/>
        <v>0</v>
      </c>
      <c r="U114" s="47">
        <f t="shared" si="38"/>
        <v>0</v>
      </c>
      <c r="V114" s="47">
        <f t="shared" si="38"/>
        <v>0</v>
      </c>
      <c r="W114" s="47">
        <f t="shared" si="38"/>
        <v>0</v>
      </c>
      <c r="X114" s="47">
        <f t="shared" si="38"/>
        <v>0</v>
      </c>
      <c r="Y114" s="47">
        <f t="shared" si="38"/>
        <v>0</v>
      </c>
      <c r="Z114" s="47">
        <f t="shared" si="38"/>
        <v>0</v>
      </c>
      <c r="AA114" s="47">
        <f t="shared" si="38"/>
        <v>0</v>
      </c>
    </row>
    <row r="115" spans="1:27" x14ac:dyDescent="0.25">
      <c r="C115" s="100"/>
      <c r="D115" s="100"/>
      <c r="E115" s="47" t="s">
        <v>659</v>
      </c>
      <c r="F115" s="47" t="s">
        <v>655</v>
      </c>
      <c r="H115" s="47">
        <f>H112*$G113</f>
        <v>0</v>
      </c>
      <c r="I115" s="47">
        <f t="shared" ref="I115:AA115" si="39">I112*$G113</f>
        <v>0</v>
      </c>
      <c r="J115" s="47">
        <f t="shared" si="39"/>
        <v>0</v>
      </c>
      <c r="K115" s="47">
        <f t="shared" si="39"/>
        <v>0</v>
      </c>
      <c r="L115" s="47">
        <f t="shared" si="39"/>
        <v>0</v>
      </c>
      <c r="M115" s="47">
        <f t="shared" si="39"/>
        <v>0</v>
      </c>
      <c r="N115" s="47">
        <f t="shared" si="39"/>
        <v>0</v>
      </c>
      <c r="O115" s="47">
        <f t="shared" si="39"/>
        <v>0</v>
      </c>
      <c r="P115" s="47">
        <f t="shared" si="39"/>
        <v>0</v>
      </c>
      <c r="Q115" s="47">
        <f t="shared" si="39"/>
        <v>0</v>
      </c>
      <c r="R115" s="47">
        <f t="shared" si="39"/>
        <v>0</v>
      </c>
      <c r="S115" s="47">
        <f t="shared" si="39"/>
        <v>0</v>
      </c>
      <c r="T115" s="47">
        <f t="shared" si="39"/>
        <v>0</v>
      </c>
      <c r="U115" s="47">
        <f t="shared" si="39"/>
        <v>0</v>
      </c>
      <c r="V115" s="47">
        <f t="shared" si="39"/>
        <v>0</v>
      </c>
      <c r="W115" s="47">
        <f t="shared" si="39"/>
        <v>0</v>
      </c>
      <c r="X115" s="47">
        <f t="shared" si="39"/>
        <v>0</v>
      </c>
      <c r="Y115" s="47">
        <f t="shared" si="39"/>
        <v>0</v>
      </c>
      <c r="Z115" s="47">
        <f t="shared" si="39"/>
        <v>0</v>
      </c>
      <c r="AA115" s="47">
        <f t="shared" si="39"/>
        <v>0</v>
      </c>
    </row>
    <row r="116" spans="1:27" x14ac:dyDescent="0.25">
      <c r="A116" s="101">
        <v>22</v>
      </c>
      <c r="B116" s="47" t="str">
        <f>B111</f>
        <v>Central</v>
      </c>
      <c r="C116" s="47" t="str">
        <f>C111</f>
        <v>N</v>
      </c>
      <c r="D116" s="47" t="str">
        <f>D111</f>
        <v>Recycled</v>
      </c>
      <c r="E116" s="47" t="s">
        <v>660</v>
      </c>
      <c r="F116" s="47" t="s">
        <v>661</v>
      </c>
      <c r="H116" s="102">
        <f>IF(OR($D116=W,$D116=WS),'INPUT Reg'!AD$118,IF($D116=RW,'INPUT Reg'!AD$120,0))</f>
        <v>0</v>
      </c>
      <c r="I116" s="102">
        <f>IF(OR($D116=W,$D116=WS),'INPUT Reg'!AE$118,IF($D116=RW,'INPUT Reg'!AE$120,0))</f>
        <v>0</v>
      </c>
      <c r="J116" s="102">
        <f>IF(OR($D116=W,$D116=WS),'INPUT Reg'!AF$118,IF($D116=RW,'INPUT Reg'!AF$120,0))</f>
        <v>0</v>
      </c>
      <c r="K116" s="102">
        <f>IF(OR($D116=W,$D116=WS),'INPUT Reg'!AG$118,IF($D116=RW,'INPUT Reg'!AG$120,0))</f>
        <v>0</v>
      </c>
      <c r="L116" s="102">
        <f>IF(OR($D116=W,$D116=WS),'INPUT Reg'!AH$118,IF($D116=RW,'INPUT Reg'!AH$120,0))</f>
        <v>0</v>
      </c>
      <c r="M116" s="102">
        <f>IF(OR($D116=W,$D116=WS),'INPUT Reg'!AI$118,IF($D116=RW,'INPUT Reg'!AI$120,0))</f>
        <v>0</v>
      </c>
      <c r="N116" s="102">
        <f>IF(OR($D116=W,$D116=WS),'INPUT Reg'!AJ$118,IF($D116=RW,'INPUT Reg'!AJ$120,0))</f>
        <v>0</v>
      </c>
      <c r="O116" s="102">
        <f>IF(OR($D116=W,$D116=WS),'INPUT Reg'!AK$118,IF($D116=RW,'INPUT Reg'!AK$120,0))</f>
        <v>0</v>
      </c>
      <c r="P116" s="102">
        <f>IF(OR($D116=W,$D116=WS),'INPUT Reg'!AL$118,IF($D116=RW,'INPUT Reg'!AL$120,0))</f>
        <v>0</v>
      </c>
      <c r="Q116" s="102">
        <f>IF(OR($D116=W,$D116=WS),'INPUT Reg'!AM$118,IF($D116=RW,'INPUT Reg'!AM$120,0))</f>
        <v>0</v>
      </c>
      <c r="R116" s="102">
        <f>IF(OR($D116=W,$D116=WS),'INPUT Reg'!AN$118,IF($D116=RW,'INPUT Reg'!AN$120,0))</f>
        <v>0</v>
      </c>
      <c r="S116" s="102">
        <f>IF(OR($D116=W,$D116=WS),'INPUT Reg'!AO$118,IF($D116=RW,'INPUT Reg'!AO$120,0))</f>
        <v>0</v>
      </c>
      <c r="T116" s="102">
        <f>IF(OR($D116=W,$D116=WS),'INPUT Reg'!AP$118,IF($D116=RW,'INPUT Reg'!AP$120,0))</f>
        <v>0</v>
      </c>
      <c r="U116" s="102">
        <f>IF(OR($D116=W,$D116=WS),'INPUT Reg'!AQ$118,IF($D116=RW,'INPUT Reg'!AQ$120,0))</f>
        <v>0</v>
      </c>
      <c r="V116" s="102">
        <f>IF(OR($D116=W,$D116=WS),'INPUT Reg'!AR$118,IF($D116=RW,'INPUT Reg'!AR$120,0))</f>
        <v>0</v>
      </c>
      <c r="W116" s="102">
        <f>IF(OR($D116=W,$D116=WS),'INPUT Reg'!AS$118,IF($D116=RW,'INPUT Reg'!AS$120,0))</f>
        <v>0</v>
      </c>
      <c r="X116" s="102">
        <f>IF(OR($D116=W,$D116=WS),'INPUT Reg'!AT$118,IF($D116=RW,'INPUT Reg'!AT$120,0))</f>
        <v>0</v>
      </c>
      <c r="Y116" s="102">
        <f>IF(OR($D116=W,$D116=WS),'INPUT Reg'!AU$118,IF($D116=RW,'INPUT Reg'!AU$120,0))</f>
        <v>0</v>
      </c>
      <c r="Z116" s="102">
        <f>IF(OR($D116=W,$D116=WS),'INPUT Reg'!AV$118,IF($D116=RW,'INPUT Reg'!AV$120,0))</f>
        <v>0</v>
      </c>
      <c r="AA116" s="102">
        <f>IF(OR($D116=W,$D116=WS),'INPUT Reg'!AW$118,IF($D116=RW,'INPUT Reg'!AW$120,0))</f>
        <v>0</v>
      </c>
    </row>
    <row r="117" spans="1:27" x14ac:dyDescent="0.25">
      <c r="B117" s="47" t="str">
        <f>B111</f>
        <v>Central</v>
      </c>
      <c r="C117" s="47" t="str">
        <f t="shared" ref="C117:D117" si="40">C111</f>
        <v>N</v>
      </c>
      <c r="D117" s="47" t="str">
        <f t="shared" si="40"/>
        <v>Recycled</v>
      </c>
      <c r="E117" s="47" t="s">
        <v>662</v>
      </c>
      <c r="F117" s="47" t="s">
        <v>661</v>
      </c>
      <c r="H117" s="102"/>
      <c r="I117" s="102"/>
      <c r="J117" s="102"/>
      <c r="K117" s="102"/>
      <c r="L117" s="102"/>
      <c r="M117" s="102"/>
      <c r="N117" s="102"/>
      <c r="O117" s="102"/>
      <c r="P117" s="102"/>
      <c r="Q117" s="102"/>
      <c r="R117" s="102"/>
      <c r="S117" s="102"/>
      <c r="T117" s="102"/>
      <c r="U117" s="102"/>
      <c r="V117" s="102"/>
      <c r="W117" s="102"/>
      <c r="X117" s="102"/>
      <c r="Y117" s="102"/>
      <c r="Z117" s="102"/>
      <c r="AA117" s="102"/>
    </row>
    <row r="118" spans="1:27" x14ac:dyDescent="0.25">
      <c r="B118" s="47" t="str">
        <f>B111</f>
        <v>Central</v>
      </c>
      <c r="C118" s="47" t="str">
        <f t="shared" ref="C118:D118" si="41">C111</f>
        <v>N</v>
      </c>
      <c r="D118" s="47" t="str">
        <f t="shared" si="41"/>
        <v>Recycled</v>
      </c>
      <c r="E118" s="47" t="s">
        <v>663</v>
      </c>
      <c r="F118" s="47" t="s">
        <v>661</v>
      </c>
      <c r="H118" s="102">
        <f>IF(OR($D118=S,$D118=WS),'INPUT Reg'!AD$119,0)</f>
        <v>0</v>
      </c>
      <c r="I118" s="102">
        <f>IF(OR($D118=S,$D118=WS),'INPUT Reg'!AE$119,0)</f>
        <v>0</v>
      </c>
      <c r="J118" s="102">
        <f>IF(OR($D118=S,$D118=WS),'INPUT Reg'!AF$119,0)</f>
        <v>0</v>
      </c>
      <c r="K118" s="102">
        <f>IF(OR($D118=S,$D118=WS),'INPUT Reg'!AG$119,0)</f>
        <v>0</v>
      </c>
      <c r="L118" s="102">
        <f>IF(OR($D118=S,$D118=WS),'INPUT Reg'!AH$119,0)</f>
        <v>0</v>
      </c>
      <c r="M118" s="102">
        <f>IF(OR($D118=S,$D118=WS),'INPUT Reg'!AI$119,0)</f>
        <v>0</v>
      </c>
      <c r="N118" s="102">
        <f>IF(OR($D118=S,$D118=WS),'INPUT Reg'!AJ$119,0)</f>
        <v>0</v>
      </c>
      <c r="O118" s="102">
        <f>IF(OR($D118=S,$D118=WS),'INPUT Reg'!AK$119,0)</f>
        <v>0</v>
      </c>
      <c r="P118" s="102">
        <f>IF(OR($D118=S,$D118=WS),'INPUT Reg'!AL$119,0)</f>
        <v>0</v>
      </c>
      <c r="Q118" s="102">
        <f>IF(OR($D118=S,$D118=WS),'INPUT Reg'!AM$119,0)</f>
        <v>0</v>
      </c>
      <c r="R118" s="102">
        <f>IF(OR($D118=S,$D118=WS),'INPUT Reg'!AN$119,0)</f>
        <v>0</v>
      </c>
      <c r="S118" s="102">
        <f>IF(OR($D118=S,$D118=WS),'INPUT Reg'!AO$119,0)</f>
        <v>0</v>
      </c>
      <c r="T118" s="102">
        <f>IF(OR($D118=S,$D118=WS),'INPUT Reg'!AP$119,0)</f>
        <v>0</v>
      </c>
      <c r="U118" s="102">
        <f>IF(OR($D118=S,$D118=WS),'INPUT Reg'!AQ$119,0)</f>
        <v>0</v>
      </c>
      <c r="V118" s="102">
        <f>IF(OR($D118=S,$D118=WS),'INPUT Reg'!AR$119,0)</f>
        <v>0</v>
      </c>
      <c r="W118" s="102">
        <f>IF(OR($D118=S,$D118=WS),'INPUT Reg'!AS$119,0)</f>
        <v>0</v>
      </c>
      <c r="X118" s="102">
        <f>IF(OR($D118=S,$D118=WS),'INPUT Reg'!AT$119,0)</f>
        <v>0</v>
      </c>
      <c r="Y118" s="102">
        <f>IF(OR($D118=S,$D118=WS),'INPUT Reg'!AU$119,0)</f>
        <v>0</v>
      </c>
      <c r="Z118" s="102">
        <f>IF(OR($D118=S,$D118=WS),'INPUT Reg'!AV$119,0)</f>
        <v>0</v>
      </c>
      <c r="AA118" s="102">
        <f>IF(OR($D118=S,$D118=WS),'INPUT Reg'!AW$119,0)</f>
        <v>0</v>
      </c>
    </row>
    <row r="119" spans="1:27" x14ac:dyDescent="0.25">
      <c r="C119" s="100"/>
      <c r="D119" s="100"/>
      <c r="E119" s="47" t="s">
        <v>664</v>
      </c>
      <c r="F119" s="47" t="s">
        <v>665</v>
      </c>
      <c r="H119" s="106">
        <f>H112*H116</f>
        <v>0</v>
      </c>
      <c r="I119" s="106">
        <f t="shared" ref="I119:AA119" si="42">I112*I116</f>
        <v>0</v>
      </c>
      <c r="J119" s="106">
        <f t="shared" si="42"/>
        <v>0</v>
      </c>
      <c r="K119" s="106">
        <f t="shared" si="42"/>
        <v>0</v>
      </c>
      <c r="L119" s="106">
        <f t="shared" si="42"/>
        <v>0</v>
      </c>
      <c r="M119" s="106">
        <f t="shared" si="42"/>
        <v>0</v>
      </c>
      <c r="N119" s="106">
        <f t="shared" si="42"/>
        <v>0</v>
      </c>
      <c r="O119" s="106">
        <f t="shared" si="42"/>
        <v>0</v>
      </c>
      <c r="P119" s="106">
        <f t="shared" si="42"/>
        <v>0</v>
      </c>
      <c r="Q119" s="106">
        <f t="shared" si="42"/>
        <v>0</v>
      </c>
      <c r="R119" s="106">
        <f t="shared" si="42"/>
        <v>0</v>
      </c>
      <c r="S119" s="106">
        <f t="shared" si="42"/>
        <v>0</v>
      </c>
      <c r="T119" s="106">
        <f t="shared" si="42"/>
        <v>0</v>
      </c>
      <c r="U119" s="106">
        <f t="shared" si="42"/>
        <v>0</v>
      </c>
      <c r="V119" s="106">
        <f t="shared" si="42"/>
        <v>0</v>
      </c>
      <c r="W119" s="106">
        <f t="shared" si="42"/>
        <v>0</v>
      </c>
      <c r="X119" s="106">
        <f t="shared" si="42"/>
        <v>0</v>
      </c>
      <c r="Y119" s="106">
        <f t="shared" si="42"/>
        <v>0</v>
      </c>
      <c r="Z119" s="106">
        <f t="shared" si="42"/>
        <v>0</v>
      </c>
      <c r="AA119" s="106">
        <f t="shared" si="42"/>
        <v>0</v>
      </c>
    </row>
    <row r="120" spans="1:27" x14ac:dyDescent="0.25">
      <c r="C120" s="100"/>
      <c r="D120" s="100"/>
      <c r="E120" s="47" t="s">
        <v>666</v>
      </c>
      <c r="F120" s="47" t="s">
        <v>665</v>
      </c>
      <c r="H120" s="106">
        <f>H112*H117</f>
        <v>0</v>
      </c>
      <c r="I120" s="106">
        <f t="shared" ref="I120:AA120" si="43">I112*I117</f>
        <v>0</v>
      </c>
      <c r="J120" s="106">
        <f t="shared" si="43"/>
        <v>0</v>
      </c>
      <c r="K120" s="106">
        <f t="shared" si="43"/>
        <v>0</v>
      </c>
      <c r="L120" s="106">
        <f t="shared" si="43"/>
        <v>0</v>
      </c>
      <c r="M120" s="106">
        <f t="shared" si="43"/>
        <v>0</v>
      </c>
      <c r="N120" s="106">
        <f t="shared" si="43"/>
        <v>0</v>
      </c>
      <c r="O120" s="106">
        <f t="shared" si="43"/>
        <v>0</v>
      </c>
      <c r="P120" s="106">
        <f t="shared" si="43"/>
        <v>0</v>
      </c>
      <c r="Q120" s="106">
        <f t="shared" si="43"/>
        <v>0</v>
      </c>
      <c r="R120" s="106">
        <f t="shared" si="43"/>
        <v>0</v>
      </c>
      <c r="S120" s="106">
        <f t="shared" si="43"/>
        <v>0</v>
      </c>
      <c r="T120" s="106">
        <f t="shared" si="43"/>
        <v>0</v>
      </c>
      <c r="U120" s="106">
        <f t="shared" si="43"/>
        <v>0</v>
      </c>
      <c r="V120" s="106">
        <f t="shared" si="43"/>
        <v>0</v>
      </c>
      <c r="W120" s="106">
        <f t="shared" si="43"/>
        <v>0</v>
      </c>
      <c r="X120" s="106">
        <f t="shared" si="43"/>
        <v>0</v>
      </c>
      <c r="Y120" s="106">
        <f t="shared" si="43"/>
        <v>0</v>
      </c>
      <c r="Z120" s="106">
        <f t="shared" si="43"/>
        <v>0</v>
      </c>
      <c r="AA120" s="106">
        <f t="shared" si="43"/>
        <v>0</v>
      </c>
    </row>
    <row r="121" spans="1:27" x14ac:dyDescent="0.25">
      <c r="C121" s="100"/>
      <c r="D121" s="100"/>
      <c r="E121" s="47" t="s">
        <v>667</v>
      </c>
      <c r="F121" s="47" t="s">
        <v>665</v>
      </c>
      <c r="H121" s="106">
        <f>H112*H118</f>
        <v>0</v>
      </c>
      <c r="I121" s="106">
        <f t="shared" ref="I121:AA121" si="44">I112*I118</f>
        <v>0</v>
      </c>
      <c r="J121" s="106">
        <f t="shared" si="44"/>
        <v>0</v>
      </c>
      <c r="K121" s="106">
        <f t="shared" si="44"/>
        <v>0</v>
      </c>
      <c r="L121" s="106">
        <f t="shared" si="44"/>
        <v>0</v>
      </c>
      <c r="M121" s="106">
        <f t="shared" si="44"/>
        <v>0</v>
      </c>
      <c r="N121" s="106">
        <f t="shared" si="44"/>
        <v>0</v>
      </c>
      <c r="O121" s="106">
        <f t="shared" si="44"/>
        <v>0</v>
      </c>
      <c r="P121" s="106">
        <f t="shared" si="44"/>
        <v>0</v>
      </c>
      <c r="Q121" s="106">
        <f t="shared" si="44"/>
        <v>0</v>
      </c>
      <c r="R121" s="106">
        <f t="shared" si="44"/>
        <v>0</v>
      </c>
      <c r="S121" s="106">
        <f t="shared" si="44"/>
        <v>0</v>
      </c>
      <c r="T121" s="106">
        <f t="shared" si="44"/>
        <v>0</v>
      </c>
      <c r="U121" s="106">
        <f t="shared" si="44"/>
        <v>0</v>
      </c>
      <c r="V121" s="106">
        <f t="shared" si="44"/>
        <v>0</v>
      </c>
      <c r="W121" s="106">
        <f t="shared" si="44"/>
        <v>0</v>
      </c>
      <c r="X121" s="106">
        <f t="shared" si="44"/>
        <v>0</v>
      </c>
      <c r="Y121" s="106">
        <f t="shared" si="44"/>
        <v>0</v>
      </c>
      <c r="Z121" s="106">
        <f t="shared" si="44"/>
        <v>0</v>
      </c>
      <c r="AA121" s="106">
        <f t="shared" si="44"/>
        <v>0</v>
      </c>
    </row>
    <row r="122" spans="1:27" x14ac:dyDescent="0.25">
      <c r="A122" s="101">
        <v>23</v>
      </c>
      <c r="B122" s="47" t="str">
        <f>B116</f>
        <v>Central</v>
      </c>
      <c r="C122" s="47" t="str">
        <f t="shared" ref="C122:D122" si="45">C116</f>
        <v>N</v>
      </c>
      <c r="D122" s="47" t="str">
        <f t="shared" si="45"/>
        <v>Recycled</v>
      </c>
      <c r="E122" s="47" t="s">
        <v>668</v>
      </c>
      <c r="F122" s="47" t="s">
        <v>633</v>
      </c>
      <c r="H122" s="105">
        <f>SUMIFS('INPUT Reg'!AD$94:AD$109,'INPUT Reg'!$D$94:$D$109,$D122,'INPUT Reg'!$C$94:$C$109,$C122,'INPUT Reg'!$B$94:$B$109,$B122)</f>
        <v>-2.4774657792713262E-3</v>
      </c>
      <c r="I122" s="105">
        <f>SUMIFS('INPUT Reg'!AE$94:AE$109,'INPUT Reg'!$D$94:$D$109,$D122,'INPUT Reg'!$C$94:$C$109,$C122,'INPUT Reg'!$B$94:$B$109,$B122)</f>
        <v>-2.4836188600058096E-3</v>
      </c>
      <c r="J122" s="105">
        <f>SUMIFS('INPUT Reg'!AF$94:AF$109,'INPUT Reg'!$D$94:$D$109,$D122,'INPUT Reg'!$C$94:$C$109,$C122,'INPUT Reg'!$B$94:$B$109,$B122)</f>
        <v>-2.489802580652789E-3</v>
      </c>
      <c r="K122" s="105">
        <f>SUMIFS('INPUT Reg'!AG$94:AG$109,'INPUT Reg'!$D$94:$D$109,$D122,'INPUT Reg'!$C$94:$C$109,$C122,'INPUT Reg'!$B$94:$B$109,$B122)</f>
        <v>-2.4960171706456258E-3</v>
      </c>
      <c r="L122" s="105">
        <f>SUMIFS('INPUT Reg'!AH$94:AH$109,'INPUT Reg'!$D$94:$D$109,$D122,'INPUT Reg'!$C$94:$C$109,$C122,'INPUT Reg'!$B$94:$B$109,$B122)</f>
        <v>-1.3710973262105464E-3</v>
      </c>
      <c r="M122" s="105">
        <f>SUMIFS('INPUT Reg'!AI$94:AI$109,'INPUT Reg'!$D$94:$D$109,$D122,'INPUT Reg'!$C$94:$C$109,$C122,'INPUT Reg'!$B$94:$B$109,$B122)</f>
        <v>-1.3729798151640438E-3</v>
      </c>
      <c r="N122" s="105">
        <f>SUMIFS('INPUT Reg'!AJ$94:AJ$109,'INPUT Reg'!$D$94:$D$109,$D122,'INPUT Reg'!$C$94:$C$109,$C122,'INPUT Reg'!$B$94:$B$109,$B122)</f>
        <v>-1.3748674804632266E-3</v>
      </c>
      <c r="O122" s="105">
        <f>SUMIFS('INPUT Reg'!AK$94:AK$109,'INPUT Reg'!$D$94:$D$109,$D122,'INPUT Reg'!$C$94:$C$109,$C122,'INPUT Reg'!$B$94:$B$109,$B122)</f>
        <v>-1.3767603434878817E-3</v>
      </c>
      <c r="P122" s="105">
        <f>SUMIFS('INPUT Reg'!AL$94:AL$109,'INPUT Reg'!$D$94:$D$109,$D122,'INPUT Reg'!$C$94:$C$109,$C122,'INPUT Reg'!$B$94:$B$109,$B122)</f>
        <v>3.1709555706203041E-3</v>
      </c>
      <c r="Q122" s="105">
        <f>SUMIFS('INPUT Reg'!AM$94:AM$109,'INPUT Reg'!$D$94:$D$109,$D122,'INPUT Reg'!$C$94:$C$109,$C122,'INPUT Reg'!$B$94:$B$109,$B122)</f>
        <v>-0.17233996913209249</v>
      </c>
      <c r="R122" s="105">
        <f>SUMIFS('INPUT Reg'!AN$94:AN$109,'INPUT Reg'!$D$94:$D$109,$D122,'INPUT Reg'!$C$94:$C$109,$C122,'INPUT Reg'!$B$94:$B$109,$B122)</f>
        <v>3.4635108234759571E-6</v>
      </c>
      <c r="S122" s="105">
        <f>SUMIFS('INPUT Reg'!AO$94:AO$109,'INPUT Reg'!$D$94:$D$109,$D122,'INPUT Reg'!$C$94:$C$109,$C122,'INPUT Reg'!$B$94:$B$109,$B122)</f>
        <v>3.6518431074661351E-6</v>
      </c>
      <c r="T122" s="105">
        <f>SUMIFS('INPUT Reg'!AP$94:AP$109,'INPUT Reg'!$D$94:$D$109,$D122,'INPUT Reg'!$C$94:$C$109,$C122,'INPUT Reg'!$B$94:$B$109,$B122)</f>
        <v>2.1076914509254863E-6</v>
      </c>
      <c r="U122" s="105">
        <f>SUMIFS('INPUT Reg'!AQ$94:AQ$109,'INPUT Reg'!$D$94:$D$109,$D122,'INPUT Reg'!$C$94:$C$109,$C122,'INPUT Reg'!$B$94:$B$109,$B122)</f>
        <v>2.5137960331100828E-6</v>
      </c>
      <c r="V122" s="105">
        <f>SUMIFS('INPUT Reg'!AR$94:AR$109,'INPUT Reg'!$D$94:$D$109,$D122,'INPUT Reg'!$C$94:$C$109,$C122,'INPUT Reg'!$B$94:$B$109,$B122)</f>
        <v>-0.10789710723483914</v>
      </c>
      <c r="W122" s="105">
        <f>SUMIFS('INPUT Reg'!AS$94:AS$109,'INPUT Reg'!$D$94:$D$109,$D122,'INPUT Reg'!$C$94:$C$109,$C122,'INPUT Reg'!$B$94:$B$109,$B122)</f>
        <v>2.9002174235515099E-6</v>
      </c>
      <c r="X122" s="105">
        <f>SUMIFS('INPUT Reg'!AT$94:AT$109,'INPUT Reg'!$D$94:$D$109,$D122,'INPUT Reg'!$C$94:$C$109,$C122,'INPUT Reg'!$B$94:$B$109,$B122)</f>
        <v>2.183856211424029E-6</v>
      </c>
      <c r="Y122" s="105">
        <f>SUMIFS('INPUT Reg'!AU$94:AU$109,'INPUT Reg'!$D$94:$D$109,$D122,'INPUT Reg'!$C$94:$C$109,$C122,'INPUT Reg'!$B$94:$B$109,$B122)</f>
        <v>2.2698471480175897E-6</v>
      </c>
      <c r="Z122" s="105">
        <f>SUMIFS('INPUT Reg'!AV$94:AV$109,'INPUT Reg'!$D$94:$D$109,$D122,'INPUT Reg'!$C$94:$C$109,$C122,'INPUT Reg'!$B$94:$B$109,$B122)</f>
        <v>2.0534963258711514E-6</v>
      </c>
      <c r="AA122" s="105">
        <f>SUMIFS('INPUT Reg'!AW$94:AW$109,'INPUT Reg'!$D$94:$D$109,$D122,'INPUT Reg'!$C$94:$C$109,$C122,'INPUT Reg'!$B$94:$B$109,$B122)</f>
        <v>0</v>
      </c>
    </row>
    <row r="123" spans="1:27" x14ac:dyDescent="0.25">
      <c r="A123" s="101">
        <v>24</v>
      </c>
      <c r="B123" s="47" t="str">
        <f>B111</f>
        <v>Central</v>
      </c>
      <c r="C123" s="47" t="str">
        <f t="shared" ref="C123:D123" si="46">C111</f>
        <v>N</v>
      </c>
      <c r="D123" s="47" t="str">
        <f t="shared" si="46"/>
        <v>Recycled</v>
      </c>
      <c r="E123" s="47" t="s">
        <v>669</v>
      </c>
      <c r="F123" s="47" t="s">
        <v>670</v>
      </c>
      <c r="G123" s="108">
        <f>IF(D123=W,CWW_N_W_N,IF(D123=S,CWW_N_S_N,IF(D123=WS, CWW_N_W_N+CWW_N_S_N,CWW_N_R_F)))</f>
        <v>0</v>
      </c>
      <c r="H123" s="106">
        <f>G123*(1+$G$14)*(1+H122)</f>
        <v>0</v>
      </c>
      <c r="I123" s="106">
        <f t="shared" ref="I123:AA123" si="47">H123*(1+$G$14)*(1+I122)</f>
        <v>0</v>
      </c>
      <c r="J123" s="106">
        <f t="shared" si="47"/>
        <v>0</v>
      </c>
      <c r="K123" s="106">
        <f t="shared" si="47"/>
        <v>0</v>
      </c>
      <c r="L123" s="106">
        <f t="shared" si="47"/>
        <v>0</v>
      </c>
      <c r="M123" s="106">
        <f t="shared" si="47"/>
        <v>0</v>
      </c>
      <c r="N123" s="106">
        <f t="shared" si="47"/>
        <v>0</v>
      </c>
      <c r="O123" s="106">
        <f t="shared" si="47"/>
        <v>0</v>
      </c>
      <c r="P123" s="106">
        <f t="shared" si="47"/>
        <v>0</v>
      </c>
      <c r="Q123" s="106">
        <f t="shared" si="47"/>
        <v>0</v>
      </c>
      <c r="R123" s="106">
        <f t="shared" si="47"/>
        <v>0</v>
      </c>
      <c r="S123" s="106">
        <f t="shared" si="47"/>
        <v>0</v>
      </c>
      <c r="T123" s="106">
        <f t="shared" si="47"/>
        <v>0</v>
      </c>
      <c r="U123" s="106">
        <f t="shared" si="47"/>
        <v>0</v>
      </c>
      <c r="V123" s="106">
        <f t="shared" si="47"/>
        <v>0</v>
      </c>
      <c r="W123" s="106">
        <f t="shared" si="47"/>
        <v>0</v>
      </c>
      <c r="X123" s="106">
        <f t="shared" si="47"/>
        <v>0</v>
      </c>
      <c r="Y123" s="106">
        <f t="shared" si="47"/>
        <v>0</v>
      </c>
      <c r="Z123" s="106">
        <f t="shared" si="47"/>
        <v>0</v>
      </c>
      <c r="AA123" s="106">
        <f t="shared" si="47"/>
        <v>0</v>
      </c>
    </row>
    <row r="124" spans="1:27" x14ac:dyDescent="0.25">
      <c r="B124" s="47" t="str">
        <f>B111</f>
        <v>Central</v>
      </c>
      <c r="C124" s="47" t="str">
        <f t="shared" ref="C124:D124" si="48">C111</f>
        <v>N</v>
      </c>
      <c r="D124" s="47" t="str">
        <f t="shared" si="48"/>
        <v>Recycled</v>
      </c>
      <c r="E124" s="47" t="s">
        <v>671</v>
      </c>
      <c r="F124" s="47" t="s">
        <v>672</v>
      </c>
      <c r="G124" s="109">
        <f>IF(OR(D124=W,D124=WS),CWW_N_W_V,IF(D124=RW,CWW_N_R_V,0))</f>
        <v>2.6147999999999998</v>
      </c>
      <c r="H124" s="110">
        <f>G124*(1+$G$14)*(1+H122)</f>
        <v>2.6083219224803611</v>
      </c>
      <c r="I124" s="110">
        <f t="shared" ref="I124:AA124" si="49">H124*(1+$G$14)*(1+I122)</f>
        <v>2.6018438449607224</v>
      </c>
      <c r="J124" s="110">
        <f t="shared" si="49"/>
        <v>2.5953657674410837</v>
      </c>
      <c r="K124" s="110">
        <f t="shared" si="49"/>
        <v>2.588887689921445</v>
      </c>
      <c r="L124" s="110">
        <f t="shared" si="49"/>
        <v>2.5853380729319344</v>
      </c>
      <c r="M124" s="110">
        <f t="shared" si="49"/>
        <v>2.5817884559424238</v>
      </c>
      <c r="N124" s="110">
        <f t="shared" si="49"/>
        <v>2.5782388389529132</v>
      </c>
      <c r="O124" s="110">
        <f t="shared" si="49"/>
        <v>2.5746892219634026</v>
      </c>
      <c r="P124" s="110">
        <f t="shared" si="49"/>
        <v>2.5828534470944033</v>
      </c>
      <c r="Q124" s="110">
        <f t="shared" si="49"/>
        <v>2.1377245637494351</v>
      </c>
      <c r="R124" s="110">
        <f t="shared" si="49"/>
        <v>2.1377319677815994</v>
      </c>
      <c r="S124" s="110">
        <f t="shared" si="49"/>
        <v>2.1377397744433515</v>
      </c>
      <c r="T124" s="110">
        <f t="shared" si="49"/>
        <v>2.1377442801391986</v>
      </c>
      <c r="U124" s="110">
        <f t="shared" si="49"/>
        <v>2.13774965399229</v>
      </c>
      <c r="V124" s="110">
        <f t="shared" si="49"/>
        <v>1.9070926503342436</v>
      </c>
      <c r="W124" s="110">
        <f t="shared" si="49"/>
        <v>1.9070981813175765</v>
      </c>
      <c r="X124" s="110">
        <f t="shared" si="49"/>
        <v>1.9071023461457854</v>
      </c>
      <c r="Y124" s="110">
        <f t="shared" si="49"/>
        <v>1.9071066749766068</v>
      </c>
      <c r="Z124" s="110">
        <f t="shared" si="49"/>
        <v>1.907110591213157</v>
      </c>
      <c r="AA124" s="110">
        <f t="shared" si="49"/>
        <v>1.907110591213157</v>
      </c>
    </row>
    <row r="125" spans="1:27" x14ac:dyDescent="0.25">
      <c r="B125" s="47" t="str">
        <f>B111</f>
        <v>Central</v>
      </c>
      <c r="C125" s="47" t="str">
        <f t="shared" ref="C125:D125" si="50">C111</f>
        <v>N</v>
      </c>
      <c r="D125" s="47" t="str">
        <f t="shared" si="50"/>
        <v>Recycled</v>
      </c>
      <c r="E125" s="47" t="s">
        <v>673</v>
      </c>
      <c r="F125" s="47" t="s">
        <v>672</v>
      </c>
      <c r="G125" s="109"/>
      <c r="H125" s="110">
        <f>G125*(1+$G$14)*(1+H122)</f>
        <v>0</v>
      </c>
      <c r="I125" s="110">
        <f t="shared" ref="I125:AA125" si="51">H125*(1+$G$14)*(1+I122)</f>
        <v>0</v>
      </c>
      <c r="J125" s="110">
        <f t="shared" si="51"/>
        <v>0</v>
      </c>
      <c r="K125" s="110">
        <f t="shared" si="51"/>
        <v>0</v>
      </c>
      <c r="L125" s="110">
        <f t="shared" si="51"/>
        <v>0</v>
      </c>
      <c r="M125" s="110">
        <f t="shared" si="51"/>
        <v>0</v>
      </c>
      <c r="N125" s="110">
        <f t="shared" si="51"/>
        <v>0</v>
      </c>
      <c r="O125" s="110">
        <f t="shared" si="51"/>
        <v>0</v>
      </c>
      <c r="P125" s="110">
        <f t="shared" si="51"/>
        <v>0</v>
      </c>
      <c r="Q125" s="110">
        <f t="shared" si="51"/>
        <v>0</v>
      </c>
      <c r="R125" s="110">
        <f t="shared" si="51"/>
        <v>0</v>
      </c>
      <c r="S125" s="110">
        <f t="shared" si="51"/>
        <v>0</v>
      </c>
      <c r="T125" s="110">
        <f t="shared" si="51"/>
        <v>0</v>
      </c>
      <c r="U125" s="110">
        <f t="shared" si="51"/>
        <v>0</v>
      </c>
      <c r="V125" s="110">
        <f t="shared" si="51"/>
        <v>0</v>
      </c>
      <c r="W125" s="110">
        <f t="shared" si="51"/>
        <v>0</v>
      </c>
      <c r="X125" s="110">
        <f t="shared" si="51"/>
        <v>0</v>
      </c>
      <c r="Y125" s="110">
        <f t="shared" si="51"/>
        <v>0</v>
      </c>
      <c r="Z125" s="110">
        <f t="shared" si="51"/>
        <v>0</v>
      </c>
      <c r="AA125" s="110">
        <f t="shared" si="51"/>
        <v>0</v>
      </c>
    </row>
    <row r="126" spans="1:27" x14ac:dyDescent="0.25">
      <c r="B126" s="47" t="str">
        <f>B111</f>
        <v>Central</v>
      </c>
      <c r="C126" s="47" t="str">
        <f t="shared" ref="C126:D126" si="52">C111</f>
        <v>N</v>
      </c>
      <c r="D126" s="47" t="str">
        <f t="shared" si="52"/>
        <v>Recycled</v>
      </c>
      <c r="E126" s="47" t="s">
        <v>674</v>
      </c>
      <c r="F126" s="47" t="s">
        <v>672</v>
      </c>
      <c r="G126" s="109">
        <f>IF(OR(D126=S,D126=WS),CWW_N_SDC,0)</f>
        <v>0</v>
      </c>
      <c r="H126" s="110">
        <f>G126*(1+$G$14)*(1+H122)</f>
        <v>0</v>
      </c>
      <c r="I126" s="110">
        <f t="shared" ref="I126:AA126" si="53">H126*(1+$G$14)*(1+I122)</f>
        <v>0</v>
      </c>
      <c r="J126" s="110">
        <f t="shared" si="53"/>
        <v>0</v>
      </c>
      <c r="K126" s="110">
        <f t="shared" si="53"/>
        <v>0</v>
      </c>
      <c r="L126" s="110">
        <f t="shared" si="53"/>
        <v>0</v>
      </c>
      <c r="M126" s="110">
        <f t="shared" si="53"/>
        <v>0</v>
      </c>
      <c r="N126" s="110">
        <f t="shared" si="53"/>
        <v>0</v>
      </c>
      <c r="O126" s="110">
        <f t="shared" si="53"/>
        <v>0</v>
      </c>
      <c r="P126" s="110">
        <f t="shared" si="53"/>
        <v>0</v>
      </c>
      <c r="Q126" s="110">
        <f t="shared" si="53"/>
        <v>0</v>
      </c>
      <c r="R126" s="110">
        <f t="shared" si="53"/>
        <v>0</v>
      </c>
      <c r="S126" s="110">
        <f t="shared" si="53"/>
        <v>0</v>
      </c>
      <c r="T126" s="110">
        <f t="shared" si="53"/>
        <v>0</v>
      </c>
      <c r="U126" s="110">
        <f t="shared" si="53"/>
        <v>0</v>
      </c>
      <c r="V126" s="110">
        <f t="shared" si="53"/>
        <v>0</v>
      </c>
      <c r="W126" s="110">
        <f t="shared" si="53"/>
        <v>0</v>
      </c>
      <c r="X126" s="110">
        <f t="shared" si="53"/>
        <v>0</v>
      </c>
      <c r="Y126" s="110">
        <f t="shared" si="53"/>
        <v>0</v>
      </c>
      <c r="Z126" s="110">
        <f t="shared" si="53"/>
        <v>0</v>
      </c>
      <c r="AA126" s="110">
        <f t="shared" si="53"/>
        <v>0</v>
      </c>
    </row>
    <row r="127" spans="1:27" x14ac:dyDescent="0.25">
      <c r="C127" s="100"/>
      <c r="D127" s="100"/>
    </row>
    <row r="128" spans="1:27" x14ac:dyDescent="0.25">
      <c r="C128" s="100"/>
      <c r="D128" s="100"/>
      <c r="E128" s="47" t="s">
        <v>679</v>
      </c>
      <c r="F128" s="47" t="s">
        <v>676</v>
      </c>
      <c r="H128" s="106">
        <f>SUM(H119:H121)/1000</f>
        <v>0</v>
      </c>
      <c r="I128" s="106">
        <f t="shared" ref="I128:AA128" si="54">SUM(I119:I121)/1000</f>
        <v>0</v>
      </c>
      <c r="J128" s="106">
        <f t="shared" si="54"/>
        <v>0</v>
      </c>
      <c r="K128" s="106">
        <f t="shared" si="54"/>
        <v>0</v>
      </c>
      <c r="L128" s="106">
        <f t="shared" si="54"/>
        <v>0</v>
      </c>
      <c r="M128" s="106">
        <f t="shared" si="54"/>
        <v>0</v>
      </c>
      <c r="N128" s="106">
        <f t="shared" si="54"/>
        <v>0</v>
      </c>
      <c r="O128" s="106">
        <f t="shared" si="54"/>
        <v>0</v>
      </c>
      <c r="P128" s="106">
        <f t="shared" si="54"/>
        <v>0</v>
      </c>
      <c r="Q128" s="106">
        <f t="shared" si="54"/>
        <v>0</v>
      </c>
      <c r="R128" s="106">
        <f t="shared" si="54"/>
        <v>0</v>
      </c>
      <c r="S128" s="106">
        <f t="shared" si="54"/>
        <v>0</v>
      </c>
      <c r="T128" s="106">
        <f t="shared" si="54"/>
        <v>0</v>
      </c>
      <c r="U128" s="106">
        <f t="shared" si="54"/>
        <v>0</v>
      </c>
      <c r="V128" s="106">
        <f t="shared" si="54"/>
        <v>0</v>
      </c>
      <c r="W128" s="106">
        <f t="shared" si="54"/>
        <v>0</v>
      </c>
      <c r="X128" s="106">
        <f t="shared" si="54"/>
        <v>0</v>
      </c>
      <c r="Y128" s="106">
        <f t="shared" si="54"/>
        <v>0</v>
      </c>
      <c r="Z128" s="106">
        <f t="shared" si="54"/>
        <v>0</v>
      </c>
      <c r="AA128" s="106">
        <f t="shared" si="54"/>
        <v>0</v>
      </c>
    </row>
    <row r="129" spans="1:27" x14ac:dyDescent="0.25">
      <c r="C129" s="100"/>
      <c r="D129" s="100"/>
      <c r="E129" s="47" t="s">
        <v>680</v>
      </c>
      <c r="F129" s="47" t="s">
        <v>639</v>
      </c>
      <c r="H129" s="106">
        <f>H112*H123+H119*H124+H120*H125+H121*H126</f>
        <v>0</v>
      </c>
      <c r="I129" s="106">
        <f t="shared" ref="I129:AA129" si="55">I112*I123+I119*I124+I120*I125+I121*I126</f>
        <v>0</v>
      </c>
      <c r="J129" s="106">
        <f t="shared" si="55"/>
        <v>0</v>
      </c>
      <c r="K129" s="106">
        <f t="shared" si="55"/>
        <v>0</v>
      </c>
      <c r="L129" s="106">
        <f t="shared" si="55"/>
        <v>0</v>
      </c>
      <c r="M129" s="106">
        <f t="shared" si="55"/>
        <v>0</v>
      </c>
      <c r="N129" s="106">
        <f t="shared" si="55"/>
        <v>0</v>
      </c>
      <c r="O129" s="106">
        <f t="shared" si="55"/>
        <v>0</v>
      </c>
      <c r="P129" s="106">
        <f t="shared" si="55"/>
        <v>0</v>
      </c>
      <c r="Q129" s="106">
        <f t="shared" si="55"/>
        <v>0</v>
      </c>
      <c r="R129" s="106">
        <f t="shared" si="55"/>
        <v>0</v>
      </c>
      <c r="S129" s="106">
        <f t="shared" si="55"/>
        <v>0</v>
      </c>
      <c r="T129" s="106">
        <f t="shared" si="55"/>
        <v>0</v>
      </c>
      <c r="U129" s="106">
        <f t="shared" si="55"/>
        <v>0</v>
      </c>
      <c r="V129" s="106">
        <f t="shared" si="55"/>
        <v>0</v>
      </c>
      <c r="W129" s="106">
        <f t="shared" si="55"/>
        <v>0</v>
      </c>
      <c r="X129" s="106">
        <f t="shared" si="55"/>
        <v>0</v>
      </c>
      <c r="Y129" s="106">
        <f t="shared" si="55"/>
        <v>0</v>
      </c>
      <c r="Z129" s="106">
        <f t="shared" si="55"/>
        <v>0</v>
      </c>
      <c r="AA129" s="106">
        <f t="shared" si="55"/>
        <v>0</v>
      </c>
    </row>
    <row r="130" spans="1:27" x14ac:dyDescent="0.25">
      <c r="C130" s="100"/>
      <c r="D130" s="100"/>
    </row>
    <row r="131" spans="1:27" x14ac:dyDescent="0.25">
      <c r="C131" s="100"/>
      <c r="D131" s="47" t="s">
        <v>681</v>
      </c>
    </row>
    <row r="132" spans="1:27" x14ac:dyDescent="0.25">
      <c r="A132" s="101">
        <v>25</v>
      </c>
      <c r="B132" s="47" t="s">
        <v>265</v>
      </c>
      <c r="C132" s="100" t="s">
        <v>405</v>
      </c>
      <c r="D132" s="100" t="str">
        <f>$G$4</f>
        <v>Recycled</v>
      </c>
      <c r="E132" s="47" t="s">
        <v>654</v>
      </c>
      <c r="F132" s="47" t="s">
        <v>655</v>
      </c>
      <c r="H132" s="102">
        <f>IF($G$4="Water and sewer",SUMIFS('INPUT Growth'!AD$64:AD$115,'INPUT Growth'!$B$64:$B$115,$A$1,'INPUT Growth'!$F$64:$F$115,$B132,'INPUT Growth'!$E$64:$E$115,$C132),SUMIFS('INPUT Growth'!AD$64:AD$115,'INPUT Growth'!$A$64:$A$115,$A$1,'INPUT Growth'!$F$64:$F$115,$B132,'INPUT Growth'!$E$64:$E$115,$C132))</f>
        <v>0</v>
      </c>
      <c r="I132" s="102">
        <f>IF($G$4="Water and sewer",SUMIFS('INPUT Growth'!AE$64:AE$115,'INPUT Growth'!$B$64:$B$115,$A$1,'INPUT Growth'!$F$64:$F$115,$B132,'INPUT Growth'!$E$64:$E$115,$C132),SUMIFS('INPUT Growth'!AE$64:AE$115,'INPUT Growth'!$A$64:$A$115,$A$1,'INPUT Growth'!$F$64:$F$115,$B132,'INPUT Growth'!$E$64:$E$115,$C132))</f>
        <v>0</v>
      </c>
      <c r="J132" s="102">
        <f>IF($G$4="Water and sewer",SUMIFS('INPUT Growth'!AF$64:AF$115,'INPUT Growth'!$B$64:$B$115,$A$1,'INPUT Growth'!$F$64:$F$115,$B132,'INPUT Growth'!$E$64:$E$115,$C132),SUMIFS('INPUT Growth'!AF$64:AF$115,'INPUT Growth'!$A$64:$A$115,$A$1,'INPUT Growth'!$F$64:$F$115,$B132,'INPUT Growth'!$E$64:$E$115,$C132))</f>
        <v>0</v>
      </c>
      <c r="K132" s="102">
        <f>IF($G$4="Water and sewer",SUMIFS('INPUT Growth'!AG$64:AG$115,'INPUT Growth'!$B$64:$B$115,$A$1,'INPUT Growth'!$F$64:$F$115,$B132,'INPUT Growth'!$E$64:$E$115,$C132),SUMIFS('INPUT Growth'!AG$64:AG$115,'INPUT Growth'!$A$64:$A$115,$A$1,'INPUT Growth'!$F$64:$F$115,$B132,'INPUT Growth'!$E$64:$E$115,$C132))</f>
        <v>0</v>
      </c>
      <c r="L132" s="102">
        <f>IF($G$4="Water and sewer",SUMIFS('INPUT Growth'!AH$64:AH$115,'INPUT Growth'!$B$64:$B$115,$A$1,'INPUT Growth'!$F$64:$F$115,$B132,'INPUT Growth'!$E$64:$E$115,$C132),SUMIFS('INPUT Growth'!AH$64:AH$115,'INPUT Growth'!$A$64:$A$115,$A$1,'INPUT Growth'!$F$64:$F$115,$B132,'INPUT Growth'!$E$64:$E$115,$C132))</f>
        <v>0</v>
      </c>
      <c r="M132" s="102">
        <f>IF($G$4="Water and sewer",SUMIFS('INPUT Growth'!AI$64:AI$115,'INPUT Growth'!$B$64:$B$115,$A$1,'INPUT Growth'!$F$64:$F$115,$B132,'INPUT Growth'!$E$64:$E$115,$C132),SUMIFS('INPUT Growth'!AI$64:AI$115,'INPUT Growth'!$A$64:$A$115,$A$1,'INPUT Growth'!$F$64:$F$115,$B132,'INPUT Growth'!$E$64:$E$115,$C132))</f>
        <v>0</v>
      </c>
      <c r="N132" s="102">
        <f>IF($G$4="Water and sewer",SUMIFS('INPUT Growth'!AJ$64:AJ$115,'INPUT Growth'!$B$64:$B$115,$A$1,'INPUT Growth'!$F$64:$F$115,$B132,'INPUT Growth'!$E$64:$E$115,$C132),SUMIFS('INPUT Growth'!AJ$64:AJ$115,'INPUT Growth'!$A$64:$A$115,$A$1,'INPUT Growth'!$F$64:$F$115,$B132,'INPUT Growth'!$E$64:$E$115,$C132))</f>
        <v>0</v>
      </c>
      <c r="O132" s="102">
        <f>IF($G$4="Water and sewer",SUMIFS('INPUT Growth'!AK$64:AK$115,'INPUT Growth'!$B$64:$B$115,$A$1,'INPUT Growth'!$F$64:$F$115,$B132,'INPUT Growth'!$E$64:$E$115,$C132),SUMIFS('INPUT Growth'!AK$64:AK$115,'INPUT Growth'!$A$64:$A$115,$A$1,'INPUT Growth'!$F$64:$F$115,$B132,'INPUT Growth'!$E$64:$E$115,$C132))</f>
        <v>0</v>
      </c>
      <c r="P132" s="102">
        <f>IF($G$4="Water and sewer",SUMIFS('INPUT Growth'!AL$64:AL$115,'INPUT Growth'!$B$64:$B$115,$A$1,'INPUT Growth'!$F$64:$F$115,$B132,'INPUT Growth'!$E$64:$E$115,$C132),SUMIFS('INPUT Growth'!AL$64:AL$115,'INPUT Growth'!$A$64:$A$115,$A$1,'INPUT Growth'!$F$64:$F$115,$B132,'INPUT Growth'!$E$64:$E$115,$C132))</f>
        <v>0</v>
      </c>
      <c r="Q132" s="102">
        <f>IF($G$4="Water and sewer",SUMIFS('INPUT Growth'!AM$64:AM$115,'INPUT Growth'!$B$64:$B$115,$A$1,'INPUT Growth'!$F$64:$F$115,$B132,'INPUT Growth'!$E$64:$E$115,$C132),SUMIFS('INPUT Growth'!AM$64:AM$115,'INPUT Growth'!$A$64:$A$115,$A$1,'INPUT Growth'!$F$64:$F$115,$B132,'INPUT Growth'!$E$64:$E$115,$C132))</f>
        <v>0</v>
      </c>
      <c r="R132" s="102">
        <f>IF($G$4="Water and sewer",SUMIFS('INPUT Growth'!AN$64:AN$115,'INPUT Growth'!$B$64:$B$115,$A$1,'INPUT Growth'!$F$64:$F$115,$B132,'INPUT Growth'!$E$64:$E$115,$C132),SUMIFS('INPUT Growth'!AN$64:AN$115,'INPUT Growth'!$A$64:$A$115,$A$1,'INPUT Growth'!$F$64:$F$115,$B132,'INPUT Growth'!$E$64:$E$115,$C132))</f>
        <v>0</v>
      </c>
      <c r="S132" s="102">
        <f>IF($G$4="Water and sewer",SUMIFS('INPUT Growth'!AO$64:AO$115,'INPUT Growth'!$B$64:$B$115,$A$1,'INPUT Growth'!$F$64:$F$115,$B132,'INPUT Growth'!$E$64:$E$115,$C132),SUMIFS('INPUT Growth'!AO$64:AO$115,'INPUT Growth'!$A$64:$A$115,$A$1,'INPUT Growth'!$F$64:$F$115,$B132,'INPUT Growth'!$E$64:$E$115,$C132))</f>
        <v>0</v>
      </c>
      <c r="T132" s="102">
        <f>IF($G$4="Water and sewer",SUMIFS('INPUT Growth'!AP$64:AP$115,'INPUT Growth'!$B$64:$B$115,$A$1,'INPUT Growth'!$F$64:$F$115,$B132,'INPUT Growth'!$E$64:$E$115,$C132),SUMIFS('INPUT Growth'!AP$64:AP$115,'INPUT Growth'!$A$64:$A$115,$A$1,'INPUT Growth'!$F$64:$F$115,$B132,'INPUT Growth'!$E$64:$E$115,$C132))</f>
        <v>0</v>
      </c>
      <c r="U132" s="102">
        <f>IF($G$4="Water and sewer",SUMIFS('INPUT Growth'!AQ$64:AQ$115,'INPUT Growth'!$B$64:$B$115,$A$1,'INPUT Growth'!$F$64:$F$115,$B132,'INPUT Growth'!$E$64:$E$115,$C132),SUMIFS('INPUT Growth'!AQ$64:AQ$115,'INPUT Growth'!$A$64:$A$115,$A$1,'INPUT Growth'!$F$64:$F$115,$B132,'INPUT Growth'!$E$64:$E$115,$C132))</f>
        <v>0</v>
      </c>
      <c r="V132" s="102">
        <f>IF($G$4="Water and sewer",SUMIFS('INPUT Growth'!AR$64:AR$115,'INPUT Growth'!$B$64:$B$115,$A$1,'INPUT Growth'!$F$64:$F$115,$B132,'INPUT Growth'!$E$64:$E$115,$C132),SUMIFS('INPUT Growth'!AR$64:AR$115,'INPUT Growth'!$A$64:$A$115,$A$1,'INPUT Growth'!$F$64:$F$115,$B132,'INPUT Growth'!$E$64:$E$115,$C132))</f>
        <v>0</v>
      </c>
      <c r="W132" s="102">
        <f>IF($G$4="Water and sewer",SUMIFS('INPUT Growth'!AS$64:AS$115,'INPUT Growth'!$B$64:$B$115,$A$1,'INPUT Growth'!$F$64:$F$115,$B132,'INPUT Growth'!$E$64:$E$115,$C132),SUMIFS('INPUT Growth'!AS$64:AS$115,'INPUT Growth'!$A$64:$A$115,$A$1,'INPUT Growth'!$F$64:$F$115,$B132,'INPUT Growth'!$E$64:$E$115,$C132))</f>
        <v>0</v>
      </c>
      <c r="X132" s="102">
        <f>IF($G$4="Water and sewer",SUMIFS('INPUT Growth'!AT$64:AT$115,'INPUT Growth'!$B$64:$B$115,$A$1,'INPUT Growth'!$F$64:$F$115,$B132,'INPUT Growth'!$E$64:$E$115,$C132),SUMIFS('INPUT Growth'!AT$64:AT$115,'INPUT Growth'!$A$64:$A$115,$A$1,'INPUT Growth'!$F$64:$F$115,$B132,'INPUT Growth'!$E$64:$E$115,$C132))</f>
        <v>0</v>
      </c>
      <c r="Y132" s="102">
        <f>IF($G$4="Water and sewer",SUMIFS('INPUT Growth'!AU$64:AU$115,'INPUT Growth'!$B$64:$B$115,$A$1,'INPUT Growth'!$F$64:$F$115,$B132,'INPUT Growth'!$E$64:$E$115,$C132),SUMIFS('INPUT Growth'!AU$64:AU$115,'INPUT Growth'!$A$64:$A$115,$A$1,'INPUT Growth'!$F$64:$F$115,$B132,'INPUT Growth'!$E$64:$E$115,$C132))</f>
        <v>0</v>
      </c>
      <c r="Z132" s="102">
        <f>IF($G$4="Water and sewer",SUMIFS('INPUT Growth'!AV$64:AV$115,'INPUT Growth'!$B$64:$B$115,$A$1,'INPUT Growth'!$F$64:$F$115,$B132,'INPUT Growth'!$E$64:$E$115,$C132),SUMIFS('INPUT Growth'!AV$64:AV$115,'INPUT Growth'!$A$64:$A$115,$A$1,'INPUT Growth'!$F$64:$F$115,$B132,'INPUT Growth'!$E$64:$E$115,$C132))</f>
        <v>0</v>
      </c>
      <c r="AA132" s="102">
        <f>IF($G$4="Water and sewer",SUMIFS('INPUT Growth'!AW$64:AW$115,'INPUT Growth'!$B$64:$B$115,$A$1,'INPUT Growth'!$F$64:$F$115,$B132,'INPUT Growth'!$E$64:$E$115,$C132),SUMIFS('INPUT Growth'!AW$64:AW$115,'INPUT Growth'!$A$64:$A$115,$A$1,'INPUT Growth'!$F$64:$F$115,$B132,'INPUT Growth'!$E$64:$E$115,$C132))</f>
        <v>0</v>
      </c>
    </row>
    <row r="133" spans="1:27" x14ac:dyDescent="0.25">
      <c r="C133" s="100"/>
      <c r="D133" s="100"/>
      <c r="E133" s="47" t="s">
        <v>656</v>
      </c>
      <c r="F133" s="47" t="s">
        <v>655</v>
      </c>
      <c r="H133" s="106">
        <f>G133+H132</f>
        <v>0</v>
      </c>
      <c r="I133" s="106">
        <f t="shared" ref="I133:AA133" si="56">H133+I132</f>
        <v>0</v>
      </c>
      <c r="J133" s="106">
        <f t="shared" si="56"/>
        <v>0</v>
      </c>
      <c r="K133" s="106">
        <f t="shared" si="56"/>
        <v>0</v>
      </c>
      <c r="L133" s="106">
        <f t="shared" si="56"/>
        <v>0</v>
      </c>
      <c r="M133" s="106">
        <f t="shared" si="56"/>
        <v>0</v>
      </c>
      <c r="N133" s="106">
        <f t="shared" si="56"/>
        <v>0</v>
      </c>
      <c r="O133" s="106">
        <f t="shared" si="56"/>
        <v>0</v>
      </c>
      <c r="P133" s="106">
        <f t="shared" si="56"/>
        <v>0</v>
      </c>
      <c r="Q133" s="106">
        <f t="shared" si="56"/>
        <v>0</v>
      </c>
      <c r="R133" s="106">
        <f t="shared" si="56"/>
        <v>0</v>
      </c>
      <c r="S133" s="106">
        <f t="shared" si="56"/>
        <v>0</v>
      </c>
      <c r="T133" s="106">
        <f t="shared" si="56"/>
        <v>0</v>
      </c>
      <c r="U133" s="106">
        <f t="shared" si="56"/>
        <v>0</v>
      </c>
      <c r="V133" s="106">
        <f t="shared" si="56"/>
        <v>0</v>
      </c>
      <c r="W133" s="106">
        <f t="shared" si="56"/>
        <v>0</v>
      </c>
      <c r="X133" s="106">
        <f t="shared" si="56"/>
        <v>0</v>
      </c>
      <c r="Y133" s="106">
        <f t="shared" si="56"/>
        <v>0</v>
      </c>
      <c r="Z133" s="106">
        <f t="shared" si="56"/>
        <v>0</v>
      </c>
      <c r="AA133" s="106">
        <f t="shared" si="56"/>
        <v>0</v>
      </c>
    </row>
    <row r="134" spans="1:27" x14ac:dyDescent="0.25">
      <c r="A134" s="101">
        <v>26</v>
      </c>
      <c r="C134" s="100"/>
      <c r="D134" s="100"/>
      <c r="E134" s="47" t="s">
        <v>657</v>
      </c>
      <c r="F134" s="47" t="s">
        <v>655</v>
      </c>
      <c r="G134" s="102">
        <f>Assumptions!$H$45</f>
        <v>1</v>
      </c>
    </row>
    <row r="135" spans="1:27" x14ac:dyDescent="0.25">
      <c r="C135" s="100"/>
      <c r="D135" s="100"/>
      <c r="E135" s="47" t="s">
        <v>658</v>
      </c>
      <c r="F135" s="47" t="s">
        <v>655</v>
      </c>
      <c r="H135" s="47">
        <f>H132*$G134</f>
        <v>0</v>
      </c>
      <c r="I135" s="47">
        <f t="shared" ref="I135:AA135" si="57">I132*$G134</f>
        <v>0</v>
      </c>
      <c r="J135" s="47">
        <f t="shared" si="57"/>
        <v>0</v>
      </c>
      <c r="K135" s="47">
        <f t="shared" si="57"/>
        <v>0</v>
      </c>
      <c r="L135" s="47">
        <f t="shared" si="57"/>
        <v>0</v>
      </c>
      <c r="M135" s="47">
        <f t="shared" si="57"/>
        <v>0</v>
      </c>
      <c r="N135" s="47">
        <f t="shared" si="57"/>
        <v>0</v>
      </c>
      <c r="O135" s="47">
        <f t="shared" si="57"/>
        <v>0</v>
      </c>
      <c r="P135" s="47">
        <f t="shared" si="57"/>
        <v>0</v>
      </c>
      <c r="Q135" s="47">
        <f t="shared" si="57"/>
        <v>0</v>
      </c>
      <c r="R135" s="47">
        <f t="shared" si="57"/>
        <v>0</v>
      </c>
      <c r="S135" s="47">
        <f t="shared" si="57"/>
        <v>0</v>
      </c>
      <c r="T135" s="47">
        <f t="shared" si="57"/>
        <v>0</v>
      </c>
      <c r="U135" s="47">
        <f t="shared" si="57"/>
        <v>0</v>
      </c>
      <c r="V135" s="47">
        <f t="shared" si="57"/>
        <v>0</v>
      </c>
      <c r="W135" s="47">
        <f t="shared" si="57"/>
        <v>0</v>
      </c>
      <c r="X135" s="47">
        <f t="shared" si="57"/>
        <v>0</v>
      </c>
      <c r="Y135" s="47">
        <f t="shared" si="57"/>
        <v>0</v>
      </c>
      <c r="Z135" s="47">
        <f t="shared" si="57"/>
        <v>0</v>
      </c>
      <c r="AA135" s="47">
        <f t="shared" si="57"/>
        <v>0</v>
      </c>
    </row>
    <row r="136" spans="1:27" x14ac:dyDescent="0.25">
      <c r="C136" s="100"/>
      <c r="D136" s="100"/>
      <c r="E136" s="47" t="s">
        <v>659</v>
      </c>
      <c r="F136" s="47" t="s">
        <v>655</v>
      </c>
      <c r="H136" s="47">
        <f>H133*$G134</f>
        <v>0</v>
      </c>
      <c r="I136" s="47">
        <f t="shared" ref="I136:AA136" si="58">I133*$G134</f>
        <v>0</v>
      </c>
      <c r="J136" s="47">
        <f t="shared" si="58"/>
        <v>0</v>
      </c>
      <c r="K136" s="47">
        <f t="shared" si="58"/>
        <v>0</v>
      </c>
      <c r="L136" s="47">
        <f t="shared" si="58"/>
        <v>0</v>
      </c>
      <c r="M136" s="47">
        <f t="shared" si="58"/>
        <v>0</v>
      </c>
      <c r="N136" s="47">
        <f t="shared" si="58"/>
        <v>0</v>
      </c>
      <c r="O136" s="47">
        <f t="shared" si="58"/>
        <v>0</v>
      </c>
      <c r="P136" s="47">
        <f t="shared" si="58"/>
        <v>0</v>
      </c>
      <c r="Q136" s="47">
        <f t="shared" si="58"/>
        <v>0</v>
      </c>
      <c r="R136" s="47">
        <f t="shared" si="58"/>
        <v>0</v>
      </c>
      <c r="S136" s="47">
        <f t="shared" si="58"/>
        <v>0</v>
      </c>
      <c r="T136" s="47">
        <f t="shared" si="58"/>
        <v>0</v>
      </c>
      <c r="U136" s="47">
        <f t="shared" si="58"/>
        <v>0</v>
      </c>
      <c r="V136" s="47">
        <f t="shared" si="58"/>
        <v>0</v>
      </c>
      <c r="W136" s="47">
        <f t="shared" si="58"/>
        <v>0</v>
      </c>
      <c r="X136" s="47">
        <f t="shared" si="58"/>
        <v>0</v>
      </c>
      <c r="Y136" s="47">
        <f t="shared" si="58"/>
        <v>0</v>
      </c>
      <c r="Z136" s="47">
        <f t="shared" si="58"/>
        <v>0</v>
      </c>
      <c r="AA136" s="47">
        <f t="shared" si="58"/>
        <v>0</v>
      </c>
    </row>
    <row r="137" spans="1:27" x14ac:dyDescent="0.25">
      <c r="A137" s="101">
        <v>27</v>
      </c>
      <c r="B137" s="47" t="str">
        <f>B132</f>
        <v>Western</v>
      </c>
      <c r="C137" s="47" t="str">
        <f>C132</f>
        <v>R</v>
      </c>
      <c r="D137" s="47" t="str">
        <f>D132</f>
        <v>Recycled</v>
      </c>
      <c r="E137" s="47" t="s">
        <v>660</v>
      </c>
      <c r="F137" s="47" t="s">
        <v>661</v>
      </c>
      <c r="H137" s="102">
        <f>IF(OR($D137=W,$D137=WS),'INPUT Reg'!AD121,IF($D137=RW,'INPUT Reg'!AD125,0))</f>
        <v>120.01160337697544</v>
      </c>
      <c r="I137" s="102">
        <f>IF(OR($D137=W,$D137=WS),'INPUT Reg'!AE121,IF($D137=RW,'INPUT Reg'!AE125,0))</f>
        <v>116.95594883502993</v>
      </c>
      <c r="J137" s="102">
        <f>IF(OR($D137=W,$D137=WS),'INPUT Reg'!AF121,IF($D137=RW,'INPUT Reg'!AF125,0))</f>
        <v>114.66732432087197</v>
      </c>
      <c r="K137" s="102">
        <f>IF(OR($D137=W,$D137=WS),'INPUT Reg'!AG121,IF($D137=RW,'INPUT Reg'!AG125,0))</f>
        <v>112.80967430446599</v>
      </c>
      <c r="L137" s="102">
        <f>IF(OR($D137=W,$D137=WS),'INPUT Reg'!AH121,IF($D137=RW,'INPUT Reg'!AH125,0))</f>
        <v>111.3536251925038</v>
      </c>
      <c r="M137" s="102">
        <f>IF(OR($D137=W,$D137=WS),'INPUT Reg'!AI121,IF($D137=RW,'INPUT Reg'!AI125,0))</f>
        <v>110.27697647425563</v>
      </c>
      <c r="N137" s="102">
        <f>IF(OR($D137=W,$D137=WS),'INPUT Reg'!AJ121,IF($D137=RW,'INPUT Reg'!AJ125,0))</f>
        <v>109.26082753179607</v>
      </c>
      <c r="O137" s="102">
        <f>IF(OR($D137=W,$D137=WS),'INPUT Reg'!AK121,IF($D137=RW,'INPUT Reg'!AK125,0))</f>
        <v>107.92323829436916</v>
      </c>
      <c r="P137" s="102">
        <f>IF(OR($D137=W,$D137=WS),'INPUT Reg'!AL121,IF($D137=RW,'INPUT Reg'!AL125,0))</f>
        <v>106.68228495991369</v>
      </c>
      <c r="Q137" s="102">
        <f>IF(OR($D137=W,$D137=WS),'INPUT Reg'!AM121,IF($D137=RW,'INPUT Reg'!AM125,0))</f>
        <v>105.64442383008557</v>
      </c>
      <c r="R137" s="102">
        <f>IF(OR($D137=W,$D137=WS),'INPUT Reg'!AN121,IF($D137=RW,'INPUT Reg'!AN125,0))</f>
        <v>104.7550728877856</v>
      </c>
      <c r="S137" s="102">
        <f>IF(OR($D137=W,$D137=WS),'INPUT Reg'!AO121,IF($D137=RW,'INPUT Reg'!AO125,0))</f>
        <v>104.02127153476697</v>
      </c>
      <c r="T137" s="102">
        <f>IF(OR($D137=W,$D137=WS),'INPUT Reg'!AP121,IF($D137=RW,'INPUT Reg'!AP125,0))</f>
        <v>103.43694799046061</v>
      </c>
      <c r="U137" s="102">
        <f>IF(OR($D137=W,$D137=WS),'INPUT Reg'!AQ121,IF($D137=RW,'INPUT Reg'!AQ125,0))</f>
        <v>102.96542551308575</v>
      </c>
      <c r="V137" s="102">
        <f>IF(OR($D137=W,$D137=WS),'INPUT Reg'!AR121,IF($D137=RW,'INPUT Reg'!AR125,0))</f>
        <v>102.48081320538829</v>
      </c>
      <c r="W137" s="102">
        <f>IF(OR($D137=W,$D137=WS),'INPUT Reg'!AS121,IF($D137=RW,'INPUT Reg'!AS125,0))</f>
        <v>101.88152483764281</v>
      </c>
      <c r="X137" s="102">
        <f>IF(OR($D137=W,$D137=WS),'INPUT Reg'!AT121,IF($D137=RW,'INPUT Reg'!AT125,0))</f>
        <v>101.21863033094485</v>
      </c>
      <c r="Y137" s="102">
        <f>IF(OR($D137=W,$D137=WS),'INPUT Reg'!AU121,IF($D137=RW,'INPUT Reg'!AU125,0))</f>
        <v>100.70138854954867</v>
      </c>
      <c r="Z137" s="102">
        <f>IF(OR($D137=W,$D137=WS),'INPUT Reg'!AV121,IF($D137=RW,'INPUT Reg'!AV125,0))</f>
        <v>100.37357549548169</v>
      </c>
      <c r="AA137" s="102">
        <f>IF(OR($D137=W,$D137=WS),'INPUT Reg'!AW121,IF($D137=RW,'INPUT Reg'!AW125,0))</f>
        <v>100.37357549548169</v>
      </c>
    </row>
    <row r="138" spans="1:27" x14ac:dyDescent="0.25">
      <c r="B138" s="47" t="str">
        <f>B132</f>
        <v>Western</v>
      </c>
      <c r="C138" s="47" t="str">
        <f t="shared" ref="C138:D138" si="59">C132</f>
        <v>R</v>
      </c>
      <c r="D138" s="47" t="str">
        <f t="shared" si="59"/>
        <v>Recycled</v>
      </c>
      <c r="E138" s="47" t="s">
        <v>662</v>
      </c>
      <c r="F138" s="47" t="s">
        <v>661</v>
      </c>
      <c r="H138" s="102">
        <f>IF(OR($D138=W,$D138=WS),'INPUT Reg'!AD122,0)</f>
        <v>0</v>
      </c>
      <c r="I138" s="102">
        <f>IF(OR($D138=W,$D138=WS),'INPUT Reg'!AE122,0)</f>
        <v>0</v>
      </c>
      <c r="J138" s="102">
        <f>IF(OR($D138=W,$D138=WS),'INPUT Reg'!AF122,0)</f>
        <v>0</v>
      </c>
      <c r="K138" s="102">
        <f>IF(OR($D138=W,$D138=WS),'INPUT Reg'!AG122,0)</f>
        <v>0</v>
      </c>
      <c r="L138" s="102">
        <f>IF(OR($D138=W,$D138=WS),'INPUT Reg'!AH122,0)</f>
        <v>0</v>
      </c>
      <c r="M138" s="102">
        <f>IF(OR($D138=W,$D138=WS),'INPUT Reg'!AI122,0)</f>
        <v>0</v>
      </c>
      <c r="N138" s="102">
        <f>IF(OR($D138=W,$D138=WS),'INPUT Reg'!AJ122,0)</f>
        <v>0</v>
      </c>
      <c r="O138" s="102">
        <f>IF(OR($D138=W,$D138=WS),'INPUT Reg'!AK122,0)</f>
        <v>0</v>
      </c>
      <c r="P138" s="102">
        <f>IF(OR($D138=W,$D138=WS),'INPUT Reg'!AL122,0)</f>
        <v>0</v>
      </c>
      <c r="Q138" s="102">
        <f>IF(OR($D138=W,$D138=WS),'INPUT Reg'!AM122,0)</f>
        <v>0</v>
      </c>
      <c r="R138" s="102">
        <f>IF(OR($D138=W,$D138=WS),'INPUT Reg'!AN122,0)</f>
        <v>0</v>
      </c>
      <c r="S138" s="102">
        <f>IF(OR($D138=W,$D138=WS),'INPUT Reg'!AO122,0)</f>
        <v>0</v>
      </c>
      <c r="T138" s="102">
        <f>IF(OR($D138=W,$D138=WS),'INPUT Reg'!AP122,0)</f>
        <v>0</v>
      </c>
      <c r="U138" s="102">
        <f>IF(OR($D138=W,$D138=WS),'INPUT Reg'!AQ122,0)</f>
        <v>0</v>
      </c>
      <c r="V138" s="102">
        <f>IF(OR($D138=W,$D138=WS),'INPUT Reg'!AR122,0)</f>
        <v>0</v>
      </c>
      <c r="W138" s="102">
        <f>IF(OR($D138=W,$D138=WS),'INPUT Reg'!AS122,0)</f>
        <v>0</v>
      </c>
      <c r="X138" s="102">
        <f>IF(OR($D138=W,$D138=WS),'INPUT Reg'!AT122,0)</f>
        <v>0</v>
      </c>
      <c r="Y138" s="102">
        <f>IF(OR($D138=W,$D138=WS),'INPUT Reg'!AU122,0)</f>
        <v>0</v>
      </c>
      <c r="Z138" s="102">
        <f>IF(OR($D138=W,$D138=WS),'INPUT Reg'!AV122,0)</f>
        <v>0</v>
      </c>
      <c r="AA138" s="102">
        <f>IF(OR($D138=W,$D138=WS),'INPUT Reg'!AW122,0)</f>
        <v>0</v>
      </c>
    </row>
    <row r="139" spans="1:27" x14ac:dyDescent="0.25">
      <c r="A139" s="101">
        <v>28</v>
      </c>
      <c r="B139" s="47" t="str">
        <f>B132</f>
        <v>Western</v>
      </c>
      <c r="C139" s="47" t="str">
        <f t="shared" ref="C139:D139" si="60">C132</f>
        <v>R</v>
      </c>
      <c r="D139" s="47" t="str">
        <f t="shared" si="60"/>
        <v>Recycled</v>
      </c>
      <c r="E139" s="47" t="s">
        <v>663</v>
      </c>
      <c r="F139" s="47" t="s">
        <v>661</v>
      </c>
      <c r="H139" s="102">
        <f>IF(OR($D139=S,$D139=WS),'INPUT Reg'!AD124,0)</f>
        <v>0</v>
      </c>
      <c r="I139" s="102">
        <f>IF(OR($D139=S,$D139=WS),'INPUT Reg'!AE124,0)</f>
        <v>0</v>
      </c>
      <c r="J139" s="102">
        <f>IF(OR($D139=S,$D139=WS),'INPUT Reg'!AF124,0)</f>
        <v>0</v>
      </c>
      <c r="K139" s="102">
        <f>IF(OR($D139=S,$D139=WS),'INPUT Reg'!AG124,0)</f>
        <v>0</v>
      </c>
      <c r="L139" s="102">
        <f>IF(OR($D139=S,$D139=WS),'INPUT Reg'!AH124,0)</f>
        <v>0</v>
      </c>
      <c r="M139" s="102">
        <f>IF(OR($D139=S,$D139=WS),'INPUT Reg'!AI124,0)</f>
        <v>0</v>
      </c>
      <c r="N139" s="102">
        <f>IF(OR($D139=S,$D139=WS),'INPUT Reg'!AJ124,0)</f>
        <v>0</v>
      </c>
      <c r="O139" s="102">
        <f>IF(OR($D139=S,$D139=WS),'INPUT Reg'!AK124,0)</f>
        <v>0</v>
      </c>
      <c r="P139" s="102">
        <f>IF(OR($D139=S,$D139=WS),'INPUT Reg'!AL124,0)</f>
        <v>0</v>
      </c>
      <c r="Q139" s="102">
        <f>IF(OR($D139=S,$D139=WS),'INPUT Reg'!AM124,0)</f>
        <v>0</v>
      </c>
      <c r="R139" s="102">
        <f>IF(OR($D139=S,$D139=WS),'INPUT Reg'!AN124,0)</f>
        <v>0</v>
      </c>
      <c r="S139" s="102">
        <f>IF(OR($D139=S,$D139=WS),'INPUT Reg'!AO124,0)</f>
        <v>0</v>
      </c>
      <c r="T139" s="102">
        <f>IF(OR($D139=S,$D139=WS),'INPUT Reg'!AP124,0)</f>
        <v>0</v>
      </c>
      <c r="U139" s="102">
        <f>IF(OR($D139=S,$D139=WS),'INPUT Reg'!AQ124,0)</f>
        <v>0</v>
      </c>
      <c r="V139" s="102">
        <f>IF(OR($D139=S,$D139=WS),'INPUT Reg'!AR124,0)</f>
        <v>0</v>
      </c>
      <c r="W139" s="102">
        <f>IF(OR($D139=S,$D139=WS),'INPUT Reg'!AS124,0)</f>
        <v>0</v>
      </c>
      <c r="X139" s="102">
        <f>IF(OR($D139=S,$D139=WS),'INPUT Reg'!AT124,0)</f>
        <v>0</v>
      </c>
      <c r="Y139" s="102">
        <f>IF(OR($D139=S,$D139=WS),'INPUT Reg'!AU124,0)</f>
        <v>0</v>
      </c>
      <c r="Z139" s="102">
        <f>IF(OR($D139=S,$D139=WS),'INPUT Reg'!AV124,0)</f>
        <v>0</v>
      </c>
      <c r="AA139" s="102">
        <f>IF(OR($D139=S,$D139=WS),'INPUT Reg'!AW124,0)</f>
        <v>0</v>
      </c>
    </row>
    <row r="140" spans="1:27" x14ac:dyDescent="0.25">
      <c r="C140" s="100"/>
      <c r="D140" s="100"/>
      <c r="E140" s="47" t="s">
        <v>664</v>
      </c>
      <c r="F140" s="47" t="s">
        <v>665</v>
      </c>
      <c r="H140" s="106">
        <f>H133*H137</f>
        <v>0</v>
      </c>
      <c r="I140" s="106">
        <f t="shared" ref="I140:AA140" si="61">I133*I137</f>
        <v>0</v>
      </c>
      <c r="J140" s="106">
        <f t="shared" si="61"/>
        <v>0</v>
      </c>
      <c r="K140" s="106">
        <f t="shared" si="61"/>
        <v>0</v>
      </c>
      <c r="L140" s="106">
        <f t="shared" si="61"/>
        <v>0</v>
      </c>
      <c r="M140" s="106">
        <f t="shared" si="61"/>
        <v>0</v>
      </c>
      <c r="N140" s="106">
        <f t="shared" si="61"/>
        <v>0</v>
      </c>
      <c r="O140" s="106">
        <f t="shared" si="61"/>
        <v>0</v>
      </c>
      <c r="P140" s="106">
        <f t="shared" si="61"/>
        <v>0</v>
      </c>
      <c r="Q140" s="106">
        <f t="shared" si="61"/>
        <v>0</v>
      </c>
      <c r="R140" s="106">
        <f t="shared" si="61"/>
        <v>0</v>
      </c>
      <c r="S140" s="106">
        <f t="shared" si="61"/>
        <v>0</v>
      </c>
      <c r="T140" s="106">
        <f t="shared" si="61"/>
        <v>0</v>
      </c>
      <c r="U140" s="106">
        <f t="shared" si="61"/>
        <v>0</v>
      </c>
      <c r="V140" s="106">
        <f t="shared" si="61"/>
        <v>0</v>
      </c>
      <c r="W140" s="106">
        <f t="shared" si="61"/>
        <v>0</v>
      </c>
      <c r="X140" s="106">
        <f t="shared" si="61"/>
        <v>0</v>
      </c>
      <c r="Y140" s="106">
        <f t="shared" si="61"/>
        <v>0</v>
      </c>
      <c r="Z140" s="106">
        <f t="shared" si="61"/>
        <v>0</v>
      </c>
      <c r="AA140" s="106">
        <f t="shared" si="61"/>
        <v>0</v>
      </c>
    </row>
    <row r="141" spans="1:27" x14ac:dyDescent="0.25">
      <c r="C141" s="100"/>
      <c r="D141" s="100"/>
      <c r="E141" s="47" t="s">
        <v>666</v>
      </c>
      <c r="F141" s="47" t="s">
        <v>665</v>
      </c>
      <c r="H141" s="106">
        <f>H133*H138</f>
        <v>0</v>
      </c>
      <c r="I141" s="106">
        <f t="shared" ref="I141:AA141" si="62">I133*I138</f>
        <v>0</v>
      </c>
      <c r="J141" s="106">
        <f t="shared" si="62"/>
        <v>0</v>
      </c>
      <c r="K141" s="106">
        <f t="shared" si="62"/>
        <v>0</v>
      </c>
      <c r="L141" s="106">
        <f t="shared" si="62"/>
        <v>0</v>
      </c>
      <c r="M141" s="106">
        <f t="shared" si="62"/>
        <v>0</v>
      </c>
      <c r="N141" s="106">
        <f t="shared" si="62"/>
        <v>0</v>
      </c>
      <c r="O141" s="106">
        <f t="shared" si="62"/>
        <v>0</v>
      </c>
      <c r="P141" s="106">
        <f t="shared" si="62"/>
        <v>0</v>
      </c>
      <c r="Q141" s="106">
        <f t="shared" si="62"/>
        <v>0</v>
      </c>
      <c r="R141" s="106">
        <f t="shared" si="62"/>
        <v>0</v>
      </c>
      <c r="S141" s="106">
        <f t="shared" si="62"/>
        <v>0</v>
      </c>
      <c r="T141" s="106">
        <f t="shared" si="62"/>
        <v>0</v>
      </c>
      <c r="U141" s="106">
        <f t="shared" si="62"/>
        <v>0</v>
      </c>
      <c r="V141" s="106">
        <f t="shared" si="62"/>
        <v>0</v>
      </c>
      <c r="W141" s="106">
        <f t="shared" si="62"/>
        <v>0</v>
      </c>
      <c r="X141" s="106">
        <f t="shared" si="62"/>
        <v>0</v>
      </c>
      <c r="Y141" s="106">
        <f t="shared" si="62"/>
        <v>0</v>
      </c>
      <c r="Z141" s="106">
        <f t="shared" si="62"/>
        <v>0</v>
      </c>
      <c r="AA141" s="106">
        <f t="shared" si="62"/>
        <v>0</v>
      </c>
    </row>
    <row r="142" spans="1:27" x14ac:dyDescent="0.25">
      <c r="C142" s="100"/>
      <c r="D142" s="100"/>
      <c r="E142" s="47" t="s">
        <v>667</v>
      </c>
      <c r="F142" s="47" t="s">
        <v>665</v>
      </c>
      <c r="H142" s="106">
        <f>H133*H139</f>
        <v>0</v>
      </c>
      <c r="I142" s="106">
        <f t="shared" ref="I142:AA142" si="63">I133*I139</f>
        <v>0</v>
      </c>
      <c r="J142" s="106">
        <f t="shared" si="63"/>
        <v>0</v>
      </c>
      <c r="K142" s="106">
        <f t="shared" si="63"/>
        <v>0</v>
      </c>
      <c r="L142" s="106">
        <f t="shared" si="63"/>
        <v>0</v>
      </c>
      <c r="M142" s="106">
        <f t="shared" si="63"/>
        <v>0</v>
      </c>
      <c r="N142" s="106">
        <f t="shared" si="63"/>
        <v>0</v>
      </c>
      <c r="O142" s="106">
        <f t="shared" si="63"/>
        <v>0</v>
      </c>
      <c r="P142" s="106">
        <f t="shared" si="63"/>
        <v>0</v>
      </c>
      <c r="Q142" s="106">
        <f t="shared" si="63"/>
        <v>0</v>
      </c>
      <c r="R142" s="106">
        <f t="shared" si="63"/>
        <v>0</v>
      </c>
      <c r="S142" s="106">
        <f t="shared" si="63"/>
        <v>0</v>
      </c>
      <c r="T142" s="106">
        <f t="shared" si="63"/>
        <v>0</v>
      </c>
      <c r="U142" s="106">
        <f t="shared" si="63"/>
        <v>0</v>
      </c>
      <c r="V142" s="106">
        <f t="shared" si="63"/>
        <v>0</v>
      </c>
      <c r="W142" s="106">
        <f t="shared" si="63"/>
        <v>0</v>
      </c>
      <c r="X142" s="106">
        <f t="shared" si="63"/>
        <v>0</v>
      </c>
      <c r="Y142" s="106">
        <f t="shared" si="63"/>
        <v>0</v>
      </c>
      <c r="Z142" s="106">
        <f t="shared" si="63"/>
        <v>0</v>
      </c>
      <c r="AA142" s="106">
        <f t="shared" si="63"/>
        <v>0</v>
      </c>
    </row>
    <row r="143" spans="1:27" x14ac:dyDescent="0.25">
      <c r="A143" s="101">
        <v>29</v>
      </c>
      <c r="B143" s="47" t="str">
        <f>B137</f>
        <v>Western</v>
      </c>
      <c r="C143" s="47" t="str">
        <f t="shared" ref="C143:D143" si="64">C137</f>
        <v>R</v>
      </c>
      <c r="D143" s="47" t="str">
        <f t="shared" si="64"/>
        <v>Recycled</v>
      </c>
      <c r="E143" s="47" t="s">
        <v>668</v>
      </c>
      <c r="F143" s="47" t="s">
        <v>633</v>
      </c>
      <c r="H143" s="105">
        <f>SUMIFS('INPUT Reg'!AD$94:AD$109,'INPUT Reg'!$D$94:$D$109,$D143,'INPUT Reg'!$C$94:$C$109,$C143,'INPUT Reg'!$B$94:$B$109,$B143)</f>
        <v>-5.3518413678715904E-3</v>
      </c>
      <c r="I143" s="105">
        <f>SUMIFS('INPUT Reg'!AE$94:AE$109,'INPUT Reg'!$D$94:$D$109,$D143,'INPUT Reg'!$C$94:$C$109,$C143,'INPUT Reg'!$B$94:$B$109,$B143)</f>
        <v>-5.3806376872317374E-3</v>
      </c>
      <c r="J143" s="105">
        <f>SUMIFS('INPUT Reg'!AF$94:AF$109,'INPUT Reg'!$D$94:$D$109,$D143,'INPUT Reg'!$C$94:$C$109,$C143,'INPUT Reg'!$B$94:$B$109,$B143)</f>
        <v>-5.4097455681137996E-3</v>
      </c>
      <c r="K143" s="105">
        <f>SUMIFS('INPUT Reg'!AG$94:AG$109,'INPUT Reg'!$D$94:$D$109,$D143,'INPUT Reg'!$C$94:$C$109,$C143,'INPUT Reg'!$B$94:$B$109,$B143)</f>
        <v>-5.4391700944264043E-3</v>
      </c>
      <c r="L143" s="105">
        <f>SUMIFS('INPUT Reg'!AH$94:AH$109,'INPUT Reg'!$D$94:$D$109,$D143,'INPUT Reg'!$C$94:$C$109,$C143,'INPUT Reg'!$B$94:$B$109,$B143)</f>
        <v>-4.3590256656000914E-3</v>
      </c>
      <c r="M143" s="105">
        <f>SUMIFS('INPUT Reg'!AI$94:AI$109,'INPUT Reg'!$D$94:$D$109,$D143,'INPUT Reg'!$C$94:$C$109,$C143,'INPUT Reg'!$B$94:$B$109,$B143)</f>
        <v>-4.3781099592795636E-3</v>
      </c>
      <c r="N143" s="105">
        <f>SUMIFS('INPUT Reg'!AJ$94:AJ$109,'INPUT Reg'!$D$94:$D$109,$D143,'INPUT Reg'!$C$94:$C$109,$C143,'INPUT Reg'!$B$94:$B$109,$B143)</f>
        <v>-4.3973620940581659E-3</v>
      </c>
      <c r="O143" s="105">
        <f>SUMIFS('INPUT Reg'!AK$94:AK$109,'INPUT Reg'!$D$94:$D$109,$D143,'INPUT Reg'!$C$94:$C$109,$C143,'INPUT Reg'!$B$94:$B$109,$B143)</f>
        <v>-4.4167842938895863E-3</v>
      </c>
      <c r="P143" s="105">
        <f>SUMIFS('INPUT Reg'!AL$94:AL$109,'INPUT Reg'!$D$94:$D$109,$D143,'INPUT Reg'!$C$94:$C$109,$C143,'INPUT Reg'!$B$94:$B$109,$B143)</f>
        <v>8.1966696907187497E-5</v>
      </c>
      <c r="Q143" s="105">
        <f>SUMIFS('INPUT Reg'!AM$94:AM$109,'INPUT Reg'!$D$94:$D$109,$D143,'INPUT Reg'!$C$94:$C$109,$C143,'INPUT Reg'!$B$94:$B$109,$B143)</f>
        <v>-0.17522080028021458</v>
      </c>
      <c r="R143" s="105">
        <f>SUMIFS('INPUT Reg'!AN$94:AN$109,'INPUT Reg'!$D$94:$D$109,$D143,'INPUT Reg'!$C$94:$C$109,$C143,'INPUT Reg'!$B$94:$B$109,$B143)</f>
        <v>0</v>
      </c>
      <c r="S143" s="105">
        <f>SUMIFS('INPUT Reg'!AO$94:AO$109,'INPUT Reg'!$D$94:$D$109,$D143,'INPUT Reg'!$C$94:$C$109,$C143,'INPUT Reg'!$B$94:$B$109,$B143)</f>
        <v>0</v>
      </c>
      <c r="T143" s="105">
        <f>SUMIFS('INPUT Reg'!AP$94:AP$109,'INPUT Reg'!$D$94:$D$109,$D143,'INPUT Reg'!$C$94:$C$109,$C143,'INPUT Reg'!$B$94:$B$109,$B143)</f>
        <v>0</v>
      </c>
      <c r="U143" s="105">
        <f>SUMIFS('INPUT Reg'!AQ$94:AQ$109,'INPUT Reg'!$D$94:$D$109,$D143,'INPUT Reg'!$C$94:$C$109,$C143,'INPUT Reg'!$B$94:$B$109,$B143)</f>
        <v>0</v>
      </c>
      <c r="V143" s="105">
        <f>SUMIFS('INPUT Reg'!AR$94:AR$109,'INPUT Reg'!$D$94:$D$109,$D143,'INPUT Reg'!$C$94:$C$109,$C143,'INPUT Reg'!$B$94:$B$109,$B143)</f>
        <v>-0.10815922653429455</v>
      </c>
      <c r="W143" s="105">
        <f>SUMIFS('INPUT Reg'!AS$94:AS$109,'INPUT Reg'!$D$94:$D$109,$D143,'INPUT Reg'!$C$94:$C$109,$C143,'INPUT Reg'!$B$94:$B$109,$B143)</f>
        <v>0</v>
      </c>
      <c r="X143" s="105">
        <f>SUMIFS('INPUT Reg'!AT$94:AT$109,'INPUT Reg'!$D$94:$D$109,$D143,'INPUT Reg'!$C$94:$C$109,$C143,'INPUT Reg'!$B$94:$B$109,$B143)</f>
        <v>0</v>
      </c>
      <c r="Y143" s="105">
        <f>SUMIFS('INPUT Reg'!AU$94:AU$109,'INPUT Reg'!$D$94:$D$109,$D143,'INPUT Reg'!$C$94:$C$109,$C143,'INPUT Reg'!$B$94:$B$109,$B143)</f>
        <v>0</v>
      </c>
      <c r="Z143" s="105">
        <f>SUMIFS('INPUT Reg'!AV$94:AV$109,'INPUT Reg'!$D$94:$D$109,$D143,'INPUT Reg'!$C$94:$C$109,$C143,'INPUT Reg'!$B$94:$B$109,$B143)</f>
        <v>0</v>
      </c>
      <c r="AA143" s="105">
        <f>SUMIFS('INPUT Reg'!AW$94:AW$109,'INPUT Reg'!$D$94:$D$109,$D143,'INPUT Reg'!$C$94:$C$109,$C143,'INPUT Reg'!$B$94:$B$109,$B143)</f>
        <v>0</v>
      </c>
    </row>
    <row r="144" spans="1:27" x14ac:dyDescent="0.25">
      <c r="A144" s="101">
        <v>30</v>
      </c>
      <c r="B144" s="47" t="str">
        <f>B132</f>
        <v>Western</v>
      </c>
      <c r="C144" s="47" t="str">
        <f t="shared" ref="C144:D144" si="65">C132</f>
        <v>R</v>
      </c>
      <c r="D144" s="47" t="str">
        <f t="shared" si="65"/>
        <v>Recycled</v>
      </c>
      <c r="E144" s="47" t="s">
        <v>669</v>
      </c>
      <c r="F144" s="47" t="s">
        <v>670</v>
      </c>
      <c r="G144" s="108">
        <f>IF(D144=W,WW_R_W_N,IF(D144=S,WW_R_S_N,IF(D144=WS,WW_R_W_N+WW_R_S_N,WW_R_R_N)))</f>
        <v>131.4365</v>
      </c>
      <c r="H144" s="106">
        <f>G144*(1+$G$14)*(1+H143)</f>
        <v>130.73307270205174</v>
      </c>
      <c r="I144" s="106">
        <f t="shared" ref="I144:AA144" si="66">H144*(1+$G$14)*(1+I143)</f>
        <v>130.02964540410349</v>
      </c>
      <c r="J144" s="106">
        <f t="shared" si="66"/>
        <v>129.32621810615524</v>
      </c>
      <c r="K144" s="106">
        <f t="shared" si="66"/>
        <v>128.62279080820699</v>
      </c>
      <c r="L144" s="106">
        <f t="shared" si="66"/>
        <v>128.06212076189291</v>
      </c>
      <c r="M144" s="106">
        <f t="shared" si="66"/>
        <v>127.50145071557881</v>
      </c>
      <c r="N144" s="106">
        <f t="shared" si="66"/>
        <v>126.9407806692647</v>
      </c>
      <c r="O144" s="106">
        <f t="shared" si="66"/>
        <v>126.38011062295061</v>
      </c>
      <c r="P144" s="106">
        <f t="shared" si="66"/>
        <v>126.39046958317314</v>
      </c>
      <c r="Q144" s="106">
        <f t="shared" si="66"/>
        <v>104.24423035501742</v>
      </c>
      <c r="R144" s="106">
        <f t="shared" si="66"/>
        <v>104.24423035501742</v>
      </c>
      <c r="S144" s="106">
        <f t="shared" si="66"/>
        <v>104.24423035501742</v>
      </c>
      <c r="T144" s="106">
        <f t="shared" si="66"/>
        <v>104.24423035501742</v>
      </c>
      <c r="U144" s="106">
        <f t="shared" si="66"/>
        <v>104.24423035501742</v>
      </c>
      <c r="V144" s="106">
        <f t="shared" si="66"/>
        <v>92.969255029155903</v>
      </c>
      <c r="W144" s="106">
        <f t="shared" si="66"/>
        <v>92.969255029155903</v>
      </c>
      <c r="X144" s="106">
        <f t="shared" si="66"/>
        <v>92.969255029155903</v>
      </c>
      <c r="Y144" s="106">
        <f t="shared" si="66"/>
        <v>92.969255029155903</v>
      </c>
      <c r="Z144" s="106">
        <f t="shared" si="66"/>
        <v>92.969255029155903</v>
      </c>
      <c r="AA144" s="106">
        <f t="shared" si="66"/>
        <v>92.969255029155903</v>
      </c>
    </row>
    <row r="145" spans="1:27" x14ac:dyDescent="0.25">
      <c r="B145" s="47" t="str">
        <f>B132</f>
        <v>Western</v>
      </c>
      <c r="C145" s="47" t="str">
        <f t="shared" ref="C145:D145" si="67">C132</f>
        <v>R</v>
      </c>
      <c r="D145" s="47" t="str">
        <f t="shared" si="67"/>
        <v>Recycled</v>
      </c>
      <c r="E145" s="47" t="s">
        <v>671</v>
      </c>
      <c r="F145" s="47" t="s">
        <v>672</v>
      </c>
      <c r="G145" s="109">
        <f>IF(OR(D145=W,D145=WS),WW_T1,IF(D145=RW,WW_R_R_V,0))</f>
        <v>1.9605999999999999</v>
      </c>
      <c r="H145" s="110">
        <f>G145*(1+$G$14)*(1+H143)</f>
        <v>1.9501071798141509</v>
      </c>
      <c r="I145" s="110">
        <f t="shared" ref="I145:AA145" si="68">H145*(1+$G$14)*(1+I143)</f>
        <v>1.9396143596283018</v>
      </c>
      <c r="J145" s="110">
        <f t="shared" si="68"/>
        <v>1.9291215394424526</v>
      </c>
      <c r="K145" s="110">
        <f t="shared" si="68"/>
        <v>1.9186287192566034</v>
      </c>
      <c r="L145" s="110">
        <f t="shared" si="68"/>
        <v>1.9102653674266064</v>
      </c>
      <c r="M145" s="110">
        <f t="shared" si="68"/>
        <v>1.9019020155966091</v>
      </c>
      <c r="N145" s="110">
        <f t="shared" si="68"/>
        <v>1.8935386637666118</v>
      </c>
      <c r="O145" s="110">
        <f t="shared" si="68"/>
        <v>1.8851753119366148</v>
      </c>
      <c r="P145" s="110">
        <f t="shared" si="68"/>
        <v>1.8853298335300253</v>
      </c>
      <c r="Q145" s="110">
        <f t="shared" si="68"/>
        <v>1.5549808313067306</v>
      </c>
      <c r="R145" s="110">
        <f t="shared" si="68"/>
        <v>1.5549808313067306</v>
      </c>
      <c r="S145" s="110">
        <f t="shared" si="68"/>
        <v>1.5549808313067306</v>
      </c>
      <c r="T145" s="110">
        <f t="shared" si="68"/>
        <v>1.5549808313067306</v>
      </c>
      <c r="U145" s="110">
        <f t="shared" si="68"/>
        <v>1.5549808313067306</v>
      </c>
      <c r="V145" s="110">
        <f t="shared" si="68"/>
        <v>1.3867953073169403</v>
      </c>
      <c r="W145" s="110">
        <f t="shared" si="68"/>
        <v>1.3867953073169403</v>
      </c>
      <c r="X145" s="110">
        <f t="shared" si="68"/>
        <v>1.3867953073169403</v>
      </c>
      <c r="Y145" s="110">
        <f t="shared" si="68"/>
        <v>1.3867953073169403</v>
      </c>
      <c r="Z145" s="110">
        <f t="shared" si="68"/>
        <v>1.3867953073169403</v>
      </c>
      <c r="AA145" s="110">
        <f t="shared" si="68"/>
        <v>1.3867953073169403</v>
      </c>
    </row>
    <row r="146" spans="1:27" x14ac:dyDescent="0.25">
      <c r="B146" s="47" t="str">
        <f>B132</f>
        <v>Western</v>
      </c>
      <c r="C146" s="47" t="str">
        <f t="shared" ref="C146:D146" si="69">C132</f>
        <v>R</v>
      </c>
      <c r="D146" s="47" t="str">
        <f t="shared" si="69"/>
        <v>Recycled</v>
      </c>
      <c r="E146" s="47" t="s">
        <v>673</v>
      </c>
      <c r="F146" s="47" t="s">
        <v>672</v>
      </c>
      <c r="G146" s="109">
        <f>IF(OR(D146=W,D146=WS),WW_T2,0)</f>
        <v>0</v>
      </c>
      <c r="H146" s="110">
        <f>G146*(1+$G$14)*(1+H143)</f>
        <v>0</v>
      </c>
      <c r="I146" s="110">
        <f t="shared" ref="I146:AA146" si="70">H146*(1+$G$14)*(1+I143)</f>
        <v>0</v>
      </c>
      <c r="J146" s="110">
        <f t="shared" si="70"/>
        <v>0</v>
      </c>
      <c r="K146" s="110">
        <f t="shared" si="70"/>
        <v>0</v>
      </c>
      <c r="L146" s="110">
        <f t="shared" si="70"/>
        <v>0</v>
      </c>
      <c r="M146" s="110">
        <f t="shared" si="70"/>
        <v>0</v>
      </c>
      <c r="N146" s="110">
        <f t="shared" si="70"/>
        <v>0</v>
      </c>
      <c r="O146" s="110">
        <f t="shared" si="70"/>
        <v>0</v>
      </c>
      <c r="P146" s="110">
        <f t="shared" si="70"/>
        <v>0</v>
      </c>
      <c r="Q146" s="110">
        <f t="shared" si="70"/>
        <v>0</v>
      </c>
      <c r="R146" s="110">
        <f t="shared" si="70"/>
        <v>0</v>
      </c>
      <c r="S146" s="110">
        <f t="shared" si="70"/>
        <v>0</v>
      </c>
      <c r="T146" s="110">
        <f t="shared" si="70"/>
        <v>0</v>
      </c>
      <c r="U146" s="110">
        <f t="shared" si="70"/>
        <v>0</v>
      </c>
      <c r="V146" s="110">
        <f t="shared" si="70"/>
        <v>0</v>
      </c>
      <c r="W146" s="110">
        <f t="shared" si="70"/>
        <v>0</v>
      </c>
      <c r="X146" s="110">
        <f t="shared" si="70"/>
        <v>0</v>
      </c>
      <c r="Y146" s="110">
        <f t="shared" si="70"/>
        <v>0</v>
      </c>
      <c r="Z146" s="110">
        <f t="shared" si="70"/>
        <v>0</v>
      </c>
      <c r="AA146" s="110">
        <f t="shared" si="70"/>
        <v>0</v>
      </c>
    </row>
    <row r="147" spans="1:27" x14ac:dyDescent="0.25">
      <c r="B147" s="47" t="str">
        <f>B132</f>
        <v>Western</v>
      </c>
      <c r="C147" s="47" t="str">
        <f t="shared" ref="C147:D147" si="71">C132</f>
        <v>R</v>
      </c>
      <c r="D147" s="47" t="str">
        <f t="shared" si="71"/>
        <v>Recycled</v>
      </c>
      <c r="E147" s="47" t="s">
        <v>674</v>
      </c>
      <c r="F147" s="47" t="s">
        <v>672</v>
      </c>
      <c r="G147" s="109">
        <f>IF(OR(D147=S,D147=WS), WW_R_SDC,0)</f>
        <v>0</v>
      </c>
      <c r="H147" s="110">
        <f>G147*(1+$G$14)*(1+H143)</f>
        <v>0</v>
      </c>
      <c r="I147" s="110">
        <f t="shared" ref="I147:AA147" si="72">H147*(1+$G$14)*(1+I143)</f>
        <v>0</v>
      </c>
      <c r="J147" s="110">
        <f t="shared" si="72"/>
        <v>0</v>
      </c>
      <c r="K147" s="110">
        <f t="shared" si="72"/>
        <v>0</v>
      </c>
      <c r="L147" s="110">
        <f t="shared" si="72"/>
        <v>0</v>
      </c>
      <c r="M147" s="110">
        <f t="shared" si="72"/>
        <v>0</v>
      </c>
      <c r="N147" s="110">
        <f t="shared" si="72"/>
        <v>0</v>
      </c>
      <c r="O147" s="110">
        <f t="shared" si="72"/>
        <v>0</v>
      </c>
      <c r="P147" s="110">
        <f t="shared" si="72"/>
        <v>0</v>
      </c>
      <c r="Q147" s="110">
        <f t="shared" si="72"/>
        <v>0</v>
      </c>
      <c r="R147" s="110">
        <f t="shared" si="72"/>
        <v>0</v>
      </c>
      <c r="S147" s="110">
        <f t="shared" si="72"/>
        <v>0</v>
      </c>
      <c r="T147" s="110">
        <f t="shared" si="72"/>
        <v>0</v>
      </c>
      <c r="U147" s="110">
        <f t="shared" si="72"/>
        <v>0</v>
      </c>
      <c r="V147" s="110">
        <f t="shared" si="72"/>
        <v>0</v>
      </c>
      <c r="W147" s="110">
        <f t="shared" si="72"/>
        <v>0</v>
      </c>
      <c r="X147" s="110">
        <f t="shared" si="72"/>
        <v>0</v>
      </c>
      <c r="Y147" s="110">
        <f t="shared" si="72"/>
        <v>0</v>
      </c>
      <c r="Z147" s="110">
        <f t="shared" si="72"/>
        <v>0</v>
      </c>
      <c r="AA147" s="110">
        <f t="shared" si="72"/>
        <v>0</v>
      </c>
    </row>
    <row r="148" spans="1:27" x14ac:dyDescent="0.25">
      <c r="C148" s="100"/>
      <c r="D148" s="100"/>
    </row>
    <row r="149" spans="1:27" x14ac:dyDescent="0.25">
      <c r="C149" s="100"/>
      <c r="D149" s="100"/>
      <c r="E149" s="47" t="s">
        <v>682</v>
      </c>
      <c r="F149" s="47" t="s">
        <v>676</v>
      </c>
      <c r="H149" s="106">
        <f>SUM(H140:H142)/1000</f>
        <v>0</v>
      </c>
      <c r="I149" s="106">
        <f t="shared" ref="I149:AA149" si="73">SUM(I140:I142)/1000</f>
        <v>0</v>
      </c>
      <c r="J149" s="106">
        <f t="shared" si="73"/>
        <v>0</v>
      </c>
      <c r="K149" s="106">
        <f t="shared" si="73"/>
        <v>0</v>
      </c>
      <c r="L149" s="106">
        <f t="shared" si="73"/>
        <v>0</v>
      </c>
      <c r="M149" s="106">
        <f t="shared" si="73"/>
        <v>0</v>
      </c>
      <c r="N149" s="106">
        <f t="shared" si="73"/>
        <v>0</v>
      </c>
      <c r="O149" s="106">
        <f t="shared" si="73"/>
        <v>0</v>
      </c>
      <c r="P149" s="106">
        <f t="shared" si="73"/>
        <v>0</v>
      </c>
      <c r="Q149" s="106">
        <f t="shared" si="73"/>
        <v>0</v>
      </c>
      <c r="R149" s="106">
        <f t="shared" si="73"/>
        <v>0</v>
      </c>
      <c r="S149" s="106">
        <f t="shared" si="73"/>
        <v>0</v>
      </c>
      <c r="T149" s="106">
        <f t="shared" si="73"/>
        <v>0</v>
      </c>
      <c r="U149" s="106">
        <f t="shared" si="73"/>
        <v>0</v>
      </c>
      <c r="V149" s="106">
        <f t="shared" si="73"/>
        <v>0</v>
      </c>
      <c r="W149" s="106">
        <f t="shared" si="73"/>
        <v>0</v>
      </c>
      <c r="X149" s="106">
        <f t="shared" si="73"/>
        <v>0</v>
      </c>
      <c r="Y149" s="106">
        <f t="shared" si="73"/>
        <v>0</v>
      </c>
      <c r="Z149" s="106">
        <f t="shared" si="73"/>
        <v>0</v>
      </c>
      <c r="AA149" s="106">
        <f t="shared" si="73"/>
        <v>0</v>
      </c>
    </row>
    <row r="150" spans="1:27" x14ac:dyDescent="0.25">
      <c r="C150" s="100"/>
      <c r="D150" s="100"/>
      <c r="E150" s="47" t="s">
        <v>683</v>
      </c>
      <c r="F150" s="47" t="s">
        <v>639</v>
      </c>
      <c r="H150" s="106">
        <f>H133*H144+H140*H145+H141*H146+H142*H147</f>
        <v>0</v>
      </c>
      <c r="I150" s="106">
        <f t="shared" ref="I150:AA150" si="74">I133*I144+I140*I145+I141*I146+I142*I147</f>
        <v>0</v>
      </c>
      <c r="J150" s="106">
        <f t="shared" si="74"/>
        <v>0</v>
      </c>
      <c r="K150" s="106">
        <f t="shared" si="74"/>
        <v>0</v>
      </c>
      <c r="L150" s="106">
        <f t="shared" si="74"/>
        <v>0</v>
      </c>
      <c r="M150" s="106">
        <f t="shared" si="74"/>
        <v>0</v>
      </c>
      <c r="N150" s="106">
        <f t="shared" si="74"/>
        <v>0</v>
      </c>
      <c r="O150" s="106">
        <f t="shared" si="74"/>
        <v>0</v>
      </c>
      <c r="P150" s="106">
        <f t="shared" si="74"/>
        <v>0</v>
      </c>
      <c r="Q150" s="106">
        <f t="shared" si="74"/>
        <v>0</v>
      </c>
      <c r="R150" s="106">
        <f t="shared" si="74"/>
        <v>0</v>
      </c>
      <c r="S150" s="106">
        <f t="shared" si="74"/>
        <v>0</v>
      </c>
      <c r="T150" s="106">
        <f t="shared" si="74"/>
        <v>0</v>
      </c>
      <c r="U150" s="106">
        <f t="shared" si="74"/>
        <v>0</v>
      </c>
      <c r="V150" s="106">
        <f t="shared" si="74"/>
        <v>0</v>
      </c>
      <c r="W150" s="106">
        <f t="shared" si="74"/>
        <v>0</v>
      </c>
      <c r="X150" s="106">
        <f t="shared" si="74"/>
        <v>0</v>
      </c>
      <c r="Y150" s="106">
        <f t="shared" si="74"/>
        <v>0</v>
      </c>
      <c r="Z150" s="106">
        <f t="shared" si="74"/>
        <v>0</v>
      </c>
      <c r="AA150" s="106">
        <f t="shared" si="74"/>
        <v>0</v>
      </c>
    </row>
    <row r="151" spans="1:27" x14ac:dyDescent="0.25">
      <c r="C151" s="100"/>
      <c r="D151" s="100"/>
    </row>
    <row r="152" spans="1:27" x14ac:dyDescent="0.25">
      <c r="C152" s="100"/>
      <c r="D152" s="47" t="s">
        <v>684</v>
      </c>
    </row>
    <row r="153" spans="1:27" x14ac:dyDescent="0.25">
      <c r="A153" s="101">
        <v>31</v>
      </c>
      <c r="B153" s="47" t="s">
        <v>265</v>
      </c>
      <c r="C153" s="100" t="s">
        <v>407</v>
      </c>
      <c r="D153" s="100" t="str">
        <f>$G$4</f>
        <v>Recycled</v>
      </c>
      <c r="E153" s="47" t="s">
        <v>654</v>
      </c>
      <c r="F153" s="47" t="s">
        <v>655</v>
      </c>
      <c r="H153" s="102">
        <f>IF($G$4="Water and sewer",SUMIFS('INPUT Growth'!AD$64:AD$115,'INPUT Growth'!$B$64:$B$115,$A$1,'INPUT Growth'!$F$64:$F$115,$B153,'INPUT Growth'!$E$64:$E$115,$C153),SUMIFS('INPUT Growth'!AD$64:AD$115,'INPUT Growth'!$A$64:$A$115,$A$1,'INPUT Growth'!$F$64:$F$115,$B153,'INPUT Growth'!$E$64:$E$115,$C153))</f>
        <v>0</v>
      </c>
      <c r="I153" s="102">
        <f>IF($G$4="Water and sewer",SUMIFS('INPUT Growth'!AE$64:AE$115,'INPUT Growth'!$B$64:$B$115,$A$1,'INPUT Growth'!$F$64:$F$115,$B153,'INPUT Growth'!$E$64:$E$115,$C153),SUMIFS('INPUT Growth'!AE$64:AE$115,'INPUT Growth'!$A$64:$A$115,$A$1,'INPUT Growth'!$F$64:$F$115,$B153,'INPUT Growth'!$E$64:$E$115,$C153))</f>
        <v>0</v>
      </c>
      <c r="J153" s="102">
        <f>IF($G$4="Water and sewer",SUMIFS('INPUT Growth'!AF$64:AF$115,'INPUT Growth'!$B$64:$B$115,$A$1,'INPUT Growth'!$F$64:$F$115,$B153,'INPUT Growth'!$E$64:$E$115,$C153),SUMIFS('INPUT Growth'!AF$64:AF$115,'INPUT Growth'!$A$64:$A$115,$A$1,'INPUT Growth'!$F$64:$F$115,$B153,'INPUT Growth'!$E$64:$E$115,$C153))</f>
        <v>0</v>
      </c>
      <c r="K153" s="102">
        <f>IF($G$4="Water and sewer",SUMIFS('INPUT Growth'!AG$64:AG$115,'INPUT Growth'!$B$64:$B$115,$A$1,'INPUT Growth'!$F$64:$F$115,$B153,'INPUT Growth'!$E$64:$E$115,$C153),SUMIFS('INPUT Growth'!AG$64:AG$115,'INPUT Growth'!$A$64:$A$115,$A$1,'INPUT Growth'!$F$64:$F$115,$B153,'INPUT Growth'!$E$64:$E$115,$C153))</f>
        <v>0</v>
      </c>
      <c r="L153" s="102">
        <f>IF($G$4="Water and sewer",SUMIFS('INPUT Growth'!AH$64:AH$115,'INPUT Growth'!$B$64:$B$115,$A$1,'INPUT Growth'!$F$64:$F$115,$B153,'INPUT Growth'!$E$64:$E$115,$C153),SUMIFS('INPUT Growth'!AH$64:AH$115,'INPUT Growth'!$A$64:$A$115,$A$1,'INPUT Growth'!$F$64:$F$115,$B153,'INPUT Growth'!$E$64:$E$115,$C153))</f>
        <v>0</v>
      </c>
      <c r="M153" s="102">
        <f>IF($G$4="Water and sewer",SUMIFS('INPUT Growth'!AI$64:AI$115,'INPUT Growth'!$B$64:$B$115,$A$1,'INPUT Growth'!$F$64:$F$115,$B153,'INPUT Growth'!$E$64:$E$115,$C153),SUMIFS('INPUT Growth'!AI$64:AI$115,'INPUT Growth'!$A$64:$A$115,$A$1,'INPUT Growth'!$F$64:$F$115,$B153,'INPUT Growth'!$E$64:$E$115,$C153))</f>
        <v>0</v>
      </c>
      <c r="N153" s="102">
        <f>IF($G$4="Water and sewer",SUMIFS('INPUT Growth'!AJ$64:AJ$115,'INPUT Growth'!$B$64:$B$115,$A$1,'INPUT Growth'!$F$64:$F$115,$B153,'INPUT Growth'!$E$64:$E$115,$C153),SUMIFS('INPUT Growth'!AJ$64:AJ$115,'INPUT Growth'!$A$64:$A$115,$A$1,'INPUT Growth'!$F$64:$F$115,$B153,'INPUT Growth'!$E$64:$E$115,$C153))</f>
        <v>0</v>
      </c>
      <c r="O153" s="102">
        <f>IF($G$4="Water and sewer",SUMIFS('INPUT Growth'!AK$64:AK$115,'INPUT Growth'!$B$64:$B$115,$A$1,'INPUT Growth'!$F$64:$F$115,$B153,'INPUT Growth'!$E$64:$E$115,$C153),SUMIFS('INPUT Growth'!AK$64:AK$115,'INPUT Growth'!$A$64:$A$115,$A$1,'INPUT Growth'!$F$64:$F$115,$B153,'INPUT Growth'!$E$64:$E$115,$C153))</f>
        <v>0</v>
      </c>
      <c r="P153" s="102">
        <f>IF($G$4="Water and sewer",SUMIFS('INPUT Growth'!AL$64:AL$115,'INPUT Growth'!$B$64:$B$115,$A$1,'INPUT Growth'!$F$64:$F$115,$B153,'INPUT Growth'!$E$64:$E$115,$C153),SUMIFS('INPUT Growth'!AL$64:AL$115,'INPUT Growth'!$A$64:$A$115,$A$1,'INPUT Growth'!$F$64:$F$115,$B153,'INPUT Growth'!$E$64:$E$115,$C153))</f>
        <v>0</v>
      </c>
      <c r="Q153" s="102">
        <f>IF($G$4="Water and sewer",SUMIFS('INPUT Growth'!AM$64:AM$115,'INPUT Growth'!$B$64:$B$115,$A$1,'INPUT Growth'!$F$64:$F$115,$B153,'INPUT Growth'!$E$64:$E$115,$C153),SUMIFS('INPUT Growth'!AM$64:AM$115,'INPUT Growth'!$A$64:$A$115,$A$1,'INPUT Growth'!$F$64:$F$115,$B153,'INPUT Growth'!$E$64:$E$115,$C153))</f>
        <v>0</v>
      </c>
      <c r="R153" s="102">
        <f>IF($G$4="Water and sewer",SUMIFS('INPUT Growth'!AN$64:AN$115,'INPUT Growth'!$B$64:$B$115,$A$1,'INPUT Growth'!$F$64:$F$115,$B153,'INPUT Growth'!$E$64:$E$115,$C153),SUMIFS('INPUT Growth'!AN$64:AN$115,'INPUT Growth'!$A$64:$A$115,$A$1,'INPUT Growth'!$F$64:$F$115,$B153,'INPUT Growth'!$E$64:$E$115,$C153))</f>
        <v>0</v>
      </c>
      <c r="S153" s="102">
        <f>IF($G$4="Water and sewer",SUMIFS('INPUT Growth'!AO$64:AO$115,'INPUT Growth'!$B$64:$B$115,$A$1,'INPUT Growth'!$F$64:$F$115,$B153,'INPUT Growth'!$E$64:$E$115,$C153),SUMIFS('INPUT Growth'!AO$64:AO$115,'INPUT Growth'!$A$64:$A$115,$A$1,'INPUT Growth'!$F$64:$F$115,$B153,'INPUT Growth'!$E$64:$E$115,$C153))</f>
        <v>0</v>
      </c>
      <c r="T153" s="102">
        <f>IF($G$4="Water and sewer",SUMIFS('INPUT Growth'!AP$64:AP$115,'INPUT Growth'!$B$64:$B$115,$A$1,'INPUT Growth'!$F$64:$F$115,$B153,'INPUT Growth'!$E$64:$E$115,$C153),SUMIFS('INPUT Growth'!AP$64:AP$115,'INPUT Growth'!$A$64:$A$115,$A$1,'INPUT Growth'!$F$64:$F$115,$B153,'INPUT Growth'!$E$64:$E$115,$C153))</f>
        <v>0</v>
      </c>
      <c r="U153" s="102">
        <f>IF($G$4="Water and sewer",SUMIFS('INPUT Growth'!AQ$64:AQ$115,'INPUT Growth'!$B$64:$B$115,$A$1,'INPUT Growth'!$F$64:$F$115,$B153,'INPUT Growth'!$E$64:$E$115,$C153),SUMIFS('INPUT Growth'!AQ$64:AQ$115,'INPUT Growth'!$A$64:$A$115,$A$1,'INPUT Growth'!$F$64:$F$115,$B153,'INPUT Growth'!$E$64:$E$115,$C153))</f>
        <v>0</v>
      </c>
      <c r="V153" s="102">
        <f>IF($G$4="Water and sewer",SUMIFS('INPUT Growth'!AR$64:AR$115,'INPUT Growth'!$B$64:$B$115,$A$1,'INPUT Growth'!$F$64:$F$115,$B153,'INPUT Growth'!$E$64:$E$115,$C153),SUMIFS('INPUT Growth'!AR$64:AR$115,'INPUT Growth'!$A$64:$A$115,$A$1,'INPUT Growth'!$F$64:$F$115,$B153,'INPUT Growth'!$E$64:$E$115,$C153))</f>
        <v>0</v>
      </c>
      <c r="W153" s="102">
        <f>IF($G$4="Water and sewer",SUMIFS('INPUT Growth'!AS$64:AS$115,'INPUT Growth'!$B$64:$B$115,$A$1,'INPUT Growth'!$F$64:$F$115,$B153,'INPUT Growth'!$E$64:$E$115,$C153),SUMIFS('INPUT Growth'!AS$64:AS$115,'INPUT Growth'!$A$64:$A$115,$A$1,'INPUT Growth'!$F$64:$F$115,$B153,'INPUT Growth'!$E$64:$E$115,$C153))</f>
        <v>0</v>
      </c>
      <c r="X153" s="102">
        <f>IF($G$4="Water and sewer",SUMIFS('INPUT Growth'!AT$64:AT$115,'INPUT Growth'!$B$64:$B$115,$A$1,'INPUT Growth'!$F$64:$F$115,$B153,'INPUT Growth'!$E$64:$E$115,$C153),SUMIFS('INPUT Growth'!AT$64:AT$115,'INPUT Growth'!$A$64:$A$115,$A$1,'INPUT Growth'!$F$64:$F$115,$B153,'INPUT Growth'!$E$64:$E$115,$C153))</f>
        <v>0</v>
      </c>
      <c r="Y153" s="102">
        <f>IF($G$4="Water and sewer",SUMIFS('INPUT Growth'!AU$64:AU$115,'INPUT Growth'!$B$64:$B$115,$A$1,'INPUT Growth'!$F$64:$F$115,$B153,'INPUT Growth'!$E$64:$E$115,$C153),SUMIFS('INPUT Growth'!AU$64:AU$115,'INPUT Growth'!$A$64:$A$115,$A$1,'INPUT Growth'!$F$64:$F$115,$B153,'INPUT Growth'!$E$64:$E$115,$C153))</f>
        <v>0</v>
      </c>
      <c r="Z153" s="102">
        <f>IF($G$4="Water and sewer",SUMIFS('INPUT Growth'!AV$64:AV$115,'INPUT Growth'!$B$64:$B$115,$A$1,'INPUT Growth'!$F$64:$F$115,$B153,'INPUT Growth'!$E$64:$E$115,$C153),SUMIFS('INPUT Growth'!AV$64:AV$115,'INPUT Growth'!$A$64:$A$115,$A$1,'INPUT Growth'!$F$64:$F$115,$B153,'INPUT Growth'!$E$64:$E$115,$C153))</f>
        <v>0</v>
      </c>
      <c r="AA153" s="102">
        <f>IF($G$4="Water and sewer",SUMIFS('INPUT Growth'!AW$64:AW$115,'INPUT Growth'!$B$64:$B$115,$A$1,'INPUT Growth'!$F$64:$F$115,$B153,'INPUT Growth'!$E$64:$E$115,$C153),SUMIFS('INPUT Growth'!AW$64:AW$115,'INPUT Growth'!$A$64:$A$115,$A$1,'INPUT Growth'!$F$64:$F$115,$B153,'INPUT Growth'!$E$64:$E$115,$C153))</f>
        <v>0</v>
      </c>
    </row>
    <row r="154" spans="1:27" x14ac:dyDescent="0.25">
      <c r="C154" s="100"/>
      <c r="D154" s="100"/>
      <c r="E154" s="47" t="s">
        <v>656</v>
      </c>
      <c r="F154" s="47" t="s">
        <v>655</v>
      </c>
      <c r="H154" s="106">
        <f>G154+H153</f>
        <v>0</v>
      </c>
      <c r="I154" s="106">
        <f t="shared" ref="I154:AA154" si="75">H154+I153</f>
        <v>0</v>
      </c>
      <c r="J154" s="106">
        <f t="shared" si="75"/>
        <v>0</v>
      </c>
      <c r="K154" s="106">
        <f t="shared" si="75"/>
        <v>0</v>
      </c>
      <c r="L154" s="106">
        <f t="shared" si="75"/>
        <v>0</v>
      </c>
      <c r="M154" s="106">
        <f t="shared" si="75"/>
        <v>0</v>
      </c>
      <c r="N154" s="106">
        <f t="shared" si="75"/>
        <v>0</v>
      </c>
      <c r="O154" s="106">
        <f t="shared" si="75"/>
        <v>0</v>
      </c>
      <c r="P154" s="106">
        <f t="shared" si="75"/>
        <v>0</v>
      </c>
      <c r="Q154" s="106">
        <f t="shared" si="75"/>
        <v>0</v>
      </c>
      <c r="R154" s="106">
        <f t="shared" si="75"/>
        <v>0</v>
      </c>
      <c r="S154" s="106">
        <f t="shared" si="75"/>
        <v>0</v>
      </c>
      <c r="T154" s="106">
        <f t="shared" si="75"/>
        <v>0</v>
      </c>
      <c r="U154" s="106">
        <f t="shared" si="75"/>
        <v>0</v>
      </c>
      <c r="V154" s="106">
        <f t="shared" si="75"/>
        <v>0</v>
      </c>
      <c r="W154" s="106">
        <f t="shared" si="75"/>
        <v>0</v>
      </c>
      <c r="X154" s="106">
        <f t="shared" si="75"/>
        <v>0</v>
      </c>
      <c r="Y154" s="106">
        <f t="shared" si="75"/>
        <v>0</v>
      </c>
      <c r="Z154" s="106">
        <f t="shared" si="75"/>
        <v>0</v>
      </c>
      <c r="AA154" s="106">
        <f t="shared" si="75"/>
        <v>0</v>
      </c>
    </row>
    <row r="155" spans="1:27" x14ac:dyDescent="0.25">
      <c r="A155" s="101">
        <v>32</v>
      </c>
      <c r="C155" s="100"/>
      <c r="D155" s="100"/>
      <c r="E155" s="47" t="s">
        <v>657</v>
      </c>
      <c r="F155" s="47" t="s">
        <v>655</v>
      </c>
      <c r="G155" s="102">
        <f>Assumptions!$H$46</f>
        <v>2</v>
      </c>
    </row>
    <row r="156" spans="1:27" x14ac:dyDescent="0.25">
      <c r="C156" s="100"/>
      <c r="D156" s="100"/>
      <c r="E156" s="47" t="s">
        <v>658</v>
      </c>
      <c r="F156" s="47" t="s">
        <v>655</v>
      </c>
      <c r="H156" s="47">
        <f>H153*$G155</f>
        <v>0</v>
      </c>
      <c r="I156" s="47">
        <f t="shared" ref="I156:AA156" si="76">I153*$G155</f>
        <v>0</v>
      </c>
      <c r="J156" s="47">
        <f t="shared" si="76"/>
        <v>0</v>
      </c>
      <c r="K156" s="47">
        <f t="shared" si="76"/>
        <v>0</v>
      </c>
      <c r="L156" s="47">
        <f t="shared" si="76"/>
        <v>0</v>
      </c>
      <c r="M156" s="47">
        <f t="shared" si="76"/>
        <v>0</v>
      </c>
      <c r="N156" s="47">
        <f t="shared" si="76"/>
        <v>0</v>
      </c>
      <c r="O156" s="47">
        <f t="shared" si="76"/>
        <v>0</v>
      </c>
      <c r="P156" s="47">
        <f t="shared" si="76"/>
        <v>0</v>
      </c>
      <c r="Q156" s="47">
        <f t="shared" si="76"/>
        <v>0</v>
      </c>
      <c r="R156" s="47">
        <f t="shared" si="76"/>
        <v>0</v>
      </c>
      <c r="S156" s="47">
        <f t="shared" si="76"/>
        <v>0</v>
      </c>
      <c r="T156" s="47">
        <f t="shared" si="76"/>
        <v>0</v>
      </c>
      <c r="U156" s="47">
        <f t="shared" si="76"/>
        <v>0</v>
      </c>
      <c r="V156" s="47">
        <f t="shared" si="76"/>
        <v>0</v>
      </c>
      <c r="W156" s="47">
        <f t="shared" si="76"/>
        <v>0</v>
      </c>
      <c r="X156" s="47">
        <f t="shared" si="76"/>
        <v>0</v>
      </c>
      <c r="Y156" s="47">
        <f t="shared" si="76"/>
        <v>0</v>
      </c>
      <c r="Z156" s="47">
        <f t="shared" si="76"/>
        <v>0</v>
      </c>
      <c r="AA156" s="47">
        <f t="shared" si="76"/>
        <v>0</v>
      </c>
    </row>
    <row r="157" spans="1:27" x14ac:dyDescent="0.25">
      <c r="C157" s="100"/>
      <c r="D157" s="100"/>
      <c r="E157" s="47" t="s">
        <v>659</v>
      </c>
      <c r="F157" s="47" t="s">
        <v>655</v>
      </c>
      <c r="H157" s="47">
        <f>H154*$G155</f>
        <v>0</v>
      </c>
      <c r="I157" s="47">
        <f t="shared" ref="I157:AA157" si="77">I154*$G155</f>
        <v>0</v>
      </c>
      <c r="J157" s="47">
        <f t="shared" si="77"/>
        <v>0</v>
      </c>
      <c r="K157" s="47">
        <f t="shared" si="77"/>
        <v>0</v>
      </c>
      <c r="L157" s="47">
        <f t="shared" si="77"/>
        <v>0</v>
      </c>
      <c r="M157" s="47">
        <f t="shared" si="77"/>
        <v>0</v>
      </c>
      <c r="N157" s="47">
        <f t="shared" si="77"/>
        <v>0</v>
      </c>
      <c r="O157" s="47">
        <f t="shared" si="77"/>
        <v>0</v>
      </c>
      <c r="P157" s="47">
        <f t="shared" si="77"/>
        <v>0</v>
      </c>
      <c r="Q157" s="47">
        <f t="shared" si="77"/>
        <v>0</v>
      </c>
      <c r="R157" s="47">
        <f t="shared" si="77"/>
        <v>0</v>
      </c>
      <c r="S157" s="47">
        <f t="shared" si="77"/>
        <v>0</v>
      </c>
      <c r="T157" s="47">
        <f t="shared" si="77"/>
        <v>0</v>
      </c>
      <c r="U157" s="47">
        <f t="shared" si="77"/>
        <v>0</v>
      </c>
      <c r="V157" s="47">
        <f t="shared" si="77"/>
        <v>0</v>
      </c>
      <c r="W157" s="47">
        <f t="shared" si="77"/>
        <v>0</v>
      </c>
      <c r="X157" s="47">
        <f t="shared" si="77"/>
        <v>0</v>
      </c>
      <c r="Y157" s="47">
        <f t="shared" si="77"/>
        <v>0</v>
      </c>
      <c r="Z157" s="47">
        <f t="shared" si="77"/>
        <v>0</v>
      </c>
      <c r="AA157" s="47">
        <f t="shared" si="77"/>
        <v>0</v>
      </c>
    </row>
    <row r="158" spans="1:27" x14ac:dyDescent="0.25">
      <c r="A158" s="101">
        <v>33</v>
      </c>
      <c r="B158" s="47" t="str">
        <f>B153</f>
        <v>Western</v>
      </c>
      <c r="C158" s="47" t="str">
        <f>C153</f>
        <v>N</v>
      </c>
      <c r="D158" s="47" t="str">
        <f>D153</f>
        <v>Recycled</v>
      </c>
      <c r="E158" s="47" t="s">
        <v>660</v>
      </c>
      <c r="F158" s="47" t="s">
        <v>661</v>
      </c>
      <c r="H158" s="102">
        <f>IF(OR($D158=W,$D158=WS),'INPUT Reg'!AD126,IF($D158=RW,'INPUT Reg'!AD128,0))</f>
        <v>0</v>
      </c>
      <c r="I158" s="102">
        <f>IF(OR($D158=W,$D158=WS),'INPUT Reg'!AE126,IF($D158=RW,'INPUT Reg'!AE128,0))</f>
        <v>0</v>
      </c>
      <c r="J158" s="102">
        <f>IF(OR($D158=W,$D158=WS),'INPUT Reg'!AF126,IF($D158=RW,'INPUT Reg'!AF128,0))</f>
        <v>0</v>
      </c>
      <c r="K158" s="102">
        <f>IF(OR($D158=W,$D158=WS),'INPUT Reg'!AG126,IF($D158=RW,'INPUT Reg'!AG128,0))</f>
        <v>0</v>
      </c>
      <c r="L158" s="102">
        <f>IF(OR($D158=W,$D158=WS),'INPUT Reg'!AH126,IF($D158=RW,'INPUT Reg'!AH128,0))</f>
        <v>0</v>
      </c>
      <c r="M158" s="102">
        <f>IF(OR($D158=W,$D158=WS),'INPUT Reg'!AI126,IF($D158=RW,'INPUT Reg'!AI128,0))</f>
        <v>0</v>
      </c>
      <c r="N158" s="102">
        <f>IF(OR($D158=W,$D158=WS),'INPUT Reg'!AJ126,IF($D158=RW,'INPUT Reg'!AJ128,0))</f>
        <v>0</v>
      </c>
      <c r="O158" s="102">
        <f>IF(OR($D158=W,$D158=WS),'INPUT Reg'!AK126,IF($D158=RW,'INPUT Reg'!AK128,0))</f>
        <v>0</v>
      </c>
      <c r="P158" s="102">
        <f>IF(OR($D158=W,$D158=WS),'INPUT Reg'!AL126,IF($D158=RW,'INPUT Reg'!AL128,0))</f>
        <v>0</v>
      </c>
      <c r="Q158" s="102">
        <f>IF(OR($D158=W,$D158=WS),'INPUT Reg'!AM126,IF($D158=RW,'INPUT Reg'!AM128,0))</f>
        <v>0</v>
      </c>
      <c r="R158" s="102">
        <f>IF(OR($D158=W,$D158=WS),'INPUT Reg'!AN126,IF($D158=RW,'INPUT Reg'!AN128,0))</f>
        <v>0</v>
      </c>
      <c r="S158" s="102">
        <f>IF(OR($D158=W,$D158=WS),'INPUT Reg'!AO126,IF($D158=RW,'INPUT Reg'!AO128,0))</f>
        <v>0</v>
      </c>
      <c r="T158" s="102">
        <f>IF(OR($D158=W,$D158=WS),'INPUT Reg'!AP126,IF($D158=RW,'INPUT Reg'!AP128,0))</f>
        <v>0</v>
      </c>
      <c r="U158" s="102">
        <f>IF(OR($D158=W,$D158=WS),'INPUT Reg'!AQ126,IF($D158=RW,'INPUT Reg'!AQ128,0))</f>
        <v>0</v>
      </c>
      <c r="V158" s="102">
        <f>IF(OR($D158=W,$D158=WS),'INPUT Reg'!AR126,IF($D158=RW,'INPUT Reg'!AR128,0))</f>
        <v>0</v>
      </c>
      <c r="W158" s="102">
        <f>IF(OR($D158=W,$D158=WS),'INPUT Reg'!AS126,IF($D158=RW,'INPUT Reg'!AS128,0))</f>
        <v>0</v>
      </c>
      <c r="X158" s="102">
        <f>IF(OR($D158=W,$D158=WS),'INPUT Reg'!AT126,IF($D158=RW,'INPUT Reg'!AT128,0))</f>
        <v>0</v>
      </c>
      <c r="Y158" s="102">
        <f>IF(OR($D158=W,$D158=WS),'INPUT Reg'!AU126,IF($D158=RW,'INPUT Reg'!AU128,0))</f>
        <v>0</v>
      </c>
      <c r="Z158" s="102">
        <f>IF(OR($D158=W,$D158=WS),'INPUT Reg'!AV126,IF($D158=RW,'INPUT Reg'!AV128,0))</f>
        <v>0</v>
      </c>
      <c r="AA158" s="102">
        <f>IF(OR($D158=W,$D158=WS),'INPUT Reg'!AW126,IF($D158=RW,'INPUT Reg'!AW128,0))</f>
        <v>0</v>
      </c>
    </row>
    <row r="159" spans="1:27" x14ac:dyDescent="0.25">
      <c r="B159" s="47" t="str">
        <f>B153</f>
        <v>Western</v>
      </c>
      <c r="C159" s="47" t="str">
        <f t="shared" ref="C159:D159" si="78">C153</f>
        <v>N</v>
      </c>
      <c r="D159" s="47" t="str">
        <f t="shared" si="78"/>
        <v>Recycled</v>
      </c>
      <c r="E159" s="47" t="s">
        <v>662</v>
      </c>
      <c r="F159" s="47" t="s">
        <v>661</v>
      </c>
      <c r="H159" s="102"/>
      <c r="I159" s="102"/>
      <c r="J159" s="102"/>
      <c r="K159" s="102"/>
      <c r="L159" s="102"/>
      <c r="M159" s="102"/>
      <c r="N159" s="102"/>
      <c r="O159" s="102"/>
      <c r="P159" s="102"/>
      <c r="Q159" s="102"/>
      <c r="R159" s="102"/>
      <c r="S159" s="102"/>
      <c r="T159" s="102"/>
      <c r="U159" s="102"/>
      <c r="V159" s="102"/>
      <c r="W159" s="102"/>
      <c r="X159" s="102"/>
      <c r="Y159" s="102"/>
      <c r="Z159" s="102"/>
      <c r="AA159" s="102"/>
    </row>
    <row r="160" spans="1:27" x14ac:dyDescent="0.25">
      <c r="A160" s="101">
        <v>34</v>
      </c>
      <c r="B160" s="47" t="str">
        <f>B153</f>
        <v>Western</v>
      </c>
      <c r="C160" s="47" t="str">
        <f t="shared" ref="C160:D160" si="79">C153</f>
        <v>N</v>
      </c>
      <c r="D160" s="47" t="str">
        <f t="shared" si="79"/>
        <v>Recycled</v>
      </c>
      <c r="E160" s="47" t="s">
        <v>663</v>
      </c>
      <c r="F160" s="47" t="s">
        <v>661</v>
      </c>
      <c r="H160" s="102">
        <f>IF(OR($D160=S,$D160=WS),'INPUT Reg'!AD127,0)</f>
        <v>0</v>
      </c>
      <c r="I160" s="102">
        <f>IF(OR($D160=S,$D160=WS),'INPUT Reg'!AE127,0)</f>
        <v>0</v>
      </c>
      <c r="J160" s="102">
        <f>IF(OR($D160=S,$D160=WS),'INPUT Reg'!AF127,0)</f>
        <v>0</v>
      </c>
      <c r="K160" s="102">
        <f>IF(OR($D160=S,$D160=WS),'INPUT Reg'!AG127,0)</f>
        <v>0</v>
      </c>
      <c r="L160" s="102">
        <f>IF(OR($D160=S,$D160=WS),'INPUT Reg'!AH127,0)</f>
        <v>0</v>
      </c>
      <c r="M160" s="102">
        <f>IF(OR($D160=S,$D160=WS),'INPUT Reg'!AI127,0)</f>
        <v>0</v>
      </c>
      <c r="N160" s="102">
        <f>IF(OR($D160=S,$D160=WS),'INPUT Reg'!AJ127,0)</f>
        <v>0</v>
      </c>
      <c r="O160" s="102">
        <f>IF(OR($D160=S,$D160=WS),'INPUT Reg'!AK127,0)</f>
        <v>0</v>
      </c>
      <c r="P160" s="102">
        <f>IF(OR($D160=S,$D160=WS),'INPUT Reg'!AL127,0)</f>
        <v>0</v>
      </c>
      <c r="Q160" s="102">
        <f>IF(OR($D160=S,$D160=WS),'INPUT Reg'!AM127,0)</f>
        <v>0</v>
      </c>
      <c r="R160" s="102">
        <f>IF(OR($D160=S,$D160=WS),'INPUT Reg'!AN127,0)</f>
        <v>0</v>
      </c>
      <c r="S160" s="102">
        <f>IF(OR($D160=S,$D160=WS),'INPUT Reg'!AO127,0)</f>
        <v>0</v>
      </c>
      <c r="T160" s="102">
        <f>IF(OR($D160=S,$D160=WS),'INPUT Reg'!AP127,0)</f>
        <v>0</v>
      </c>
      <c r="U160" s="102">
        <f>IF(OR($D160=S,$D160=WS),'INPUT Reg'!AQ127,0)</f>
        <v>0</v>
      </c>
      <c r="V160" s="102">
        <f>IF(OR($D160=S,$D160=WS),'INPUT Reg'!AR127,0)</f>
        <v>0</v>
      </c>
      <c r="W160" s="102">
        <f>IF(OR($D160=S,$D160=WS),'INPUT Reg'!AS127,0)</f>
        <v>0</v>
      </c>
      <c r="X160" s="102">
        <f>IF(OR($D160=S,$D160=WS),'INPUT Reg'!AT127,0)</f>
        <v>0</v>
      </c>
      <c r="Y160" s="102">
        <f>IF(OR($D160=S,$D160=WS),'INPUT Reg'!AU127,0)</f>
        <v>0</v>
      </c>
      <c r="Z160" s="102">
        <f>IF(OR($D160=S,$D160=WS),'INPUT Reg'!AV127,0)</f>
        <v>0</v>
      </c>
      <c r="AA160" s="102">
        <f>IF(OR($D160=S,$D160=WS),'INPUT Reg'!AW127,0)</f>
        <v>0</v>
      </c>
    </row>
    <row r="161" spans="1:27" x14ac:dyDescent="0.25">
      <c r="C161" s="100"/>
      <c r="D161" s="100"/>
      <c r="E161" s="47" t="s">
        <v>664</v>
      </c>
      <c r="F161" s="47" t="s">
        <v>665</v>
      </c>
      <c r="H161" s="106">
        <f>H154*H158</f>
        <v>0</v>
      </c>
      <c r="I161" s="106">
        <f t="shared" ref="I161:AA161" si="80">I154*I158</f>
        <v>0</v>
      </c>
      <c r="J161" s="106">
        <f t="shared" si="80"/>
        <v>0</v>
      </c>
      <c r="K161" s="106">
        <f t="shared" si="80"/>
        <v>0</v>
      </c>
      <c r="L161" s="106">
        <f t="shared" si="80"/>
        <v>0</v>
      </c>
      <c r="M161" s="106">
        <f t="shared" si="80"/>
        <v>0</v>
      </c>
      <c r="N161" s="106">
        <f t="shared" si="80"/>
        <v>0</v>
      </c>
      <c r="O161" s="106">
        <f t="shared" si="80"/>
        <v>0</v>
      </c>
      <c r="P161" s="106">
        <f t="shared" si="80"/>
        <v>0</v>
      </c>
      <c r="Q161" s="106">
        <f t="shared" si="80"/>
        <v>0</v>
      </c>
      <c r="R161" s="106">
        <f t="shared" si="80"/>
        <v>0</v>
      </c>
      <c r="S161" s="106">
        <f t="shared" si="80"/>
        <v>0</v>
      </c>
      <c r="T161" s="106">
        <f t="shared" si="80"/>
        <v>0</v>
      </c>
      <c r="U161" s="106">
        <f t="shared" si="80"/>
        <v>0</v>
      </c>
      <c r="V161" s="106">
        <f t="shared" si="80"/>
        <v>0</v>
      </c>
      <c r="W161" s="106">
        <f t="shared" si="80"/>
        <v>0</v>
      </c>
      <c r="X161" s="106">
        <f t="shared" si="80"/>
        <v>0</v>
      </c>
      <c r="Y161" s="106">
        <f t="shared" si="80"/>
        <v>0</v>
      </c>
      <c r="Z161" s="106">
        <f t="shared" si="80"/>
        <v>0</v>
      </c>
      <c r="AA161" s="106">
        <f t="shared" si="80"/>
        <v>0</v>
      </c>
    </row>
    <row r="162" spans="1:27" x14ac:dyDescent="0.25">
      <c r="C162" s="100"/>
      <c r="D162" s="100"/>
      <c r="E162" s="47" t="s">
        <v>666</v>
      </c>
      <c r="F162" s="47" t="s">
        <v>665</v>
      </c>
      <c r="H162" s="106">
        <f>H154*H159</f>
        <v>0</v>
      </c>
      <c r="I162" s="106">
        <f t="shared" ref="I162:AA162" si="81">I154*I159</f>
        <v>0</v>
      </c>
      <c r="J162" s="106">
        <f t="shared" si="81"/>
        <v>0</v>
      </c>
      <c r="K162" s="106">
        <f t="shared" si="81"/>
        <v>0</v>
      </c>
      <c r="L162" s="106">
        <f t="shared" si="81"/>
        <v>0</v>
      </c>
      <c r="M162" s="106">
        <f t="shared" si="81"/>
        <v>0</v>
      </c>
      <c r="N162" s="106">
        <f t="shared" si="81"/>
        <v>0</v>
      </c>
      <c r="O162" s="106">
        <f t="shared" si="81"/>
        <v>0</v>
      </c>
      <c r="P162" s="106">
        <f t="shared" si="81"/>
        <v>0</v>
      </c>
      <c r="Q162" s="106">
        <f t="shared" si="81"/>
        <v>0</v>
      </c>
      <c r="R162" s="106">
        <f t="shared" si="81"/>
        <v>0</v>
      </c>
      <c r="S162" s="106">
        <f t="shared" si="81"/>
        <v>0</v>
      </c>
      <c r="T162" s="106">
        <f t="shared" si="81"/>
        <v>0</v>
      </c>
      <c r="U162" s="106">
        <f t="shared" si="81"/>
        <v>0</v>
      </c>
      <c r="V162" s="106">
        <f t="shared" si="81"/>
        <v>0</v>
      </c>
      <c r="W162" s="106">
        <f t="shared" si="81"/>
        <v>0</v>
      </c>
      <c r="X162" s="106">
        <f t="shared" si="81"/>
        <v>0</v>
      </c>
      <c r="Y162" s="106">
        <f t="shared" si="81"/>
        <v>0</v>
      </c>
      <c r="Z162" s="106">
        <f t="shared" si="81"/>
        <v>0</v>
      </c>
      <c r="AA162" s="106">
        <f t="shared" si="81"/>
        <v>0</v>
      </c>
    </row>
    <row r="163" spans="1:27" x14ac:dyDescent="0.25">
      <c r="C163" s="100"/>
      <c r="D163" s="100"/>
      <c r="E163" s="47" t="s">
        <v>667</v>
      </c>
      <c r="F163" s="47" t="s">
        <v>665</v>
      </c>
      <c r="H163" s="106">
        <f>H154*H160</f>
        <v>0</v>
      </c>
      <c r="I163" s="106">
        <f t="shared" ref="I163:AA163" si="82">I154*I160</f>
        <v>0</v>
      </c>
      <c r="J163" s="106">
        <f t="shared" si="82"/>
        <v>0</v>
      </c>
      <c r="K163" s="106">
        <f t="shared" si="82"/>
        <v>0</v>
      </c>
      <c r="L163" s="106">
        <f t="shared" si="82"/>
        <v>0</v>
      </c>
      <c r="M163" s="106">
        <f t="shared" si="82"/>
        <v>0</v>
      </c>
      <c r="N163" s="106">
        <f t="shared" si="82"/>
        <v>0</v>
      </c>
      <c r="O163" s="106">
        <f t="shared" si="82"/>
        <v>0</v>
      </c>
      <c r="P163" s="106">
        <f t="shared" si="82"/>
        <v>0</v>
      </c>
      <c r="Q163" s="106">
        <f t="shared" si="82"/>
        <v>0</v>
      </c>
      <c r="R163" s="106">
        <f t="shared" si="82"/>
        <v>0</v>
      </c>
      <c r="S163" s="106">
        <f t="shared" si="82"/>
        <v>0</v>
      </c>
      <c r="T163" s="106">
        <f t="shared" si="82"/>
        <v>0</v>
      </c>
      <c r="U163" s="106">
        <f t="shared" si="82"/>
        <v>0</v>
      </c>
      <c r="V163" s="106">
        <f t="shared" si="82"/>
        <v>0</v>
      </c>
      <c r="W163" s="106">
        <f t="shared" si="82"/>
        <v>0</v>
      </c>
      <c r="X163" s="106">
        <f t="shared" si="82"/>
        <v>0</v>
      </c>
      <c r="Y163" s="106">
        <f t="shared" si="82"/>
        <v>0</v>
      </c>
      <c r="Z163" s="106">
        <f t="shared" si="82"/>
        <v>0</v>
      </c>
      <c r="AA163" s="106">
        <f t="shared" si="82"/>
        <v>0</v>
      </c>
    </row>
    <row r="164" spans="1:27" x14ac:dyDescent="0.25">
      <c r="A164" s="101">
        <v>35</v>
      </c>
      <c r="B164" s="47" t="str">
        <f>B158</f>
        <v>Western</v>
      </c>
      <c r="C164" s="47" t="str">
        <f t="shared" ref="C164:D164" si="83">C158</f>
        <v>N</v>
      </c>
      <c r="D164" s="47" t="str">
        <f t="shared" si="83"/>
        <v>Recycled</v>
      </c>
      <c r="E164" s="47" t="s">
        <v>668</v>
      </c>
      <c r="F164" s="47" t="s">
        <v>633</v>
      </c>
      <c r="H164" s="105">
        <f>SUMIFS('INPUT Reg'!AD$94:AD$109,'INPUT Reg'!$D$94:$D$109,$D164,'INPUT Reg'!$C$94:$C$109,$C164,'INPUT Reg'!$B$94:$B$109,$B164)</f>
        <v>-6.4003316121881149E-2</v>
      </c>
      <c r="I164" s="105">
        <f>SUMIFS('INPUT Reg'!AE$94:AE$109,'INPUT Reg'!$D$94:$D$109,$D164,'INPUT Reg'!$C$94:$C$109,$C164,'INPUT Reg'!$B$94:$B$109,$B164)</f>
        <v>-6.8379853501933319E-2</v>
      </c>
      <c r="J164" s="105">
        <f>SUMIFS('INPUT Reg'!AF$94:AF$109,'INPUT Reg'!$D$94:$D$109,$D164,'INPUT Reg'!$C$94:$C$109,$C164,'INPUT Reg'!$B$94:$B$109,$B164)</f>
        <v>-7.3398856560768055E-2</v>
      </c>
      <c r="K164" s="105">
        <f>SUMIFS('INPUT Reg'!AG$94:AG$109,'INPUT Reg'!$D$94:$D$109,$D164,'INPUT Reg'!$C$94:$C$109,$C164,'INPUT Reg'!$B$94:$B$109,$B164)</f>
        <v>-7.9213000200211381E-2</v>
      </c>
      <c r="L164" s="105">
        <f>SUMIFS('INPUT Reg'!AH$94:AH$109,'INPUT Reg'!$D$94:$D$109,$D164,'INPUT Reg'!$C$94:$C$109,$C164,'INPUT Reg'!$B$94:$B$109,$B164)</f>
        <v>-8.539059552732664E-2</v>
      </c>
      <c r="M164" s="105">
        <f>SUMIFS('INPUT Reg'!AI$94:AI$109,'INPUT Reg'!$D$94:$D$109,$D164,'INPUT Reg'!$C$94:$C$109,$C164,'INPUT Reg'!$B$94:$B$109,$B164)</f>
        <v>-9.3362910013547684E-2</v>
      </c>
      <c r="N164" s="105">
        <f>SUMIFS('INPUT Reg'!AJ$94:AJ$109,'INPUT Reg'!$D$94:$D$109,$D164,'INPUT Reg'!$C$94:$C$109,$C164,'INPUT Reg'!$B$94:$B$109,$B164)</f>
        <v>-0.10297715706175525</v>
      </c>
      <c r="O164" s="105">
        <f>SUMIFS('INPUT Reg'!AK$94:AK$109,'INPUT Reg'!$D$94:$D$109,$D164,'INPUT Reg'!$C$94:$C$109,$C164,'INPUT Reg'!$B$94:$B$109,$B164)</f>
        <v>-0.11479881239640266</v>
      </c>
      <c r="P164" s="105">
        <f>SUMIFS('INPUT Reg'!AL$94:AL$109,'INPUT Reg'!$D$94:$D$109,$D164,'INPUT Reg'!$C$94:$C$109,$C164,'INPUT Reg'!$B$94:$B$109,$B164)</f>
        <v>-0.12581752661835954</v>
      </c>
      <c r="Q164" s="105">
        <f>SUMIFS('INPUT Reg'!AM$94:AM$109,'INPUT Reg'!$D$94:$D$109,$D164,'INPUT Reg'!$C$94:$C$109,$C164,'INPUT Reg'!$B$94:$B$109,$B164)</f>
        <v>-0.19054015994846896</v>
      </c>
      <c r="R164" s="105">
        <f>SUMIFS('INPUT Reg'!AN$94:AN$109,'INPUT Reg'!$D$94:$D$109,$D164,'INPUT Reg'!$C$94:$C$109,$C164,'INPUT Reg'!$B$94:$B$109,$B164)</f>
        <v>0</v>
      </c>
      <c r="S164" s="105">
        <f>SUMIFS('INPUT Reg'!AO$94:AO$109,'INPUT Reg'!$D$94:$D$109,$D164,'INPUT Reg'!$C$94:$C$109,$C164,'INPUT Reg'!$B$94:$B$109,$B164)</f>
        <v>0</v>
      </c>
      <c r="T164" s="105">
        <f>SUMIFS('INPUT Reg'!AP$94:AP$109,'INPUT Reg'!$D$94:$D$109,$D164,'INPUT Reg'!$C$94:$C$109,$C164,'INPUT Reg'!$B$94:$B$109,$B164)</f>
        <v>0</v>
      </c>
      <c r="U164" s="105">
        <f>SUMIFS('INPUT Reg'!AQ$94:AQ$109,'INPUT Reg'!$D$94:$D$109,$D164,'INPUT Reg'!$C$94:$C$109,$C164,'INPUT Reg'!$B$94:$B$109,$B164)</f>
        <v>0</v>
      </c>
      <c r="V164" s="105">
        <f>SUMIFS('INPUT Reg'!AR$94:AR$109,'INPUT Reg'!$D$94:$D$109,$D164,'INPUT Reg'!$C$94:$C$109,$C164,'INPUT Reg'!$B$94:$B$109,$B164)</f>
        <v>-0.10957535811740571</v>
      </c>
      <c r="W164" s="105">
        <f>SUMIFS('INPUT Reg'!AS$94:AS$109,'INPUT Reg'!$D$94:$D$109,$D164,'INPUT Reg'!$C$94:$C$109,$C164,'INPUT Reg'!$B$94:$B$109,$B164)</f>
        <v>0</v>
      </c>
      <c r="X164" s="105">
        <f>SUMIFS('INPUT Reg'!AT$94:AT$109,'INPUT Reg'!$D$94:$D$109,$D164,'INPUT Reg'!$C$94:$C$109,$C164,'INPUT Reg'!$B$94:$B$109,$B164)</f>
        <v>0</v>
      </c>
      <c r="Y164" s="105">
        <f>SUMIFS('INPUT Reg'!AU$94:AU$109,'INPUT Reg'!$D$94:$D$109,$D164,'INPUT Reg'!$C$94:$C$109,$C164,'INPUT Reg'!$B$94:$B$109,$B164)</f>
        <v>0</v>
      </c>
      <c r="Z164" s="105">
        <f>SUMIFS('INPUT Reg'!AV$94:AV$109,'INPUT Reg'!$D$94:$D$109,$D164,'INPUT Reg'!$C$94:$C$109,$C164,'INPUT Reg'!$B$94:$B$109,$B164)</f>
        <v>0</v>
      </c>
      <c r="AA164" s="105">
        <f>SUMIFS('INPUT Reg'!AW$94:AW$109,'INPUT Reg'!$D$94:$D$109,$D164,'INPUT Reg'!$C$94:$C$109,$C164,'INPUT Reg'!$B$94:$B$109,$B164)</f>
        <v>0</v>
      </c>
    </row>
    <row r="165" spans="1:27" x14ac:dyDescent="0.25">
      <c r="A165" s="101">
        <v>36</v>
      </c>
      <c r="B165" s="47" t="str">
        <f>B153</f>
        <v>Western</v>
      </c>
      <c r="C165" s="47" t="str">
        <f t="shared" ref="C165:D165" si="84">C153</f>
        <v>N</v>
      </c>
      <c r="D165" s="47" t="str">
        <f t="shared" si="84"/>
        <v>Recycled</v>
      </c>
      <c r="E165" s="47" t="s">
        <v>669</v>
      </c>
      <c r="F165" s="47" t="s">
        <v>670</v>
      </c>
      <c r="G165" s="108">
        <f>IF(D165=W,WW_N_W_N,IF(D165=S,WW_N_S_N,IF(D165=WS,WW_N_W_N+WW_N_S_N,WW_N_R_N)))</f>
        <v>131.4365</v>
      </c>
      <c r="H165" s="106">
        <f>G165*(1+$G$14)*(1+H164)</f>
        <v>123.02412814054637</v>
      </c>
      <c r="I165" s="106">
        <f t="shared" ref="I165:AA165" si="85">H165*(1+$G$14)*(1+I164)</f>
        <v>114.61175628109274</v>
      </c>
      <c r="J165" s="106">
        <f t="shared" si="85"/>
        <v>106.19938442163911</v>
      </c>
      <c r="K165" s="106">
        <f t="shared" si="85"/>
        <v>97.787012562185481</v>
      </c>
      <c r="L165" s="106">
        <f t="shared" si="85"/>
        <v>89.436921324662293</v>
      </c>
      <c r="M165" s="106">
        <f t="shared" si="85"/>
        <v>81.086830087139106</v>
      </c>
      <c r="N165" s="106">
        <f t="shared" si="85"/>
        <v>72.736738849615918</v>
      </c>
      <c r="O165" s="106">
        <f t="shared" si="85"/>
        <v>64.38664761209273</v>
      </c>
      <c r="P165" s="106">
        <f t="shared" si="85"/>
        <v>56.28567886229132</v>
      </c>
      <c r="Q165" s="106">
        <f t="shared" si="85"/>
        <v>45.560996609062173</v>
      </c>
      <c r="R165" s="106">
        <f t="shared" si="85"/>
        <v>45.560996609062173</v>
      </c>
      <c r="S165" s="106">
        <f t="shared" si="85"/>
        <v>45.560996609062173</v>
      </c>
      <c r="T165" s="106">
        <f t="shared" si="85"/>
        <v>45.560996609062173</v>
      </c>
      <c r="U165" s="106">
        <f t="shared" si="85"/>
        <v>45.560996609062173</v>
      </c>
      <c r="V165" s="106">
        <f t="shared" si="85"/>
        <v>40.568634089438277</v>
      </c>
      <c r="W165" s="106">
        <f t="shared" si="85"/>
        <v>40.568634089438277</v>
      </c>
      <c r="X165" s="106">
        <f t="shared" si="85"/>
        <v>40.568634089438277</v>
      </c>
      <c r="Y165" s="106">
        <f t="shared" si="85"/>
        <v>40.568634089438277</v>
      </c>
      <c r="Z165" s="106">
        <f t="shared" si="85"/>
        <v>40.568634089438277</v>
      </c>
      <c r="AA165" s="106">
        <f t="shared" si="85"/>
        <v>40.568634089438277</v>
      </c>
    </row>
    <row r="166" spans="1:27" x14ac:dyDescent="0.25">
      <c r="B166" s="47" t="str">
        <f>B153</f>
        <v>Western</v>
      </c>
      <c r="C166" s="47" t="str">
        <f t="shared" ref="C166:D166" si="86">C153</f>
        <v>N</v>
      </c>
      <c r="D166" s="47" t="str">
        <f t="shared" si="86"/>
        <v>Recycled</v>
      </c>
      <c r="E166" s="47" t="s">
        <v>671</v>
      </c>
      <c r="F166" s="47" t="s">
        <v>672</v>
      </c>
      <c r="G166" s="109">
        <f>IF(OR(D166=W,D166=WS),WW_N_W_V,IF(D166=RW,WW_N_R_V,0))</f>
        <v>0</v>
      </c>
      <c r="H166" s="110">
        <f>G166*(1+$G$14)*(1+H164)</f>
        <v>0</v>
      </c>
      <c r="I166" s="110">
        <f t="shared" ref="I166:AA166" si="87">H166*(1+$G$14)*(1+I164)</f>
        <v>0</v>
      </c>
      <c r="J166" s="110">
        <f t="shared" si="87"/>
        <v>0</v>
      </c>
      <c r="K166" s="110">
        <f t="shared" si="87"/>
        <v>0</v>
      </c>
      <c r="L166" s="110">
        <f t="shared" si="87"/>
        <v>0</v>
      </c>
      <c r="M166" s="110">
        <f t="shared" si="87"/>
        <v>0</v>
      </c>
      <c r="N166" s="110">
        <f t="shared" si="87"/>
        <v>0</v>
      </c>
      <c r="O166" s="110">
        <f t="shared" si="87"/>
        <v>0</v>
      </c>
      <c r="P166" s="110">
        <f t="shared" si="87"/>
        <v>0</v>
      </c>
      <c r="Q166" s="110">
        <f t="shared" si="87"/>
        <v>0</v>
      </c>
      <c r="R166" s="110">
        <f t="shared" si="87"/>
        <v>0</v>
      </c>
      <c r="S166" s="110">
        <f t="shared" si="87"/>
        <v>0</v>
      </c>
      <c r="T166" s="110">
        <f t="shared" si="87"/>
        <v>0</v>
      </c>
      <c r="U166" s="110">
        <f t="shared" si="87"/>
        <v>0</v>
      </c>
      <c r="V166" s="110">
        <f t="shared" si="87"/>
        <v>0</v>
      </c>
      <c r="W166" s="110">
        <f t="shared" si="87"/>
        <v>0</v>
      </c>
      <c r="X166" s="110">
        <f t="shared" si="87"/>
        <v>0</v>
      </c>
      <c r="Y166" s="110">
        <f t="shared" si="87"/>
        <v>0</v>
      </c>
      <c r="Z166" s="110">
        <f t="shared" si="87"/>
        <v>0</v>
      </c>
      <c r="AA166" s="110">
        <f t="shared" si="87"/>
        <v>0</v>
      </c>
    </row>
    <row r="167" spans="1:27" x14ac:dyDescent="0.25">
      <c r="B167" s="47" t="str">
        <f>B153</f>
        <v>Western</v>
      </c>
      <c r="C167" s="47" t="str">
        <f t="shared" ref="C167:D167" si="88">C153</f>
        <v>N</v>
      </c>
      <c r="D167" s="47" t="str">
        <f t="shared" si="88"/>
        <v>Recycled</v>
      </c>
      <c r="E167" s="47" t="s">
        <v>673</v>
      </c>
      <c r="F167" s="47" t="s">
        <v>672</v>
      </c>
      <c r="G167" s="109"/>
      <c r="H167" s="110">
        <f>G167*(1+$G$14)*(1+H164)</f>
        <v>0</v>
      </c>
      <c r="I167" s="110">
        <f t="shared" ref="I167:AA167" si="89">H167*(1+$G$14)*(1+I164)</f>
        <v>0</v>
      </c>
      <c r="J167" s="110">
        <f t="shared" si="89"/>
        <v>0</v>
      </c>
      <c r="K167" s="110">
        <f t="shared" si="89"/>
        <v>0</v>
      </c>
      <c r="L167" s="110">
        <f t="shared" si="89"/>
        <v>0</v>
      </c>
      <c r="M167" s="110">
        <f t="shared" si="89"/>
        <v>0</v>
      </c>
      <c r="N167" s="110">
        <f t="shared" si="89"/>
        <v>0</v>
      </c>
      <c r="O167" s="110">
        <f t="shared" si="89"/>
        <v>0</v>
      </c>
      <c r="P167" s="110">
        <f t="shared" si="89"/>
        <v>0</v>
      </c>
      <c r="Q167" s="110">
        <f t="shared" si="89"/>
        <v>0</v>
      </c>
      <c r="R167" s="110">
        <f t="shared" si="89"/>
        <v>0</v>
      </c>
      <c r="S167" s="110">
        <f t="shared" si="89"/>
        <v>0</v>
      </c>
      <c r="T167" s="110">
        <f t="shared" si="89"/>
        <v>0</v>
      </c>
      <c r="U167" s="110">
        <f t="shared" si="89"/>
        <v>0</v>
      </c>
      <c r="V167" s="110">
        <f t="shared" si="89"/>
        <v>0</v>
      </c>
      <c r="W167" s="110">
        <f t="shared" si="89"/>
        <v>0</v>
      </c>
      <c r="X167" s="110">
        <f t="shared" si="89"/>
        <v>0</v>
      </c>
      <c r="Y167" s="110">
        <f t="shared" si="89"/>
        <v>0</v>
      </c>
      <c r="Z167" s="110">
        <f t="shared" si="89"/>
        <v>0</v>
      </c>
      <c r="AA167" s="110">
        <f t="shared" si="89"/>
        <v>0</v>
      </c>
    </row>
    <row r="168" spans="1:27" x14ac:dyDescent="0.25">
      <c r="B168" s="47" t="str">
        <f>B153</f>
        <v>Western</v>
      </c>
      <c r="C168" s="47" t="str">
        <f t="shared" ref="C168:D168" si="90">C153</f>
        <v>N</v>
      </c>
      <c r="D168" s="47" t="str">
        <f t="shared" si="90"/>
        <v>Recycled</v>
      </c>
      <c r="E168" s="47" t="s">
        <v>674</v>
      </c>
      <c r="F168" s="47" t="s">
        <v>672</v>
      </c>
      <c r="G168" s="109">
        <f>IF(OR(D168=S,D168=WS),WW_N_SDC,0)</f>
        <v>0</v>
      </c>
      <c r="H168" s="110">
        <f>G168*(1+$G$14)*(1+H164)</f>
        <v>0</v>
      </c>
      <c r="I168" s="110">
        <f t="shared" ref="I168:AA168" si="91">H168*(1+$G$14)*(1+I164)</f>
        <v>0</v>
      </c>
      <c r="J168" s="110">
        <f t="shared" si="91"/>
        <v>0</v>
      </c>
      <c r="K168" s="110">
        <f t="shared" si="91"/>
        <v>0</v>
      </c>
      <c r="L168" s="110">
        <f t="shared" si="91"/>
        <v>0</v>
      </c>
      <c r="M168" s="110">
        <f t="shared" si="91"/>
        <v>0</v>
      </c>
      <c r="N168" s="110">
        <f t="shared" si="91"/>
        <v>0</v>
      </c>
      <c r="O168" s="110">
        <f t="shared" si="91"/>
        <v>0</v>
      </c>
      <c r="P168" s="110">
        <f t="shared" si="91"/>
        <v>0</v>
      </c>
      <c r="Q168" s="110">
        <f t="shared" si="91"/>
        <v>0</v>
      </c>
      <c r="R168" s="110">
        <f t="shared" si="91"/>
        <v>0</v>
      </c>
      <c r="S168" s="110">
        <f t="shared" si="91"/>
        <v>0</v>
      </c>
      <c r="T168" s="110">
        <f t="shared" si="91"/>
        <v>0</v>
      </c>
      <c r="U168" s="110">
        <f t="shared" si="91"/>
        <v>0</v>
      </c>
      <c r="V168" s="110">
        <f t="shared" si="91"/>
        <v>0</v>
      </c>
      <c r="W168" s="110">
        <f t="shared" si="91"/>
        <v>0</v>
      </c>
      <c r="X168" s="110">
        <f t="shared" si="91"/>
        <v>0</v>
      </c>
      <c r="Y168" s="110">
        <f t="shared" si="91"/>
        <v>0</v>
      </c>
      <c r="Z168" s="110">
        <f t="shared" si="91"/>
        <v>0</v>
      </c>
      <c r="AA168" s="110">
        <f t="shared" si="91"/>
        <v>0</v>
      </c>
    </row>
    <row r="169" spans="1:27" x14ac:dyDescent="0.25">
      <c r="C169" s="100"/>
      <c r="D169" s="100"/>
    </row>
    <row r="170" spans="1:27" x14ac:dyDescent="0.25">
      <c r="C170" s="100"/>
      <c r="D170" s="100"/>
      <c r="E170" s="47" t="s">
        <v>685</v>
      </c>
      <c r="F170" s="47" t="s">
        <v>676</v>
      </c>
      <c r="H170" s="106">
        <f>SUM(H161:H163)/1000</f>
        <v>0</v>
      </c>
      <c r="I170" s="106">
        <f t="shared" ref="I170:AA170" si="92">SUM(I161:I163)/1000</f>
        <v>0</v>
      </c>
      <c r="J170" s="106">
        <f t="shared" si="92"/>
        <v>0</v>
      </c>
      <c r="K170" s="106">
        <f t="shared" si="92"/>
        <v>0</v>
      </c>
      <c r="L170" s="106">
        <f t="shared" si="92"/>
        <v>0</v>
      </c>
      <c r="M170" s="106">
        <f t="shared" si="92"/>
        <v>0</v>
      </c>
      <c r="N170" s="106">
        <f t="shared" si="92"/>
        <v>0</v>
      </c>
      <c r="O170" s="106">
        <f t="shared" si="92"/>
        <v>0</v>
      </c>
      <c r="P170" s="106">
        <f t="shared" si="92"/>
        <v>0</v>
      </c>
      <c r="Q170" s="106">
        <f t="shared" si="92"/>
        <v>0</v>
      </c>
      <c r="R170" s="106">
        <f t="shared" si="92"/>
        <v>0</v>
      </c>
      <c r="S170" s="106">
        <f t="shared" si="92"/>
        <v>0</v>
      </c>
      <c r="T170" s="106">
        <f t="shared" si="92"/>
        <v>0</v>
      </c>
      <c r="U170" s="106">
        <f t="shared" si="92"/>
        <v>0</v>
      </c>
      <c r="V170" s="106">
        <f t="shared" si="92"/>
        <v>0</v>
      </c>
      <c r="W170" s="106">
        <f t="shared" si="92"/>
        <v>0</v>
      </c>
      <c r="X170" s="106">
        <f t="shared" si="92"/>
        <v>0</v>
      </c>
      <c r="Y170" s="106">
        <f t="shared" si="92"/>
        <v>0</v>
      </c>
      <c r="Z170" s="106">
        <f t="shared" si="92"/>
        <v>0</v>
      </c>
      <c r="AA170" s="106">
        <f t="shared" si="92"/>
        <v>0</v>
      </c>
    </row>
    <row r="171" spans="1:27" x14ac:dyDescent="0.25">
      <c r="C171" s="100"/>
      <c r="D171" s="100"/>
      <c r="E171" s="47" t="s">
        <v>686</v>
      </c>
      <c r="F171" s="47" t="s">
        <v>639</v>
      </c>
      <c r="H171" s="106">
        <f>H154*H165+H161*H166+H162*H167+H163*H168</f>
        <v>0</v>
      </c>
      <c r="I171" s="106">
        <f t="shared" ref="I171:AA171" si="93">I154*I165+I161*I166+I162*I167+I163*I168</f>
        <v>0</v>
      </c>
      <c r="J171" s="106">
        <f t="shared" si="93"/>
        <v>0</v>
      </c>
      <c r="K171" s="106">
        <f t="shared" si="93"/>
        <v>0</v>
      </c>
      <c r="L171" s="106">
        <f t="shared" si="93"/>
        <v>0</v>
      </c>
      <c r="M171" s="106">
        <f t="shared" si="93"/>
        <v>0</v>
      </c>
      <c r="N171" s="106">
        <f t="shared" si="93"/>
        <v>0</v>
      </c>
      <c r="O171" s="106">
        <f t="shared" si="93"/>
        <v>0</v>
      </c>
      <c r="P171" s="106">
        <f t="shared" si="93"/>
        <v>0</v>
      </c>
      <c r="Q171" s="106">
        <f t="shared" si="93"/>
        <v>0</v>
      </c>
      <c r="R171" s="106">
        <f t="shared" si="93"/>
        <v>0</v>
      </c>
      <c r="S171" s="106">
        <f t="shared" si="93"/>
        <v>0</v>
      </c>
      <c r="T171" s="106">
        <f t="shared" si="93"/>
        <v>0</v>
      </c>
      <c r="U171" s="106">
        <f t="shared" si="93"/>
        <v>0</v>
      </c>
      <c r="V171" s="106">
        <f t="shared" si="93"/>
        <v>0</v>
      </c>
      <c r="W171" s="106">
        <f t="shared" si="93"/>
        <v>0</v>
      </c>
      <c r="X171" s="106">
        <f t="shared" si="93"/>
        <v>0</v>
      </c>
      <c r="Y171" s="106">
        <f t="shared" si="93"/>
        <v>0</v>
      </c>
      <c r="Z171" s="106">
        <f t="shared" si="93"/>
        <v>0</v>
      </c>
      <c r="AA171" s="106">
        <f t="shared" si="93"/>
        <v>0</v>
      </c>
    </row>
    <row r="172" spans="1:27" x14ac:dyDescent="0.25">
      <c r="C172" s="100"/>
      <c r="D172" s="100"/>
    </row>
    <row r="173" spans="1:27" x14ac:dyDescent="0.25">
      <c r="C173" s="100"/>
      <c r="D173" s="47" t="s">
        <v>687</v>
      </c>
    </row>
    <row r="174" spans="1:27" x14ac:dyDescent="0.25">
      <c r="C174" s="100"/>
      <c r="E174" s="47" t="s">
        <v>688</v>
      </c>
      <c r="F174" s="47" t="s">
        <v>655</v>
      </c>
      <c r="H174" s="47">
        <f t="shared" ref="H174:AA175" si="94">SUM(H93,H114,H135,H156)</f>
        <v>3384.2437416433677</v>
      </c>
      <c r="I174" s="47">
        <f t="shared" si="94"/>
        <v>3448.50427823059</v>
      </c>
      <c r="J174" s="47">
        <f t="shared" si="94"/>
        <v>2950.2631788688159</v>
      </c>
      <c r="K174" s="47">
        <f t="shared" si="94"/>
        <v>2870.6425749978007</v>
      </c>
      <c r="L174" s="47">
        <f t="shared" si="94"/>
        <v>2776.5078249494982</v>
      </c>
      <c r="M174" s="47">
        <f t="shared" si="94"/>
        <v>2781.1077418582936</v>
      </c>
      <c r="N174" s="47">
        <f t="shared" si="94"/>
        <v>2732.299521977875</v>
      </c>
      <c r="O174" s="47">
        <f t="shared" si="94"/>
        <v>2825.8665476811293</v>
      </c>
      <c r="P174" s="47">
        <f t="shared" si="94"/>
        <v>2857.7836722896172</v>
      </c>
      <c r="Q174" s="47">
        <f t="shared" si="94"/>
        <v>2823.643710942386</v>
      </c>
      <c r="R174" s="47">
        <f t="shared" si="94"/>
        <v>2781.7879342009983</v>
      </c>
      <c r="S174" s="47">
        <f t="shared" si="94"/>
        <v>2599.0864520728064</v>
      </c>
      <c r="T174" s="47">
        <f t="shared" si="94"/>
        <v>2314.5551965933846</v>
      </c>
      <c r="U174" s="47">
        <f t="shared" si="94"/>
        <v>2073.9609391129488</v>
      </c>
      <c r="V174" s="47">
        <f t="shared" si="94"/>
        <v>1874.0959597016481</v>
      </c>
      <c r="W174" s="47">
        <f t="shared" si="94"/>
        <v>1694.9431979409128</v>
      </c>
      <c r="X174" s="47">
        <f t="shared" si="94"/>
        <v>1638.1260241882264</v>
      </c>
      <c r="Y174" s="47">
        <f t="shared" si="94"/>
        <v>1475.2738886577717</v>
      </c>
      <c r="Z174" s="47">
        <f t="shared" si="94"/>
        <v>1297.6928694306698</v>
      </c>
      <c r="AA174" s="47">
        <f t="shared" si="94"/>
        <v>1118.5813547660946</v>
      </c>
    </row>
    <row r="175" spans="1:27" x14ac:dyDescent="0.25">
      <c r="C175" s="100"/>
      <c r="D175" s="100"/>
      <c r="E175" s="47" t="s">
        <v>689</v>
      </c>
      <c r="F175" s="47" t="s">
        <v>655</v>
      </c>
      <c r="H175" s="47">
        <f t="shared" si="94"/>
        <v>3384.2437416433677</v>
      </c>
      <c r="I175" s="47">
        <f t="shared" si="94"/>
        <v>6832.7480198739577</v>
      </c>
      <c r="J175" s="47">
        <f t="shared" si="94"/>
        <v>9783.0111987427736</v>
      </c>
      <c r="K175" s="47">
        <f t="shared" si="94"/>
        <v>12653.653773740574</v>
      </c>
      <c r="L175" s="47">
        <f t="shared" si="94"/>
        <v>15430.161598690072</v>
      </c>
      <c r="M175" s="47">
        <f t="shared" si="94"/>
        <v>18211.269340548366</v>
      </c>
      <c r="N175" s="47">
        <f t="shared" si="94"/>
        <v>20943.568862526241</v>
      </c>
      <c r="O175" s="47">
        <f t="shared" si="94"/>
        <v>23769.43541020737</v>
      </c>
      <c r="P175" s="47">
        <f t="shared" si="94"/>
        <v>26627.219082496988</v>
      </c>
      <c r="Q175" s="47">
        <f t="shared" si="94"/>
        <v>29450.862793439373</v>
      </c>
      <c r="R175" s="47">
        <f t="shared" si="94"/>
        <v>32232.650727640372</v>
      </c>
      <c r="S175" s="47">
        <f t="shared" si="94"/>
        <v>34831.737179713178</v>
      </c>
      <c r="T175" s="47">
        <f t="shared" si="94"/>
        <v>37146.292376306563</v>
      </c>
      <c r="U175" s="47">
        <f t="shared" si="94"/>
        <v>39220.253315419512</v>
      </c>
      <c r="V175" s="47">
        <f t="shared" si="94"/>
        <v>41094.34927512116</v>
      </c>
      <c r="W175" s="47">
        <f t="shared" si="94"/>
        <v>42789.292473062073</v>
      </c>
      <c r="X175" s="47">
        <f t="shared" si="94"/>
        <v>44427.418497250299</v>
      </c>
      <c r="Y175" s="47">
        <f t="shared" si="94"/>
        <v>45902.692385908071</v>
      </c>
      <c r="Z175" s="47">
        <f t="shared" si="94"/>
        <v>47200.385255338741</v>
      </c>
      <c r="AA175" s="47">
        <f t="shared" si="94"/>
        <v>48318.966610104835</v>
      </c>
    </row>
    <row r="176" spans="1:27" x14ac:dyDescent="0.25">
      <c r="C176" s="100"/>
      <c r="D176" s="100"/>
      <c r="E176" s="47" t="s">
        <v>690</v>
      </c>
      <c r="F176" s="47" t="s">
        <v>676</v>
      </c>
      <c r="H176" s="106">
        <f>SUM(H107,H128,H149,H170)</f>
        <v>214.96306332031355</v>
      </c>
      <c r="I176" s="106">
        <f t="shared" ref="H176:AA177" si="95">SUM(I107,I128,I149,I170)</f>
        <v>432.61772499172861</v>
      </c>
      <c r="J176" s="106">
        <f t="shared" si="95"/>
        <v>614.62614154208075</v>
      </c>
      <c r="K176" s="106">
        <f t="shared" si="95"/>
        <v>787.13828731636033</v>
      </c>
      <c r="L176" s="106">
        <f t="shared" si="95"/>
        <v>950.604596412462</v>
      </c>
      <c r="M176" s="106">
        <f t="shared" si="95"/>
        <v>1114.5834971876575</v>
      </c>
      <c r="N176" s="106">
        <f t="shared" si="95"/>
        <v>1281.1475361028513</v>
      </c>
      <c r="O176" s="106">
        <f t="shared" si="95"/>
        <v>1458.5430118633763</v>
      </c>
      <c r="P176" s="106">
        <f t="shared" si="95"/>
        <v>1642.8875348077661</v>
      </c>
      <c r="Q176" s="106">
        <f t="shared" si="95"/>
        <v>1829.4623790171195</v>
      </c>
      <c r="R176" s="106">
        <f t="shared" si="95"/>
        <v>2015.0772101564201</v>
      </c>
      <c r="S176" s="106">
        <f t="shared" si="95"/>
        <v>2192.0836326706421</v>
      </c>
      <c r="T176" s="106">
        <f t="shared" si="95"/>
        <v>2357.2019640919543</v>
      </c>
      <c r="U176" s="106">
        <f t="shared" si="95"/>
        <v>2513.3774911592163</v>
      </c>
      <c r="V176" s="106">
        <f t="shared" si="95"/>
        <v>2662.1580263502738</v>
      </c>
      <c r="W176" s="106">
        <f t="shared" si="95"/>
        <v>2793.5507699930999</v>
      </c>
      <c r="X176" s="106">
        <f t="shared" si="95"/>
        <v>2911.1426295607803</v>
      </c>
      <c r="Y176" s="106">
        <f t="shared" si="95"/>
        <v>3011.7553529082616</v>
      </c>
      <c r="Z176" s="106">
        <f t="shared" si="95"/>
        <v>3097.0910534369159</v>
      </c>
      <c r="AA176" s="106">
        <f t="shared" si="95"/>
        <v>3170.4876642409681</v>
      </c>
    </row>
    <row r="177" spans="1:27" x14ac:dyDescent="0.25">
      <c r="C177" s="100"/>
      <c r="D177" s="100"/>
      <c r="E177" s="47" t="s">
        <v>691</v>
      </c>
      <c r="F177" s="47" t="s">
        <v>639</v>
      </c>
      <c r="H177" s="106">
        <f t="shared" si="95"/>
        <v>666314.02764398535</v>
      </c>
      <c r="I177" s="106">
        <f t="shared" si="95"/>
        <v>1353350.2014694605</v>
      </c>
      <c r="J177" s="106">
        <f t="shared" si="95"/>
        <v>1941971.964992397</v>
      </c>
      <c r="K177" s="106">
        <f t="shared" si="95"/>
        <v>2512789.7731291857</v>
      </c>
      <c r="L177" s="106">
        <f t="shared" si="95"/>
        <v>3069346.8617859194</v>
      </c>
      <c r="M177" s="106">
        <f t="shared" si="95"/>
        <v>3637562.2765883664</v>
      </c>
      <c r="N177" s="106">
        <f t="shared" si="95"/>
        <v>4220969.4951321799</v>
      </c>
      <c r="O177" s="106">
        <f t="shared" si="95"/>
        <v>4847424.1455522515</v>
      </c>
      <c r="P177" s="106">
        <f t="shared" si="95"/>
        <v>5529795.4841554686</v>
      </c>
      <c r="Q177" s="106">
        <f t="shared" si="95"/>
        <v>5060327.9629317196</v>
      </c>
      <c r="R177" s="106">
        <f t="shared" si="95"/>
        <v>5567100.7988346471</v>
      </c>
      <c r="S177" s="106">
        <f t="shared" si="95"/>
        <v>6048641.900799999</v>
      </c>
      <c r="T177" s="106">
        <f t="shared" si="95"/>
        <v>6494300.7744791489</v>
      </c>
      <c r="U177" s="106">
        <f t="shared" si="95"/>
        <v>6912112.1982502947</v>
      </c>
      <c r="V177" s="106">
        <f t="shared" si="95"/>
        <v>6515262.5077387691</v>
      </c>
      <c r="W177" s="106">
        <f t="shared" si="95"/>
        <v>6827258.7365352362</v>
      </c>
      <c r="X177" s="106">
        <f t="shared" si="95"/>
        <v>7109964.4263543151</v>
      </c>
      <c r="Y177" s="106">
        <f t="shared" si="95"/>
        <v>7353965.474167781</v>
      </c>
      <c r="Z177" s="106">
        <f t="shared" si="95"/>
        <v>7562250.319255474</v>
      </c>
      <c r="AA177" s="106">
        <f t="shared" si="95"/>
        <v>7741464.7930660751</v>
      </c>
    </row>
    <row r="178" spans="1:27" x14ac:dyDescent="0.25">
      <c r="C178" s="100"/>
      <c r="D178" s="100"/>
    </row>
    <row r="179" spans="1:27" x14ac:dyDescent="0.25">
      <c r="C179" s="100"/>
      <c r="D179" s="100"/>
      <c r="E179" s="111" t="s">
        <v>692</v>
      </c>
      <c r="F179" s="111" t="s">
        <v>693</v>
      </c>
      <c r="G179" s="111"/>
      <c r="H179" s="112">
        <f>H176*1000/H175</f>
        <v>63.518788754833842</v>
      </c>
      <c r="I179" s="112">
        <f t="shared" ref="I179:AA179" si="96">I176*1000/I175</f>
        <v>63.315334289132622</v>
      </c>
      <c r="J179" s="112">
        <f t="shared" si="96"/>
        <v>62.825865069138132</v>
      </c>
      <c r="K179" s="112">
        <f t="shared" si="96"/>
        <v>62.206403098357619</v>
      </c>
      <c r="L179" s="112">
        <f t="shared" si="96"/>
        <v>61.606911264828398</v>
      </c>
      <c r="M179" s="112">
        <f t="shared" si="96"/>
        <v>61.20295495855293</v>
      </c>
      <c r="N179" s="112">
        <f t="shared" si="96"/>
        <v>61.171405146482648</v>
      </c>
      <c r="O179" s="112">
        <f t="shared" si="96"/>
        <v>61.362122687904922</v>
      </c>
      <c r="P179" s="112">
        <f t="shared" si="96"/>
        <v>61.699553743022832</v>
      </c>
      <c r="Q179" s="112">
        <f t="shared" si="96"/>
        <v>62.119143736076218</v>
      </c>
      <c r="R179" s="112">
        <f t="shared" si="96"/>
        <v>62.516645844098598</v>
      </c>
      <c r="S179" s="112">
        <f t="shared" si="96"/>
        <v>62.933514379735371</v>
      </c>
      <c r="T179" s="112">
        <f t="shared" si="96"/>
        <v>63.457260827341003</v>
      </c>
      <c r="U179" s="112">
        <f t="shared" si="96"/>
        <v>64.083662870455697</v>
      </c>
      <c r="V179" s="112">
        <f t="shared" si="96"/>
        <v>64.781608014461611</v>
      </c>
      <c r="W179" s="112">
        <f t="shared" si="96"/>
        <v>65.286210837717761</v>
      </c>
      <c r="X179" s="112">
        <f t="shared" si="96"/>
        <v>65.525811042587506</v>
      </c>
      <c r="Y179" s="112">
        <f t="shared" si="96"/>
        <v>65.611736400735779</v>
      </c>
      <c r="Z179" s="112">
        <f t="shared" si="96"/>
        <v>65.615800309312306</v>
      </c>
      <c r="AA179" s="112">
        <f t="shared" si="96"/>
        <v>65.615800309312306</v>
      </c>
    </row>
    <row r="180" spans="1:27" x14ac:dyDescent="0.25">
      <c r="C180" s="100"/>
      <c r="D180" s="100"/>
      <c r="E180" s="111" t="s">
        <v>694</v>
      </c>
      <c r="F180" s="111" t="s">
        <v>695</v>
      </c>
      <c r="G180" s="111"/>
      <c r="H180" s="112">
        <f>H177/H175</f>
        <v>196.88712708394561</v>
      </c>
      <c r="I180" s="112">
        <f t="shared" ref="I180:AA180" si="97">I177/I175</f>
        <v>198.0682146528836</v>
      </c>
      <c r="J180" s="112">
        <f t="shared" si="97"/>
        <v>198.5045223337741</v>
      </c>
      <c r="K180" s="112">
        <f t="shared" si="97"/>
        <v>198.58215010938886</v>
      </c>
      <c r="L180" s="112">
        <f t="shared" si="97"/>
        <v>198.91864658413482</v>
      </c>
      <c r="M180" s="112">
        <f t="shared" si="97"/>
        <v>199.74237976312497</v>
      </c>
      <c r="N180" s="112">
        <f t="shared" si="97"/>
        <v>201.54012541218063</v>
      </c>
      <c r="O180" s="112">
        <f t="shared" si="97"/>
        <v>203.93518238429044</v>
      </c>
      <c r="P180" s="112">
        <f t="shared" si="97"/>
        <v>207.67454036499061</v>
      </c>
      <c r="Q180" s="112">
        <f t="shared" si="97"/>
        <v>171.82274076055199</v>
      </c>
      <c r="R180" s="112">
        <f t="shared" si="97"/>
        <v>172.71619532242525</v>
      </c>
      <c r="S180" s="112">
        <f t="shared" si="97"/>
        <v>173.65317927131323</v>
      </c>
      <c r="T180" s="112">
        <f t="shared" si="97"/>
        <v>174.83038976512987</v>
      </c>
      <c r="U180" s="112">
        <f t="shared" si="97"/>
        <v>176.23833641922923</v>
      </c>
      <c r="V180" s="112">
        <f t="shared" si="97"/>
        <v>158.5439999090863</v>
      </c>
      <c r="W180" s="112">
        <f t="shared" si="97"/>
        <v>159.55530792740558</v>
      </c>
      <c r="X180" s="112">
        <f t="shared" si="97"/>
        <v>160.03550660487656</v>
      </c>
      <c r="Y180" s="112">
        <f t="shared" si="97"/>
        <v>160.20771531966645</v>
      </c>
      <c r="Z180" s="112">
        <f t="shared" si="97"/>
        <v>160.21586006864473</v>
      </c>
      <c r="AA180" s="112">
        <f t="shared" si="97"/>
        <v>160.21586006864476</v>
      </c>
    </row>
    <row r="181" spans="1:27" x14ac:dyDescent="0.25">
      <c r="C181" s="100"/>
      <c r="D181" s="100"/>
      <c r="E181" s="111" t="s">
        <v>696</v>
      </c>
      <c r="F181" s="111" t="s">
        <v>697</v>
      </c>
      <c r="G181" s="111"/>
      <c r="H181" s="112">
        <f>H177/H176</f>
        <v>3099.6675305613776</v>
      </c>
      <c r="I181" s="112">
        <f t="shared" ref="I181:AA181" si="98">I177/I176</f>
        <v>3128.2819063766647</v>
      </c>
      <c r="J181" s="112">
        <f t="shared" si="98"/>
        <v>3159.5987116982051</v>
      </c>
      <c r="K181" s="112">
        <f t="shared" si="98"/>
        <v>3192.3104410232622</v>
      </c>
      <c r="L181" s="112">
        <f t="shared" si="98"/>
        <v>3228.8365460986547</v>
      </c>
      <c r="M181" s="112">
        <f t="shared" si="98"/>
        <v>3263.6067964102704</v>
      </c>
      <c r="N181" s="112">
        <f t="shared" si="98"/>
        <v>3294.6786971717816</v>
      </c>
      <c r="O181" s="112">
        <f t="shared" si="98"/>
        <v>3323.4701384358737</v>
      </c>
      <c r="P181" s="112">
        <f t="shared" si="98"/>
        <v>3365.9002013199333</v>
      </c>
      <c r="Q181" s="112">
        <f t="shared" si="98"/>
        <v>2766.0191436406503</v>
      </c>
      <c r="R181" s="112">
        <f t="shared" si="98"/>
        <v>2762.723319372215</v>
      </c>
      <c r="S181" s="112">
        <f t="shared" si="98"/>
        <v>2759.3116479004339</v>
      </c>
      <c r="T181" s="112">
        <f t="shared" si="98"/>
        <v>2755.088818611644</v>
      </c>
      <c r="U181" s="112">
        <f t="shared" si="98"/>
        <v>2750.1289490192339</v>
      </c>
      <c r="V181" s="112">
        <f t="shared" si="98"/>
        <v>2447.3612923237947</v>
      </c>
      <c r="W181" s="112">
        <f t="shared" si="98"/>
        <v>2443.9358002260683</v>
      </c>
      <c r="X181" s="112">
        <f t="shared" si="98"/>
        <v>2442.3277493026967</v>
      </c>
      <c r="Y181" s="112">
        <f t="shared" si="98"/>
        <v>2441.7539316619864</v>
      </c>
      <c r="Z181" s="112">
        <f t="shared" si="98"/>
        <v>2441.7268297176684</v>
      </c>
      <c r="AA181" s="112">
        <f t="shared" si="98"/>
        <v>2441.7268297176684</v>
      </c>
    </row>
    <row r="182" spans="1:27" x14ac:dyDescent="0.25">
      <c r="C182" s="100"/>
      <c r="D182" s="100"/>
    </row>
    <row r="183" spans="1:27" x14ac:dyDescent="0.25">
      <c r="C183" s="100" t="str">
        <f>"Incremental "&amp;VLOOKUP(G4,E320:F323,2,FALSE)&amp;" Charges"</f>
        <v>Incremental Bulk Recycled Water Processing Charges</v>
      </c>
      <c r="H183" s="106"/>
      <c r="I183" s="106"/>
      <c r="J183" s="106"/>
      <c r="K183" s="106"/>
      <c r="L183" s="106"/>
      <c r="M183" s="106"/>
      <c r="N183" s="106"/>
      <c r="O183" s="106"/>
      <c r="P183" s="106"/>
      <c r="Q183" s="106"/>
      <c r="R183" s="106"/>
      <c r="S183" s="106"/>
      <c r="T183" s="106"/>
      <c r="U183" s="106"/>
      <c r="V183" s="106"/>
      <c r="W183" s="106"/>
      <c r="X183" s="106"/>
      <c r="Y183" s="106"/>
      <c r="Z183" s="106"/>
      <c r="AA183" s="106"/>
    </row>
    <row r="184" spans="1:27" x14ac:dyDescent="0.25">
      <c r="A184" s="101">
        <v>37</v>
      </c>
      <c r="E184" s="47" t="s">
        <v>698</v>
      </c>
      <c r="F184" s="47" t="s">
        <v>633</v>
      </c>
      <c r="H184" s="113">
        <f>IFERROR(SUMIFS('INPUT Opex'!AD$63:AD$72,'INPUT Opex'!$A$63:$A$72,$A$1)/SUMIFS('INPUT Opex'!AC$63:AC$72,'INPUT Opex'!$A$63:$A$72,$A$1)-1,0)</f>
        <v>0</v>
      </c>
      <c r="I184" s="113">
        <f>IFERROR(SUMIFS('INPUT Opex'!AE$63:AE$72,'INPUT Opex'!$A$63:$A$72,$A$1)/SUMIFS('INPUT Opex'!AD$63:AD$72,'INPUT Opex'!$A$63:$A$72,$A$1)-1,0)</f>
        <v>0</v>
      </c>
      <c r="J184" s="113">
        <f>IFERROR(SUMIFS('INPUT Opex'!AF$63:AF$72,'INPUT Opex'!$A$63:$A$72,$A$1)/SUMIFS('INPUT Opex'!AE$63:AE$72,'INPUT Opex'!$A$63:$A$72,$A$1)-1,0)</f>
        <v>0</v>
      </c>
      <c r="K184" s="113">
        <f>IFERROR(SUMIFS('INPUT Opex'!AG$63:AG$72,'INPUT Opex'!$A$63:$A$72,$A$1)/SUMIFS('INPUT Opex'!AF$63:AF$72,'INPUT Opex'!$A$63:$A$72,$A$1)-1,0)</f>
        <v>0</v>
      </c>
      <c r="L184" s="113">
        <f>IFERROR(SUMIFS('INPUT Opex'!AH$63:AH$72,'INPUT Opex'!$A$63:$A$72,$A$1)/SUMIFS('INPUT Opex'!AG$63:AG$72,'INPUT Opex'!$A$63:$A$72,$A$1)-1,0)</f>
        <v>0</v>
      </c>
      <c r="M184" s="113">
        <f>IFERROR(SUMIFS('INPUT Opex'!AI$63:AI$72,'INPUT Opex'!$A$63:$A$72,$A$1)/SUMIFS('INPUT Opex'!AH$63:AH$72,'INPUT Opex'!$A$63:$A$72,$A$1)-1,0)</f>
        <v>0</v>
      </c>
      <c r="N184" s="113">
        <f>IFERROR(SUMIFS('INPUT Opex'!AJ$63:AJ$72,'INPUT Opex'!$A$63:$A$72,$A$1)/SUMIFS('INPUT Opex'!AI$63:AI$72,'INPUT Opex'!$A$63:$A$72,$A$1)-1,0)</f>
        <v>0</v>
      </c>
      <c r="O184" s="113">
        <f>IFERROR(SUMIFS('INPUT Opex'!AK$63:AK$72,'INPUT Opex'!$A$63:$A$72,$A$1)/SUMIFS('INPUT Opex'!AJ$63:AJ$72,'INPUT Opex'!$A$63:$A$72,$A$1)-1,0)</f>
        <v>0</v>
      </c>
      <c r="P184" s="113">
        <f>IFERROR(SUMIFS('INPUT Opex'!AL$63:AL$72,'INPUT Opex'!$A$63:$A$72,$A$1)/SUMIFS('INPUT Opex'!AK$63:AK$72,'INPUT Opex'!$A$63:$A$72,$A$1)-1,0)</f>
        <v>0</v>
      </c>
      <c r="Q184" s="113">
        <f>IFERROR(SUMIFS('INPUT Opex'!AM$63:AM$72,'INPUT Opex'!$A$63:$A$72,$A$1)/SUMIFS('INPUT Opex'!AL$63:AL$72,'INPUT Opex'!$A$63:$A$72,$A$1)-1,0)</f>
        <v>0</v>
      </c>
      <c r="R184" s="113">
        <f>IFERROR(SUMIFS('INPUT Opex'!AN$63:AN$72,'INPUT Opex'!$A$63:$A$72,$A$1)/SUMIFS('INPUT Opex'!AM$63:AM$72,'INPUT Opex'!$A$63:$A$72,$A$1)-1,0)</f>
        <v>0</v>
      </c>
      <c r="S184" s="113">
        <f>IFERROR(SUMIFS('INPUT Opex'!AO$63:AO$72,'INPUT Opex'!$A$63:$A$72,$A$1)/SUMIFS('INPUT Opex'!AN$63:AN$72,'INPUT Opex'!$A$63:$A$72,$A$1)-1,0)</f>
        <v>0</v>
      </c>
      <c r="T184" s="113">
        <f>IFERROR(SUMIFS('INPUT Opex'!AP$63:AP$72,'INPUT Opex'!$A$63:$A$72,$A$1)/SUMIFS('INPUT Opex'!AO$63:AO$72,'INPUT Opex'!$A$63:$A$72,$A$1)-1,0)</f>
        <v>0</v>
      </c>
      <c r="U184" s="113">
        <f>IFERROR(SUMIFS('INPUT Opex'!AQ$63:AQ$72,'INPUT Opex'!$A$63:$A$72,$A$1)/SUMIFS('INPUT Opex'!AP$63:AP$72,'INPUT Opex'!$A$63:$A$72,$A$1)-1,0)</f>
        <v>0</v>
      </c>
      <c r="V184" s="113">
        <f>IFERROR(SUMIFS('INPUT Opex'!AR$63:AR$72,'INPUT Opex'!$A$63:$A$72,$A$1)/SUMIFS('INPUT Opex'!AQ$63:AQ$72,'INPUT Opex'!$A$63:$A$72,$A$1)-1,0)</f>
        <v>0</v>
      </c>
      <c r="W184" s="113">
        <f>IFERROR(SUMIFS('INPUT Opex'!AS$63:AS$72,'INPUT Opex'!$A$63:$A$72,$A$1)/SUMIFS('INPUT Opex'!AR$63:AR$72,'INPUT Opex'!$A$63:$A$72,$A$1)-1,0)</f>
        <v>0</v>
      </c>
      <c r="X184" s="113">
        <f>IFERROR(SUMIFS('INPUT Opex'!AT$63:AT$72,'INPUT Opex'!$A$63:$A$72,$A$1)/SUMIFS('INPUT Opex'!AS$63:AS$72,'INPUT Opex'!$A$63:$A$72,$A$1)-1,0)</f>
        <v>0</v>
      </c>
      <c r="Y184" s="113">
        <f>IFERROR(SUMIFS('INPUT Opex'!AU$63:AU$72,'INPUT Opex'!$A$63:$A$72,$A$1)/SUMIFS('INPUT Opex'!AT$63:AT$72,'INPUT Opex'!$A$63:$A$72,$A$1)-1,0)</f>
        <v>0</v>
      </c>
      <c r="Z184" s="113">
        <f>IFERROR(SUMIFS('INPUT Opex'!AV$63:AV$72,'INPUT Opex'!$A$63:$A$72,$A$1)/SUMIFS('INPUT Opex'!AU$63:AU$72,'INPUT Opex'!$A$63:$A$72,$A$1)-1,0)</f>
        <v>0</v>
      </c>
      <c r="AA184" s="113">
        <f>IFERROR(SUMIFS('INPUT Opex'!AW$63:AW$72,'INPUT Opex'!$A$63:$A$72,$A$1)/SUMIFS('INPUT Opex'!AV$63:AV$72,'INPUT Opex'!$A$63:$A$72,$A$1)-1,0)</f>
        <v>0</v>
      </c>
    </row>
    <row r="185" spans="1:27" x14ac:dyDescent="0.25">
      <c r="A185" s="101">
        <v>38</v>
      </c>
      <c r="E185" s="47" t="s">
        <v>699</v>
      </c>
      <c r="F185" s="47" t="s">
        <v>697</v>
      </c>
      <c r="G185" s="102">
        <f>SUMIFS('INPUT Opex'!AC$75:AC$80,'INPUT Opex'!$A$75:$A$80,$A$1)</f>
        <v>253.17075060532687</v>
      </c>
      <c r="H185" s="106">
        <f t="shared" ref="H185:AA185" si="99">G185*(1+$G$14)*(1+H184)</f>
        <v>253.17075060532687</v>
      </c>
      <c r="I185" s="106">
        <f t="shared" si="99"/>
        <v>253.17075060532687</v>
      </c>
      <c r="J185" s="106">
        <f t="shared" si="99"/>
        <v>253.17075060532687</v>
      </c>
      <c r="K185" s="106">
        <f t="shared" si="99"/>
        <v>253.17075060532687</v>
      </c>
      <c r="L185" s="106">
        <f t="shared" si="99"/>
        <v>253.17075060532687</v>
      </c>
      <c r="M185" s="106">
        <f t="shared" si="99"/>
        <v>253.17075060532687</v>
      </c>
      <c r="N185" s="106">
        <f t="shared" si="99"/>
        <v>253.17075060532687</v>
      </c>
      <c r="O185" s="106">
        <f t="shared" si="99"/>
        <v>253.17075060532687</v>
      </c>
      <c r="P185" s="106">
        <f t="shared" si="99"/>
        <v>253.17075060532687</v>
      </c>
      <c r="Q185" s="106">
        <f t="shared" si="99"/>
        <v>253.17075060532687</v>
      </c>
      <c r="R185" s="106">
        <f t="shared" si="99"/>
        <v>253.17075060532687</v>
      </c>
      <c r="S185" s="106">
        <f t="shared" si="99"/>
        <v>253.17075060532687</v>
      </c>
      <c r="T185" s="106">
        <f t="shared" si="99"/>
        <v>253.17075060532687</v>
      </c>
      <c r="U185" s="106">
        <f t="shared" si="99"/>
        <v>253.17075060532687</v>
      </c>
      <c r="V185" s="106">
        <f t="shared" si="99"/>
        <v>253.17075060532687</v>
      </c>
      <c r="W185" s="106">
        <f t="shared" si="99"/>
        <v>253.17075060532687</v>
      </c>
      <c r="X185" s="106">
        <f t="shared" si="99"/>
        <v>253.17075060532687</v>
      </c>
      <c r="Y185" s="106">
        <f t="shared" si="99"/>
        <v>253.17075060532687</v>
      </c>
      <c r="Z185" s="106">
        <f t="shared" si="99"/>
        <v>253.17075060532687</v>
      </c>
      <c r="AA185" s="106">
        <f t="shared" si="99"/>
        <v>253.17075060532687</v>
      </c>
    </row>
    <row r="186" spans="1:27" x14ac:dyDescent="0.25">
      <c r="A186" s="101">
        <v>39</v>
      </c>
      <c r="E186" s="47" t="s">
        <v>700</v>
      </c>
      <c r="F186" s="47" t="s">
        <v>639</v>
      </c>
      <c r="G186" s="106"/>
      <c r="H186" s="102">
        <f>SUMIFS('INPUT Opex'!AD$44:AD$53,'INPUT Opex'!$A$44:$A$53,$A$1)</f>
        <v>0</v>
      </c>
      <c r="I186" s="102">
        <f>SUMIFS('INPUT Opex'!AE$44:AE$53,'INPUT Opex'!$A$44:$A$53,$A$1)</f>
        <v>0</v>
      </c>
      <c r="J186" s="102">
        <f>SUMIFS('INPUT Opex'!AF$44:AF$53,'INPUT Opex'!$A$44:$A$53,$A$1)</f>
        <v>0</v>
      </c>
      <c r="K186" s="102">
        <f>SUMIFS('INPUT Opex'!AG$44:AG$53,'INPUT Opex'!$A$44:$A$53,$A$1)</f>
        <v>0</v>
      </c>
      <c r="L186" s="102">
        <f>SUMIFS('INPUT Opex'!AH$44:AH$53,'INPUT Opex'!$A$44:$A$53,$A$1)</f>
        <v>0</v>
      </c>
      <c r="M186" s="102">
        <f>SUMIFS('INPUT Opex'!AI$44:AI$53,'INPUT Opex'!$A$44:$A$53,$A$1)</f>
        <v>0</v>
      </c>
      <c r="N186" s="102">
        <f>SUMIFS('INPUT Opex'!AJ$44:AJ$53,'INPUT Opex'!$A$44:$A$53,$A$1)</f>
        <v>0</v>
      </c>
      <c r="O186" s="102">
        <f>SUMIFS('INPUT Opex'!AK$44:AK$53,'INPUT Opex'!$A$44:$A$53,$A$1)</f>
        <v>0</v>
      </c>
      <c r="P186" s="102">
        <f>SUMIFS('INPUT Opex'!AL$44:AL$53,'INPUT Opex'!$A$44:$A$53,$A$1)</f>
        <v>0</v>
      </c>
      <c r="Q186" s="102">
        <f>SUMIFS('INPUT Opex'!AM$44:AM$53,'INPUT Opex'!$A$44:$A$53,$A$1)</f>
        <v>0</v>
      </c>
      <c r="R186" s="102">
        <f>SUMIFS('INPUT Opex'!AN$44:AN$53,'INPUT Opex'!$A$44:$A$53,$A$1)</f>
        <v>0</v>
      </c>
      <c r="S186" s="102">
        <f>SUMIFS('INPUT Opex'!AO$44:AO$53,'INPUT Opex'!$A$44:$A$53,$A$1)</f>
        <v>0</v>
      </c>
      <c r="T186" s="102">
        <f>SUMIFS('INPUT Opex'!AP$44:AP$53,'INPUT Opex'!$A$44:$A$53,$A$1)</f>
        <v>0</v>
      </c>
      <c r="U186" s="102">
        <f>SUMIFS('INPUT Opex'!AQ$44:AQ$53,'INPUT Opex'!$A$44:$A$53,$A$1)</f>
        <v>0</v>
      </c>
      <c r="V186" s="102">
        <f>SUMIFS('INPUT Opex'!AR$44:AR$53,'INPUT Opex'!$A$44:$A$53,$A$1)</f>
        <v>0</v>
      </c>
      <c r="W186" s="102">
        <f>SUMIFS('INPUT Opex'!AS$44:AS$53,'INPUT Opex'!$A$44:$A$53,$A$1)</f>
        <v>0</v>
      </c>
      <c r="X186" s="102">
        <f>SUMIFS('INPUT Opex'!AT$44:AT$53,'INPUT Opex'!$A$44:$A$53,$A$1)</f>
        <v>0</v>
      </c>
      <c r="Y186" s="102">
        <f>SUMIFS('INPUT Opex'!AU$44:AU$53,'INPUT Opex'!$A$44:$A$53,$A$1)</f>
        <v>0</v>
      </c>
      <c r="Z186" s="102">
        <f>SUMIFS('INPUT Opex'!AV$44:AV$53,'INPUT Opex'!$A$44:$A$53,$A$1)</f>
        <v>0</v>
      </c>
      <c r="AA186" s="102">
        <f>SUMIFS('INPUT Opex'!AW$44:AW$53,'INPUT Opex'!$A$44:$A$53,$A$1)</f>
        <v>0</v>
      </c>
    </row>
    <row r="187" spans="1:27" x14ac:dyDescent="0.25">
      <c r="E187" s="47" t="s">
        <v>701</v>
      </c>
      <c r="F187" s="47" t="s">
        <v>639</v>
      </c>
      <c r="H187" s="106">
        <f>H185*H176+H186</f>
        <v>54422.36009322419</v>
      </c>
      <c r="I187" s="106">
        <f t="shared" ref="I187:AA187" si="100">I185*I176+I186</f>
        <v>109526.15416132481</v>
      </c>
      <c r="J187" s="106">
        <f t="shared" si="100"/>
        <v>155605.36159586447</v>
      </c>
      <c r="K187" s="106">
        <f t="shared" si="100"/>
        <v>199280.39103007439</v>
      </c>
      <c r="L187" s="106">
        <f t="shared" si="100"/>
        <v>240665.27920261683</v>
      </c>
      <c r="M187" s="106">
        <f t="shared" si="100"/>
        <v>282179.94059530948</v>
      </c>
      <c r="N187" s="106">
        <f t="shared" si="100"/>
        <v>324349.08335132396</v>
      </c>
      <c r="O187" s="106">
        <f t="shared" si="100"/>
        <v>369260.42910360516</v>
      </c>
      <c r="P187" s="106">
        <f t="shared" si="100"/>
        <v>415931.0703474172</v>
      </c>
      <c r="Q187" s="106">
        <f t="shared" si="100"/>
        <v>463166.36369997112</v>
      </c>
      <c r="R187" s="106">
        <f t="shared" si="100"/>
        <v>510158.60982298886</v>
      </c>
      <c r="S187" s="106">
        <f t="shared" si="100"/>
        <v>554971.4586728781</v>
      </c>
      <c r="T187" s="106">
        <f t="shared" si="100"/>
        <v>596774.59057751088</v>
      </c>
      <c r="U187" s="106">
        <f t="shared" si="100"/>
        <v>636313.66599131213</v>
      </c>
      <c r="V187" s="106">
        <f t="shared" si="100"/>
        <v>673980.54576109431</v>
      </c>
      <c r="W187" s="106">
        <f t="shared" si="100"/>
        <v>707245.34529324202</v>
      </c>
      <c r="X187" s="106">
        <f t="shared" si="100"/>
        <v>737016.16464506777</v>
      </c>
      <c r="Y187" s="106">
        <f t="shared" si="100"/>
        <v>762488.3633353957</v>
      </c>
      <c r="Z187" s="106">
        <f t="shared" si="100"/>
        <v>784092.86669166654</v>
      </c>
      <c r="AA187" s="106">
        <f t="shared" si="100"/>
        <v>802674.74174081546</v>
      </c>
    </row>
    <row r="188" spans="1:27" x14ac:dyDescent="0.25">
      <c r="H188" s="106"/>
      <c r="I188" s="106"/>
      <c r="J188" s="106"/>
      <c r="K188" s="106"/>
      <c r="L188" s="106"/>
      <c r="M188" s="106"/>
      <c r="N188" s="106"/>
      <c r="O188" s="106"/>
      <c r="P188" s="106"/>
      <c r="Q188" s="106"/>
      <c r="R188" s="106"/>
      <c r="S188" s="106"/>
      <c r="T188" s="106"/>
      <c r="U188" s="106"/>
      <c r="V188" s="106"/>
      <c r="W188" s="106"/>
      <c r="X188" s="106"/>
      <c r="Y188" s="106"/>
      <c r="Z188" s="106"/>
      <c r="AA188" s="106"/>
    </row>
    <row r="189" spans="1:27" x14ac:dyDescent="0.25">
      <c r="C189" s="100" t="s">
        <v>702</v>
      </c>
      <c r="G189" s="106"/>
    </row>
    <row r="190" spans="1:27" x14ac:dyDescent="0.25">
      <c r="C190" s="100"/>
      <c r="D190" s="47" t="s">
        <v>703</v>
      </c>
      <c r="G190" s="106"/>
    </row>
    <row r="191" spans="1:27" x14ac:dyDescent="0.25">
      <c r="A191" s="101">
        <v>40</v>
      </c>
      <c r="C191" s="100"/>
      <c r="E191" s="47" t="s">
        <v>704</v>
      </c>
      <c r="G191" s="106"/>
      <c r="H191" s="105">
        <f>SUMIFS('INPUT Opex'!AD$97:AD$100,'INPUT Opex'!$C$97:$C$100,$G$4)</f>
        <v>-6.2967408279062109E-2</v>
      </c>
      <c r="I191" s="105">
        <f>SUMIFS('INPUT Opex'!AE$97:AE$100,'INPUT Opex'!$C$97:$C$100,$G$4)</f>
        <v>-7.3467158475328698E-2</v>
      </c>
      <c r="J191" s="105">
        <f>SUMIFS('INPUT Opex'!AF$97:AF$100,'INPUT Opex'!$C$97:$C$100,$G$4)</f>
        <v>-5.9045984980915844E-2</v>
      </c>
      <c r="K191" s="105">
        <f>SUMIFS('INPUT Opex'!AG$97:AG$100,'INPUT Opex'!$C$97:$C$100,$G$4)</f>
        <v>-4.6882051433786653E-2</v>
      </c>
      <c r="L191" s="105">
        <f>SUMIFS('INPUT Opex'!AH$97:AH$100,'INPUT Opex'!$C$97:$C$100,$G$4)</f>
        <v>-3.9284492781669345E-2</v>
      </c>
      <c r="M191" s="105">
        <f>SUMIFS('INPUT Opex'!AI$97:AI$100,'INPUT Opex'!$C$97:$C$100,$G$4)</f>
        <v>-3.668391604004495E-2</v>
      </c>
      <c r="N191" s="105">
        <f>SUMIFS('INPUT Opex'!AJ$97:AJ$100,'INPUT Opex'!$C$97:$C$100,$G$4)</f>
        <v>-3.5073797140055651E-2</v>
      </c>
      <c r="O191" s="105">
        <f>SUMIFS('INPUT Opex'!AK$97:AK$100,'INPUT Opex'!$C$97:$C$100,$G$4)</f>
        <v>-3.4471980164637595E-2</v>
      </c>
      <c r="P191" s="105">
        <f>SUMIFS('INPUT Opex'!AL$97:AL$100,'INPUT Opex'!$C$97:$C$100,$G$4)</f>
        <v>-3.3077167664426144E-2</v>
      </c>
      <c r="Q191" s="105">
        <f>SUMIFS('INPUT Opex'!AM$97:AM$100,'INPUT Opex'!$C$97:$C$100,$G$4)</f>
        <v>0</v>
      </c>
      <c r="R191" s="105">
        <f>SUMIFS('INPUT Opex'!AN$97:AN$100,'INPUT Opex'!$C$97:$C$100,$G$4)</f>
        <v>0</v>
      </c>
      <c r="S191" s="105">
        <f>SUMIFS('INPUT Opex'!AO$97:AO$100,'INPUT Opex'!$C$97:$C$100,$G$4)</f>
        <v>0</v>
      </c>
      <c r="T191" s="105">
        <f>SUMIFS('INPUT Opex'!AP$97:AP$100,'INPUT Opex'!$C$97:$C$100,$G$4)</f>
        <v>0</v>
      </c>
      <c r="U191" s="105">
        <f>SUMIFS('INPUT Opex'!AQ$97:AQ$100,'INPUT Opex'!$C$97:$C$100,$G$4)</f>
        <v>0</v>
      </c>
      <c r="V191" s="105">
        <f>SUMIFS('INPUT Opex'!AR$97:AR$100,'INPUT Opex'!$C$97:$C$100,$G$4)</f>
        <v>0</v>
      </c>
      <c r="W191" s="105">
        <f>SUMIFS('INPUT Opex'!AS$97:AS$100,'INPUT Opex'!$C$97:$C$100,$G$4)</f>
        <v>0</v>
      </c>
      <c r="X191" s="105">
        <f>SUMIFS('INPUT Opex'!AT$97:AT$100,'INPUT Opex'!$C$97:$C$100,$G$4)</f>
        <v>0</v>
      </c>
      <c r="Y191" s="105">
        <f>SUMIFS('INPUT Opex'!AU$97:AU$100,'INPUT Opex'!$C$97:$C$100,$G$4)</f>
        <v>0</v>
      </c>
      <c r="Z191" s="105">
        <f>SUMIFS('INPUT Opex'!AV$97:AV$100,'INPUT Opex'!$C$97:$C$100,$G$4)</f>
        <v>0</v>
      </c>
      <c r="AA191" s="105">
        <f>SUMIFS('INPUT Opex'!AW$97:AW$100,'INPUT Opex'!$C$97:$C$100,$G$4)</f>
        <v>0</v>
      </c>
    </row>
    <row r="192" spans="1:27" x14ac:dyDescent="0.25">
      <c r="A192" s="101">
        <v>41</v>
      </c>
      <c r="E192" s="47" t="s">
        <v>705</v>
      </c>
      <c r="F192" s="47" t="s">
        <v>695</v>
      </c>
      <c r="G192" s="114">
        <f>SUMIFS('INPUT Opex'!AC$97:AC$100,'INPUT Opex'!$C$97:$C$100,$G$4)</f>
        <v>727.00607002287609</v>
      </c>
      <c r="H192" s="106">
        <f t="shared" ref="H192:W193" si="101">G192*(1+$G$14)*(1+H$191)</f>
        <v>681.22838199038927</v>
      </c>
      <c r="I192" s="106">
        <f t="shared" si="101"/>
        <v>631.18046849280961</v>
      </c>
      <c r="J192" s="106">
        <f t="shared" si="101"/>
        <v>593.91179602993577</v>
      </c>
      <c r="K192" s="106">
        <f t="shared" si="101"/>
        <v>566.06799266132771</v>
      </c>
      <c r="L192" s="106">
        <f t="shared" si="101"/>
        <v>543.8302986896897</v>
      </c>
      <c r="M192" s="106">
        <f t="shared" si="101"/>
        <v>523.88047367252454</v>
      </c>
      <c r="N192" s="106">
        <f t="shared" si="101"/>
        <v>505.50599621329815</v>
      </c>
      <c r="O192" s="106">
        <f t="shared" si="101"/>
        <v>488.08020353872797</v>
      </c>
      <c r="P192" s="106">
        <f t="shared" si="101"/>
        <v>471.93589281259023</v>
      </c>
      <c r="Q192" s="106">
        <f t="shared" si="101"/>
        <v>471.93589281259023</v>
      </c>
      <c r="R192" s="106">
        <f t="shared" si="101"/>
        <v>471.93589281259023</v>
      </c>
      <c r="S192" s="106">
        <f t="shared" si="101"/>
        <v>471.93589281259023</v>
      </c>
      <c r="T192" s="106">
        <f t="shared" si="101"/>
        <v>471.93589281259023</v>
      </c>
      <c r="U192" s="106">
        <f t="shared" si="101"/>
        <v>471.93589281259023</v>
      </c>
      <c r="V192" s="106">
        <f t="shared" si="101"/>
        <v>471.93589281259023</v>
      </c>
      <c r="W192" s="106">
        <f t="shared" si="101"/>
        <v>471.93589281259023</v>
      </c>
      <c r="X192" s="106">
        <f t="shared" ref="X192:AA193" si="102">W192*(1+$G$14)*(1+X$191)</f>
        <v>471.93589281259023</v>
      </c>
      <c r="Y192" s="106">
        <f t="shared" si="102"/>
        <v>471.93589281259023</v>
      </c>
      <c r="Z192" s="106">
        <f t="shared" si="102"/>
        <v>471.93589281259023</v>
      </c>
      <c r="AA192" s="106">
        <f t="shared" si="102"/>
        <v>471.93589281259023</v>
      </c>
    </row>
    <row r="193" spans="1:29" x14ac:dyDescent="0.25">
      <c r="A193" s="101">
        <v>42</v>
      </c>
      <c r="E193" s="47" t="s">
        <v>706</v>
      </c>
      <c r="F193" s="47" t="s">
        <v>697</v>
      </c>
      <c r="G193" s="102"/>
      <c r="H193" s="106">
        <f>G193*(1+$G$14)*(1+H$191)</f>
        <v>0</v>
      </c>
      <c r="I193" s="106">
        <f t="shared" si="101"/>
        <v>0</v>
      </c>
      <c r="J193" s="106">
        <f t="shared" si="101"/>
        <v>0</v>
      </c>
      <c r="K193" s="106">
        <f t="shared" si="101"/>
        <v>0</v>
      </c>
      <c r="L193" s="106">
        <f t="shared" si="101"/>
        <v>0</v>
      </c>
      <c r="M193" s="106">
        <f t="shared" si="101"/>
        <v>0</v>
      </c>
      <c r="N193" s="106">
        <f t="shared" si="101"/>
        <v>0</v>
      </c>
      <c r="O193" s="106">
        <f t="shared" si="101"/>
        <v>0</v>
      </c>
      <c r="P193" s="106">
        <f t="shared" si="101"/>
        <v>0</v>
      </c>
      <c r="Q193" s="106">
        <f t="shared" si="101"/>
        <v>0</v>
      </c>
      <c r="R193" s="106">
        <f t="shared" si="101"/>
        <v>0</v>
      </c>
      <c r="S193" s="106">
        <f t="shared" si="101"/>
        <v>0</v>
      </c>
      <c r="T193" s="106">
        <f t="shared" si="101"/>
        <v>0</v>
      </c>
      <c r="U193" s="106">
        <f t="shared" si="101"/>
        <v>0</v>
      </c>
      <c r="V193" s="106">
        <f t="shared" si="101"/>
        <v>0</v>
      </c>
      <c r="W193" s="106">
        <f t="shared" si="101"/>
        <v>0</v>
      </c>
      <c r="X193" s="106">
        <f t="shared" si="102"/>
        <v>0</v>
      </c>
      <c r="Y193" s="106">
        <f t="shared" si="102"/>
        <v>0</v>
      </c>
      <c r="Z193" s="106">
        <f t="shared" si="102"/>
        <v>0</v>
      </c>
      <c r="AA193" s="106">
        <f t="shared" si="102"/>
        <v>0</v>
      </c>
    </row>
    <row r="194" spans="1:29" x14ac:dyDescent="0.25">
      <c r="A194" s="101">
        <v>43</v>
      </c>
      <c r="E194" s="47" t="s">
        <v>707</v>
      </c>
      <c r="F194" s="47" t="s">
        <v>639</v>
      </c>
      <c r="G194" s="106"/>
      <c r="H194" s="102"/>
      <c r="I194" s="102"/>
      <c r="J194" s="102"/>
      <c r="K194" s="102"/>
      <c r="L194" s="102"/>
      <c r="M194" s="102"/>
      <c r="N194" s="102"/>
      <c r="O194" s="102"/>
      <c r="P194" s="102"/>
      <c r="Q194" s="102"/>
      <c r="R194" s="102"/>
      <c r="S194" s="102"/>
      <c r="T194" s="102"/>
      <c r="U194" s="102"/>
      <c r="V194" s="102"/>
      <c r="W194" s="102"/>
      <c r="X194" s="102"/>
      <c r="Y194" s="102"/>
      <c r="Z194" s="102"/>
      <c r="AA194" s="102"/>
    </row>
    <row r="195" spans="1:29" x14ac:dyDescent="0.25">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row>
    <row r="196" spans="1:29" x14ac:dyDescent="0.25">
      <c r="D196" s="47" t="s">
        <v>708</v>
      </c>
      <c r="G196" s="101"/>
      <c r="H196" s="101"/>
      <c r="I196" s="101"/>
      <c r="J196" s="101"/>
      <c r="K196" s="101"/>
      <c r="L196" s="101"/>
      <c r="M196" s="101"/>
      <c r="N196" s="101"/>
      <c r="O196" s="101"/>
      <c r="P196" s="101"/>
      <c r="Q196" s="101"/>
      <c r="R196" s="101"/>
      <c r="S196" s="101"/>
      <c r="T196" s="101"/>
      <c r="U196" s="101"/>
      <c r="V196" s="101"/>
      <c r="W196" s="101"/>
      <c r="X196" s="101"/>
      <c r="Y196" s="101"/>
      <c r="Z196" s="101"/>
      <c r="AA196" s="101"/>
    </row>
    <row r="197" spans="1:29" x14ac:dyDescent="0.25">
      <c r="A197" s="101">
        <v>44</v>
      </c>
      <c r="E197" s="47" t="s">
        <v>706</v>
      </c>
      <c r="F197" s="47" t="s">
        <v>697</v>
      </c>
      <c r="G197" s="101"/>
      <c r="H197" s="102"/>
      <c r="I197" s="102"/>
      <c r="J197" s="102"/>
      <c r="K197" s="102"/>
      <c r="L197" s="102"/>
      <c r="M197" s="102"/>
      <c r="N197" s="102"/>
      <c r="O197" s="102"/>
      <c r="P197" s="102"/>
      <c r="Q197" s="102"/>
      <c r="R197" s="102"/>
      <c r="S197" s="102"/>
      <c r="T197" s="102"/>
      <c r="U197" s="102"/>
      <c r="V197" s="102"/>
      <c r="W197" s="102"/>
      <c r="X197" s="102"/>
      <c r="Y197" s="102"/>
      <c r="Z197" s="102"/>
      <c r="AA197" s="102"/>
    </row>
    <row r="198" spans="1:29" x14ac:dyDescent="0.25">
      <c r="A198" s="101">
        <v>45</v>
      </c>
      <c r="E198" s="47" t="s">
        <v>707</v>
      </c>
      <c r="F198" s="47" t="s">
        <v>639</v>
      </c>
      <c r="G198" s="106"/>
      <c r="H198" s="102"/>
      <c r="I198" s="102"/>
      <c r="J198" s="102"/>
      <c r="K198" s="102"/>
      <c r="L198" s="102"/>
      <c r="M198" s="102"/>
      <c r="N198" s="102"/>
      <c r="O198" s="102"/>
      <c r="P198" s="102"/>
      <c r="Q198" s="102"/>
      <c r="R198" s="102"/>
      <c r="S198" s="102"/>
      <c r="T198" s="102"/>
      <c r="U198" s="102"/>
      <c r="V198" s="102"/>
      <c r="W198" s="102"/>
      <c r="X198" s="102"/>
      <c r="Y198" s="102"/>
      <c r="Z198" s="102"/>
      <c r="AA198" s="102"/>
    </row>
    <row r="199" spans="1:29" x14ac:dyDescent="0.25">
      <c r="G199" s="106"/>
    </row>
    <row r="200" spans="1:29" x14ac:dyDescent="0.25">
      <c r="E200" s="47" t="s">
        <v>702</v>
      </c>
      <c r="F200" s="47" t="s">
        <v>639</v>
      </c>
      <c r="G200" s="106"/>
      <c r="H200" s="106">
        <f>H192*H175+(H193+H197)*H176+H194+H198</f>
        <v>2305442.8883808125</v>
      </c>
      <c r="I200" s="106">
        <f t="shared" ref="I200:AA200" si="103">I192*I175+(I193+I197)*I176+I194+I198</f>
        <v>4312697.0962773617</v>
      </c>
      <c r="J200" s="106">
        <f t="shared" si="103"/>
        <v>5810245.751626296</v>
      </c>
      <c r="K200" s="106">
        <f t="shared" si="103"/>
        <v>7162828.391532761</v>
      </c>
      <c r="L200" s="106">
        <f t="shared" si="103"/>
        <v>8391389.3910458013</v>
      </c>
      <c r="M200" s="106">
        <f t="shared" si="103"/>
        <v>9540528.4083044026</v>
      </c>
      <c r="N200" s="106">
        <f t="shared" si="103"/>
        <v>10587099.64211314</v>
      </c>
      <c r="O200" s="106">
        <f t="shared" si="103"/>
        <v>11601390.873014661</v>
      </c>
      <c r="P200" s="106">
        <f t="shared" si="103"/>
        <v>12566340.410814656</v>
      </c>
      <c r="Q200" s="106">
        <f t="shared" si="103"/>
        <v>13898919.226522906</v>
      </c>
      <c r="R200" s="106">
        <f t="shared" si="103"/>
        <v>15211744.798865344</v>
      </c>
      <c r="S200" s="106">
        <f t="shared" si="103"/>
        <v>16438346.984121433</v>
      </c>
      <c r="T200" s="106">
        <f t="shared" si="103"/>
        <v>17530668.657289751</v>
      </c>
      <c r="U200" s="106">
        <f t="shared" si="103"/>
        <v>18509445.264748458</v>
      </c>
      <c r="V200" s="106">
        <f t="shared" si="103"/>
        <v>19393898.414706726</v>
      </c>
      <c r="W200" s="106">
        <f t="shared" si="103"/>
        <v>20193802.946093597</v>
      </c>
      <c r="X200" s="106">
        <f t="shared" si="103"/>
        <v>20966893.413858406</v>
      </c>
      <c r="Y200" s="106">
        <f t="shared" si="103"/>
        <v>21663128.113645215</v>
      </c>
      <c r="Z200" s="106">
        <f t="shared" si="103"/>
        <v>22275555.956576508</v>
      </c>
      <c r="AA200" s="106">
        <f t="shared" si="103"/>
        <v>22803454.64692156</v>
      </c>
    </row>
    <row r="201" spans="1:29" x14ac:dyDescent="0.25">
      <c r="G201" s="106"/>
      <c r="H201" s="106"/>
      <c r="I201" s="106"/>
      <c r="J201" s="106"/>
      <c r="K201" s="106"/>
      <c r="L201" s="106"/>
      <c r="M201" s="106"/>
      <c r="N201" s="106"/>
      <c r="O201" s="106"/>
      <c r="P201" s="106"/>
      <c r="Q201" s="106"/>
      <c r="R201" s="106"/>
      <c r="S201" s="106"/>
      <c r="T201" s="106"/>
      <c r="U201" s="106"/>
      <c r="V201" s="106"/>
      <c r="W201" s="106"/>
      <c r="X201" s="106"/>
      <c r="Y201" s="106"/>
      <c r="Z201" s="106"/>
      <c r="AA201" s="106"/>
    </row>
    <row r="202" spans="1:29" x14ac:dyDescent="0.25">
      <c r="C202" s="100" t="s">
        <v>709</v>
      </c>
      <c r="G202" s="106"/>
      <c r="H202" s="106"/>
      <c r="I202" s="106"/>
      <c r="J202" s="106"/>
      <c r="K202" s="106"/>
      <c r="L202" s="106"/>
      <c r="M202" s="106"/>
      <c r="N202" s="106"/>
      <c r="O202" s="106"/>
      <c r="P202" s="106"/>
      <c r="Q202" s="106"/>
      <c r="R202" s="106"/>
      <c r="S202" s="106"/>
      <c r="T202" s="106"/>
      <c r="U202" s="106"/>
      <c r="V202" s="106"/>
      <c r="W202" s="106"/>
      <c r="X202" s="106"/>
      <c r="Y202" s="106"/>
      <c r="Z202" s="106"/>
      <c r="AA202" s="106"/>
    </row>
    <row r="203" spans="1:29" x14ac:dyDescent="0.25">
      <c r="A203" s="101">
        <v>46</v>
      </c>
      <c r="E203" s="102" t="s">
        <v>710</v>
      </c>
      <c r="F203" s="47" t="s">
        <v>639</v>
      </c>
      <c r="G203" s="106"/>
      <c r="H203" s="102"/>
      <c r="I203" s="102"/>
      <c r="J203" s="102"/>
      <c r="K203" s="102"/>
      <c r="L203" s="102"/>
      <c r="M203" s="102"/>
      <c r="N203" s="102"/>
      <c r="O203" s="102"/>
      <c r="P203" s="102"/>
      <c r="Q203" s="102"/>
      <c r="R203" s="102"/>
      <c r="S203" s="102"/>
      <c r="T203" s="102"/>
      <c r="U203" s="102"/>
      <c r="V203" s="102"/>
      <c r="W203" s="102"/>
      <c r="X203" s="102"/>
      <c r="Y203" s="102"/>
      <c r="Z203" s="102"/>
      <c r="AA203" s="102"/>
    </row>
    <row r="204" spans="1:29" x14ac:dyDescent="0.25">
      <c r="A204" s="101">
        <v>47</v>
      </c>
      <c r="E204" s="102" t="s">
        <v>711</v>
      </c>
      <c r="F204" s="47" t="s">
        <v>639</v>
      </c>
      <c r="G204" s="106"/>
      <c r="H204" s="102"/>
      <c r="I204" s="102"/>
      <c r="J204" s="102"/>
      <c r="K204" s="102"/>
      <c r="L204" s="102"/>
      <c r="M204" s="102"/>
      <c r="N204" s="102"/>
      <c r="O204" s="102"/>
      <c r="P204" s="102"/>
      <c r="Q204" s="102"/>
      <c r="R204" s="102"/>
      <c r="S204" s="102"/>
      <c r="T204" s="102"/>
      <c r="U204" s="102"/>
      <c r="V204" s="102"/>
      <c r="W204" s="102"/>
      <c r="X204" s="102"/>
      <c r="Y204" s="102"/>
      <c r="Z204" s="102"/>
      <c r="AA204" s="102"/>
    </row>
    <row r="205" spans="1:29" x14ac:dyDescent="0.25">
      <c r="A205" s="101">
        <v>48</v>
      </c>
      <c r="E205" s="102" t="s">
        <v>712</v>
      </c>
      <c r="F205" s="47" t="s">
        <v>639</v>
      </c>
      <c r="G205" s="106"/>
      <c r="H205" s="102"/>
      <c r="I205" s="102"/>
      <c r="J205" s="102"/>
      <c r="K205" s="102"/>
      <c r="L205" s="102"/>
      <c r="M205" s="102"/>
      <c r="N205" s="102"/>
      <c r="O205" s="102"/>
      <c r="P205" s="102"/>
      <c r="Q205" s="102"/>
      <c r="R205" s="102"/>
      <c r="S205" s="102"/>
      <c r="T205" s="102"/>
      <c r="U205" s="102"/>
      <c r="V205" s="102"/>
      <c r="W205" s="102"/>
      <c r="X205" s="102"/>
      <c r="Y205" s="102"/>
      <c r="Z205" s="102"/>
      <c r="AA205" s="102"/>
    </row>
    <row r="206" spans="1:29" x14ac:dyDescent="0.25">
      <c r="A206" s="101">
        <v>49</v>
      </c>
      <c r="E206" s="102" t="s">
        <v>713</v>
      </c>
      <c r="F206" s="47" t="s">
        <v>639</v>
      </c>
      <c r="G206" s="106"/>
      <c r="H206" s="102"/>
      <c r="I206" s="102"/>
      <c r="J206" s="102"/>
      <c r="K206" s="102"/>
      <c r="L206" s="102"/>
      <c r="M206" s="102"/>
      <c r="N206" s="102"/>
      <c r="O206" s="102"/>
      <c r="P206" s="102"/>
      <c r="Q206" s="102"/>
      <c r="R206" s="102"/>
      <c r="S206" s="102"/>
      <c r="T206" s="102"/>
      <c r="U206" s="102"/>
      <c r="V206" s="102"/>
      <c r="W206" s="102"/>
      <c r="X206" s="102"/>
      <c r="Y206" s="102"/>
      <c r="Z206" s="102"/>
      <c r="AA206" s="102"/>
    </row>
    <row r="207" spans="1:29" x14ac:dyDescent="0.25">
      <c r="E207" s="47" t="s">
        <v>44</v>
      </c>
      <c r="G207" s="106"/>
      <c r="H207" s="106">
        <f>SUM(H203:H206)</f>
        <v>0</v>
      </c>
      <c r="I207" s="106">
        <f t="shared" ref="I207:AA207" si="104">SUM(I203:I206)</f>
        <v>0</v>
      </c>
      <c r="J207" s="106">
        <f t="shared" si="104"/>
        <v>0</v>
      </c>
      <c r="K207" s="106">
        <f t="shared" si="104"/>
        <v>0</v>
      </c>
      <c r="L207" s="106">
        <f t="shared" si="104"/>
        <v>0</v>
      </c>
      <c r="M207" s="106">
        <f t="shared" si="104"/>
        <v>0</v>
      </c>
      <c r="N207" s="106">
        <f t="shared" si="104"/>
        <v>0</v>
      </c>
      <c r="O207" s="106">
        <f t="shared" si="104"/>
        <v>0</v>
      </c>
      <c r="P207" s="106">
        <f t="shared" si="104"/>
        <v>0</v>
      </c>
      <c r="Q207" s="106">
        <f t="shared" si="104"/>
        <v>0</v>
      </c>
      <c r="R207" s="106">
        <f t="shared" si="104"/>
        <v>0</v>
      </c>
      <c r="S207" s="106">
        <f t="shared" si="104"/>
        <v>0</v>
      </c>
      <c r="T207" s="106">
        <f t="shared" si="104"/>
        <v>0</v>
      </c>
      <c r="U207" s="106">
        <f t="shared" si="104"/>
        <v>0</v>
      </c>
      <c r="V207" s="106">
        <f t="shared" si="104"/>
        <v>0</v>
      </c>
      <c r="W207" s="106">
        <f t="shared" si="104"/>
        <v>0</v>
      </c>
      <c r="X207" s="106">
        <f t="shared" si="104"/>
        <v>0</v>
      </c>
      <c r="Y207" s="106">
        <f t="shared" si="104"/>
        <v>0</v>
      </c>
      <c r="Z207" s="106">
        <f t="shared" si="104"/>
        <v>0</v>
      </c>
      <c r="AA207" s="106">
        <f t="shared" si="104"/>
        <v>0</v>
      </c>
    </row>
    <row r="208" spans="1:29" x14ac:dyDescent="0.25">
      <c r="G208" s="106"/>
      <c r="H208" s="106"/>
      <c r="I208" s="106"/>
      <c r="J208" s="106"/>
      <c r="K208" s="106"/>
      <c r="L208" s="106"/>
      <c r="M208" s="106"/>
      <c r="N208" s="106"/>
      <c r="O208" s="106"/>
      <c r="P208" s="106"/>
      <c r="Q208" s="106"/>
      <c r="R208" s="106"/>
      <c r="S208" s="106"/>
      <c r="T208" s="106"/>
      <c r="U208" s="106"/>
      <c r="V208" s="106"/>
      <c r="W208" s="106"/>
      <c r="X208" s="106"/>
      <c r="Y208" s="106"/>
      <c r="Z208" s="106"/>
      <c r="AA208" s="106"/>
    </row>
    <row r="209" spans="1:27" x14ac:dyDescent="0.25">
      <c r="C209" s="100" t="s">
        <v>714</v>
      </c>
      <c r="G209" s="106"/>
      <c r="H209" s="106"/>
      <c r="I209" s="106"/>
      <c r="J209" s="106"/>
      <c r="K209" s="106"/>
      <c r="L209" s="106"/>
      <c r="M209" s="106"/>
      <c r="N209" s="106"/>
      <c r="O209" s="106"/>
      <c r="P209" s="106"/>
      <c r="Q209" s="106"/>
      <c r="R209" s="106"/>
      <c r="S209" s="106"/>
      <c r="T209" s="106"/>
      <c r="U209" s="106"/>
      <c r="V209" s="106"/>
      <c r="W209" s="106"/>
      <c r="X209" s="106"/>
      <c r="Y209" s="106"/>
      <c r="Z209" s="106"/>
      <c r="AA209" s="106"/>
    </row>
    <row r="210" spans="1:27" x14ac:dyDescent="0.25">
      <c r="A210" s="101">
        <v>50</v>
      </c>
      <c r="E210" s="102" t="s">
        <v>715</v>
      </c>
      <c r="F210" s="47" t="s">
        <v>639</v>
      </c>
      <c r="G210" s="106"/>
      <c r="H210" s="102"/>
      <c r="I210" s="102"/>
      <c r="J210" s="102"/>
      <c r="K210" s="102"/>
      <c r="L210" s="102"/>
      <c r="M210" s="102"/>
      <c r="N210" s="102"/>
      <c r="O210" s="102"/>
      <c r="P210" s="102"/>
      <c r="Q210" s="102"/>
      <c r="R210" s="102"/>
      <c r="S210" s="102"/>
      <c r="T210" s="102"/>
      <c r="U210" s="102"/>
      <c r="V210" s="102"/>
      <c r="W210" s="102"/>
      <c r="X210" s="102"/>
      <c r="Y210" s="102"/>
      <c r="Z210" s="102"/>
      <c r="AA210" s="102"/>
    </row>
    <row r="211" spans="1:27" x14ac:dyDescent="0.25">
      <c r="A211" s="101">
        <v>51</v>
      </c>
      <c r="E211" s="102" t="s">
        <v>716</v>
      </c>
      <c r="F211" s="47" t="s">
        <v>639</v>
      </c>
      <c r="G211" s="106"/>
      <c r="H211" s="102"/>
      <c r="I211" s="102"/>
      <c r="J211" s="102"/>
      <c r="K211" s="102"/>
      <c r="L211" s="102"/>
      <c r="M211" s="102"/>
      <c r="N211" s="102"/>
      <c r="O211" s="102"/>
      <c r="P211" s="102"/>
      <c r="Q211" s="102"/>
      <c r="R211" s="102"/>
      <c r="S211" s="102"/>
      <c r="T211" s="102"/>
      <c r="U211" s="102"/>
      <c r="V211" s="102"/>
      <c r="W211" s="102"/>
      <c r="X211" s="102"/>
      <c r="Y211" s="102"/>
      <c r="Z211" s="102"/>
      <c r="AA211" s="102"/>
    </row>
    <row r="212" spans="1:27" x14ac:dyDescent="0.25">
      <c r="A212" s="101">
        <v>52</v>
      </c>
      <c r="E212" s="102" t="s">
        <v>717</v>
      </c>
      <c r="F212" s="47" t="s">
        <v>639</v>
      </c>
      <c r="G212" s="106"/>
      <c r="H212" s="102"/>
      <c r="I212" s="102"/>
      <c r="J212" s="102"/>
      <c r="K212" s="102"/>
      <c r="L212" s="102"/>
      <c r="M212" s="102"/>
      <c r="N212" s="102"/>
      <c r="O212" s="102"/>
      <c r="P212" s="102"/>
      <c r="Q212" s="102"/>
      <c r="R212" s="102"/>
      <c r="S212" s="102"/>
      <c r="T212" s="102"/>
      <c r="U212" s="102"/>
      <c r="V212" s="102"/>
      <c r="W212" s="102"/>
      <c r="X212" s="102"/>
      <c r="Y212" s="102"/>
      <c r="Z212" s="102"/>
      <c r="AA212" s="102"/>
    </row>
    <row r="213" spans="1:27" x14ac:dyDescent="0.25">
      <c r="A213" s="101">
        <v>53</v>
      </c>
      <c r="E213" s="102" t="s">
        <v>718</v>
      </c>
      <c r="F213" s="47" t="s">
        <v>639</v>
      </c>
      <c r="G213" s="106"/>
      <c r="H213" s="102"/>
      <c r="I213" s="102"/>
      <c r="J213" s="102"/>
      <c r="K213" s="102"/>
      <c r="L213" s="102"/>
      <c r="M213" s="102"/>
      <c r="N213" s="102"/>
      <c r="O213" s="102"/>
      <c r="P213" s="102"/>
      <c r="Q213" s="102"/>
      <c r="R213" s="102"/>
      <c r="S213" s="102"/>
      <c r="T213" s="102"/>
      <c r="U213" s="102"/>
      <c r="V213" s="102"/>
      <c r="W213" s="102"/>
      <c r="X213" s="102"/>
      <c r="Y213" s="102"/>
      <c r="Z213" s="102"/>
      <c r="AA213" s="102"/>
    </row>
    <row r="214" spans="1:27" x14ac:dyDescent="0.25">
      <c r="E214" s="47" t="s">
        <v>44</v>
      </c>
      <c r="G214" s="106"/>
      <c r="H214" s="106">
        <f>SUM(H210:H213)</f>
        <v>0</v>
      </c>
      <c r="I214" s="106">
        <f t="shared" ref="I214:AA214" si="105">SUM(I210:I213)</f>
        <v>0</v>
      </c>
      <c r="J214" s="106">
        <f t="shared" si="105"/>
        <v>0</v>
      </c>
      <c r="K214" s="106">
        <f t="shared" si="105"/>
        <v>0</v>
      </c>
      <c r="L214" s="106">
        <f t="shared" si="105"/>
        <v>0</v>
      </c>
      <c r="M214" s="106">
        <f t="shared" si="105"/>
        <v>0</v>
      </c>
      <c r="N214" s="106">
        <f t="shared" si="105"/>
        <v>0</v>
      </c>
      <c r="O214" s="106">
        <f t="shared" si="105"/>
        <v>0</v>
      </c>
      <c r="P214" s="106">
        <f t="shared" si="105"/>
        <v>0</v>
      </c>
      <c r="Q214" s="106">
        <f t="shared" si="105"/>
        <v>0</v>
      </c>
      <c r="R214" s="106">
        <f t="shared" si="105"/>
        <v>0</v>
      </c>
      <c r="S214" s="106">
        <f t="shared" si="105"/>
        <v>0</v>
      </c>
      <c r="T214" s="106">
        <f t="shared" si="105"/>
        <v>0</v>
      </c>
      <c r="U214" s="106">
        <f t="shared" si="105"/>
        <v>0</v>
      </c>
      <c r="V214" s="106">
        <f t="shared" si="105"/>
        <v>0</v>
      </c>
      <c r="W214" s="106">
        <f t="shared" si="105"/>
        <v>0</v>
      </c>
      <c r="X214" s="106">
        <f t="shared" si="105"/>
        <v>0</v>
      </c>
      <c r="Y214" s="106">
        <f t="shared" si="105"/>
        <v>0</v>
      </c>
      <c r="Z214" s="106">
        <f t="shared" si="105"/>
        <v>0</v>
      </c>
      <c r="AA214" s="106">
        <f t="shared" si="105"/>
        <v>0</v>
      </c>
    </row>
    <row r="215" spans="1:27" x14ac:dyDescent="0.25">
      <c r="G215" s="106"/>
      <c r="H215" s="106"/>
      <c r="I215" s="106"/>
      <c r="J215" s="106"/>
      <c r="K215" s="106"/>
      <c r="L215" s="106"/>
      <c r="M215" s="106"/>
      <c r="N215" s="106"/>
      <c r="O215" s="106"/>
      <c r="P215" s="106"/>
      <c r="Q215" s="106"/>
      <c r="R215" s="106"/>
      <c r="S215" s="106"/>
      <c r="T215" s="106"/>
      <c r="U215" s="106"/>
      <c r="V215" s="106"/>
      <c r="W215" s="106"/>
      <c r="X215" s="106"/>
      <c r="Y215" s="106"/>
      <c r="Z215" s="106"/>
      <c r="AA215" s="106"/>
    </row>
    <row r="216" spans="1:27" x14ac:dyDescent="0.25">
      <c r="C216" s="100" t="s">
        <v>719</v>
      </c>
      <c r="G216" s="106"/>
      <c r="H216" s="106"/>
      <c r="I216" s="106"/>
      <c r="J216" s="106"/>
      <c r="K216" s="106"/>
      <c r="L216" s="106"/>
      <c r="M216" s="106"/>
      <c r="N216" s="106"/>
      <c r="O216" s="106"/>
      <c r="P216" s="106"/>
      <c r="Q216" s="106"/>
      <c r="R216" s="106"/>
      <c r="S216" s="106"/>
      <c r="T216" s="106"/>
      <c r="U216" s="106"/>
      <c r="V216" s="106"/>
      <c r="W216" s="106"/>
      <c r="X216" s="106"/>
      <c r="Y216" s="106"/>
      <c r="Z216" s="106"/>
      <c r="AA216" s="106"/>
    </row>
    <row r="217" spans="1:27" x14ac:dyDescent="0.25">
      <c r="C217" s="100"/>
      <c r="D217" s="100"/>
      <c r="E217" s="47" t="s">
        <v>404</v>
      </c>
      <c r="F217" s="47" t="s">
        <v>655</v>
      </c>
      <c r="G217" s="106"/>
      <c r="H217" s="106">
        <f t="shared" ref="H217:AA217" si="106">H174</f>
        <v>3384.2437416433677</v>
      </c>
      <c r="I217" s="106">
        <f t="shared" si="106"/>
        <v>3448.50427823059</v>
      </c>
      <c r="J217" s="106">
        <f t="shared" si="106"/>
        <v>2950.2631788688159</v>
      </c>
      <c r="K217" s="106">
        <f t="shared" si="106"/>
        <v>2870.6425749978007</v>
      </c>
      <c r="L217" s="106">
        <f t="shared" si="106"/>
        <v>2776.5078249494982</v>
      </c>
      <c r="M217" s="106">
        <f t="shared" si="106"/>
        <v>2781.1077418582936</v>
      </c>
      <c r="N217" s="106">
        <f t="shared" si="106"/>
        <v>2732.299521977875</v>
      </c>
      <c r="O217" s="106">
        <f>O174</f>
        <v>2825.8665476811293</v>
      </c>
      <c r="P217" s="106">
        <f t="shared" si="106"/>
        <v>2857.7836722896172</v>
      </c>
      <c r="Q217" s="106">
        <f t="shared" si="106"/>
        <v>2823.643710942386</v>
      </c>
      <c r="R217" s="106">
        <f t="shared" si="106"/>
        <v>2781.7879342009983</v>
      </c>
      <c r="S217" s="106">
        <f t="shared" si="106"/>
        <v>2599.0864520728064</v>
      </c>
      <c r="T217" s="106">
        <f t="shared" si="106"/>
        <v>2314.5551965933846</v>
      </c>
      <c r="U217" s="106">
        <f t="shared" si="106"/>
        <v>2073.9609391129488</v>
      </c>
      <c r="V217" s="106">
        <f t="shared" si="106"/>
        <v>1874.0959597016481</v>
      </c>
      <c r="W217" s="106">
        <f t="shared" si="106"/>
        <v>1694.9431979409128</v>
      </c>
      <c r="X217" s="106">
        <f t="shared" si="106"/>
        <v>1638.1260241882264</v>
      </c>
      <c r="Y217" s="106">
        <f t="shared" si="106"/>
        <v>1475.2738886577717</v>
      </c>
      <c r="Z217" s="106">
        <f t="shared" si="106"/>
        <v>1297.6928694306698</v>
      </c>
      <c r="AA217" s="106">
        <f t="shared" si="106"/>
        <v>1118.5813547660946</v>
      </c>
    </row>
    <row r="218" spans="1:27" x14ac:dyDescent="0.25">
      <c r="E218" s="47" t="s">
        <v>720</v>
      </c>
      <c r="F218" s="47" t="s">
        <v>695</v>
      </c>
      <c r="G218" s="115">
        <f>MAX(0,-G245/(NPV($G$16,H217:AP217)))</f>
        <v>12389.871520623583</v>
      </c>
      <c r="H218" s="106">
        <f t="shared" ref="H218:AA218" si="107">G218*(1+$G$14)</f>
        <v>12389.871520623583</v>
      </c>
      <c r="I218" s="106">
        <f t="shared" si="107"/>
        <v>12389.871520623583</v>
      </c>
      <c r="J218" s="106">
        <f t="shared" si="107"/>
        <v>12389.871520623583</v>
      </c>
      <c r="K218" s="106">
        <f t="shared" si="107"/>
        <v>12389.871520623583</v>
      </c>
      <c r="L218" s="106">
        <f t="shared" si="107"/>
        <v>12389.871520623583</v>
      </c>
      <c r="M218" s="106">
        <f t="shared" si="107"/>
        <v>12389.871520623583</v>
      </c>
      <c r="N218" s="106">
        <f t="shared" si="107"/>
        <v>12389.871520623583</v>
      </c>
      <c r="O218" s="106">
        <f t="shared" si="107"/>
        <v>12389.871520623583</v>
      </c>
      <c r="P218" s="106">
        <f t="shared" si="107"/>
        <v>12389.871520623583</v>
      </c>
      <c r="Q218" s="106">
        <f t="shared" si="107"/>
        <v>12389.871520623583</v>
      </c>
      <c r="R218" s="106">
        <f t="shared" si="107"/>
        <v>12389.871520623583</v>
      </c>
      <c r="S218" s="106">
        <f t="shared" si="107"/>
        <v>12389.871520623583</v>
      </c>
      <c r="T218" s="106">
        <f t="shared" si="107"/>
        <v>12389.871520623583</v>
      </c>
      <c r="U218" s="106">
        <f t="shared" si="107"/>
        <v>12389.871520623583</v>
      </c>
      <c r="V218" s="106">
        <f t="shared" si="107"/>
        <v>12389.871520623583</v>
      </c>
      <c r="W218" s="106">
        <f t="shared" si="107"/>
        <v>12389.871520623583</v>
      </c>
      <c r="X218" s="106">
        <f t="shared" si="107"/>
        <v>12389.871520623583</v>
      </c>
      <c r="Y218" s="106">
        <f t="shared" si="107"/>
        <v>12389.871520623583</v>
      </c>
      <c r="Z218" s="106">
        <f t="shared" si="107"/>
        <v>12389.871520623583</v>
      </c>
      <c r="AA218" s="106">
        <f t="shared" si="107"/>
        <v>12389.871520623583</v>
      </c>
    </row>
    <row r="219" spans="1:27" x14ac:dyDescent="0.25">
      <c r="E219" s="47" t="s">
        <v>721</v>
      </c>
      <c r="F219" s="47" t="s">
        <v>639</v>
      </c>
      <c r="H219" s="106">
        <f>H218*H217</f>
        <v>41930345.153435759</v>
      </c>
      <c r="I219" s="106">
        <f t="shared" ref="I219:AA219" si="108">I218*I217</f>
        <v>42726524.945597768</v>
      </c>
      <c r="J219" s="106">
        <f t="shared" si="108"/>
        <v>36553381.73821114</v>
      </c>
      <c r="K219" s="106">
        <f t="shared" si="108"/>
        <v>35566892.6858548</v>
      </c>
      <c r="L219" s="106">
        <f t="shared" si="108"/>
        <v>34400575.227130316</v>
      </c>
      <c r="M219" s="106">
        <f t="shared" si="108"/>
        <v>34457567.606635831</v>
      </c>
      <c r="N219" s="106">
        <f t="shared" si="108"/>
        <v>33852840.033167101</v>
      </c>
      <c r="O219" s="106">
        <f t="shared" si="108"/>
        <v>35012123.460197307</v>
      </c>
      <c r="P219" s="106">
        <f t="shared" si="108"/>
        <v>35407572.533404209</v>
      </c>
      <c r="Q219" s="106">
        <f t="shared" si="108"/>
        <v>34984582.798592955</v>
      </c>
      <c r="R219" s="106">
        <f t="shared" si="108"/>
        <v>34465995.102371261</v>
      </c>
      <c r="S219" s="106">
        <f t="shared" si="108"/>
        <v>32202347.212175455</v>
      </c>
      <c r="T219" s="106">
        <f t="shared" si="108"/>
        <v>28677041.513183694</v>
      </c>
      <c r="U219" s="106">
        <f t="shared" si="108"/>
        <v>25696109.574401267</v>
      </c>
      <c r="V219" s="106">
        <f t="shared" si="108"/>
        <v>23219808.158023171</v>
      </c>
      <c r="W219" s="106">
        <f t="shared" si="108"/>
        <v>21000128.457242776</v>
      </c>
      <c r="X219" s="106">
        <f t="shared" si="108"/>
        <v>20296170.974282045</v>
      </c>
      <c r="Y219" s="106">
        <f t="shared" si="108"/>
        <v>18278453.938200533</v>
      </c>
      <c r="Z219" s="106">
        <f t="shared" si="108"/>
        <v>16078247.925475353</v>
      </c>
      <c r="AA219" s="106">
        <f t="shared" si="108"/>
        <v>13859079.27091698</v>
      </c>
    </row>
    <row r="221" spans="1:27" x14ac:dyDescent="0.25">
      <c r="D221" s="47" t="s">
        <v>722</v>
      </c>
    </row>
    <row r="222" spans="1:27" x14ac:dyDescent="0.25">
      <c r="E222" s="47" t="s">
        <v>573</v>
      </c>
      <c r="F222" s="47" t="s">
        <v>639</v>
      </c>
      <c r="G222" s="106">
        <f t="shared" ref="G222:AA222" si="109">G42</f>
        <v>0</v>
      </c>
      <c r="H222" s="106">
        <f t="shared" si="109"/>
        <v>7078833.1890508123</v>
      </c>
      <c r="I222" s="106">
        <f t="shared" si="109"/>
        <v>7300612.9780549556</v>
      </c>
      <c r="J222" s="106">
        <f t="shared" si="109"/>
        <v>7664083.6733834883</v>
      </c>
      <c r="K222" s="106">
        <f t="shared" si="109"/>
        <v>7937810.4700211519</v>
      </c>
      <c r="L222" s="106">
        <f t="shared" si="109"/>
        <v>6573437.9304173952</v>
      </c>
      <c r="M222" s="106">
        <f t="shared" si="109"/>
        <v>6584328.3259038888</v>
      </c>
      <c r="N222" s="106">
        <f t="shared" si="109"/>
        <v>6468773.886980623</v>
      </c>
      <c r="O222" s="106">
        <f t="shared" si="109"/>
        <v>6690295.6958756866</v>
      </c>
      <c r="P222" s="106">
        <f t="shared" si="109"/>
        <v>6765860.1281621726</v>
      </c>
      <c r="Q222" s="106">
        <f t="shared" si="109"/>
        <v>6685033.0853401497</v>
      </c>
      <c r="R222" s="106">
        <f t="shared" si="109"/>
        <v>6585938.6949096369</v>
      </c>
      <c r="S222" s="106">
        <f t="shared" si="109"/>
        <v>6153389.2737363772</v>
      </c>
      <c r="T222" s="106">
        <f t="shared" si="109"/>
        <v>5479755.8229854377</v>
      </c>
      <c r="U222" s="106">
        <f t="shared" si="109"/>
        <v>4910144.0957102692</v>
      </c>
      <c r="V222" s="106">
        <f t="shared" si="109"/>
        <v>4436959.7506784908</v>
      </c>
      <c r="W222" s="106">
        <f t="shared" si="109"/>
        <v>4012811.9961089646</v>
      </c>
      <c r="X222" s="106">
        <f t="shared" si="109"/>
        <v>3878296.1983543457</v>
      </c>
      <c r="Y222" s="106">
        <f t="shared" si="109"/>
        <v>3492740.5031295945</v>
      </c>
      <c r="Z222" s="106">
        <f t="shared" si="109"/>
        <v>3072313.8805138827</v>
      </c>
      <c r="AA222" s="106">
        <f t="shared" si="109"/>
        <v>2648263.7792713102</v>
      </c>
    </row>
    <row r="223" spans="1:27" x14ac:dyDescent="0.25">
      <c r="E223" s="47" t="s">
        <v>723</v>
      </c>
      <c r="F223" s="47" t="s">
        <v>639</v>
      </c>
      <c r="G223" s="106">
        <f t="shared" ref="G223:AA223" si="110">G177</f>
        <v>0</v>
      </c>
      <c r="H223" s="106">
        <f t="shared" si="110"/>
        <v>666314.02764398535</v>
      </c>
      <c r="I223" s="106">
        <f t="shared" si="110"/>
        <v>1353350.2014694605</v>
      </c>
      <c r="J223" s="106">
        <f t="shared" si="110"/>
        <v>1941971.964992397</v>
      </c>
      <c r="K223" s="106">
        <f t="shared" si="110"/>
        <v>2512789.7731291857</v>
      </c>
      <c r="L223" s="106">
        <f t="shared" si="110"/>
        <v>3069346.8617859194</v>
      </c>
      <c r="M223" s="106">
        <f t="shared" si="110"/>
        <v>3637562.2765883664</v>
      </c>
      <c r="N223" s="106">
        <f t="shared" si="110"/>
        <v>4220969.4951321799</v>
      </c>
      <c r="O223" s="106">
        <f t="shared" si="110"/>
        <v>4847424.1455522515</v>
      </c>
      <c r="P223" s="106">
        <f t="shared" si="110"/>
        <v>5529795.4841554686</v>
      </c>
      <c r="Q223" s="106">
        <f t="shared" si="110"/>
        <v>5060327.9629317196</v>
      </c>
      <c r="R223" s="106">
        <f t="shared" si="110"/>
        <v>5567100.7988346471</v>
      </c>
      <c r="S223" s="106">
        <f t="shared" si="110"/>
        <v>6048641.900799999</v>
      </c>
      <c r="T223" s="106">
        <f t="shared" si="110"/>
        <v>6494300.7744791489</v>
      </c>
      <c r="U223" s="106">
        <f t="shared" si="110"/>
        <v>6912112.1982502947</v>
      </c>
      <c r="V223" s="106">
        <f t="shared" si="110"/>
        <v>6515262.5077387691</v>
      </c>
      <c r="W223" s="106">
        <f t="shared" si="110"/>
        <v>6827258.7365352362</v>
      </c>
      <c r="X223" s="106">
        <f t="shared" si="110"/>
        <v>7109964.4263543151</v>
      </c>
      <c r="Y223" s="106">
        <f t="shared" si="110"/>
        <v>7353965.474167781</v>
      </c>
      <c r="Z223" s="106">
        <f t="shared" si="110"/>
        <v>7562250.319255474</v>
      </c>
      <c r="AA223" s="106">
        <f t="shared" si="110"/>
        <v>7741464.7930660751</v>
      </c>
    </row>
    <row r="224" spans="1:27" x14ac:dyDescent="0.25">
      <c r="E224" s="47" t="s">
        <v>701</v>
      </c>
      <c r="F224" s="47" t="s">
        <v>639</v>
      </c>
      <c r="G224" s="106">
        <f t="shared" ref="G224:AA224" si="111">-G187</f>
        <v>0</v>
      </c>
      <c r="H224" s="106">
        <f t="shared" si="111"/>
        <v>-54422.36009322419</v>
      </c>
      <c r="I224" s="106">
        <f t="shared" si="111"/>
        <v>-109526.15416132481</v>
      </c>
      <c r="J224" s="106">
        <f t="shared" si="111"/>
        <v>-155605.36159586447</v>
      </c>
      <c r="K224" s="106">
        <f t="shared" si="111"/>
        <v>-199280.39103007439</v>
      </c>
      <c r="L224" s="106">
        <f t="shared" si="111"/>
        <v>-240665.27920261683</v>
      </c>
      <c r="M224" s="106">
        <f t="shared" si="111"/>
        <v>-282179.94059530948</v>
      </c>
      <c r="N224" s="106">
        <f t="shared" si="111"/>
        <v>-324349.08335132396</v>
      </c>
      <c r="O224" s="106">
        <f t="shared" si="111"/>
        <v>-369260.42910360516</v>
      </c>
      <c r="P224" s="106">
        <f t="shared" si="111"/>
        <v>-415931.0703474172</v>
      </c>
      <c r="Q224" s="106">
        <f t="shared" si="111"/>
        <v>-463166.36369997112</v>
      </c>
      <c r="R224" s="106">
        <f t="shared" si="111"/>
        <v>-510158.60982298886</v>
      </c>
      <c r="S224" s="106">
        <f t="shared" si="111"/>
        <v>-554971.4586728781</v>
      </c>
      <c r="T224" s="106">
        <f t="shared" si="111"/>
        <v>-596774.59057751088</v>
      </c>
      <c r="U224" s="106">
        <f t="shared" si="111"/>
        <v>-636313.66599131213</v>
      </c>
      <c r="V224" s="106">
        <f t="shared" si="111"/>
        <v>-673980.54576109431</v>
      </c>
      <c r="W224" s="106">
        <f t="shared" si="111"/>
        <v>-707245.34529324202</v>
      </c>
      <c r="X224" s="106">
        <f t="shared" si="111"/>
        <v>-737016.16464506777</v>
      </c>
      <c r="Y224" s="106">
        <f t="shared" si="111"/>
        <v>-762488.3633353957</v>
      </c>
      <c r="Z224" s="106">
        <f t="shared" si="111"/>
        <v>-784092.86669166654</v>
      </c>
      <c r="AA224" s="106">
        <f t="shared" si="111"/>
        <v>-802674.74174081546</v>
      </c>
    </row>
    <row r="225" spans="4:28" x14ac:dyDescent="0.25">
      <c r="E225" s="47" t="s">
        <v>702</v>
      </c>
      <c r="F225" s="47" t="s">
        <v>639</v>
      </c>
      <c r="G225" s="106">
        <f t="shared" ref="G225:AA225" si="112">-G200</f>
        <v>0</v>
      </c>
      <c r="H225" s="106">
        <f t="shared" si="112"/>
        <v>-2305442.8883808125</v>
      </c>
      <c r="I225" s="106">
        <f t="shared" si="112"/>
        <v>-4312697.0962773617</v>
      </c>
      <c r="J225" s="106">
        <f t="shared" si="112"/>
        <v>-5810245.751626296</v>
      </c>
      <c r="K225" s="106">
        <f t="shared" si="112"/>
        <v>-7162828.391532761</v>
      </c>
      <c r="L225" s="106">
        <f t="shared" si="112"/>
        <v>-8391389.3910458013</v>
      </c>
      <c r="M225" s="106">
        <f t="shared" si="112"/>
        <v>-9540528.4083044026</v>
      </c>
      <c r="N225" s="106">
        <f t="shared" si="112"/>
        <v>-10587099.64211314</v>
      </c>
      <c r="O225" s="106">
        <f t="shared" si="112"/>
        <v>-11601390.873014661</v>
      </c>
      <c r="P225" s="106">
        <f t="shared" si="112"/>
        <v>-12566340.410814656</v>
      </c>
      <c r="Q225" s="106">
        <f t="shared" si="112"/>
        <v>-13898919.226522906</v>
      </c>
      <c r="R225" s="106">
        <f t="shared" si="112"/>
        <v>-15211744.798865344</v>
      </c>
      <c r="S225" s="106">
        <f t="shared" si="112"/>
        <v>-16438346.984121433</v>
      </c>
      <c r="T225" s="106">
        <f t="shared" si="112"/>
        <v>-17530668.657289751</v>
      </c>
      <c r="U225" s="106">
        <f t="shared" si="112"/>
        <v>-18509445.264748458</v>
      </c>
      <c r="V225" s="106">
        <f t="shared" si="112"/>
        <v>-19393898.414706726</v>
      </c>
      <c r="W225" s="106">
        <f t="shared" si="112"/>
        <v>-20193802.946093597</v>
      </c>
      <c r="X225" s="106">
        <f t="shared" si="112"/>
        <v>-20966893.413858406</v>
      </c>
      <c r="Y225" s="106">
        <f t="shared" si="112"/>
        <v>-21663128.113645215</v>
      </c>
      <c r="Z225" s="106">
        <f t="shared" si="112"/>
        <v>-22275555.956576508</v>
      </c>
      <c r="AA225" s="106">
        <f t="shared" si="112"/>
        <v>-22803454.64692156</v>
      </c>
    </row>
    <row r="226" spans="4:28" x14ac:dyDescent="0.25">
      <c r="E226" s="47" t="s">
        <v>724</v>
      </c>
      <c r="F226" s="47" t="s">
        <v>639</v>
      </c>
      <c r="G226" s="106">
        <f t="shared" ref="G226:AA226" si="113">-G34-G50-G85</f>
        <v>0</v>
      </c>
      <c r="H226" s="106">
        <f t="shared" si="113"/>
        <v>-126789.72577557113</v>
      </c>
      <c r="I226" s="106">
        <f t="shared" si="113"/>
        <v>-220227.04511742463</v>
      </c>
      <c r="J226" s="106">
        <f t="shared" si="113"/>
        <v>-311757.27264250885</v>
      </c>
      <c r="K226" s="106">
        <f t="shared" si="113"/>
        <v>-406328.90901912266</v>
      </c>
      <c r="L226" s="106">
        <f t="shared" si="113"/>
        <v>-557847.37728014961</v>
      </c>
      <c r="M226" s="106">
        <f t="shared" si="113"/>
        <v>-837913.0000565357</v>
      </c>
      <c r="N226" s="106">
        <f t="shared" si="113"/>
        <v>-1226451.4777353881</v>
      </c>
      <c r="O226" s="106">
        <f t="shared" si="113"/>
        <v>-1735532.0190966092</v>
      </c>
      <c r="P226" s="106">
        <f t="shared" si="113"/>
        <v>-2083849.259692007</v>
      </c>
      <c r="Q226" s="106">
        <f t="shared" si="113"/>
        <v>-2420114.3730696081</v>
      </c>
      <c r="R226" s="106">
        <f t="shared" si="113"/>
        <v>-2755278.4376646485</v>
      </c>
      <c r="S226" s="106">
        <f t="shared" si="113"/>
        <v>-3085636.3975799852</v>
      </c>
      <c r="T226" s="106">
        <f t="shared" si="113"/>
        <v>-3408509.5413758676</v>
      </c>
      <c r="U226" s="106">
        <f t="shared" si="113"/>
        <v>-3725053.6659798035</v>
      </c>
      <c r="V226" s="106">
        <f t="shared" si="113"/>
        <v>-4036340.186750053</v>
      </c>
      <c r="W226" s="106">
        <f t="shared" si="113"/>
        <v>-4342913.9546917519</v>
      </c>
      <c r="X226" s="106">
        <f t="shared" si="113"/>
        <v>-4647993.1026584003</v>
      </c>
      <c r="Y226" s="106">
        <f t="shared" si="113"/>
        <v>-4948788.2984558837</v>
      </c>
      <c r="Z226" s="106">
        <f t="shared" si="113"/>
        <v>-5244912.0873354152</v>
      </c>
      <c r="AA226" s="106">
        <f t="shared" si="113"/>
        <v>-5536324.208423363</v>
      </c>
    </row>
    <row r="227" spans="4:28" x14ac:dyDescent="0.25">
      <c r="E227" s="47" t="s">
        <v>709</v>
      </c>
      <c r="F227" s="47" t="s">
        <v>639</v>
      </c>
      <c r="G227" s="106">
        <f t="shared" ref="G227:AA227" si="114">G207</f>
        <v>0</v>
      </c>
      <c r="H227" s="106">
        <f t="shared" si="114"/>
        <v>0</v>
      </c>
      <c r="I227" s="106">
        <f t="shared" si="114"/>
        <v>0</v>
      </c>
      <c r="J227" s="106">
        <f t="shared" si="114"/>
        <v>0</v>
      </c>
      <c r="K227" s="106">
        <f t="shared" si="114"/>
        <v>0</v>
      </c>
      <c r="L227" s="106">
        <f t="shared" si="114"/>
        <v>0</v>
      </c>
      <c r="M227" s="106">
        <f t="shared" si="114"/>
        <v>0</v>
      </c>
      <c r="N227" s="106">
        <f t="shared" si="114"/>
        <v>0</v>
      </c>
      <c r="O227" s="106">
        <f t="shared" si="114"/>
        <v>0</v>
      </c>
      <c r="P227" s="106">
        <f t="shared" si="114"/>
        <v>0</v>
      </c>
      <c r="Q227" s="106">
        <f t="shared" si="114"/>
        <v>0</v>
      </c>
      <c r="R227" s="106">
        <f t="shared" si="114"/>
        <v>0</v>
      </c>
      <c r="S227" s="106">
        <f t="shared" si="114"/>
        <v>0</v>
      </c>
      <c r="T227" s="106">
        <f t="shared" si="114"/>
        <v>0</v>
      </c>
      <c r="U227" s="106">
        <f t="shared" si="114"/>
        <v>0</v>
      </c>
      <c r="V227" s="106">
        <f t="shared" si="114"/>
        <v>0</v>
      </c>
      <c r="W227" s="106">
        <f t="shared" si="114"/>
        <v>0</v>
      </c>
      <c r="X227" s="106">
        <f t="shared" si="114"/>
        <v>0</v>
      </c>
      <c r="Y227" s="106">
        <f t="shared" si="114"/>
        <v>0</v>
      </c>
      <c r="Z227" s="106">
        <f t="shared" si="114"/>
        <v>0</v>
      </c>
      <c r="AA227" s="106">
        <f t="shared" si="114"/>
        <v>0</v>
      </c>
    </row>
    <row r="228" spans="4:28" x14ac:dyDescent="0.25">
      <c r="E228" s="47" t="s">
        <v>725</v>
      </c>
      <c r="F228" s="47" t="s">
        <v>639</v>
      </c>
      <c r="H228" s="106">
        <f t="shared" ref="H228:AA228" si="115">H219</f>
        <v>41930345.153435759</v>
      </c>
      <c r="I228" s="106">
        <f t="shared" si="115"/>
        <v>42726524.945597768</v>
      </c>
      <c r="J228" s="106">
        <f t="shared" si="115"/>
        <v>36553381.73821114</v>
      </c>
      <c r="K228" s="106">
        <f t="shared" si="115"/>
        <v>35566892.6858548</v>
      </c>
      <c r="L228" s="106">
        <f t="shared" si="115"/>
        <v>34400575.227130316</v>
      </c>
      <c r="M228" s="106">
        <f t="shared" si="115"/>
        <v>34457567.606635831</v>
      </c>
      <c r="N228" s="106">
        <f t="shared" si="115"/>
        <v>33852840.033167101</v>
      </c>
      <c r="O228" s="106">
        <f t="shared" si="115"/>
        <v>35012123.460197307</v>
      </c>
      <c r="P228" s="106">
        <f t="shared" si="115"/>
        <v>35407572.533404209</v>
      </c>
      <c r="Q228" s="106">
        <f t="shared" si="115"/>
        <v>34984582.798592955</v>
      </c>
      <c r="R228" s="106">
        <f t="shared" si="115"/>
        <v>34465995.102371261</v>
      </c>
      <c r="S228" s="106">
        <f t="shared" si="115"/>
        <v>32202347.212175455</v>
      </c>
      <c r="T228" s="106">
        <f t="shared" si="115"/>
        <v>28677041.513183694</v>
      </c>
      <c r="U228" s="106">
        <f t="shared" si="115"/>
        <v>25696109.574401267</v>
      </c>
      <c r="V228" s="106">
        <f t="shared" si="115"/>
        <v>23219808.158023171</v>
      </c>
      <c r="W228" s="106">
        <f t="shared" si="115"/>
        <v>21000128.457242776</v>
      </c>
      <c r="X228" s="106">
        <f t="shared" si="115"/>
        <v>20296170.974282045</v>
      </c>
      <c r="Y228" s="106">
        <f t="shared" si="115"/>
        <v>18278453.938200533</v>
      </c>
      <c r="Z228" s="106">
        <f t="shared" si="115"/>
        <v>16078247.925475353</v>
      </c>
      <c r="AA228" s="106">
        <f t="shared" si="115"/>
        <v>13859079.27091698</v>
      </c>
    </row>
    <row r="230" spans="4:28" x14ac:dyDescent="0.25">
      <c r="E230" s="47" t="s">
        <v>726</v>
      </c>
      <c r="F230" s="47" t="s">
        <v>639</v>
      </c>
      <c r="G230" s="106">
        <f t="shared" ref="G230:AA230" si="116">SUM(G222:G228)</f>
        <v>0</v>
      </c>
      <c r="H230" s="106">
        <f t="shared" si="116"/>
        <v>47188837.395880952</v>
      </c>
      <c r="I230" s="106">
        <f t="shared" si="116"/>
        <v>46738037.829566076</v>
      </c>
      <c r="J230" s="106">
        <f t="shared" si="116"/>
        <v>39881828.990722358</v>
      </c>
      <c r="K230" s="106">
        <f t="shared" si="116"/>
        <v>38249055.237423182</v>
      </c>
      <c r="L230" s="106">
        <f t="shared" si="116"/>
        <v>34853457.971805066</v>
      </c>
      <c r="M230" s="106">
        <f t="shared" si="116"/>
        <v>34018836.86017184</v>
      </c>
      <c r="N230" s="106">
        <f t="shared" si="116"/>
        <v>32404683.212080054</v>
      </c>
      <c r="O230" s="106">
        <f t="shared" si="116"/>
        <v>32843659.980410367</v>
      </c>
      <c r="P230" s="106">
        <f t="shared" si="116"/>
        <v>32637107.404867768</v>
      </c>
      <c r="Q230" s="106">
        <f t="shared" si="116"/>
        <v>29947743.88357234</v>
      </c>
      <c r="R230" s="106">
        <f t="shared" si="116"/>
        <v>28141852.749762565</v>
      </c>
      <c r="S230" s="106">
        <f t="shared" si="116"/>
        <v>24325423.546337537</v>
      </c>
      <c r="T230" s="106">
        <f t="shared" si="116"/>
        <v>19115145.32140515</v>
      </c>
      <c r="U230" s="106">
        <f t="shared" si="116"/>
        <v>14647553.271642257</v>
      </c>
      <c r="V230" s="106">
        <f t="shared" si="116"/>
        <v>10067811.269222559</v>
      </c>
      <c r="W230" s="106">
        <f t="shared" si="116"/>
        <v>6596236.9438083842</v>
      </c>
      <c r="X230" s="106">
        <f t="shared" si="116"/>
        <v>4932528.91782883</v>
      </c>
      <c r="Y230" s="106">
        <f t="shared" si="116"/>
        <v>1750755.1400614157</v>
      </c>
      <c r="Z230" s="106">
        <f t="shared" si="116"/>
        <v>-1591748.7853588779</v>
      </c>
      <c r="AA230" s="106">
        <f t="shared" si="116"/>
        <v>-4893645.7538313754</v>
      </c>
    </row>
    <row r="231" spans="4:28" x14ac:dyDescent="0.25">
      <c r="E231" s="47" t="s">
        <v>727</v>
      </c>
      <c r="F231" s="47" t="s">
        <v>639</v>
      </c>
      <c r="G231" s="106">
        <f>-G230*G$18</f>
        <v>0</v>
      </c>
      <c r="H231" s="106">
        <f t="shared" ref="H231:AA231" si="117">-H230*H$18</f>
        <v>-14156651.218764285</v>
      </c>
      <c r="I231" s="106">
        <f t="shared" si="117"/>
        <v>-14021411.348869823</v>
      </c>
      <c r="J231" s="106">
        <f t="shared" si="117"/>
        <v>-11964548.697216706</v>
      </c>
      <c r="K231" s="106">
        <f t="shared" si="117"/>
        <v>-11474716.571226954</v>
      </c>
      <c r="L231" s="106">
        <f t="shared" si="117"/>
        <v>-10456037.39154152</v>
      </c>
      <c r="M231" s="106">
        <f t="shared" si="117"/>
        <v>-10205651.058051551</v>
      </c>
      <c r="N231" s="106">
        <f t="shared" si="117"/>
        <v>-9721404.9636240155</v>
      </c>
      <c r="O231" s="106">
        <f t="shared" si="117"/>
        <v>-9853097.9941231105</v>
      </c>
      <c r="P231" s="106">
        <f t="shared" si="117"/>
        <v>-9791132.2214603294</v>
      </c>
      <c r="Q231" s="106">
        <f t="shared" si="117"/>
        <v>-8984323.1650717016</v>
      </c>
      <c r="R231" s="106">
        <f t="shared" si="117"/>
        <v>-8442555.8249287698</v>
      </c>
      <c r="S231" s="106">
        <f t="shared" si="117"/>
        <v>-7297627.0639012614</v>
      </c>
      <c r="T231" s="106">
        <f t="shared" si="117"/>
        <v>-5734543.5964215444</v>
      </c>
      <c r="U231" s="106">
        <f t="shared" si="117"/>
        <v>-4394265.9814926768</v>
      </c>
      <c r="V231" s="106">
        <f t="shared" si="117"/>
        <v>-3020343.3807667675</v>
      </c>
      <c r="W231" s="106">
        <f t="shared" si="117"/>
        <v>-1978871.0831425153</v>
      </c>
      <c r="X231" s="106">
        <f t="shared" si="117"/>
        <v>-1479758.675348649</v>
      </c>
      <c r="Y231" s="106">
        <f t="shared" si="117"/>
        <v>-525226.54201842472</v>
      </c>
      <c r="Z231" s="106">
        <f t="shared" si="117"/>
        <v>477524.63560766331</v>
      </c>
      <c r="AA231" s="106">
        <f t="shared" si="117"/>
        <v>1468093.7261494126</v>
      </c>
    </row>
    <row r="233" spans="4:28" x14ac:dyDescent="0.25">
      <c r="D233" s="47" t="s">
        <v>728</v>
      </c>
    </row>
    <row r="234" spans="4:28" x14ac:dyDescent="0.25">
      <c r="E234" s="47" t="s">
        <v>638</v>
      </c>
      <c r="F234" s="47" t="s">
        <v>639</v>
      </c>
      <c r="G234" s="106">
        <f t="shared" ref="G234:AA234" si="118">-G26</f>
        <v>0</v>
      </c>
      <c r="H234" s="106">
        <f t="shared" si="118"/>
        <v>-4332242.13075059</v>
      </c>
      <c r="I234" s="106">
        <f t="shared" si="118"/>
        <v>-1108745.7627118595</v>
      </c>
      <c r="J234" s="106">
        <f t="shared" si="118"/>
        <v>-573636.80387408938</v>
      </c>
      <c r="K234" s="106">
        <f t="shared" si="118"/>
        <v>-573636.80387408938</v>
      </c>
      <c r="L234" s="106">
        <f t="shared" si="118"/>
        <v>-7063224.2130750287</v>
      </c>
      <c r="M234" s="106">
        <f t="shared" si="118"/>
        <v>-18621577.72397086</v>
      </c>
      <c r="N234" s="106">
        <f t="shared" si="118"/>
        <v>-28499689.104116093</v>
      </c>
      <c r="O234" s="106">
        <f t="shared" si="118"/>
        <v>-39126953.026634201</v>
      </c>
      <c r="P234" s="106">
        <f t="shared" si="118"/>
        <v>-24582691.525423624</v>
      </c>
      <c r="Q234" s="106">
        <f t="shared" si="118"/>
        <v>-23578827.118643962</v>
      </c>
      <c r="R234" s="106">
        <f>-R26</f>
        <v>-23578827.118643962</v>
      </c>
      <c r="S234" s="106">
        <f t="shared" si="118"/>
        <v>-23578827.118643962</v>
      </c>
      <c r="T234" s="106">
        <f t="shared" si="118"/>
        <v>-23578827.118643962</v>
      </c>
      <c r="U234" s="106">
        <f t="shared" si="118"/>
        <v>-23578827.118643962</v>
      </c>
      <c r="V234" s="106">
        <f t="shared" si="118"/>
        <v>-23578827.118643962</v>
      </c>
      <c r="W234" s="106">
        <f t="shared" si="118"/>
        <v>-23578827.118643962</v>
      </c>
      <c r="X234" s="106">
        <f t="shared" si="118"/>
        <v>-23578827.118643962</v>
      </c>
      <c r="Y234" s="106">
        <f t="shared" si="118"/>
        <v>-23578827.118643962</v>
      </c>
      <c r="Z234" s="106">
        <f t="shared" si="118"/>
        <v>-23578827.118643962</v>
      </c>
      <c r="AA234" s="106">
        <f t="shared" si="118"/>
        <v>-23578827.118643962</v>
      </c>
    </row>
    <row r="235" spans="4:28" x14ac:dyDescent="0.25">
      <c r="E235" s="47" t="s">
        <v>729</v>
      </c>
      <c r="F235" s="47" t="s">
        <v>639</v>
      </c>
      <c r="G235" s="106">
        <f t="shared" ref="G235:AA235" si="119">G84</f>
        <v>0</v>
      </c>
      <c r="H235" s="106">
        <f t="shared" si="119"/>
        <v>0</v>
      </c>
      <c r="I235" s="106">
        <f t="shared" si="119"/>
        <v>0</v>
      </c>
      <c r="J235" s="106">
        <f t="shared" si="119"/>
        <v>0</v>
      </c>
      <c r="K235" s="106">
        <f t="shared" si="119"/>
        <v>0</v>
      </c>
      <c r="L235" s="106">
        <f t="shared" si="119"/>
        <v>0</v>
      </c>
      <c r="M235" s="106">
        <f t="shared" si="119"/>
        <v>0</v>
      </c>
      <c r="N235" s="106">
        <f t="shared" si="119"/>
        <v>0</v>
      </c>
      <c r="O235" s="106">
        <f t="shared" si="119"/>
        <v>0</v>
      </c>
      <c r="P235" s="106">
        <f t="shared" si="119"/>
        <v>0</v>
      </c>
      <c r="Q235" s="106">
        <f t="shared" si="119"/>
        <v>0</v>
      </c>
      <c r="R235" s="106">
        <f t="shared" si="119"/>
        <v>0</v>
      </c>
      <c r="S235" s="106">
        <f t="shared" si="119"/>
        <v>0</v>
      </c>
      <c r="T235" s="106">
        <f t="shared" si="119"/>
        <v>0</v>
      </c>
      <c r="U235" s="106">
        <f t="shared" si="119"/>
        <v>0</v>
      </c>
      <c r="V235" s="106">
        <f t="shared" si="119"/>
        <v>0</v>
      </c>
      <c r="W235" s="106">
        <f t="shared" si="119"/>
        <v>0</v>
      </c>
      <c r="X235" s="106">
        <f t="shared" si="119"/>
        <v>0</v>
      </c>
      <c r="Y235" s="106">
        <f t="shared" si="119"/>
        <v>0</v>
      </c>
      <c r="Z235" s="106">
        <f t="shared" si="119"/>
        <v>0</v>
      </c>
      <c r="AA235" s="106">
        <f t="shared" si="119"/>
        <v>0</v>
      </c>
    </row>
    <row r="236" spans="4:28" x14ac:dyDescent="0.25">
      <c r="E236" s="47" t="s">
        <v>645</v>
      </c>
      <c r="F236" s="47" t="s">
        <v>639</v>
      </c>
      <c r="G236" s="106">
        <f t="shared" ref="G236:AA236" si="120">G53</f>
        <v>0</v>
      </c>
      <c r="H236" s="106">
        <f t="shared" si="120"/>
        <v>0</v>
      </c>
      <c r="I236" s="106">
        <f t="shared" si="120"/>
        <v>0</v>
      </c>
      <c r="J236" s="106">
        <f t="shared" si="120"/>
        <v>0</v>
      </c>
      <c r="K236" s="106">
        <f t="shared" si="120"/>
        <v>0</v>
      </c>
      <c r="L236" s="106">
        <f t="shared" si="120"/>
        <v>0</v>
      </c>
      <c r="M236" s="106">
        <f t="shared" si="120"/>
        <v>0</v>
      </c>
      <c r="N236" s="106">
        <f t="shared" si="120"/>
        <v>0</v>
      </c>
      <c r="O236" s="106">
        <f t="shared" si="120"/>
        <v>0</v>
      </c>
      <c r="P236" s="106">
        <f t="shared" si="120"/>
        <v>0</v>
      </c>
      <c r="Q236" s="106">
        <f t="shared" si="120"/>
        <v>0</v>
      </c>
      <c r="R236" s="106">
        <f t="shared" si="120"/>
        <v>0</v>
      </c>
      <c r="S236" s="106">
        <f t="shared" si="120"/>
        <v>0</v>
      </c>
      <c r="T236" s="106">
        <f t="shared" si="120"/>
        <v>0</v>
      </c>
      <c r="U236" s="106">
        <f t="shared" si="120"/>
        <v>0</v>
      </c>
      <c r="V236" s="106">
        <f t="shared" si="120"/>
        <v>0</v>
      </c>
      <c r="W236" s="106">
        <f t="shared" si="120"/>
        <v>0</v>
      </c>
      <c r="X236" s="106">
        <f t="shared" si="120"/>
        <v>0</v>
      </c>
      <c r="Y236" s="106">
        <f t="shared" si="120"/>
        <v>0</v>
      </c>
      <c r="Z236" s="106">
        <f t="shared" si="120"/>
        <v>0</v>
      </c>
      <c r="AA236" s="106">
        <f t="shared" si="120"/>
        <v>0</v>
      </c>
    </row>
    <row r="237" spans="4:28" x14ac:dyDescent="0.25">
      <c r="E237" s="47" t="s">
        <v>723</v>
      </c>
      <c r="F237" s="47" t="s">
        <v>639</v>
      </c>
      <c r="G237" s="106">
        <f t="shared" ref="G237:AA237" si="121">G177</f>
        <v>0</v>
      </c>
      <c r="H237" s="106">
        <f t="shared" si="121"/>
        <v>666314.02764398535</v>
      </c>
      <c r="I237" s="106">
        <f t="shared" si="121"/>
        <v>1353350.2014694605</v>
      </c>
      <c r="J237" s="106">
        <f t="shared" si="121"/>
        <v>1941971.964992397</v>
      </c>
      <c r="K237" s="106">
        <f t="shared" si="121"/>
        <v>2512789.7731291857</v>
      </c>
      <c r="L237" s="106">
        <f t="shared" si="121"/>
        <v>3069346.8617859194</v>
      </c>
      <c r="M237" s="106">
        <f t="shared" si="121"/>
        <v>3637562.2765883664</v>
      </c>
      <c r="N237" s="106">
        <f t="shared" si="121"/>
        <v>4220969.4951321799</v>
      </c>
      <c r="O237" s="106">
        <f t="shared" si="121"/>
        <v>4847424.1455522515</v>
      </c>
      <c r="P237" s="106">
        <f t="shared" si="121"/>
        <v>5529795.4841554686</v>
      </c>
      <c r="Q237" s="106">
        <f t="shared" si="121"/>
        <v>5060327.9629317196</v>
      </c>
      <c r="R237" s="106">
        <f t="shared" si="121"/>
        <v>5567100.7988346471</v>
      </c>
      <c r="S237" s="106">
        <f t="shared" si="121"/>
        <v>6048641.900799999</v>
      </c>
      <c r="T237" s="106">
        <f t="shared" si="121"/>
        <v>6494300.7744791489</v>
      </c>
      <c r="U237" s="106">
        <f t="shared" si="121"/>
        <v>6912112.1982502947</v>
      </c>
      <c r="V237" s="106">
        <f t="shared" si="121"/>
        <v>6515262.5077387691</v>
      </c>
      <c r="W237" s="106">
        <f t="shared" si="121"/>
        <v>6827258.7365352362</v>
      </c>
      <c r="X237" s="106">
        <f t="shared" si="121"/>
        <v>7109964.4263543151</v>
      </c>
      <c r="Y237" s="106">
        <f t="shared" si="121"/>
        <v>7353965.474167781</v>
      </c>
      <c r="Z237" s="106">
        <f t="shared" si="121"/>
        <v>7562250.319255474</v>
      </c>
      <c r="AA237" s="106">
        <f t="shared" si="121"/>
        <v>7741464.7930660751</v>
      </c>
      <c r="AB237" s="106">
        <f t="shared" ref="AB237:AB241" si="122">IF(V237=0,0,IF($G$15&gt;(AA237/V237)^(1/5)-1+2%,AA237*(AA237/V237)^(1/5)/($G$15-((AA237/V237)^(1/5)-1)),AA237*(1+$G$14)/$G$16))</f>
        <v>321222605.52141374</v>
      </c>
    </row>
    <row r="238" spans="4:28" x14ac:dyDescent="0.25">
      <c r="E238" s="47" t="s">
        <v>701</v>
      </c>
      <c r="F238" s="47" t="s">
        <v>639</v>
      </c>
      <c r="G238" s="106">
        <f t="shared" ref="G238:AA238" si="123">G224</f>
        <v>0</v>
      </c>
      <c r="H238" s="106">
        <f t="shared" si="123"/>
        <v>-54422.36009322419</v>
      </c>
      <c r="I238" s="106">
        <f t="shared" si="123"/>
        <v>-109526.15416132481</v>
      </c>
      <c r="J238" s="106">
        <f t="shared" si="123"/>
        <v>-155605.36159586447</v>
      </c>
      <c r="K238" s="106">
        <f t="shared" si="123"/>
        <v>-199280.39103007439</v>
      </c>
      <c r="L238" s="106">
        <f t="shared" si="123"/>
        <v>-240665.27920261683</v>
      </c>
      <c r="M238" s="106">
        <f t="shared" si="123"/>
        <v>-282179.94059530948</v>
      </c>
      <c r="N238" s="106">
        <f t="shared" si="123"/>
        <v>-324349.08335132396</v>
      </c>
      <c r="O238" s="106">
        <f t="shared" si="123"/>
        <v>-369260.42910360516</v>
      </c>
      <c r="P238" s="106">
        <f t="shared" si="123"/>
        <v>-415931.0703474172</v>
      </c>
      <c r="Q238" s="106">
        <f t="shared" si="123"/>
        <v>-463166.36369997112</v>
      </c>
      <c r="R238" s="106">
        <f t="shared" si="123"/>
        <v>-510158.60982298886</v>
      </c>
      <c r="S238" s="106">
        <f t="shared" si="123"/>
        <v>-554971.4586728781</v>
      </c>
      <c r="T238" s="106">
        <f t="shared" si="123"/>
        <v>-596774.59057751088</v>
      </c>
      <c r="U238" s="106">
        <f t="shared" si="123"/>
        <v>-636313.66599131213</v>
      </c>
      <c r="V238" s="106">
        <f t="shared" si="123"/>
        <v>-673980.54576109431</v>
      </c>
      <c r="W238" s="106">
        <f t="shared" si="123"/>
        <v>-707245.34529324202</v>
      </c>
      <c r="X238" s="106">
        <f t="shared" si="123"/>
        <v>-737016.16464506777</v>
      </c>
      <c r="Y238" s="106">
        <f t="shared" si="123"/>
        <v>-762488.3633353957</v>
      </c>
      <c r="Z238" s="106">
        <f t="shared" si="123"/>
        <v>-784092.86669166654</v>
      </c>
      <c r="AA238" s="106">
        <f t="shared" si="123"/>
        <v>-802674.74174081546</v>
      </c>
      <c r="AB238" s="106">
        <f t="shared" si="122"/>
        <v>-33306005.881361622</v>
      </c>
    </row>
    <row r="239" spans="4:28" x14ac:dyDescent="0.25">
      <c r="E239" s="47" t="s">
        <v>702</v>
      </c>
      <c r="F239" s="47" t="s">
        <v>639</v>
      </c>
      <c r="G239" s="106">
        <f t="shared" ref="G239:AA239" si="124">-G200</f>
        <v>0</v>
      </c>
      <c r="H239" s="106">
        <f t="shared" si="124"/>
        <v>-2305442.8883808125</v>
      </c>
      <c r="I239" s="106">
        <f t="shared" si="124"/>
        <v>-4312697.0962773617</v>
      </c>
      <c r="J239" s="106">
        <f t="shared" si="124"/>
        <v>-5810245.751626296</v>
      </c>
      <c r="K239" s="106">
        <f t="shared" si="124"/>
        <v>-7162828.391532761</v>
      </c>
      <c r="L239" s="106">
        <f t="shared" si="124"/>
        <v>-8391389.3910458013</v>
      </c>
      <c r="M239" s="106">
        <f t="shared" si="124"/>
        <v>-9540528.4083044026</v>
      </c>
      <c r="N239" s="106">
        <f t="shared" si="124"/>
        <v>-10587099.64211314</v>
      </c>
      <c r="O239" s="106">
        <f t="shared" si="124"/>
        <v>-11601390.873014661</v>
      </c>
      <c r="P239" s="106">
        <f t="shared" si="124"/>
        <v>-12566340.410814656</v>
      </c>
      <c r="Q239" s="106">
        <f t="shared" si="124"/>
        <v>-13898919.226522906</v>
      </c>
      <c r="R239" s="106">
        <f t="shared" si="124"/>
        <v>-15211744.798865344</v>
      </c>
      <c r="S239" s="106">
        <f t="shared" si="124"/>
        <v>-16438346.984121433</v>
      </c>
      <c r="T239" s="106">
        <f t="shared" si="124"/>
        <v>-17530668.657289751</v>
      </c>
      <c r="U239" s="106">
        <f t="shared" si="124"/>
        <v>-18509445.264748458</v>
      </c>
      <c r="V239" s="106">
        <f t="shared" si="124"/>
        <v>-19393898.414706726</v>
      </c>
      <c r="W239" s="106">
        <f t="shared" si="124"/>
        <v>-20193802.946093597</v>
      </c>
      <c r="X239" s="106">
        <f t="shared" si="124"/>
        <v>-20966893.413858406</v>
      </c>
      <c r="Y239" s="106">
        <f t="shared" si="124"/>
        <v>-21663128.113645215</v>
      </c>
      <c r="Z239" s="106">
        <f t="shared" si="124"/>
        <v>-22275555.956576508</v>
      </c>
      <c r="AA239" s="106">
        <f t="shared" si="124"/>
        <v>-22803454.64692156</v>
      </c>
      <c r="AB239" s="106">
        <f t="shared" si="122"/>
        <v>-946201437.63159955</v>
      </c>
    </row>
    <row r="240" spans="4:28" x14ac:dyDescent="0.25">
      <c r="E240" s="47" t="s">
        <v>709</v>
      </c>
      <c r="F240" s="47" t="s">
        <v>639</v>
      </c>
      <c r="G240" s="106">
        <f t="shared" ref="G240:AA240" si="125">G207</f>
        <v>0</v>
      </c>
      <c r="H240" s="106">
        <f t="shared" si="125"/>
        <v>0</v>
      </c>
      <c r="I240" s="106">
        <f t="shared" si="125"/>
        <v>0</v>
      </c>
      <c r="J240" s="106">
        <f t="shared" si="125"/>
        <v>0</v>
      </c>
      <c r="K240" s="106">
        <f t="shared" si="125"/>
        <v>0</v>
      </c>
      <c r="L240" s="106">
        <f t="shared" si="125"/>
        <v>0</v>
      </c>
      <c r="M240" s="106">
        <f t="shared" si="125"/>
        <v>0</v>
      </c>
      <c r="N240" s="106">
        <f t="shared" si="125"/>
        <v>0</v>
      </c>
      <c r="O240" s="106">
        <f t="shared" si="125"/>
        <v>0</v>
      </c>
      <c r="P240" s="106">
        <f t="shared" si="125"/>
        <v>0</v>
      </c>
      <c r="Q240" s="106">
        <f t="shared" si="125"/>
        <v>0</v>
      </c>
      <c r="R240" s="106">
        <f t="shared" si="125"/>
        <v>0</v>
      </c>
      <c r="S240" s="106">
        <f t="shared" si="125"/>
        <v>0</v>
      </c>
      <c r="T240" s="106">
        <f t="shared" si="125"/>
        <v>0</v>
      </c>
      <c r="U240" s="106">
        <f t="shared" si="125"/>
        <v>0</v>
      </c>
      <c r="V240" s="106">
        <f t="shared" si="125"/>
        <v>0</v>
      </c>
      <c r="W240" s="106">
        <f t="shared" si="125"/>
        <v>0</v>
      </c>
      <c r="X240" s="106">
        <f t="shared" si="125"/>
        <v>0</v>
      </c>
      <c r="Y240" s="106">
        <f t="shared" si="125"/>
        <v>0</v>
      </c>
      <c r="Z240" s="106">
        <f t="shared" si="125"/>
        <v>0</v>
      </c>
      <c r="AA240" s="106">
        <f t="shared" si="125"/>
        <v>0</v>
      </c>
      <c r="AB240" s="106">
        <f t="shared" si="122"/>
        <v>0</v>
      </c>
    </row>
    <row r="241" spans="3:40" x14ac:dyDescent="0.25">
      <c r="E241" s="47" t="s">
        <v>714</v>
      </c>
      <c r="F241" s="47" t="s">
        <v>639</v>
      </c>
      <c r="G241" s="106">
        <f t="shared" ref="G241:AA241" si="126">G214</f>
        <v>0</v>
      </c>
      <c r="H241" s="106">
        <f t="shared" si="126"/>
        <v>0</v>
      </c>
      <c r="I241" s="106">
        <f t="shared" si="126"/>
        <v>0</v>
      </c>
      <c r="J241" s="106">
        <f t="shared" si="126"/>
        <v>0</v>
      </c>
      <c r="K241" s="106">
        <f t="shared" si="126"/>
        <v>0</v>
      </c>
      <c r="L241" s="106">
        <f t="shared" si="126"/>
        <v>0</v>
      </c>
      <c r="M241" s="106">
        <f t="shared" si="126"/>
        <v>0</v>
      </c>
      <c r="N241" s="106">
        <f t="shared" si="126"/>
        <v>0</v>
      </c>
      <c r="O241" s="106">
        <f t="shared" si="126"/>
        <v>0</v>
      </c>
      <c r="P241" s="106">
        <f t="shared" si="126"/>
        <v>0</v>
      </c>
      <c r="Q241" s="106">
        <f t="shared" si="126"/>
        <v>0</v>
      </c>
      <c r="R241" s="106">
        <f t="shared" si="126"/>
        <v>0</v>
      </c>
      <c r="S241" s="106">
        <f t="shared" si="126"/>
        <v>0</v>
      </c>
      <c r="T241" s="106">
        <f t="shared" si="126"/>
        <v>0</v>
      </c>
      <c r="U241" s="106">
        <f t="shared" si="126"/>
        <v>0</v>
      </c>
      <c r="V241" s="106">
        <f t="shared" si="126"/>
        <v>0</v>
      </c>
      <c r="W241" s="106">
        <f t="shared" si="126"/>
        <v>0</v>
      </c>
      <c r="X241" s="106">
        <f t="shared" si="126"/>
        <v>0</v>
      </c>
      <c r="Y241" s="106">
        <f t="shared" si="126"/>
        <v>0</v>
      </c>
      <c r="Z241" s="106">
        <f t="shared" si="126"/>
        <v>0</v>
      </c>
      <c r="AA241" s="106">
        <f t="shared" si="126"/>
        <v>0</v>
      </c>
      <c r="AB241" s="106">
        <f t="shared" si="122"/>
        <v>0</v>
      </c>
    </row>
    <row r="242" spans="3:40" x14ac:dyDescent="0.25">
      <c r="E242" s="47" t="s">
        <v>458</v>
      </c>
      <c r="F242" s="47" t="s">
        <v>639</v>
      </c>
      <c r="G242" s="106">
        <f t="shared" ref="G242:AA242" si="127">G231</f>
        <v>0</v>
      </c>
      <c r="H242" s="106">
        <f t="shared" si="127"/>
        <v>-14156651.218764285</v>
      </c>
      <c r="I242" s="106">
        <f t="shared" si="127"/>
        <v>-14021411.348869823</v>
      </c>
      <c r="J242" s="106">
        <f t="shared" si="127"/>
        <v>-11964548.697216706</v>
      </c>
      <c r="K242" s="106">
        <f t="shared" si="127"/>
        <v>-11474716.571226954</v>
      </c>
      <c r="L242" s="106">
        <f t="shared" si="127"/>
        <v>-10456037.39154152</v>
      </c>
      <c r="M242" s="106">
        <f t="shared" si="127"/>
        <v>-10205651.058051551</v>
      </c>
      <c r="N242" s="106">
        <f t="shared" si="127"/>
        <v>-9721404.9636240155</v>
      </c>
      <c r="O242" s="106">
        <f t="shared" si="127"/>
        <v>-9853097.9941231105</v>
      </c>
      <c r="P242" s="106">
        <f t="shared" si="127"/>
        <v>-9791132.2214603294</v>
      </c>
      <c r="Q242" s="106">
        <f t="shared" si="127"/>
        <v>-8984323.1650717016</v>
      </c>
      <c r="R242" s="106">
        <f t="shared" si="127"/>
        <v>-8442555.8249287698</v>
      </c>
      <c r="S242" s="106">
        <f t="shared" si="127"/>
        <v>-7297627.0639012614</v>
      </c>
      <c r="T242" s="106">
        <f t="shared" si="127"/>
        <v>-5734543.5964215444</v>
      </c>
      <c r="U242" s="106">
        <f t="shared" si="127"/>
        <v>-4394265.9814926768</v>
      </c>
      <c r="V242" s="106">
        <f t="shared" si="127"/>
        <v>-3020343.3807667675</v>
      </c>
      <c r="W242" s="106">
        <f t="shared" si="127"/>
        <v>-1978871.0831425153</v>
      </c>
      <c r="X242" s="106">
        <f t="shared" si="127"/>
        <v>-1479758.675348649</v>
      </c>
      <c r="Y242" s="106">
        <f t="shared" si="127"/>
        <v>-525226.54201842472</v>
      </c>
      <c r="Z242" s="106">
        <f t="shared" si="127"/>
        <v>477524.63560766331</v>
      </c>
      <c r="AA242" s="106">
        <f t="shared" si="127"/>
        <v>1468093.7261494126</v>
      </c>
      <c r="AB242" s="106">
        <f>IF(V242=0,0,IF($G$15&gt;(AA242/V242)^(1/5)-1+2%,AA242*(AA242/V242)^(1/5)/($G$15-((AA242/V242)^(1/5)-1)),AA242*(1+$G$14)/$G$16))</f>
        <v>-672496.80059701507</v>
      </c>
      <c r="AN242" s="104"/>
    </row>
    <row r="243" spans="3:40" x14ac:dyDescent="0.25">
      <c r="E243" s="47" t="s">
        <v>730</v>
      </c>
      <c r="F243" s="47" t="s">
        <v>639</v>
      </c>
      <c r="G243" s="106">
        <f>-$G$17*G242</f>
        <v>0</v>
      </c>
      <c r="H243" s="106">
        <f t="shared" ref="H243:AA243" si="128">-$G$17*H242</f>
        <v>7078325.6093821423</v>
      </c>
      <c r="I243" s="106">
        <f t="shared" si="128"/>
        <v>7010705.6744349115</v>
      </c>
      <c r="J243" s="106">
        <f t="shared" si="128"/>
        <v>5982274.3486083532</v>
      </c>
      <c r="K243" s="106">
        <f t="shared" si="128"/>
        <v>5737358.2856134772</v>
      </c>
      <c r="L243" s="106">
        <f t="shared" si="128"/>
        <v>5228018.6957707601</v>
      </c>
      <c r="M243" s="106">
        <f t="shared" si="128"/>
        <v>5102825.5290257754</v>
      </c>
      <c r="N243" s="106">
        <f t="shared" si="128"/>
        <v>4860702.4818120077</v>
      </c>
      <c r="O243" s="106">
        <f t="shared" si="128"/>
        <v>4926548.9970615553</v>
      </c>
      <c r="P243" s="106">
        <f t="shared" si="128"/>
        <v>4895566.1107301647</v>
      </c>
      <c r="Q243" s="106">
        <f t="shared" si="128"/>
        <v>4492161.5825358508</v>
      </c>
      <c r="R243" s="106">
        <f t="shared" si="128"/>
        <v>4221277.9124643849</v>
      </c>
      <c r="S243" s="106">
        <f t="shared" si="128"/>
        <v>3648813.5319506307</v>
      </c>
      <c r="T243" s="106">
        <f t="shared" si="128"/>
        <v>2867271.7982107722</v>
      </c>
      <c r="U243" s="106">
        <f t="shared" si="128"/>
        <v>2197132.9907463384</v>
      </c>
      <c r="V243" s="106">
        <f t="shared" si="128"/>
        <v>1510171.6903833838</v>
      </c>
      <c r="W243" s="106">
        <f t="shared" si="128"/>
        <v>989435.54157125764</v>
      </c>
      <c r="X243" s="106">
        <f t="shared" si="128"/>
        <v>739879.33767432452</v>
      </c>
      <c r="Y243" s="106">
        <f t="shared" si="128"/>
        <v>262613.27100921236</v>
      </c>
      <c r="Z243" s="106">
        <f t="shared" si="128"/>
        <v>-238762.31780383165</v>
      </c>
      <c r="AA243" s="106">
        <f t="shared" si="128"/>
        <v>-734046.86307470629</v>
      </c>
      <c r="AB243" s="106">
        <f t="shared" ref="AB243" si="129">IF(V243=0,0,IF($G$15&gt;(AA243/V243)^(1/5)-1+2%,AA243*(AA243/V243)^(1/5)/($G$15-((AA243/V243)^(1/5)-1)),AA243*(1+$G$14)/$G$16))</f>
        <v>336248.40029850753</v>
      </c>
    </row>
    <row r="244" spans="3:40" x14ac:dyDescent="0.25">
      <c r="E244" s="47" t="s">
        <v>731</v>
      </c>
      <c r="F244" s="47" t="s">
        <v>639</v>
      </c>
      <c r="G244" s="116">
        <f>SUM(G234:G243)</f>
        <v>0</v>
      </c>
      <c r="H244" s="116">
        <f>SUM(H234:H243)</f>
        <v>-13104118.960962784</v>
      </c>
      <c r="I244" s="116">
        <f t="shared" ref="I244:Z244" si="130">SUM(I234:I243)</f>
        <v>-11188324.486115996</v>
      </c>
      <c r="J244" s="116">
        <f t="shared" si="130"/>
        <v>-10579790.300712205</v>
      </c>
      <c r="K244" s="116">
        <f t="shared" si="130"/>
        <v>-11160314.098921217</v>
      </c>
      <c r="L244" s="116">
        <f t="shared" si="130"/>
        <v>-17853950.717308287</v>
      </c>
      <c r="M244" s="116">
        <f t="shared" si="130"/>
        <v>-29909549.325307984</v>
      </c>
      <c r="N244" s="116">
        <f t="shared" si="130"/>
        <v>-40050870.816260383</v>
      </c>
      <c r="O244" s="116">
        <f t="shared" si="130"/>
        <v>-51176729.180261768</v>
      </c>
      <c r="P244" s="116">
        <f t="shared" si="130"/>
        <v>-36930733.63316039</v>
      </c>
      <c r="Q244" s="116">
        <f t="shared" si="130"/>
        <v>-37372746.328470975</v>
      </c>
      <c r="R244" s="116">
        <f t="shared" si="130"/>
        <v>-37954907.640962027</v>
      </c>
      <c r="S244" s="116">
        <f t="shared" si="130"/>
        <v>-38172317.192588903</v>
      </c>
      <c r="T244" s="116">
        <f t="shared" si="130"/>
        <v>-38079241.390242852</v>
      </c>
      <c r="U244" s="116">
        <f t="shared" si="130"/>
        <v>-38009606.84187977</v>
      </c>
      <c r="V244" s="116">
        <f t="shared" si="130"/>
        <v>-38641615.261756398</v>
      </c>
      <c r="W244" s="116">
        <f t="shared" si="130"/>
        <v>-38642052.21506682</v>
      </c>
      <c r="X244" s="116">
        <f t="shared" si="130"/>
        <v>-38912651.608467445</v>
      </c>
      <c r="Y244" s="116">
        <f t="shared" si="130"/>
        <v>-38913091.392466001</v>
      </c>
      <c r="Z244" s="116">
        <f t="shared" si="130"/>
        <v>-38837463.304852828</v>
      </c>
      <c r="AA244" s="116">
        <f>SUM(AA234:AA243)</f>
        <v>-38709444.851165555</v>
      </c>
      <c r="AB244" s="116">
        <f>SUM(AB234:AB243)</f>
        <v>-658621086.39184594</v>
      </c>
    </row>
    <row r="245" spans="3:40" x14ac:dyDescent="0.25">
      <c r="E245" s="47" t="s">
        <v>732</v>
      </c>
      <c r="F245" s="47" t="s">
        <v>639</v>
      </c>
      <c r="G245" s="116">
        <f>NPV($G$15,H244:AA244)+G244</f>
        <v>-487246518.4341355</v>
      </c>
      <c r="H245" s="48"/>
      <c r="I245" s="48"/>
      <c r="J245" s="48"/>
      <c r="K245" s="48"/>
      <c r="L245" s="48"/>
      <c r="M245" s="48"/>
      <c r="N245" s="48"/>
      <c r="O245" s="48"/>
      <c r="P245" s="48"/>
      <c r="Q245" s="48"/>
      <c r="R245" s="48"/>
      <c r="S245" s="48"/>
      <c r="T245" s="48"/>
      <c r="U245" s="48"/>
      <c r="V245" s="48"/>
      <c r="W245" s="48"/>
      <c r="X245" s="48"/>
      <c r="Y245" s="48"/>
      <c r="Z245" s="48"/>
      <c r="AA245" s="48"/>
      <c r="AB245" s="48"/>
    </row>
    <row r="246" spans="3:40" x14ac:dyDescent="0.25">
      <c r="G246" s="48"/>
      <c r="H246" s="48"/>
      <c r="I246" s="48"/>
      <c r="J246" s="48"/>
      <c r="K246" s="48"/>
      <c r="L246" s="48"/>
      <c r="M246" s="48"/>
      <c r="N246" s="48"/>
      <c r="O246" s="48"/>
      <c r="P246" s="48"/>
      <c r="Q246" s="48"/>
      <c r="R246" s="48"/>
      <c r="S246" s="48"/>
      <c r="T246" s="48"/>
      <c r="U246" s="48"/>
      <c r="V246" s="48"/>
      <c r="W246" s="48"/>
      <c r="X246" s="48"/>
      <c r="Y246" s="48"/>
      <c r="Z246" s="48"/>
      <c r="AA246" s="48"/>
      <c r="AB246" s="48"/>
    </row>
    <row r="247" spans="3:40" x14ac:dyDescent="0.25">
      <c r="E247" s="47" t="s">
        <v>725</v>
      </c>
      <c r="F247" s="47" t="s">
        <v>639</v>
      </c>
      <c r="G247" s="48"/>
      <c r="H247" s="116">
        <f t="shared" ref="H247:AA247" si="131">H219</f>
        <v>41930345.153435759</v>
      </c>
      <c r="I247" s="116">
        <f t="shared" si="131"/>
        <v>42726524.945597768</v>
      </c>
      <c r="J247" s="116">
        <f t="shared" si="131"/>
        <v>36553381.73821114</v>
      </c>
      <c r="K247" s="116">
        <f t="shared" si="131"/>
        <v>35566892.6858548</v>
      </c>
      <c r="L247" s="116">
        <f t="shared" si="131"/>
        <v>34400575.227130316</v>
      </c>
      <c r="M247" s="116">
        <f t="shared" si="131"/>
        <v>34457567.606635831</v>
      </c>
      <c r="N247" s="116">
        <f t="shared" si="131"/>
        <v>33852840.033167101</v>
      </c>
      <c r="O247" s="116">
        <f t="shared" si="131"/>
        <v>35012123.460197307</v>
      </c>
      <c r="P247" s="116">
        <f t="shared" si="131"/>
        <v>35407572.533404209</v>
      </c>
      <c r="Q247" s="116">
        <f t="shared" si="131"/>
        <v>34984582.798592955</v>
      </c>
      <c r="R247" s="116">
        <f t="shared" si="131"/>
        <v>34465995.102371261</v>
      </c>
      <c r="S247" s="116">
        <f t="shared" si="131"/>
        <v>32202347.212175455</v>
      </c>
      <c r="T247" s="116">
        <f t="shared" si="131"/>
        <v>28677041.513183694</v>
      </c>
      <c r="U247" s="116">
        <f t="shared" si="131"/>
        <v>25696109.574401267</v>
      </c>
      <c r="V247" s="116">
        <f t="shared" si="131"/>
        <v>23219808.158023171</v>
      </c>
      <c r="W247" s="116">
        <f t="shared" si="131"/>
        <v>21000128.457242776</v>
      </c>
      <c r="X247" s="116">
        <f t="shared" si="131"/>
        <v>20296170.974282045</v>
      </c>
      <c r="Y247" s="116">
        <f t="shared" si="131"/>
        <v>18278453.938200533</v>
      </c>
      <c r="Z247" s="116">
        <f t="shared" si="131"/>
        <v>16078247.925475353</v>
      </c>
      <c r="AA247" s="116">
        <f t="shared" si="131"/>
        <v>13859079.27091698</v>
      </c>
      <c r="AB247" s="48"/>
    </row>
    <row r="248" spans="3:40" x14ac:dyDescent="0.25">
      <c r="E248" s="47" t="s">
        <v>733</v>
      </c>
      <c r="F248" s="47" t="s">
        <v>639</v>
      </c>
      <c r="G248" s="117">
        <f>NPV($G$15,H247:AA247)+G247</f>
        <v>487246518.4341355</v>
      </c>
      <c r="H248" s="48"/>
      <c r="I248" s="48"/>
      <c r="J248" s="48"/>
      <c r="K248" s="48"/>
      <c r="L248" s="48"/>
      <c r="M248" s="48"/>
      <c r="N248" s="48"/>
      <c r="O248" s="48"/>
      <c r="P248" s="48"/>
      <c r="Q248" s="48"/>
      <c r="R248" s="48"/>
      <c r="S248" s="48"/>
      <c r="T248" s="48"/>
      <c r="U248" s="48"/>
      <c r="V248" s="48"/>
      <c r="W248" s="48"/>
      <c r="X248" s="48"/>
      <c r="Y248" s="48"/>
      <c r="Z248" s="48"/>
      <c r="AA248" s="48"/>
      <c r="AB248" s="48"/>
    </row>
    <row r="249" spans="3:40" x14ac:dyDescent="0.25">
      <c r="E249" s="111" t="s">
        <v>734</v>
      </c>
      <c r="F249" s="111"/>
      <c r="G249" s="118" t="str">
        <f>IF(G245&gt;0,"N/A",IF(ABS(G245+G248)&gt;1,"Error","OK"))</f>
        <v>OK</v>
      </c>
    </row>
    <row r="251" spans="3:40" hidden="1" x14ac:dyDescent="0.25">
      <c r="C251" s="100" t="s">
        <v>735</v>
      </c>
      <c r="D251" s="100"/>
    </row>
    <row r="252" spans="3:40" hidden="1" x14ac:dyDescent="0.25">
      <c r="C252" s="100"/>
      <c r="D252" s="100"/>
    </row>
    <row r="253" spans="3:40" hidden="1" x14ac:dyDescent="0.25">
      <c r="C253" s="100"/>
      <c r="D253" s="47" t="s">
        <v>735</v>
      </c>
      <c r="F253" s="47" t="s">
        <v>639</v>
      </c>
      <c r="G253" s="115" t="e">
        <f>MAX(0,-G279)</f>
        <v>#REF!</v>
      </c>
    </row>
    <row r="254" spans="3:40" hidden="1" x14ac:dyDescent="0.25"/>
    <row r="255" spans="3:40" hidden="1" x14ac:dyDescent="0.25">
      <c r="D255" s="47" t="s">
        <v>722</v>
      </c>
    </row>
    <row r="256" spans="3:40" hidden="1" x14ac:dyDescent="0.25">
      <c r="E256" s="47" t="s">
        <v>573</v>
      </c>
      <c r="F256" s="47" t="s">
        <v>639</v>
      </c>
      <c r="G256" s="106">
        <f t="shared" ref="G256:AA261" si="132">G222</f>
        <v>0</v>
      </c>
      <c r="H256" s="106">
        <f t="shared" si="132"/>
        <v>7078833.1890508123</v>
      </c>
      <c r="I256" s="106">
        <f t="shared" si="132"/>
        <v>7300612.9780549556</v>
      </c>
      <c r="J256" s="106">
        <f t="shared" si="132"/>
        <v>7664083.6733834883</v>
      </c>
      <c r="K256" s="106">
        <f t="shared" si="132"/>
        <v>7937810.4700211519</v>
      </c>
      <c r="L256" s="106">
        <f t="shared" si="132"/>
        <v>6573437.9304173952</v>
      </c>
      <c r="M256" s="106">
        <f t="shared" si="132"/>
        <v>6584328.3259038888</v>
      </c>
      <c r="N256" s="106">
        <f t="shared" si="132"/>
        <v>6468773.886980623</v>
      </c>
      <c r="O256" s="106">
        <f t="shared" si="132"/>
        <v>6690295.6958756866</v>
      </c>
      <c r="P256" s="106">
        <f t="shared" si="132"/>
        <v>6765860.1281621726</v>
      </c>
      <c r="Q256" s="106">
        <f t="shared" si="132"/>
        <v>6685033.0853401497</v>
      </c>
      <c r="R256" s="106">
        <f t="shared" si="132"/>
        <v>6585938.6949096369</v>
      </c>
      <c r="S256" s="106">
        <f t="shared" si="132"/>
        <v>6153389.2737363772</v>
      </c>
      <c r="T256" s="106">
        <f t="shared" si="132"/>
        <v>5479755.8229854377</v>
      </c>
      <c r="U256" s="106">
        <f t="shared" si="132"/>
        <v>4910144.0957102692</v>
      </c>
      <c r="V256" s="106">
        <f t="shared" si="132"/>
        <v>4436959.7506784908</v>
      </c>
      <c r="W256" s="106">
        <f t="shared" si="132"/>
        <v>4012811.9961089646</v>
      </c>
      <c r="X256" s="106">
        <f t="shared" si="132"/>
        <v>3878296.1983543457</v>
      </c>
      <c r="Y256" s="106">
        <f t="shared" si="132"/>
        <v>3492740.5031295945</v>
      </c>
      <c r="Z256" s="106">
        <f t="shared" si="132"/>
        <v>3072313.8805138827</v>
      </c>
      <c r="AA256" s="106">
        <f t="shared" si="132"/>
        <v>2648263.7792713102</v>
      </c>
    </row>
    <row r="257" spans="4:28" hidden="1" x14ac:dyDescent="0.25">
      <c r="E257" s="47" t="s">
        <v>723</v>
      </c>
      <c r="F257" s="47" t="s">
        <v>639</v>
      </c>
      <c r="G257" s="106">
        <f t="shared" si="132"/>
        <v>0</v>
      </c>
      <c r="H257" s="106">
        <f t="shared" si="132"/>
        <v>666314.02764398535</v>
      </c>
      <c r="I257" s="106">
        <f t="shared" si="132"/>
        <v>1353350.2014694605</v>
      </c>
      <c r="J257" s="106">
        <f t="shared" si="132"/>
        <v>1941971.964992397</v>
      </c>
      <c r="K257" s="106">
        <f t="shared" si="132"/>
        <v>2512789.7731291857</v>
      </c>
      <c r="L257" s="106">
        <f t="shared" si="132"/>
        <v>3069346.8617859194</v>
      </c>
      <c r="M257" s="106">
        <f t="shared" si="132"/>
        <v>3637562.2765883664</v>
      </c>
      <c r="N257" s="106">
        <f t="shared" si="132"/>
        <v>4220969.4951321799</v>
      </c>
      <c r="O257" s="106">
        <f t="shared" si="132"/>
        <v>4847424.1455522515</v>
      </c>
      <c r="P257" s="106">
        <f t="shared" si="132"/>
        <v>5529795.4841554686</v>
      </c>
      <c r="Q257" s="106">
        <f t="shared" si="132"/>
        <v>5060327.9629317196</v>
      </c>
      <c r="R257" s="106">
        <f t="shared" si="132"/>
        <v>5567100.7988346471</v>
      </c>
      <c r="S257" s="106">
        <f t="shared" si="132"/>
        <v>6048641.900799999</v>
      </c>
      <c r="T257" s="106">
        <f t="shared" si="132"/>
        <v>6494300.7744791489</v>
      </c>
      <c r="U257" s="106">
        <f t="shared" si="132"/>
        <v>6912112.1982502947</v>
      </c>
      <c r="V257" s="106">
        <f t="shared" si="132"/>
        <v>6515262.5077387691</v>
      </c>
      <c r="W257" s="106">
        <f t="shared" si="132"/>
        <v>6827258.7365352362</v>
      </c>
      <c r="X257" s="106">
        <f t="shared" si="132"/>
        <v>7109964.4263543151</v>
      </c>
      <c r="Y257" s="106">
        <f t="shared" si="132"/>
        <v>7353965.474167781</v>
      </c>
      <c r="Z257" s="106">
        <f t="shared" si="132"/>
        <v>7562250.319255474</v>
      </c>
      <c r="AA257" s="106">
        <f t="shared" si="132"/>
        <v>7741464.7930660751</v>
      </c>
    </row>
    <row r="258" spans="4:28" hidden="1" x14ac:dyDescent="0.25">
      <c r="E258" s="47" t="s">
        <v>701</v>
      </c>
      <c r="F258" s="47" t="s">
        <v>639</v>
      </c>
      <c r="G258" s="106">
        <f t="shared" si="132"/>
        <v>0</v>
      </c>
      <c r="H258" s="106">
        <f t="shared" si="132"/>
        <v>-54422.36009322419</v>
      </c>
      <c r="I258" s="106">
        <f t="shared" si="132"/>
        <v>-109526.15416132481</v>
      </c>
      <c r="J258" s="106">
        <f t="shared" si="132"/>
        <v>-155605.36159586447</v>
      </c>
      <c r="K258" s="106">
        <f t="shared" si="132"/>
        <v>-199280.39103007439</v>
      </c>
      <c r="L258" s="106">
        <f t="shared" si="132"/>
        <v>-240665.27920261683</v>
      </c>
      <c r="M258" s="106">
        <f t="shared" si="132"/>
        <v>-282179.94059530948</v>
      </c>
      <c r="N258" s="106">
        <f t="shared" si="132"/>
        <v>-324349.08335132396</v>
      </c>
      <c r="O258" s="106">
        <f t="shared" si="132"/>
        <v>-369260.42910360516</v>
      </c>
      <c r="P258" s="106">
        <f t="shared" si="132"/>
        <v>-415931.0703474172</v>
      </c>
      <c r="Q258" s="106">
        <f t="shared" si="132"/>
        <v>-463166.36369997112</v>
      </c>
      <c r="R258" s="106">
        <f t="shared" si="132"/>
        <v>-510158.60982298886</v>
      </c>
      <c r="S258" s="106">
        <f t="shared" si="132"/>
        <v>-554971.4586728781</v>
      </c>
      <c r="T258" s="106">
        <f t="shared" si="132"/>
        <v>-596774.59057751088</v>
      </c>
      <c r="U258" s="106">
        <f t="shared" si="132"/>
        <v>-636313.66599131213</v>
      </c>
      <c r="V258" s="106">
        <f t="shared" si="132"/>
        <v>-673980.54576109431</v>
      </c>
      <c r="W258" s="106">
        <f t="shared" si="132"/>
        <v>-707245.34529324202</v>
      </c>
      <c r="X258" s="106">
        <f t="shared" si="132"/>
        <v>-737016.16464506777</v>
      </c>
      <c r="Y258" s="106">
        <f t="shared" si="132"/>
        <v>-762488.3633353957</v>
      </c>
      <c r="Z258" s="106">
        <f t="shared" si="132"/>
        <v>-784092.86669166654</v>
      </c>
      <c r="AA258" s="106">
        <f t="shared" si="132"/>
        <v>-802674.74174081546</v>
      </c>
    </row>
    <row r="259" spans="4:28" hidden="1" x14ac:dyDescent="0.25">
      <c r="E259" s="47" t="s">
        <v>702</v>
      </c>
      <c r="F259" s="47" t="s">
        <v>639</v>
      </c>
      <c r="G259" s="106">
        <f t="shared" si="132"/>
        <v>0</v>
      </c>
      <c r="H259" s="106">
        <f t="shared" si="132"/>
        <v>-2305442.8883808125</v>
      </c>
      <c r="I259" s="106">
        <f t="shared" si="132"/>
        <v>-4312697.0962773617</v>
      </c>
      <c r="J259" s="106">
        <f t="shared" si="132"/>
        <v>-5810245.751626296</v>
      </c>
      <c r="K259" s="106">
        <f t="shared" si="132"/>
        <v>-7162828.391532761</v>
      </c>
      <c r="L259" s="106">
        <f t="shared" si="132"/>
        <v>-8391389.3910458013</v>
      </c>
      <c r="M259" s="106">
        <f t="shared" si="132"/>
        <v>-9540528.4083044026</v>
      </c>
      <c r="N259" s="106">
        <f t="shared" si="132"/>
        <v>-10587099.64211314</v>
      </c>
      <c r="O259" s="106">
        <f t="shared" si="132"/>
        <v>-11601390.873014661</v>
      </c>
      <c r="P259" s="106">
        <f t="shared" si="132"/>
        <v>-12566340.410814656</v>
      </c>
      <c r="Q259" s="106">
        <f t="shared" si="132"/>
        <v>-13898919.226522906</v>
      </c>
      <c r="R259" s="106">
        <f t="shared" si="132"/>
        <v>-15211744.798865344</v>
      </c>
      <c r="S259" s="106">
        <f t="shared" si="132"/>
        <v>-16438346.984121433</v>
      </c>
      <c r="T259" s="106">
        <f t="shared" si="132"/>
        <v>-17530668.657289751</v>
      </c>
      <c r="U259" s="106">
        <f t="shared" si="132"/>
        <v>-18509445.264748458</v>
      </c>
      <c r="V259" s="106">
        <f t="shared" si="132"/>
        <v>-19393898.414706726</v>
      </c>
      <c r="W259" s="106">
        <f t="shared" si="132"/>
        <v>-20193802.946093597</v>
      </c>
      <c r="X259" s="106">
        <f t="shared" si="132"/>
        <v>-20966893.413858406</v>
      </c>
      <c r="Y259" s="106">
        <f t="shared" si="132"/>
        <v>-21663128.113645215</v>
      </c>
      <c r="Z259" s="106">
        <f t="shared" si="132"/>
        <v>-22275555.956576508</v>
      </c>
      <c r="AA259" s="106">
        <f t="shared" si="132"/>
        <v>-22803454.64692156</v>
      </c>
    </row>
    <row r="260" spans="4:28" hidden="1" x14ac:dyDescent="0.25">
      <c r="E260" s="47" t="s">
        <v>724</v>
      </c>
      <c r="F260" s="47" t="s">
        <v>639</v>
      </c>
      <c r="G260" s="106">
        <f t="shared" si="132"/>
        <v>0</v>
      </c>
      <c r="H260" s="106">
        <f t="shared" si="132"/>
        <v>-126789.72577557113</v>
      </c>
      <c r="I260" s="106">
        <f t="shared" si="132"/>
        <v>-220227.04511742463</v>
      </c>
      <c r="J260" s="106">
        <f t="shared" si="132"/>
        <v>-311757.27264250885</v>
      </c>
      <c r="K260" s="106">
        <f t="shared" si="132"/>
        <v>-406328.90901912266</v>
      </c>
      <c r="L260" s="106">
        <f t="shared" si="132"/>
        <v>-557847.37728014961</v>
      </c>
      <c r="M260" s="106">
        <f t="shared" si="132"/>
        <v>-837913.0000565357</v>
      </c>
      <c r="N260" s="106">
        <f t="shared" si="132"/>
        <v>-1226451.4777353881</v>
      </c>
      <c r="O260" s="106">
        <f t="shared" si="132"/>
        <v>-1735532.0190966092</v>
      </c>
      <c r="P260" s="106">
        <f t="shared" si="132"/>
        <v>-2083849.259692007</v>
      </c>
      <c r="Q260" s="106">
        <f t="shared" si="132"/>
        <v>-2420114.3730696081</v>
      </c>
      <c r="R260" s="106">
        <f t="shared" si="132"/>
        <v>-2755278.4376646485</v>
      </c>
      <c r="S260" s="106">
        <f t="shared" si="132"/>
        <v>-3085636.3975799852</v>
      </c>
      <c r="T260" s="106">
        <f t="shared" si="132"/>
        <v>-3408509.5413758676</v>
      </c>
      <c r="U260" s="106">
        <f t="shared" si="132"/>
        <v>-3725053.6659798035</v>
      </c>
      <c r="V260" s="106">
        <f t="shared" si="132"/>
        <v>-4036340.186750053</v>
      </c>
      <c r="W260" s="106">
        <f t="shared" si="132"/>
        <v>-4342913.9546917519</v>
      </c>
      <c r="X260" s="106">
        <f t="shared" si="132"/>
        <v>-4647993.1026584003</v>
      </c>
      <c r="Y260" s="106">
        <f t="shared" si="132"/>
        <v>-4948788.2984558837</v>
      </c>
      <c r="Z260" s="106">
        <f t="shared" si="132"/>
        <v>-5244912.0873354152</v>
      </c>
      <c r="AA260" s="106">
        <f t="shared" si="132"/>
        <v>-5536324.208423363</v>
      </c>
    </row>
    <row r="261" spans="4:28" hidden="1" x14ac:dyDescent="0.25">
      <c r="E261" s="47" t="s">
        <v>709</v>
      </c>
      <c r="F261" s="47" t="s">
        <v>639</v>
      </c>
      <c r="G261" s="106">
        <f t="shared" si="132"/>
        <v>0</v>
      </c>
      <c r="H261" s="106">
        <f t="shared" si="132"/>
        <v>0</v>
      </c>
      <c r="I261" s="106">
        <f t="shared" si="132"/>
        <v>0</v>
      </c>
      <c r="J261" s="106">
        <f t="shared" si="132"/>
        <v>0</v>
      </c>
      <c r="K261" s="106">
        <f t="shared" si="132"/>
        <v>0</v>
      </c>
      <c r="L261" s="106">
        <f t="shared" si="132"/>
        <v>0</v>
      </c>
      <c r="M261" s="106">
        <f t="shared" si="132"/>
        <v>0</v>
      </c>
      <c r="N261" s="106">
        <f t="shared" si="132"/>
        <v>0</v>
      </c>
      <c r="O261" s="106">
        <f t="shared" si="132"/>
        <v>0</v>
      </c>
      <c r="P261" s="106">
        <f t="shared" si="132"/>
        <v>0</v>
      </c>
      <c r="Q261" s="106">
        <f t="shared" si="132"/>
        <v>0</v>
      </c>
      <c r="R261" s="106">
        <f t="shared" si="132"/>
        <v>0</v>
      </c>
      <c r="S261" s="106">
        <f t="shared" si="132"/>
        <v>0</v>
      </c>
      <c r="T261" s="106">
        <f t="shared" si="132"/>
        <v>0</v>
      </c>
      <c r="U261" s="106">
        <f t="shared" si="132"/>
        <v>0</v>
      </c>
      <c r="V261" s="106">
        <f t="shared" si="132"/>
        <v>0</v>
      </c>
      <c r="W261" s="106">
        <f t="shared" si="132"/>
        <v>0</v>
      </c>
      <c r="X261" s="106">
        <f t="shared" si="132"/>
        <v>0</v>
      </c>
      <c r="Y261" s="106">
        <f t="shared" si="132"/>
        <v>0</v>
      </c>
      <c r="Z261" s="106">
        <f t="shared" si="132"/>
        <v>0</v>
      </c>
      <c r="AA261" s="106">
        <f t="shared" si="132"/>
        <v>0</v>
      </c>
    </row>
    <row r="262" spans="4:28" hidden="1" x14ac:dyDescent="0.25">
      <c r="E262" s="47" t="s">
        <v>725</v>
      </c>
      <c r="F262" s="47" t="s">
        <v>639</v>
      </c>
      <c r="G262" s="106" t="e">
        <f>G253</f>
        <v>#REF!</v>
      </c>
      <c r="H262" s="106"/>
      <c r="I262" s="106"/>
      <c r="J262" s="106"/>
      <c r="K262" s="106"/>
      <c r="L262" s="106"/>
      <c r="M262" s="106"/>
      <c r="N262" s="106"/>
      <c r="O262" s="106"/>
      <c r="P262" s="106"/>
      <c r="Q262" s="106"/>
      <c r="R262" s="106"/>
      <c r="S262" s="106"/>
      <c r="T262" s="106"/>
      <c r="U262" s="106"/>
      <c r="V262" s="106"/>
      <c r="W262" s="106"/>
      <c r="X262" s="106"/>
      <c r="Y262" s="106"/>
      <c r="Z262" s="106"/>
      <c r="AA262" s="106"/>
    </row>
    <row r="263" spans="4:28" hidden="1" x14ac:dyDescent="0.25"/>
    <row r="264" spans="4:28" hidden="1" x14ac:dyDescent="0.25">
      <c r="E264" s="47" t="s">
        <v>726</v>
      </c>
      <c r="F264" s="47" t="s">
        <v>639</v>
      </c>
      <c r="G264" s="106" t="e">
        <f t="shared" ref="G264:AA264" si="133">SUM(G256:G262)</f>
        <v>#REF!</v>
      </c>
      <c r="H264" s="106">
        <f t="shared" si="133"/>
        <v>5258492.2424451895</v>
      </c>
      <c r="I264" s="106">
        <f t="shared" si="133"/>
        <v>4011512.8839683048</v>
      </c>
      <c r="J264" s="106">
        <f t="shared" si="133"/>
        <v>3328447.2525112154</v>
      </c>
      <c r="K264" s="106">
        <f t="shared" si="133"/>
        <v>2682162.5515683796</v>
      </c>
      <c r="L264" s="106">
        <f t="shared" si="133"/>
        <v>452882.74467474595</v>
      </c>
      <c r="M264" s="106">
        <f t="shared" si="133"/>
        <v>-438730.74646399426</v>
      </c>
      <c r="N264" s="106">
        <f t="shared" si="133"/>
        <v>-1448156.8210870484</v>
      </c>
      <c r="O264" s="106">
        <f t="shared" si="133"/>
        <v>-2168463.4797869381</v>
      </c>
      <c r="P264" s="106">
        <f t="shared" si="133"/>
        <v>-2770465.1285364395</v>
      </c>
      <c r="Q264" s="106">
        <f t="shared" si="133"/>
        <v>-5036838.9150206167</v>
      </c>
      <c r="R264" s="106">
        <f t="shared" si="133"/>
        <v>-6324142.3526086975</v>
      </c>
      <c r="S264" s="106">
        <f t="shared" si="133"/>
        <v>-7876923.6658379175</v>
      </c>
      <c r="T264" s="106">
        <f t="shared" si="133"/>
        <v>-9561896.1917785425</v>
      </c>
      <c r="U264" s="106">
        <f t="shared" si="133"/>
        <v>-11048556.30275901</v>
      </c>
      <c r="V264" s="106">
        <f t="shared" si="133"/>
        <v>-13151996.888800612</v>
      </c>
      <c r="W264" s="106">
        <f t="shared" si="133"/>
        <v>-14403891.513434391</v>
      </c>
      <c r="X264" s="106">
        <f t="shared" si="133"/>
        <v>-15363642.056453215</v>
      </c>
      <c r="Y264" s="106">
        <f t="shared" si="133"/>
        <v>-16527698.798139118</v>
      </c>
      <c r="Z264" s="106">
        <f t="shared" si="133"/>
        <v>-17669996.710834231</v>
      </c>
      <c r="AA264" s="106">
        <f t="shared" si="133"/>
        <v>-18752725.024748355</v>
      </c>
    </row>
    <row r="265" spans="4:28" hidden="1" x14ac:dyDescent="0.25">
      <c r="E265" s="47" t="s">
        <v>727</v>
      </c>
      <c r="F265" s="47" t="s">
        <v>639</v>
      </c>
      <c r="G265" s="106" t="e">
        <f>-G264*G$18</f>
        <v>#REF!</v>
      </c>
      <c r="H265" s="106">
        <f t="shared" ref="H265:AA265" si="134">-H264*H$18</f>
        <v>-1577547.6727335567</v>
      </c>
      <c r="I265" s="106">
        <f t="shared" si="134"/>
        <v>-1203453.8651904913</v>
      </c>
      <c r="J265" s="106">
        <f t="shared" si="134"/>
        <v>-998534.17575336457</v>
      </c>
      <c r="K265" s="106">
        <f t="shared" si="134"/>
        <v>-804648.76547051384</v>
      </c>
      <c r="L265" s="106">
        <f t="shared" si="134"/>
        <v>-135864.82340242379</v>
      </c>
      <c r="M265" s="106">
        <f t="shared" si="134"/>
        <v>131619.22393919827</v>
      </c>
      <c r="N265" s="106">
        <f t="shared" si="134"/>
        <v>434447.04632611451</v>
      </c>
      <c r="O265" s="106">
        <f t="shared" si="134"/>
        <v>650539.04393608135</v>
      </c>
      <c r="P265" s="106">
        <f t="shared" si="134"/>
        <v>831139.5385609318</v>
      </c>
      <c r="Q265" s="106">
        <f t="shared" si="134"/>
        <v>1511051.6745061849</v>
      </c>
      <c r="R265" s="106">
        <f t="shared" si="134"/>
        <v>1897242.7057826091</v>
      </c>
      <c r="S265" s="106">
        <f t="shared" si="134"/>
        <v>2363077.0997513751</v>
      </c>
      <c r="T265" s="106">
        <f t="shared" si="134"/>
        <v>2868568.8575335625</v>
      </c>
      <c r="U265" s="106">
        <f t="shared" si="134"/>
        <v>3314566.8908277028</v>
      </c>
      <c r="V265" s="106">
        <f t="shared" si="134"/>
        <v>3945599.0666401833</v>
      </c>
      <c r="W265" s="106">
        <f t="shared" si="134"/>
        <v>4321167.4540303173</v>
      </c>
      <c r="X265" s="106">
        <f t="shared" si="134"/>
        <v>4609092.6169359647</v>
      </c>
      <c r="Y265" s="106">
        <f t="shared" si="134"/>
        <v>4958309.6394417351</v>
      </c>
      <c r="Z265" s="106">
        <f t="shared" si="134"/>
        <v>5300999.013250269</v>
      </c>
      <c r="AA265" s="106">
        <f t="shared" si="134"/>
        <v>5625817.5074245064</v>
      </c>
    </row>
    <row r="266" spans="4:28" hidden="1" x14ac:dyDescent="0.25"/>
    <row r="267" spans="4:28" hidden="1" x14ac:dyDescent="0.25">
      <c r="D267" s="47" t="s">
        <v>728</v>
      </c>
    </row>
    <row r="268" spans="4:28" hidden="1" x14ac:dyDescent="0.25">
      <c r="E268" s="47" t="s">
        <v>638</v>
      </c>
      <c r="F268" s="47" t="s">
        <v>639</v>
      </c>
      <c r="G268" s="106">
        <f t="shared" ref="G268:AA275" si="135">G234</f>
        <v>0</v>
      </c>
      <c r="H268" s="106">
        <f t="shared" si="135"/>
        <v>-4332242.13075059</v>
      </c>
      <c r="I268" s="106">
        <f t="shared" si="135"/>
        <v>-1108745.7627118595</v>
      </c>
      <c r="J268" s="106">
        <f t="shared" si="135"/>
        <v>-573636.80387408938</v>
      </c>
      <c r="K268" s="106">
        <f t="shared" si="135"/>
        <v>-573636.80387408938</v>
      </c>
      <c r="L268" s="106">
        <f t="shared" si="135"/>
        <v>-7063224.2130750287</v>
      </c>
      <c r="M268" s="106">
        <f t="shared" si="135"/>
        <v>-18621577.72397086</v>
      </c>
      <c r="N268" s="106">
        <f t="shared" si="135"/>
        <v>-28499689.104116093</v>
      </c>
      <c r="O268" s="106">
        <f t="shared" si="135"/>
        <v>-39126953.026634201</v>
      </c>
      <c r="P268" s="106">
        <f t="shared" si="135"/>
        <v>-24582691.525423624</v>
      </c>
      <c r="Q268" s="106">
        <f t="shared" si="135"/>
        <v>-23578827.118643962</v>
      </c>
      <c r="R268" s="106">
        <f t="shared" si="135"/>
        <v>-23578827.118643962</v>
      </c>
      <c r="S268" s="106">
        <f t="shared" si="135"/>
        <v>-23578827.118643962</v>
      </c>
      <c r="T268" s="106">
        <f t="shared" si="135"/>
        <v>-23578827.118643962</v>
      </c>
      <c r="U268" s="106">
        <f t="shared" si="135"/>
        <v>-23578827.118643962</v>
      </c>
      <c r="V268" s="106">
        <f t="shared" si="135"/>
        <v>-23578827.118643962</v>
      </c>
      <c r="W268" s="106">
        <f t="shared" si="135"/>
        <v>-23578827.118643962</v>
      </c>
      <c r="X268" s="106">
        <f t="shared" si="135"/>
        <v>-23578827.118643962</v>
      </c>
      <c r="Y268" s="106">
        <f t="shared" si="135"/>
        <v>-23578827.118643962</v>
      </c>
      <c r="Z268" s="106">
        <f t="shared" si="135"/>
        <v>-23578827.118643962</v>
      </c>
      <c r="AA268" s="106">
        <f t="shared" si="135"/>
        <v>-23578827.118643962</v>
      </c>
    </row>
    <row r="269" spans="4:28" hidden="1" x14ac:dyDescent="0.25">
      <c r="E269" s="47" t="s">
        <v>729</v>
      </c>
      <c r="F269" s="47" t="s">
        <v>639</v>
      </c>
      <c r="G269" s="106">
        <f t="shared" si="135"/>
        <v>0</v>
      </c>
      <c r="H269" s="106">
        <f t="shared" si="135"/>
        <v>0</v>
      </c>
      <c r="I269" s="106">
        <f t="shared" si="135"/>
        <v>0</v>
      </c>
      <c r="J269" s="106">
        <f t="shared" si="135"/>
        <v>0</v>
      </c>
      <c r="K269" s="106">
        <f t="shared" si="135"/>
        <v>0</v>
      </c>
      <c r="L269" s="106">
        <f t="shared" si="135"/>
        <v>0</v>
      </c>
      <c r="M269" s="106">
        <f t="shared" si="135"/>
        <v>0</v>
      </c>
      <c r="N269" s="106">
        <f t="shared" si="135"/>
        <v>0</v>
      </c>
      <c r="O269" s="106">
        <f t="shared" si="135"/>
        <v>0</v>
      </c>
      <c r="P269" s="106">
        <f t="shared" si="135"/>
        <v>0</v>
      </c>
      <c r="Q269" s="106">
        <f t="shared" si="135"/>
        <v>0</v>
      </c>
      <c r="R269" s="106">
        <f t="shared" si="135"/>
        <v>0</v>
      </c>
      <c r="S269" s="106">
        <f t="shared" si="135"/>
        <v>0</v>
      </c>
      <c r="T269" s="106">
        <f t="shared" si="135"/>
        <v>0</v>
      </c>
      <c r="U269" s="106">
        <f t="shared" si="135"/>
        <v>0</v>
      </c>
      <c r="V269" s="106">
        <f t="shared" si="135"/>
        <v>0</v>
      </c>
      <c r="W269" s="106">
        <f t="shared" si="135"/>
        <v>0</v>
      </c>
      <c r="X269" s="106">
        <f t="shared" si="135"/>
        <v>0</v>
      </c>
      <c r="Y269" s="106">
        <f t="shared" si="135"/>
        <v>0</v>
      </c>
      <c r="Z269" s="106">
        <f t="shared" si="135"/>
        <v>0</v>
      </c>
      <c r="AA269" s="106">
        <f t="shared" si="135"/>
        <v>0</v>
      </c>
    </row>
    <row r="270" spans="4:28" hidden="1" x14ac:dyDescent="0.25">
      <c r="E270" s="47" t="s">
        <v>645</v>
      </c>
      <c r="F270" s="47" t="s">
        <v>639</v>
      </c>
      <c r="G270" s="106">
        <f t="shared" si="135"/>
        <v>0</v>
      </c>
      <c r="H270" s="106">
        <f t="shared" si="135"/>
        <v>0</v>
      </c>
      <c r="I270" s="106">
        <f t="shared" si="135"/>
        <v>0</v>
      </c>
      <c r="J270" s="106">
        <f t="shared" si="135"/>
        <v>0</v>
      </c>
      <c r="K270" s="106">
        <f t="shared" si="135"/>
        <v>0</v>
      </c>
      <c r="L270" s="106">
        <f t="shared" si="135"/>
        <v>0</v>
      </c>
      <c r="M270" s="106">
        <f t="shared" si="135"/>
        <v>0</v>
      </c>
      <c r="N270" s="106">
        <f t="shared" si="135"/>
        <v>0</v>
      </c>
      <c r="O270" s="106">
        <f t="shared" si="135"/>
        <v>0</v>
      </c>
      <c r="P270" s="106">
        <f t="shared" si="135"/>
        <v>0</v>
      </c>
      <c r="Q270" s="106">
        <f t="shared" si="135"/>
        <v>0</v>
      </c>
      <c r="R270" s="106">
        <f t="shared" si="135"/>
        <v>0</v>
      </c>
      <c r="S270" s="106">
        <f t="shared" si="135"/>
        <v>0</v>
      </c>
      <c r="T270" s="106">
        <f t="shared" si="135"/>
        <v>0</v>
      </c>
      <c r="U270" s="106">
        <f t="shared" si="135"/>
        <v>0</v>
      </c>
      <c r="V270" s="106">
        <f t="shared" si="135"/>
        <v>0</v>
      </c>
      <c r="W270" s="106">
        <f t="shared" si="135"/>
        <v>0</v>
      </c>
      <c r="X270" s="106">
        <f t="shared" si="135"/>
        <v>0</v>
      </c>
      <c r="Y270" s="106">
        <f t="shared" si="135"/>
        <v>0</v>
      </c>
      <c r="Z270" s="106">
        <f t="shared" si="135"/>
        <v>0</v>
      </c>
      <c r="AA270" s="106">
        <f t="shared" si="135"/>
        <v>0</v>
      </c>
    </row>
    <row r="271" spans="4:28" hidden="1" x14ac:dyDescent="0.25">
      <c r="E271" s="47" t="s">
        <v>723</v>
      </c>
      <c r="F271" s="47" t="s">
        <v>639</v>
      </c>
      <c r="G271" s="106">
        <f t="shared" si="135"/>
        <v>0</v>
      </c>
      <c r="H271" s="106">
        <f t="shared" si="135"/>
        <v>666314.02764398535</v>
      </c>
      <c r="I271" s="106">
        <f t="shared" si="135"/>
        <v>1353350.2014694605</v>
      </c>
      <c r="J271" s="106">
        <f t="shared" si="135"/>
        <v>1941971.964992397</v>
      </c>
      <c r="K271" s="106">
        <f t="shared" si="135"/>
        <v>2512789.7731291857</v>
      </c>
      <c r="L271" s="106">
        <f t="shared" si="135"/>
        <v>3069346.8617859194</v>
      </c>
      <c r="M271" s="106">
        <f t="shared" si="135"/>
        <v>3637562.2765883664</v>
      </c>
      <c r="N271" s="106">
        <f t="shared" si="135"/>
        <v>4220969.4951321799</v>
      </c>
      <c r="O271" s="106">
        <f t="shared" si="135"/>
        <v>4847424.1455522515</v>
      </c>
      <c r="P271" s="106">
        <f t="shared" si="135"/>
        <v>5529795.4841554686</v>
      </c>
      <c r="Q271" s="106">
        <f t="shared" si="135"/>
        <v>5060327.9629317196</v>
      </c>
      <c r="R271" s="106">
        <f t="shared" si="135"/>
        <v>5567100.7988346471</v>
      </c>
      <c r="S271" s="106">
        <f t="shared" si="135"/>
        <v>6048641.900799999</v>
      </c>
      <c r="T271" s="106">
        <f t="shared" si="135"/>
        <v>6494300.7744791489</v>
      </c>
      <c r="U271" s="106">
        <f t="shared" si="135"/>
        <v>6912112.1982502947</v>
      </c>
      <c r="V271" s="106">
        <f t="shared" si="135"/>
        <v>6515262.5077387691</v>
      </c>
      <c r="W271" s="106">
        <f t="shared" si="135"/>
        <v>6827258.7365352362</v>
      </c>
      <c r="X271" s="106">
        <f t="shared" si="135"/>
        <v>7109964.4263543151</v>
      </c>
      <c r="Y271" s="106">
        <f t="shared" si="135"/>
        <v>7353965.474167781</v>
      </c>
      <c r="Z271" s="106">
        <f t="shared" si="135"/>
        <v>7562250.319255474</v>
      </c>
      <c r="AA271" s="106">
        <f t="shared" si="135"/>
        <v>7741464.7930660751</v>
      </c>
      <c r="AB271" s="106">
        <f t="shared" ref="AB271:AB275" si="136">IF(V271=0,0,IF($G$15&gt;(AA271/V271)^(1/5)-1+2%,AA271*(AA271/V271)^(1/5)/($G$15-((AA271/V271)^(1/5)-1)),AA271*(1+$G$14)/$G$16))</f>
        <v>321222605.52141374</v>
      </c>
    </row>
    <row r="272" spans="4:28" hidden="1" x14ac:dyDescent="0.25">
      <c r="E272" s="47" t="s">
        <v>701</v>
      </c>
      <c r="F272" s="47" t="s">
        <v>639</v>
      </c>
      <c r="G272" s="106">
        <f t="shared" si="135"/>
        <v>0</v>
      </c>
      <c r="H272" s="106">
        <f t="shared" si="135"/>
        <v>-54422.36009322419</v>
      </c>
      <c r="I272" s="106">
        <f t="shared" si="135"/>
        <v>-109526.15416132481</v>
      </c>
      <c r="J272" s="106">
        <f t="shared" si="135"/>
        <v>-155605.36159586447</v>
      </c>
      <c r="K272" s="106">
        <f t="shared" si="135"/>
        <v>-199280.39103007439</v>
      </c>
      <c r="L272" s="106">
        <f t="shared" si="135"/>
        <v>-240665.27920261683</v>
      </c>
      <c r="M272" s="106">
        <f t="shared" si="135"/>
        <v>-282179.94059530948</v>
      </c>
      <c r="N272" s="106">
        <f t="shared" si="135"/>
        <v>-324349.08335132396</v>
      </c>
      <c r="O272" s="106">
        <f t="shared" si="135"/>
        <v>-369260.42910360516</v>
      </c>
      <c r="P272" s="106">
        <f t="shared" si="135"/>
        <v>-415931.0703474172</v>
      </c>
      <c r="Q272" s="106">
        <f t="shared" si="135"/>
        <v>-463166.36369997112</v>
      </c>
      <c r="R272" s="106">
        <f t="shared" si="135"/>
        <v>-510158.60982298886</v>
      </c>
      <c r="S272" s="106">
        <f t="shared" si="135"/>
        <v>-554971.4586728781</v>
      </c>
      <c r="T272" s="106">
        <f t="shared" si="135"/>
        <v>-596774.59057751088</v>
      </c>
      <c r="U272" s="106">
        <f t="shared" si="135"/>
        <v>-636313.66599131213</v>
      </c>
      <c r="V272" s="106">
        <f t="shared" si="135"/>
        <v>-673980.54576109431</v>
      </c>
      <c r="W272" s="106">
        <f t="shared" si="135"/>
        <v>-707245.34529324202</v>
      </c>
      <c r="X272" s="106">
        <f t="shared" si="135"/>
        <v>-737016.16464506777</v>
      </c>
      <c r="Y272" s="106">
        <f t="shared" si="135"/>
        <v>-762488.3633353957</v>
      </c>
      <c r="Z272" s="106">
        <f t="shared" si="135"/>
        <v>-784092.86669166654</v>
      </c>
      <c r="AA272" s="106">
        <f t="shared" si="135"/>
        <v>-802674.74174081546</v>
      </c>
      <c r="AB272" s="106">
        <f t="shared" si="136"/>
        <v>-33306005.881361622</v>
      </c>
    </row>
    <row r="273" spans="1:28" hidden="1" x14ac:dyDescent="0.25">
      <c r="E273" s="47" t="s">
        <v>702</v>
      </c>
      <c r="F273" s="47" t="s">
        <v>639</v>
      </c>
      <c r="G273" s="106">
        <f t="shared" si="135"/>
        <v>0</v>
      </c>
      <c r="H273" s="106">
        <f t="shared" si="135"/>
        <v>-2305442.8883808125</v>
      </c>
      <c r="I273" s="106">
        <f t="shared" si="135"/>
        <v>-4312697.0962773617</v>
      </c>
      <c r="J273" s="106">
        <f t="shared" si="135"/>
        <v>-5810245.751626296</v>
      </c>
      <c r="K273" s="106">
        <f t="shared" si="135"/>
        <v>-7162828.391532761</v>
      </c>
      <c r="L273" s="106">
        <f t="shared" si="135"/>
        <v>-8391389.3910458013</v>
      </c>
      <c r="M273" s="106">
        <f t="shared" si="135"/>
        <v>-9540528.4083044026</v>
      </c>
      <c r="N273" s="106">
        <f t="shared" si="135"/>
        <v>-10587099.64211314</v>
      </c>
      <c r="O273" s="106">
        <f t="shared" si="135"/>
        <v>-11601390.873014661</v>
      </c>
      <c r="P273" s="106">
        <f t="shared" si="135"/>
        <v>-12566340.410814656</v>
      </c>
      <c r="Q273" s="106">
        <f t="shared" si="135"/>
        <v>-13898919.226522906</v>
      </c>
      <c r="R273" s="106">
        <f t="shared" si="135"/>
        <v>-15211744.798865344</v>
      </c>
      <c r="S273" s="106">
        <f t="shared" si="135"/>
        <v>-16438346.984121433</v>
      </c>
      <c r="T273" s="106">
        <f t="shared" si="135"/>
        <v>-17530668.657289751</v>
      </c>
      <c r="U273" s="106">
        <f t="shared" si="135"/>
        <v>-18509445.264748458</v>
      </c>
      <c r="V273" s="106">
        <f t="shared" si="135"/>
        <v>-19393898.414706726</v>
      </c>
      <c r="W273" s="106">
        <f t="shared" si="135"/>
        <v>-20193802.946093597</v>
      </c>
      <c r="X273" s="106">
        <f t="shared" si="135"/>
        <v>-20966893.413858406</v>
      </c>
      <c r="Y273" s="106">
        <f t="shared" si="135"/>
        <v>-21663128.113645215</v>
      </c>
      <c r="Z273" s="106">
        <f t="shared" si="135"/>
        <v>-22275555.956576508</v>
      </c>
      <c r="AA273" s="106">
        <f t="shared" si="135"/>
        <v>-22803454.64692156</v>
      </c>
      <c r="AB273" s="106">
        <f t="shared" si="136"/>
        <v>-946201437.63159955</v>
      </c>
    </row>
    <row r="274" spans="1:28" hidden="1" x14ac:dyDescent="0.25">
      <c r="E274" s="47" t="s">
        <v>709</v>
      </c>
      <c r="F274" s="47" t="s">
        <v>639</v>
      </c>
      <c r="G274" s="106">
        <f t="shared" si="135"/>
        <v>0</v>
      </c>
      <c r="H274" s="106">
        <f t="shared" si="135"/>
        <v>0</v>
      </c>
      <c r="I274" s="106">
        <f t="shared" si="135"/>
        <v>0</v>
      </c>
      <c r="J274" s="106">
        <f t="shared" si="135"/>
        <v>0</v>
      </c>
      <c r="K274" s="106">
        <f t="shared" si="135"/>
        <v>0</v>
      </c>
      <c r="L274" s="106">
        <f t="shared" si="135"/>
        <v>0</v>
      </c>
      <c r="M274" s="106">
        <f t="shared" si="135"/>
        <v>0</v>
      </c>
      <c r="N274" s="106">
        <f t="shared" si="135"/>
        <v>0</v>
      </c>
      <c r="O274" s="106">
        <f t="shared" si="135"/>
        <v>0</v>
      </c>
      <c r="P274" s="106">
        <f t="shared" si="135"/>
        <v>0</v>
      </c>
      <c r="Q274" s="106">
        <f t="shared" si="135"/>
        <v>0</v>
      </c>
      <c r="R274" s="106">
        <f t="shared" si="135"/>
        <v>0</v>
      </c>
      <c r="S274" s="106">
        <f t="shared" si="135"/>
        <v>0</v>
      </c>
      <c r="T274" s="106">
        <f t="shared" si="135"/>
        <v>0</v>
      </c>
      <c r="U274" s="106">
        <f t="shared" si="135"/>
        <v>0</v>
      </c>
      <c r="V274" s="106">
        <f t="shared" si="135"/>
        <v>0</v>
      </c>
      <c r="W274" s="106">
        <f t="shared" si="135"/>
        <v>0</v>
      </c>
      <c r="X274" s="106">
        <f t="shared" si="135"/>
        <v>0</v>
      </c>
      <c r="Y274" s="106">
        <f t="shared" si="135"/>
        <v>0</v>
      </c>
      <c r="Z274" s="106">
        <f t="shared" si="135"/>
        <v>0</v>
      </c>
      <c r="AA274" s="106">
        <f t="shared" si="135"/>
        <v>0</v>
      </c>
      <c r="AB274" s="106">
        <f t="shared" si="136"/>
        <v>0</v>
      </c>
    </row>
    <row r="275" spans="1:28" hidden="1" x14ac:dyDescent="0.25">
      <c r="E275" s="47" t="s">
        <v>714</v>
      </c>
      <c r="F275" s="47" t="s">
        <v>639</v>
      </c>
      <c r="G275" s="106">
        <f t="shared" si="135"/>
        <v>0</v>
      </c>
      <c r="H275" s="106">
        <f t="shared" si="135"/>
        <v>0</v>
      </c>
      <c r="I275" s="106">
        <f t="shared" si="135"/>
        <v>0</v>
      </c>
      <c r="J275" s="106">
        <f t="shared" si="135"/>
        <v>0</v>
      </c>
      <c r="K275" s="106">
        <f t="shared" si="135"/>
        <v>0</v>
      </c>
      <c r="L275" s="106">
        <f t="shared" si="135"/>
        <v>0</v>
      </c>
      <c r="M275" s="106">
        <f t="shared" si="135"/>
        <v>0</v>
      </c>
      <c r="N275" s="106">
        <f t="shared" si="135"/>
        <v>0</v>
      </c>
      <c r="O275" s="106">
        <f t="shared" si="135"/>
        <v>0</v>
      </c>
      <c r="P275" s="106">
        <f t="shared" si="135"/>
        <v>0</v>
      </c>
      <c r="Q275" s="106">
        <f t="shared" si="135"/>
        <v>0</v>
      </c>
      <c r="R275" s="106">
        <f t="shared" si="135"/>
        <v>0</v>
      </c>
      <c r="S275" s="106">
        <f t="shared" si="135"/>
        <v>0</v>
      </c>
      <c r="T275" s="106">
        <f t="shared" si="135"/>
        <v>0</v>
      </c>
      <c r="U275" s="106">
        <f t="shared" si="135"/>
        <v>0</v>
      </c>
      <c r="V275" s="106">
        <f t="shared" si="135"/>
        <v>0</v>
      </c>
      <c r="W275" s="106">
        <f t="shared" si="135"/>
        <v>0</v>
      </c>
      <c r="X275" s="106">
        <f t="shared" si="135"/>
        <v>0</v>
      </c>
      <c r="Y275" s="106">
        <f t="shared" si="135"/>
        <v>0</v>
      </c>
      <c r="Z275" s="106">
        <f t="shared" si="135"/>
        <v>0</v>
      </c>
      <c r="AA275" s="106">
        <f t="shared" si="135"/>
        <v>0</v>
      </c>
      <c r="AB275" s="106">
        <f t="shared" si="136"/>
        <v>0</v>
      </c>
    </row>
    <row r="276" spans="1:28" hidden="1" x14ac:dyDescent="0.25">
      <c r="E276" s="47" t="s">
        <v>458</v>
      </c>
      <c r="F276" s="47" t="s">
        <v>639</v>
      </c>
      <c r="G276" s="106" t="e">
        <f t="shared" ref="G276:AA276" si="137">G265</f>
        <v>#REF!</v>
      </c>
      <c r="H276" s="106">
        <f t="shared" si="137"/>
        <v>-1577547.6727335567</v>
      </c>
      <c r="I276" s="106">
        <f t="shared" si="137"/>
        <v>-1203453.8651904913</v>
      </c>
      <c r="J276" s="106">
        <f t="shared" si="137"/>
        <v>-998534.17575336457</v>
      </c>
      <c r="K276" s="106">
        <f t="shared" si="137"/>
        <v>-804648.76547051384</v>
      </c>
      <c r="L276" s="106">
        <f t="shared" si="137"/>
        <v>-135864.82340242379</v>
      </c>
      <c r="M276" s="106">
        <f t="shared" si="137"/>
        <v>131619.22393919827</v>
      </c>
      <c r="N276" s="106">
        <f t="shared" si="137"/>
        <v>434447.04632611451</v>
      </c>
      <c r="O276" s="106">
        <f t="shared" si="137"/>
        <v>650539.04393608135</v>
      </c>
      <c r="P276" s="106">
        <f t="shared" si="137"/>
        <v>831139.5385609318</v>
      </c>
      <c r="Q276" s="106">
        <f t="shared" si="137"/>
        <v>1511051.6745061849</v>
      </c>
      <c r="R276" s="106">
        <f t="shared" si="137"/>
        <v>1897242.7057826091</v>
      </c>
      <c r="S276" s="106">
        <f t="shared" si="137"/>
        <v>2363077.0997513751</v>
      </c>
      <c r="T276" s="106">
        <f t="shared" si="137"/>
        <v>2868568.8575335625</v>
      </c>
      <c r="U276" s="106">
        <f t="shared" si="137"/>
        <v>3314566.8908277028</v>
      </c>
      <c r="V276" s="106">
        <f t="shared" si="137"/>
        <v>3945599.0666401833</v>
      </c>
      <c r="W276" s="106">
        <f t="shared" si="137"/>
        <v>4321167.4540303173</v>
      </c>
      <c r="X276" s="106">
        <f t="shared" si="137"/>
        <v>4609092.6169359647</v>
      </c>
      <c r="Y276" s="106">
        <f t="shared" si="137"/>
        <v>4958309.6394417351</v>
      </c>
      <c r="Z276" s="106">
        <f t="shared" si="137"/>
        <v>5300999.013250269</v>
      </c>
      <c r="AA276" s="106">
        <f t="shared" si="137"/>
        <v>5625817.5074245064</v>
      </c>
      <c r="AB276" s="106">
        <f>IF(V276=0,0,IF($G$15&gt;(AA276/V276)^(1/5)-1+2%,AA276*(AA276/V276)^(1/5)/($G$15-((AA276/V276)^(1/5)-1)),AA276*(1+$G$14)/$G$16))</f>
        <v>233436411.09645244</v>
      </c>
    </row>
    <row r="277" spans="1:28" hidden="1" x14ac:dyDescent="0.25">
      <c r="E277" s="47" t="s">
        <v>730</v>
      </c>
      <c r="F277" s="47" t="s">
        <v>639</v>
      </c>
      <c r="G277" s="106" t="e">
        <f>-$G$17*G276</f>
        <v>#REF!</v>
      </c>
      <c r="H277" s="106">
        <f t="shared" ref="H277:AA277" si="138">-$G$17*H276</f>
        <v>788773.83636677836</v>
      </c>
      <c r="I277" s="106">
        <f t="shared" si="138"/>
        <v>601726.93259524566</v>
      </c>
      <c r="J277" s="106">
        <f t="shared" si="138"/>
        <v>499267.08787668229</v>
      </c>
      <c r="K277" s="106">
        <f t="shared" si="138"/>
        <v>402324.38273525692</v>
      </c>
      <c r="L277" s="106">
        <f t="shared" si="138"/>
        <v>67932.411701211895</v>
      </c>
      <c r="M277" s="106">
        <f t="shared" si="138"/>
        <v>-65809.611969599137</v>
      </c>
      <c r="N277" s="106">
        <f t="shared" si="138"/>
        <v>-217223.52316305725</v>
      </c>
      <c r="O277" s="106">
        <f t="shared" si="138"/>
        <v>-325269.52196804067</v>
      </c>
      <c r="P277" s="106">
        <f t="shared" si="138"/>
        <v>-415569.7692804659</v>
      </c>
      <c r="Q277" s="106">
        <f t="shared" si="138"/>
        <v>-755525.83725309244</v>
      </c>
      <c r="R277" s="106">
        <f t="shared" si="138"/>
        <v>-948621.35289130453</v>
      </c>
      <c r="S277" s="106">
        <f t="shared" si="138"/>
        <v>-1181538.5498756876</v>
      </c>
      <c r="T277" s="106">
        <f t="shared" si="138"/>
        <v>-1434284.4287667812</v>
      </c>
      <c r="U277" s="106">
        <f t="shared" si="138"/>
        <v>-1657283.4454138514</v>
      </c>
      <c r="V277" s="106">
        <f t="shared" si="138"/>
        <v>-1972799.5333200917</v>
      </c>
      <c r="W277" s="106">
        <f t="shared" si="138"/>
        <v>-2160583.7270151586</v>
      </c>
      <c r="X277" s="106">
        <f t="shared" si="138"/>
        <v>-2304546.3084679823</v>
      </c>
      <c r="Y277" s="106">
        <f t="shared" si="138"/>
        <v>-2479154.8197208676</v>
      </c>
      <c r="Z277" s="106">
        <f t="shared" si="138"/>
        <v>-2650499.5066251345</v>
      </c>
      <c r="AA277" s="106">
        <f t="shared" si="138"/>
        <v>-2812908.7537122532</v>
      </c>
      <c r="AB277" s="106">
        <f t="shared" ref="AB277" si="139">IF(V277=0,0,IF($G$15&gt;(AA277/V277)^(1/5)-1+2%,AA277*(AA277/V277)^(1/5)/($G$15-((AA277/V277)^(1/5)-1)),AA277*(1+$G$14)/$G$16))</f>
        <v>-116718205.54822622</v>
      </c>
    </row>
    <row r="278" spans="1:28" hidden="1" x14ac:dyDescent="0.25">
      <c r="E278" s="47" t="s">
        <v>731</v>
      </c>
      <c r="F278" s="47" t="s">
        <v>639</v>
      </c>
      <c r="G278" s="106" t="e">
        <f t="shared" ref="G278:AA278" si="140">SUM(G268:G277)</f>
        <v>#REF!</v>
      </c>
      <c r="H278" s="106">
        <f t="shared" si="140"/>
        <v>-6814567.1879474204</v>
      </c>
      <c r="I278" s="106">
        <f t="shared" si="140"/>
        <v>-4779345.7442763317</v>
      </c>
      <c r="J278" s="106">
        <f t="shared" si="140"/>
        <v>-5096783.0399805354</v>
      </c>
      <c r="K278" s="106">
        <f t="shared" si="140"/>
        <v>-5825280.1960429959</v>
      </c>
      <c r="L278" s="106">
        <f t="shared" si="140"/>
        <v>-12693864.433238739</v>
      </c>
      <c r="M278" s="106">
        <f t="shared" si="140"/>
        <v>-24740914.184312608</v>
      </c>
      <c r="N278" s="106">
        <f t="shared" si="140"/>
        <v>-34972944.811285317</v>
      </c>
      <c r="O278" s="106">
        <f t="shared" si="140"/>
        <v>-45924910.661232181</v>
      </c>
      <c r="P278" s="106">
        <f t="shared" si="140"/>
        <v>-31619597.753149763</v>
      </c>
      <c r="Q278" s="106">
        <f t="shared" si="140"/>
        <v>-32125058.90868203</v>
      </c>
      <c r="R278" s="106">
        <f t="shared" si="140"/>
        <v>-32785008.375606343</v>
      </c>
      <c r="S278" s="106">
        <f t="shared" si="140"/>
        <v>-33341965.110762585</v>
      </c>
      <c r="T278" s="106">
        <f t="shared" si="140"/>
        <v>-33777685.163265295</v>
      </c>
      <c r="U278" s="106">
        <f t="shared" si="140"/>
        <v>-34155190.405719586</v>
      </c>
      <c r="V278" s="106">
        <f t="shared" si="140"/>
        <v>-35158644.038052924</v>
      </c>
      <c r="W278" s="106">
        <f t="shared" si="140"/>
        <v>-35492032.946480401</v>
      </c>
      <c r="X278" s="106">
        <f t="shared" si="140"/>
        <v>-35868225.962325141</v>
      </c>
      <c r="Y278" s="106">
        <f t="shared" si="140"/>
        <v>-36171323.301735915</v>
      </c>
      <c r="Z278" s="106">
        <f t="shared" si="140"/>
        <v>-36425726.116031528</v>
      </c>
      <c r="AA278" s="106">
        <f t="shared" si="140"/>
        <v>-36630582.960528009</v>
      </c>
      <c r="AB278" s="106" t="e">
        <f>SUM(AB268:AB277)*IF(DASH!#REF!="yes",1,0)</f>
        <v>#REF!</v>
      </c>
    </row>
    <row r="279" spans="1:28" hidden="1" x14ac:dyDescent="0.25">
      <c r="E279" s="47" t="s">
        <v>732</v>
      </c>
      <c r="F279" s="47" t="s">
        <v>639</v>
      </c>
      <c r="G279" s="106" t="e">
        <f>NPV($G$15,H278:AQ278)+G278</f>
        <v>#REF!</v>
      </c>
    </row>
    <row r="280" spans="1:28" hidden="1" x14ac:dyDescent="0.25">
      <c r="E280" s="111" t="s">
        <v>734</v>
      </c>
      <c r="F280" s="111"/>
      <c r="G280" s="118" t="e">
        <f>IF(G279&gt;0,"N/A",IF(ABS(G279+G253)&gt;1,"Error","OK"))</f>
        <v>#REF!</v>
      </c>
    </row>
    <row r="281" spans="1:28" hidden="1" x14ac:dyDescent="0.25"/>
    <row r="282" spans="1:28" hidden="1" x14ac:dyDescent="0.25">
      <c r="C282" s="100" t="s">
        <v>736</v>
      </c>
      <c r="D282" s="100"/>
    </row>
    <row r="283" spans="1:28" hidden="1" x14ac:dyDescent="0.25">
      <c r="A283" s="101">
        <v>54</v>
      </c>
      <c r="C283" s="100"/>
      <c r="D283" s="100"/>
      <c r="E283" s="47" t="s">
        <v>737</v>
      </c>
      <c r="F283" s="47" t="s">
        <v>655</v>
      </c>
      <c r="G283" s="102">
        <v>1</v>
      </c>
      <c r="H283" s="102">
        <v>1</v>
      </c>
      <c r="I283" s="102">
        <v>1</v>
      </c>
      <c r="J283" s="102">
        <v>1</v>
      </c>
      <c r="K283" s="102">
        <v>1</v>
      </c>
      <c r="L283" s="102">
        <v>1</v>
      </c>
      <c r="M283" s="102">
        <v>0</v>
      </c>
      <c r="N283" s="102">
        <v>0</v>
      </c>
      <c r="O283" s="102">
        <v>0</v>
      </c>
      <c r="P283" s="102">
        <v>0</v>
      </c>
      <c r="Q283" s="102">
        <v>0</v>
      </c>
      <c r="R283" s="102">
        <v>0</v>
      </c>
      <c r="S283" s="102">
        <v>0</v>
      </c>
      <c r="T283" s="102">
        <v>0</v>
      </c>
      <c r="U283" s="102">
        <v>0</v>
      </c>
      <c r="V283" s="102">
        <v>0</v>
      </c>
      <c r="W283" s="102">
        <v>0</v>
      </c>
      <c r="X283" s="102">
        <v>0</v>
      </c>
      <c r="Y283" s="102">
        <v>0</v>
      </c>
      <c r="Z283" s="102">
        <v>0</v>
      </c>
      <c r="AA283" s="102">
        <v>0</v>
      </c>
    </row>
    <row r="284" spans="1:28" hidden="1" x14ac:dyDescent="0.25">
      <c r="E284" s="47" t="s">
        <v>738</v>
      </c>
      <c r="F284" s="47" t="s">
        <v>739</v>
      </c>
      <c r="G284" s="115" t="e">
        <f>MAX(0,-G311/(NPV($G$16,H283:AA283)+G283))</f>
        <v>#VALUE!</v>
      </c>
      <c r="H284" s="106" t="e">
        <f t="shared" ref="H284:AA284" si="141">G284*(1+$G$14)</f>
        <v>#VALUE!</v>
      </c>
      <c r="I284" s="106" t="e">
        <f t="shared" si="141"/>
        <v>#VALUE!</v>
      </c>
      <c r="J284" s="106" t="e">
        <f t="shared" si="141"/>
        <v>#VALUE!</v>
      </c>
      <c r="K284" s="106" t="e">
        <f t="shared" si="141"/>
        <v>#VALUE!</v>
      </c>
      <c r="L284" s="106" t="e">
        <f t="shared" si="141"/>
        <v>#VALUE!</v>
      </c>
      <c r="M284" s="106" t="e">
        <f t="shared" si="141"/>
        <v>#VALUE!</v>
      </c>
      <c r="N284" s="106" t="e">
        <f t="shared" si="141"/>
        <v>#VALUE!</v>
      </c>
      <c r="O284" s="106" t="e">
        <f t="shared" si="141"/>
        <v>#VALUE!</v>
      </c>
      <c r="P284" s="106" t="e">
        <f t="shared" si="141"/>
        <v>#VALUE!</v>
      </c>
      <c r="Q284" s="106" t="e">
        <f t="shared" si="141"/>
        <v>#VALUE!</v>
      </c>
      <c r="R284" s="106" t="e">
        <f t="shared" si="141"/>
        <v>#VALUE!</v>
      </c>
      <c r="S284" s="106" t="e">
        <f t="shared" si="141"/>
        <v>#VALUE!</v>
      </c>
      <c r="T284" s="106" t="e">
        <f t="shared" si="141"/>
        <v>#VALUE!</v>
      </c>
      <c r="U284" s="106" t="e">
        <f t="shared" si="141"/>
        <v>#VALUE!</v>
      </c>
      <c r="V284" s="106" t="e">
        <f t="shared" si="141"/>
        <v>#VALUE!</v>
      </c>
      <c r="W284" s="106" t="e">
        <f t="shared" si="141"/>
        <v>#VALUE!</v>
      </c>
      <c r="X284" s="106" t="e">
        <f t="shared" si="141"/>
        <v>#VALUE!</v>
      </c>
      <c r="Y284" s="106" t="e">
        <f t="shared" si="141"/>
        <v>#VALUE!</v>
      </c>
      <c r="Z284" s="106" t="e">
        <f t="shared" si="141"/>
        <v>#VALUE!</v>
      </c>
      <c r="AA284" s="106" t="e">
        <f t="shared" si="141"/>
        <v>#VALUE!</v>
      </c>
    </row>
    <row r="285" spans="1:28" hidden="1" x14ac:dyDescent="0.25">
      <c r="E285" s="47" t="s">
        <v>721</v>
      </c>
      <c r="F285" s="47" t="s">
        <v>639</v>
      </c>
      <c r="G285" s="106" t="e">
        <f>G283*G284</f>
        <v>#VALUE!</v>
      </c>
      <c r="H285" s="106" t="e">
        <f t="shared" ref="H285:AA285" si="142">H283*H284</f>
        <v>#VALUE!</v>
      </c>
      <c r="I285" s="106" t="e">
        <f t="shared" si="142"/>
        <v>#VALUE!</v>
      </c>
      <c r="J285" s="106" t="e">
        <f t="shared" si="142"/>
        <v>#VALUE!</v>
      </c>
      <c r="K285" s="106" t="e">
        <f t="shared" si="142"/>
        <v>#VALUE!</v>
      </c>
      <c r="L285" s="106" t="e">
        <f t="shared" si="142"/>
        <v>#VALUE!</v>
      </c>
      <c r="M285" s="106" t="e">
        <f t="shared" si="142"/>
        <v>#VALUE!</v>
      </c>
      <c r="N285" s="106" t="e">
        <f t="shared" si="142"/>
        <v>#VALUE!</v>
      </c>
      <c r="O285" s="106" t="e">
        <f t="shared" si="142"/>
        <v>#VALUE!</v>
      </c>
      <c r="P285" s="106" t="e">
        <f t="shared" si="142"/>
        <v>#VALUE!</v>
      </c>
      <c r="Q285" s="106" t="e">
        <f t="shared" si="142"/>
        <v>#VALUE!</v>
      </c>
      <c r="R285" s="106" t="e">
        <f t="shared" si="142"/>
        <v>#VALUE!</v>
      </c>
      <c r="S285" s="106" t="e">
        <f t="shared" si="142"/>
        <v>#VALUE!</v>
      </c>
      <c r="T285" s="106" t="e">
        <f t="shared" si="142"/>
        <v>#VALUE!</v>
      </c>
      <c r="U285" s="106" t="e">
        <f t="shared" si="142"/>
        <v>#VALUE!</v>
      </c>
      <c r="V285" s="106" t="e">
        <f t="shared" si="142"/>
        <v>#VALUE!</v>
      </c>
      <c r="W285" s="106" t="e">
        <f t="shared" si="142"/>
        <v>#VALUE!</v>
      </c>
      <c r="X285" s="106" t="e">
        <f t="shared" si="142"/>
        <v>#VALUE!</v>
      </c>
      <c r="Y285" s="106" t="e">
        <f t="shared" si="142"/>
        <v>#VALUE!</v>
      </c>
      <c r="Z285" s="106" t="e">
        <f t="shared" si="142"/>
        <v>#VALUE!</v>
      </c>
      <c r="AA285" s="106" t="e">
        <f t="shared" si="142"/>
        <v>#VALUE!</v>
      </c>
    </row>
    <row r="286" spans="1:28" hidden="1" x14ac:dyDescent="0.25"/>
    <row r="287" spans="1:28" hidden="1" x14ac:dyDescent="0.25">
      <c r="D287" s="47" t="s">
        <v>722</v>
      </c>
    </row>
    <row r="288" spans="1:28" hidden="1" x14ac:dyDescent="0.25">
      <c r="E288" s="47" t="s">
        <v>573</v>
      </c>
      <c r="F288" s="47" t="s">
        <v>639</v>
      </c>
      <c r="G288" s="106">
        <f t="shared" ref="G288:AA293" si="143">G222</f>
        <v>0</v>
      </c>
      <c r="H288" s="106">
        <f t="shared" si="143"/>
        <v>7078833.1890508123</v>
      </c>
      <c r="I288" s="106">
        <f t="shared" si="143"/>
        <v>7300612.9780549556</v>
      </c>
      <c r="J288" s="106">
        <f t="shared" si="143"/>
        <v>7664083.6733834883</v>
      </c>
      <c r="K288" s="106">
        <f t="shared" si="143"/>
        <v>7937810.4700211519</v>
      </c>
      <c r="L288" s="106">
        <f t="shared" si="143"/>
        <v>6573437.9304173952</v>
      </c>
      <c r="M288" s="106">
        <f t="shared" si="143"/>
        <v>6584328.3259038888</v>
      </c>
      <c r="N288" s="106">
        <f t="shared" si="143"/>
        <v>6468773.886980623</v>
      </c>
      <c r="O288" s="106">
        <f t="shared" si="143"/>
        <v>6690295.6958756866</v>
      </c>
      <c r="P288" s="106">
        <f t="shared" si="143"/>
        <v>6765860.1281621726</v>
      </c>
      <c r="Q288" s="106">
        <f t="shared" si="143"/>
        <v>6685033.0853401497</v>
      </c>
      <c r="R288" s="106">
        <f t="shared" si="143"/>
        <v>6585938.6949096369</v>
      </c>
      <c r="S288" s="106">
        <f t="shared" si="143"/>
        <v>6153389.2737363772</v>
      </c>
      <c r="T288" s="106">
        <f t="shared" si="143"/>
        <v>5479755.8229854377</v>
      </c>
      <c r="U288" s="106">
        <f t="shared" si="143"/>
        <v>4910144.0957102692</v>
      </c>
      <c r="V288" s="106">
        <f t="shared" si="143"/>
        <v>4436959.7506784908</v>
      </c>
      <c r="W288" s="106">
        <f t="shared" si="143"/>
        <v>4012811.9961089646</v>
      </c>
      <c r="X288" s="106">
        <f t="shared" si="143"/>
        <v>3878296.1983543457</v>
      </c>
      <c r="Y288" s="106">
        <f t="shared" si="143"/>
        <v>3492740.5031295945</v>
      </c>
      <c r="Z288" s="106">
        <f t="shared" si="143"/>
        <v>3072313.8805138827</v>
      </c>
      <c r="AA288" s="106">
        <f t="shared" si="143"/>
        <v>2648263.7792713102</v>
      </c>
    </row>
    <row r="289" spans="4:28" hidden="1" x14ac:dyDescent="0.25">
      <c r="E289" s="47" t="s">
        <v>723</v>
      </c>
      <c r="F289" s="47" t="s">
        <v>639</v>
      </c>
      <c r="G289" s="106">
        <f t="shared" si="143"/>
        <v>0</v>
      </c>
      <c r="H289" s="106">
        <f t="shared" si="143"/>
        <v>666314.02764398535</v>
      </c>
      <c r="I289" s="106">
        <f t="shared" si="143"/>
        <v>1353350.2014694605</v>
      </c>
      <c r="J289" s="106">
        <f t="shared" si="143"/>
        <v>1941971.964992397</v>
      </c>
      <c r="K289" s="106">
        <f t="shared" si="143"/>
        <v>2512789.7731291857</v>
      </c>
      <c r="L289" s="106">
        <f t="shared" si="143"/>
        <v>3069346.8617859194</v>
      </c>
      <c r="M289" s="106">
        <f t="shared" si="143"/>
        <v>3637562.2765883664</v>
      </c>
      <c r="N289" s="106">
        <f t="shared" si="143"/>
        <v>4220969.4951321799</v>
      </c>
      <c r="O289" s="106">
        <f t="shared" si="143"/>
        <v>4847424.1455522515</v>
      </c>
      <c r="P289" s="106">
        <f t="shared" si="143"/>
        <v>5529795.4841554686</v>
      </c>
      <c r="Q289" s="106">
        <f t="shared" si="143"/>
        <v>5060327.9629317196</v>
      </c>
      <c r="R289" s="106">
        <f t="shared" si="143"/>
        <v>5567100.7988346471</v>
      </c>
      <c r="S289" s="106">
        <f t="shared" si="143"/>
        <v>6048641.900799999</v>
      </c>
      <c r="T289" s="106">
        <f t="shared" si="143"/>
        <v>6494300.7744791489</v>
      </c>
      <c r="U289" s="106">
        <f t="shared" si="143"/>
        <v>6912112.1982502947</v>
      </c>
      <c r="V289" s="106">
        <f t="shared" si="143"/>
        <v>6515262.5077387691</v>
      </c>
      <c r="W289" s="106">
        <f t="shared" si="143"/>
        <v>6827258.7365352362</v>
      </c>
      <c r="X289" s="106">
        <f t="shared" si="143"/>
        <v>7109964.4263543151</v>
      </c>
      <c r="Y289" s="106">
        <f t="shared" si="143"/>
        <v>7353965.474167781</v>
      </c>
      <c r="Z289" s="106">
        <f t="shared" si="143"/>
        <v>7562250.319255474</v>
      </c>
      <c r="AA289" s="106">
        <f t="shared" si="143"/>
        <v>7741464.7930660751</v>
      </c>
    </row>
    <row r="290" spans="4:28" hidden="1" x14ac:dyDescent="0.25">
      <c r="E290" s="47" t="s">
        <v>701</v>
      </c>
      <c r="F290" s="47" t="s">
        <v>639</v>
      </c>
      <c r="G290" s="106">
        <f t="shared" si="143"/>
        <v>0</v>
      </c>
      <c r="H290" s="106">
        <f t="shared" si="143"/>
        <v>-54422.36009322419</v>
      </c>
      <c r="I290" s="106">
        <f t="shared" si="143"/>
        <v>-109526.15416132481</v>
      </c>
      <c r="J290" s="106">
        <f t="shared" si="143"/>
        <v>-155605.36159586447</v>
      </c>
      <c r="K290" s="106">
        <f t="shared" si="143"/>
        <v>-199280.39103007439</v>
      </c>
      <c r="L290" s="106">
        <f t="shared" si="143"/>
        <v>-240665.27920261683</v>
      </c>
      <c r="M290" s="106">
        <f t="shared" si="143"/>
        <v>-282179.94059530948</v>
      </c>
      <c r="N290" s="106">
        <f t="shared" si="143"/>
        <v>-324349.08335132396</v>
      </c>
      <c r="O290" s="106">
        <f t="shared" si="143"/>
        <v>-369260.42910360516</v>
      </c>
      <c r="P290" s="106">
        <f t="shared" si="143"/>
        <v>-415931.0703474172</v>
      </c>
      <c r="Q290" s="106">
        <f t="shared" si="143"/>
        <v>-463166.36369997112</v>
      </c>
      <c r="R290" s="106">
        <f t="shared" si="143"/>
        <v>-510158.60982298886</v>
      </c>
      <c r="S290" s="106">
        <f t="shared" si="143"/>
        <v>-554971.4586728781</v>
      </c>
      <c r="T290" s="106">
        <f t="shared" si="143"/>
        <v>-596774.59057751088</v>
      </c>
      <c r="U290" s="106">
        <f t="shared" si="143"/>
        <v>-636313.66599131213</v>
      </c>
      <c r="V290" s="106">
        <f t="shared" si="143"/>
        <v>-673980.54576109431</v>
      </c>
      <c r="W290" s="106">
        <f t="shared" si="143"/>
        <v>-707245.34529324202</v>
      </c>
      <c r="X290" s="106">
        <f t="shared" si="143"/>
        <v>-737016.16464506777</v>
      </c>
      <c r="Y290" s="106">
        <f t="shared" si="143"/>
        <v>-762488.3633353957</v>
      </c>
      <c r="Z290" s="106">
        <f t="shared" si="143"/>
        <v>-784092.86669166654</v>
      </c>
      <c r="AA290" s="106">
        <f t="shared" si="143"/>
        <v>-802674.74174081546</v>
      </c>
    </row>
    <row r="291" spans="4:28" hidden="1" x14ac:dyDescent="0.25">
      <c r="E291" s="47" t="s">
        <v>702</v>
      </c>
      <c r="F291" s="47" t="s">
        <v>639</v>
      </c>
      <c r="G291" s="106">
        <f t="shared" si="143"/>
        <v>0</v>
      </c>
      <c r="H291" s="106">
        <f t="shared" si="143"/>
        <v>-2305442.8883808125</v>
      </c>
      <c r="I291" s="106">
        <f t="shared" si="143"/>
        <v>-4312697.0962773617</v>
      </c>
      <c r="J291" s="106">
        <f t="shared" si="143"/>
        <v>-5810245.751626296</v>
      </c>
      <c r="K291" s="106">
        <f t="shared" si="143"/>
        <v>-7162828.391532761</v>
      </c>
      <c r="L291" s="106">
        <f t="shared" si="143"/>
        <v>-8391389.3910458013</v>
      </c>
      <c r="M291" s="106">
        <f t="shared" si="143"/>
        <v>-9540528.4083044026</v>
      </c>
      <c r="N291" s="106">
        <f t="shared" si="143"/>
        <v>-10587099.64211314</v>
      </c>
      <c r="O291" s="106">
        <f t="shared" si="143"/>
        <v>-11601390.873014661</v>
      </c>
      <c r="P291" s="106">
        <f t="shared" si="143"/>
        <v>-12566340.410814656</v>
      </c>
      <c r="Q291" s="106">
        <f t="shared" si="143"/>
        <v>-13898919.226522906</v>
      </c>
      <c r="R291" s="106">
        <f t="shared" si="143"/>
        <v>-15211744.798865344</v>
      </c>
      <c r="S291" s="106">
        <f t="shared" si="143"/>
        <v>-16438346.984121433</v>
      </c>
      <c r="T291" s="106">
        <f t="shared" si="143"/>
        <v>-17530668.657289751</v>
      </c>
      <c r="U291" s="106">
        <f t="shared" si="143"/>
        <v>-18509445.264748458</v>
      </c>
      <c r="V291" s="106">
        <f t="shared" si="143"/>
        <v>-19393898.414706726</v>
      </c>
      <c r="W291" s="106">
        <f t="shared" si="143"/>
        <v>-20193802.946093597</v>
      </c>
      <c r="X291" s="106">
        <f t="shared" si="143"/>
        <v>-20966893.413858406</v>
      </c>
      <c r="Y291" s="106">
        <f t="shared" si="143"/>
        <v>-21663128.113645215</v>
      </c>
      <c r="Z291" s="106">
        <f t="shared" si="143"/>
        <v>-22275555.956576508</v>
      </c>
      <c r="AA291" s="106">
        <f t="shared" si="143"/>
        <v>-22803454.64692156</v>
      </c>
    </row>
    <row r="292" spans="4:28" hidden="1" x14ac:dyDescent="0.25">
      <c r="E292" s="47" t="s">
        <v>724</v>
      </c>
      <c r="F292" s="47" t="s">
        <v>639</v>
      </c>
      <c r="G292" s="106">
        <f t="shared" si="143"/>
        <v>0</v>
      </c>
      <c r="H292" s="106">
        <f t="shared" si="143"/>
        <v>-126789.72577557113</v>
      </c>
      <c r="I292" s="106">
        <f t="shared" si="143"/>
        <v>-220227.04511742463</v>
      </c>
      <c r="J292" s="106">
        <f t="shared" si="143"/>
        <v>-311757.27264250885</v>
      </c>
      <c r="K292" s="106">
        <f t="shared" si="143"/>
        <v>-406328.90901912266</v>
      </c>
      <c r="L292" s="106">
        <f t="shared" si="143"/>
        <v>-557847.37728014961</v>
      </c>
      <c r="M292" s="106">
        <f t="shared" si="143"/>
        <v>-837913.0000565357</v>
      </c>
      <c r="N292" s="106">
        <f t="shared" si="143"/>
        <v>-1226451.4777353881</v>
      </c>
      <c r="O292" s="106">
        <f t="shared" si="143"/>
        <v>-1735532.0190966092</v>
      </c>
      <c r="P292" s="106">
        <f t="shared" si="143"/>
        <v>-2083849.259692007</v>
      </c>
      <c r="Q292" s="106">
        <f t="shared" si="143"/>
        <v>-2420114.3730696081</v>
      </c>
      <c r="R292" s="106">
        <f t="shared" si="143"/>
        <v>-2755278.4376646485</v>
      </c>
      <c r="S292" s="106">
        <f t="shared" si="143"/>
        <v>-3085636.3975799852</v>
      </c>
      <c r="T292" s="106">
        <f t="shared" si="143"/>
        <v>-3408509.5413758676</v>
      </c>
      <c r="U292" s="106">
        <f t="shared" si="143"/>
        <v>-3725053.6659798035</v>
      </c>
      <c r="V292" s="106">
        <f t="shared" si="143"/>
        <v>-4036340.186750053</v>
      </c>
      <c r="W292" s="106">
        <f t="shared" si="143"/>
        <v>-4342913.9546917519</v>
      </c>
      <c r="X292" s="106">
        <f t="shared" si="143"/>
        <v>-4647993.1026584003</v>
      </c>
      <c r="Y292" s="106">
        <f t="shared" si="143"/>
        <v>-4948788.2984558837</v>
      </c>
      <c r="Z292" s="106">
        <f t="shared" si="143"/>
        <v>-5244912.0873354152</v>
      </c>
      <c r="AA292" s="106">
        <f t="shared" si="143"/>
        <v>-5536324.208423363</v>
      </c>
    </row>
    <row r="293" spans="4:28" hidden="1" x14ac:dyDescent="0.25">
      <c r="E293" s="47" t="s">
        <v>709</v>
      </c>
      <c r="F293" s="47" t="s">
        <v>639</v>
      </c>
      <c r="G293" s="106">
        <f t="shared" si="143"/>
        <v>0</v>
      </c>
      <c r="H293" s="106">
        <f t="shared" si="143"/>
        <v>0</v>
      </c>
      <c r="I293" s="106">
        <f t="shared" si="143"/>
        <v>0</v>
      </c>
      <c r="J293" s="106">
        <f t="shared" si="143"/>
        <v>0</v>
      </c>
      <c r="K293" s="106">
        <f t="shared" si="143"/>
        <v>0</v>
      </c>
      <c r="L293" s="106">
        <f t="shared" si="143"/>
        <v>0</v>
      </c>
      <c r="M293" s="106">
        <f t="shared" si="143"/>
        <v>0</v>
      </c>
      <c r="N293" s="106">
        <f t="shared" si="143"/>
        <v>0</v>
      </c>
      <c r="O293" s="106">
        <f t="shared" si="143"/>
        <v>0</v>
      </c>
      <c r="P293" s="106">
        <f t="shared" si="143"/>
        <v>0</v>
      </c>
      <c r="Q293" s="106">
        <f t="shared" si="143"/>
        <v>0</v>
      </c>
      <c r="R293" s="106">
        <f t="shared" si="143"/>
        <v>0</v>
      </c>
      <c r="S293" s="106">
        <f t="shared" si="143"/>
        <v>0</v>
      </c>
      <c r="T293" s="106">
        <f t="shared" si="143"/>
        <v>0</v>
      </c>
      <c r="U293" s="106">
        <f t="shared" si="143"/>
        <v>0</v>
      </c>
      <c r="V293" s="106">
        <f t="shared" si="143"/>
        <v>0</v>
      </c>
      <c r="W293" s="106">
        <f t="shared" si="143"/>
        <v>0</v>
      </c>
      <c r="X293" s="106">
        <f t="shared" si="143"/>
        <v>0</v>
      </c>
      <c r="Y293" s="106">
        <f t="shared" si="143"/>
        <v>0</v>
      </c>
      <c r="Z293" s="106">
        <f t="shared" si="143"/>
        <v>0</v>
      </c>
      <c r="AA293" s="106">
        <f t="shared" si="143"/>
        <v>0</v>
      </c>
    </row>
    <row r="294" spans="4:28" hidden="1" x14ac:dyDescent="0.25">
      <c r="E294" s="47" t="s">
        <v>725</v>
      </c>
      <c r="F294" s="47" t="s">
        <v>639</v>
      </c>
      <c r="G294" s="106" t="e">
        <f t="shared" ref="G294:AA294" si="144">G285</f>
        <v>#VALUE!</v>
      </c>
      <c r="H294" s="106" t="e">
        <f t="shared" si="144"/>
        <v>#VALUE!</v>
      </c>
      <c r="I294" s="106" t="e">
        <f t="shared" si="144"/>
        <v>#VALUE!</v>
      </c>
      <c r="J294" s="106" t="e">
        <f t="shared" si="144"/>
        <v>#VALUE!</v>
      </c>
      <c r="K294" s="106" t="e">
        <f t="shared" si="144"/>
        <v>#VALUE!</v>
      </c>
      <c r="L294" s="106" t="e">
        <f t="shared" si="144"/>
        <v>#VALUE!</v>
      </c>
      <c r="M294" s="106" t="e">
        <f t="shared" si="144"/>
        <v>#VALUE!</v>
      </c>
      <c r="N294" s="106" t="e">
        <f t="shared" si="144"/>
        <v>#VALUE!</v>
      </c>
      <c r="O294" s="106" t="e">
        <f t="shared" si="144"/>
        <v>#VALUE!</v>
      </c>
      <c r="P294" s="106" t="e">
        <f t="shared" si="144"/>
        <v>#VALUE!</v>
      </c>
      <c r="Q294" s="106" t="e">
        <f t="shared" si="144"/>
        <v>#VALUE!</v>
      </c>
      <c r="R294" s="106" t="e">
        <f t="shared" si="144"/>
        <v>#VALUE!</v>
      </c>
      <c r="S294" s="106" t="e">
        <f t="shared" si="144"/>
        <v>#VALUE!</v>
      </c>
      <c r="T294" s="106" t="e">
        <f t="shared" si="144"/>
        <v>#VALUE!</v>
      </c>
      <c r="U294" s="106" t="e">
        <f t="shared" si="144"/>
        <v>#VALUE!</v>
      </c>
      <c r="V294" s="106" t="e">
        <f t="shared" si="144"/>
        <v>#VALUE!</v>
      </c>
      <c r="W294" s="106" t="e">
        <f t="shared" si="144"/>
        <v>#VALUE!</v>
      </c>
      <c r="X294" s="106" t="e">
        <f t="shared" si="144"/>
        <v>#VALUE!</v>
      </c>
      <c r="Y294" s="106" t="e">
        <f t="shared" si="144"/>
        <v>#VALUE!</v>
      </c>
      <c r="Z294" s="106" t="e">
        <f t="shared" si="144"/>
        <v>#VALUE!</v>
      </c>
      <c r="AA294" s="106" t="e">
        <f t="shared" si="144"/>
        <v>#VALUE!</v>
      </c>
    </row>
    <row r="295" spans="4:28" hidden="1" x14ac:dyDescent="0.25"/>
    <row r="296" spans="4:28" hidden="1" x14ac:dyDescent="0.25">
      <c r="E296" s="47" t="s">
        <v>726</v>
      </c>
      <c r="F296" s="47" t="s">
        <v>639</v>
      </c>
      <c r="G296" s="106" t="e">
        <f t="shared" ref="G296:AA296" si="145">SUM(G288:G294)</f>
        <v>#VALUE!</v>
      </c>
      <c r="H296" s="106" t="e">
        <f t="shared" si="145"/>
        <v>#VALUE!</v>
      </c>
      <c r="I296" s="106" t="e">
        <f t="shared" si="145"/>
        <v>#VALUE!</v>
      </c>
      <c r="J296" s="106" t="e">
        <f t="shared" si="145"/>
        <v>#VALUE!</v>
      </c>
      <c r="K296" s="106" t="e">
        <f t="shared" si="145"/>
        <v>#VALUE!</v>
      </c>
      <c r="L296" s="106" t="e">
        <f t="shared" si="145"/>
        <v>#VALUE!</v>
      </c>
      <c r="M296" s="106" t="e">
        <f t="shared" si="145"/>
        <v>#VALUE!</v>
      </c>
      <c r="N296" s="106" t="e">
        <f t="shared" si="145"/>
        <v>#VALUE!</v>
      </c>
      <c r="O296" s="106" t="e">
        <f t="shared" si="145"/>
        <v>#VALUE!</v>
      </c>
      <c r="P296" s="106" t="e">
        <f t="shared" si="145"/>
        <v>#VALUE!</v>
      </c>
      <c r="Q296" s="106" t="e">
        <f t="shared" si="145"/>
        <v>#VALUE!</v>
      </c>
      <c r="R296" s="106" t="e">
        <f t="shared" si="145"/>
        <v>#VALUE!</v>
      </c>
      <c r="S296" s="106" t="e">
        <f t="shared" si="145"/>
        <v>#VALUE!</v>
      </c>
      <c r="T296" s="106" t="e">
        <f t="shared" si="145"/>
        <v>#VALUE!</v>
      </c>
      <c r="U296" s="106" t="e">
        <f t="shared" si="145"/>
        <v>#VALUE!</v>
      </c>
      <c r="V296" s="106" t="e">
        <f t="shared" si="145"/>
        <v>#VALUE!</v>
      </c>
      <c r="W296" s="106" t="e">
        <f t="shared" si="145"/>
        <v>#VALUE!</v>
      </c>
      <c r="X296" s="106" t="e">
        <f t="shared" si="145"/>
        <v>#VALUE!</v>
      </c>
      <c r="Y296" s="106" t="e">
        <f t="shared" si="145"/>
        <v>#VALUE!</v>
      </c>
      <c r="Z296" s="106" t="e">
        <f t="shared" si="145"/>
        <v>#VALUE!</v>
      </c>
      <c r="AA296" s="106" t="e">
        <f t="shared" si="145"/>
        <v>#VALUE!</v>
      </c>
    </row>
    <row r="297" spans="4:28" hidden="1" x14ac:dyDescent="0.25">
      <c r="E297" s="47" t="s">
        <v>727</v>
      </c>
      <c r="F297" s="47" t="s">
        <v>639</v>
      </c>
      <c r="G297" s="106" t="e">
        <f t="shared" ref="G297:AA297" si="146">-G296*G$18</f>
        <v>#VALUE!</v>
      </c>
      <c r="H297" s="106" t="e">
        <f t="shared" si="146"/>
        <v>#VALUE!</v>
      </c>
      <c r="I297" s="106" t="e">
        <f t="shared" si="146"/>
        <v>#VALUE!</v>
      </c>
      <c r="J297" s="106" t="e">
        <f t="shared" si="146"/>
        <v>#VALUE!</v>
      </c>
      <c r="K297" s="106" t="e">
        <f t="shared" si="146"/>
        <v>#VALUE!</v>
      </c>
      <c r="L297" s="106" t="e">
        <f t="shared" si="146"/>
        <v>#VALUE!</v>
      </c>
      <c r="M297" s="106" t="e">
        <f t="shared" si="146"/>
        <v>#VALUE!</v>
      </c>
      <c r="N297" s="106" t="e">
        <f t="shared" si="146"/>
        <v>#VALUE!</v>
      </c>
      <c r="O297" s="106" t="e">
        <f t="shared" si="146"/>
        <v>#VALUE!</v>
      </c>
      <c r="P297" s="106" t="e">
        <f t="shared" si="146"/>
        <v>#VALUE!</v>
      </c>
      <c r="Q297" s="106" t="e">
        <f t="shared" si="146"/>
        <v>#VALUE!</v>
      </c>
      <c r="R297" s="106" t="e">
        <f t="shared" si="146"/>
        <v>#VALUE!</v>
      </c>
      <c r="S297" s="106" t="e">
        <f t="shared" si="146"/>
        <v>#VALUE!</v>
      </c>
      <c r="T297" s="106" t="e">
        <f t="shared" si="146"/>
        <v>#VALUE!</v>
      </c>
      <c r="U297" s="106" t="e">
        <f t="shared" si="146"/>
        <v>#VALUE!</v>
      </c>
      <c r="V297" s="106" t="e">
        <f t="shared" si="146"/>
        <v>#VALUE!</v>
      </c>
      <c r="W297" s="106" t="e">
        <f t="shared" si="146"/>
        <v>#VALUE!</v>
      </c>
      <c r="X297" s="106" t="e">
        <f t="shared" si="146"/>
        <v>#VALUE!</v>
      </c>
      <c r="Y297" s="106" t="e">
        <f t="shared" si="146"/>
        <v>#VALUE!</v>
      </c>
      <c r="Z297" s="106" t="e">
        <f t="shared" si="146"/>
        <v>#VALUE!</v>
      </c>
      <c r="AA297" s="106" t="e">
        <f t="shared" si="146"/>
        <v>#VALUE!</v>
      </c>
    </row>
    <row r="298" spans="4:28" hidden="1" x14ac:dyDescent="0.25"/>
    <row r="299" spans="4:28" hidden="1" x14ac:dyDescent="0.25">
      <c r="D299" s="47" t="s">
        <v>728</v>
      </c>
    </row>
    <row r="300" spans="4:28" hidden="1" x14ac:dyDescent="0.25">
      <c r="E300" s="47" t="s">
        <v>638</v>
      </c>
      <c r="F300" s="47" t="s">
        <v>639</v>
      </c>
      <c r="G300" s="106">
        <f t="shared" ref="G300:AA307" si="147">G234</f>
        <v>0</v>
      </c>
      <c r="H300" s="106">
        <f t="shared" si="147"/>
        <v>-4332242.13075059</v>
      </c>
      <c r="I300" s="106">
        <f t="shared" si="147"/>
        <v>-1108745.7627118595</v>
      </c>
      <c r="J300" s="106">
        <f t="shared" si="147"/>
        <v>-573636.80387408938</v>
      </c>
      <c r="K300" s="106">
        <f t="shared" si="147"/>
        <v>-573636.80387408938</v>
      </c>
      <c r="L300" s="106">
        <f t="shared" si="147"/>
        <v>-7063224.2130750287</v>
      </c>
      <c r="M300" s="106">
        <f t="shared" si="147"/>
        <v>-18621577.72397086</v>
      </c>
      <c r="N300" s="106">
        <f t="shared" si="147"/>
        <v>-28499689.104116093</v>
      </c>
      <c r="O300" s="106">
        <f t="shared" si="147"/>
        <v>-39126953.026634201</v>
      </c>
      <c r="P300" s="106">
        <f t="shared" si="147"/>
        <v>-24582691.525423624</v>
      </c>
      <c r="Q300" s="106">
        <f t="shared" si="147"/>
        <v>-23578827.118643962</v>
      </c>
      <c r="R300" s="106">
        <f t="shared" si="147"/>
        <v>-23578827.118643962</v>
      </c>
      <c r="S300" s="106">
        <f t="shared" si="147"/>
        <v>-23578827.118643962</v>
      </c>
      <c r="T300" s="106">
        <f t="shared" si="147"/>
        <v>-23578827.118643962</v>
      </c>
      <c r="U300" s="106">
        <f t="shared" si="147"/>
        <v>-23578827.118643962</v>
      </c>
      <c r="V300" s="106">
        <f t="shared" si="147"/>
        <v>-23578827.118643962</v>
      </c>
      <c r="W300" s="106">
        <f t="shared" si="147"/>
        <v>-23578827.118643962</v>
      </c>
      <c r="X300" s="106">
        <f t="shared" si="147"/>
        <v>-23578827.118643962</v>
      </c>
      <c r="Y300" s="106">
        <f t="shared" si="147"/>
        <v>-23578827.118643962</v>
      </c>
      <c r="Z300" s="106">
        <f t="shared" si="147"/>
        <v>-23578827.118643962</v>
      </c>
      <c r="AA300" s="106">
        <f t="shared" si="147"/>
        <v>-23578827.118643962</v>
      </c>
    </row>
    <row r="301" spans="4:28" hidden="1" x14ac:dyDescent="0.25">
      <c r="E301" s="47" t="s">
        <v>729</v>
      </c>
      <c r="F301" s="47" t="s">
        <v>639</v>
      </c>
      <c r="G301" s="106">
        <f t="shared" si="147"/>
        <v>0</v>
      </c>
      <c r="H301" s="106">
        <f t="shared" si="147"/>
        <v>0</v>
      </c>
      <c r="I301" s="106">
        <f t="shared" si="147"/>
        <v>0</v>
      </c>
      <c r="J301" s="106">
        <f t="shared" si="147"/>
        <v>0</v>
      </c>
      <c r="K301" s="106">
        <f t="shared" si="147"/>
        <v>0</v>
      </c>
      <c r="L301" s="106">
        <f t="shared" si="147"/>
        <v>0</v>
      </c>
      <c r="M301" s="106">
        <f t="shared" si="147"/>
        <v>0</v>
      </c>
      <c r="N301" s="106">
        <f t="shared" si="147"/>
        <v>0</v>
      </c>
      <c r="O301" s="106">
        <f t="shared" si="147"/>
        <v>0</v>
      </c>
      <c r="P301" s="106">
        <f t="shared" si="147"/>
        <v>0</v>
      </c>
      <c r="Q301" s="106">
        <f t="shared" si="147"/>
        <v>0</v>
      </c>
      <c r="R301" s="106">
        <f t="shared" si="147"/>
        <v>0</v>
      </c>
      <c r="S301" s="106">
        <f t="shared" si="147"/>
        <v>0</v>
      </c>
      <c r="T301" s="106">
        <f t="shared" si="147"/>
        <v>0</v>
      </c>
      <c r="U301" s="106">
        <f t="shared" si="147"/>
        <v>0</v>
      </c>
      <c r="V301" s="106">
        <f t="shared" si="147"/>
        <v>0</v>
      </c>
      <c r="W301" s="106">
        <f t="shared" si="147"/>
        <v>0</v>
      </c>
      <c r="X301" s="106">
        <f t="shared" si="147"/>
        <v>0</v>
      </c>
      <c r="Y301" s="106">
        <f t="shared" si="147"/>
        <v>0</v>
      </c>
      <c r="Z301" s="106">
        <f t="shared" si="147"/>
        <v>0</v>
      </c>
      <c r="AA301" s="106">
        <f t="shared" si="147"/>
        <v>0</v>
      </c>
    </row>
    <row r="302" spans="4:28" hidden="1" x14ac:dyDescent="0.25">
      <c r="E302" s="47" t="s">
        <v>645</v>
      </c>
      <c r="F302" s="47" t="s">
        <v>639</v>
      </c>
      <c r="G302" s="106">
        <f t="shared" si="147"/>
        <v>0</v>
      </c>
      <c r="H302" s="106">
        <f t="shared" si="147"/>
        <v>0</v>
      </c>
      <c r="I302" s="106">
        <f t="shared" si="147"/>
        <v>0</v>
      </c>
      <c r="J302" s="106">
        <f t="shared" si="147"/>
        <v>0</v>
      </c>
      <c r="K302" s="106">
        <f t="shared" si="147"/>
        <v>0</v>
      </c>
      <c r="L302" s="106">
        <f t="shared" si="147"/>
        <v>0</v>
      </c>
      <c r="M302" s="106">
        <f t="shared" si="147"/>
        <v>0</v>
      </c>
      <c r="N302" s="106">
        <f t="shared" si="147"/>
        <v>0</v>
      </c>
      <c r="O302" s="106">
        <f t="shared" si="147"/>
        <v>0</v>
      </c>
      <c r="P302" s="106">
        <f t="shared" si="147"/>
        <v>0</v>
      </c>
      <c r="Q302" s="106">
        <f t="shared" si="147"/>
        <v>0</v>
      </c>
      <c r="R302" s="106">
        <f t="shared" si="147"/>
        <v>0</v>
      </c>
      <c r="S302" s="106">
        <f t="shared" si="147"/>
        <v>0</v>
      </c>
      <c r="T302" s="106">
        <f t="shared" si="147"/>
        <v>0</v>
      </c>
      <c r="U302" s="106">
        <f t="shared" si="147"/>
        <v>0</v>
      </c>
      <c r="V302" s="106">
        <f t="shared" si="147"/>
        <v>0</v>
      </c>
      <c r="W302" s="106">
        <f t="shared" si="147"/>
        <v>0</v>
      </c>
      <c r="X302" s="106">
        <f t="shared" si="147"/>
        <v>0</v>
      </c>
      <c r="Y302" s="106">
        <f t="shared" si="147"/>
        <v>0</v>
      </c>
      <c r="Z302" s="106">
        <f t="shared" si="147"/>
        <v>0</v>
      </c>
      <c r="AA302" s="106">
        <f t="shared" si="147"/>
        <v>0</v>
      </c>
    </row>
    <row r="303" spans="4:28" hidden="1" x14ac:dyDescent="0.25">
      <c r="E303" s="47" t="s">
        <v>723</v>
      </c>
      <c r="F303" s="47" t="s">
        <v>639</v>
      </c>
      <c r="G303" s="106">
        <f t="shared" si="147"/>
        <v>0</v>
      </c>
      <c r="H303" s="106">
        <f t="shared" si="147"/>
        <v>666314.02764398535</v>
      </c>
      <c r="I303" s="106">
        <f t="shared" si="147"/>
        <v>1353350.2014694605</v>
      </c>
      <c r="J303" s="106">
        <f t="shared" si="147"/>
        <v>1941971.964992397</v>
      </c>
      <c r="K303" s="106">
        <f t="shared" si="147"/>
        <v>2512789.7731291857</v>
      </c>
      <c r="L303" s="106">
        <f t="shared" si="147"/>
        <v>3069346.8617859194</v>
      </c>
      <c r="M303" s="106">
        <f t="shared" si="147"/>
        <v>3637562.2765883664</v>
      </c>
      <c r="N303" s="106">
        <f t="shared" si="147"/>
        <v>4220969.4951321799</v>
      </c>
      <c r="O303" s="106">
        <f t="shared" si="147"/>
        <v>4847424.1455522515</v>
      </c>
      <c r="P303" s="106">
        <f t="shared" si="147"/>
        <v>5529795.4841554686</v>
      </c>
      <c r="Q303" s="106">
        <f t="shared" si="147"/>
        <v>5060327.9629317196</v>
      </c>
      <c r="R303" s="106">
        <f t="shared" si="147"/>
        <v>5567100.7988346471</v>
      </c>
      <c r="S303" s="106">
        <f t="shared" si="147"/>
        <v>6048641.900799999</v>
      </c>
      <c r="T303" s="106">
        <f t="shared" si="147"/>
        <v>6494300.7744791489</v>
      </c>
      <c r="U303" s="106">
        <f t="shared" si="147"/>
        <v>6912112.1982502947</v>
      </c>
      <c r="V303" s="106">
        <f t="shared" si="147"/>
        <v>6515262.5077387691</v>
      </c>
      <c r="W303" s="106">
        <f t="shared" si="147"/>
        <v>6827258.7365352362</v>
      </c>
      <c r="X303" s="106">
        <f t="shared" si="147"/>
        <v>7109964.4263543151</v>
      </c>
      <c r="Y303" s="106">
        <f t="shared" si="147"/>
        <v>7353965.474167781</v>
      </c>
      <c r="Z303" s="106">
        <f t="shared" si="147"/>
        <v>7562250.319255474</v>
      </c>
      <c r="AA303" s="106">
        <f t="shared" si="147"/>
        <v>7741464.7930660751</v>
      </c>
      <c r="AB303" s="106">
        <f t="shared" ref="AB303:AB307" si="148">IF(V303=0,0,IF($G$15&gt;(AA303/V303)^(1/5)-1+2%,AA303*(AA303/V303)^(1/5)/($G$15-((AA303/V303)^(1/5)-1)),AA303*(1+$G$14)/$G$16))</f>
        <v>321222605.52141374</v>
      </c>
    </row>
    <row r="304" spans="4:28" hidden="1" x14ac:dyDescent="0.25">
      <c r="E304" s="47" t="s">
        <v>701</v>
      </c>
      <c r="F304" s="47" t="s">
        <v>639</v>
      </c>
      <c r="G304" s="106">
        <f t="shared" si="147"/>
        <v>0</v>
      </c>
      <c r="H304" s="106">
        <f t="shared" si="147"/>
        <v>-54422.36009322419</v>
      </c>
      <c r="I304" s="106">
        <f t="shared" si="147"/>
        <v>-109526.15416132481</v>
      </c>
      <c r="J304" s="106">
        <f t="shared" si="147"/>
        <v>-155605.36159586447</v>
      </c>
      <c r="K304" s="106">
        <f t="shared" si="147"/>
        <v>-199280.39103007439</v>
      </c>
      <c r="L304" s="106">
        <f t="shared" si="147"/>
        <v>-240665.27920261683</v>
      </c>
      <c r="M304" s="106">
        <f t="shared" si="147"/>
        <v>-282179.94059530948</v>
      </c>
      <c r="N304" s="106">
        <f t="shared" si="147"/>
        <v>-324349.08335132396</v>
      </c>
      <c r="O304" s="106">
        <f t="shared" si="147"/>
        <v>-369260.42910360516</v>
      </c>
      <c r="P304" s="106">
        <f t="shared" si="147"/>
        <v>-415931.0703474172</v>
      </c>
      <c r="Q304" s="106">
        <f t="shared" si="147"/>
        <v>-463166.36369997112</v>
      </c>
      <c r="R304" s="106">
        <f t="shared" si="147"/>
        <v>-510158.60982298886</v>
      </c>
      <c r="S304" s="106">
        <f t="shared" si="147"/>
        <v>-554971.4586728781</v>
      </c>
      <c r="T304" s="106">
        <f t="shared" si="147"/>
        <v>-596774.59057751088</v>
      </c>
      <c r="U304" s="106">
        <f t="shared" si="147"/>
        <v>-636313.66599131213</v>
      </c>
      <c r="V304" s="106">
        <f t="shared" si="147"/>
        <v>-673980.54576109431</v>
      </c>
      <c r="W304" s="106">
        <f t="shared" si="147"/>
        <v>-707245.34529324202</v>
      </c>
      <c r="X304" s="106">
        <f t="shared" si="147"/>
        <v>-737016.16464506777</v>
      </c>
      <c r="Y304" s="106">
        <f t="shared" si="147"/>
        <v>-762488.3633353957</v>
      </c>
      <c r="Z304" s="106">
        <f t="shared" si="147"/>
        <v>-784092.86669166654</v>
      </c>
      <c r="AA304" s="106">
        <f t="shared" si="147"/>
        <v>-802674.74174081546</v>
      </c>
      <c r="AB304" s="106">
        <f t="shared" si="148"/>
        <v>-33306005.881361622</v>
      </c>
    </row>
    <row r="305" spans="1:28" hidden="1" x14ac:dyDescent="0.25">
      <c r="E305" s="47" t="s">
        <v>702</v>
      </c>
      <c r="F305" s="47" t="s">
        <v>639</v>
      </c>
      <c r="G305" s="106">
        <f t="shared" si="147"/>
        <v>0</v>
      </c>
      <c r="H305" s="106">
        <f t="shared" si="147"/>
        <v>-2305442.8883808125</v>
      </c>
      <c r="I305" s="106">
        <f t="shared" si="147"/>
        <v>-4312697.0962773617</v>
      </c>
      <c r="J305" s="106">
        <f t="shared" si="147"/>
        <v>-5810245.751626296</v>
      </c>
      <c r="K305" s="106">
        <f t="shared" si="147"/>
        <v>-7162828.391532761</v>
      </c>
      <c r="L305" s="106">
        <f t="shared" si="147"/>
        <v>-8391389.3910458013</v>
      </c>
      <c r="M305" s="106">
        <f t="shared" si="147"/>
        <v>-9540528.4083044026</v>
      </c>
      <c r="N305" s="106">
        <f t="shared" si="147"/>
        <v>-10587099.64211314</v>
      </c>
      <c r="O305" s="106">
        <f t="shared" si="147"/>
        <v>-11601390.873014661</v>
      </c>
      <c r="P305" s="106">
        <f t="shared" si="147"/>
        <v>-12566340.410814656</v>
      </c>
      <c r="Q305" s="106">
        <f t="shared" si="147"/>
        <v>-13898919.226522906</v>
      </c>
      <c r="R305" s="106">
        <f t="shared" si="147"/>
        <v>-15211744.798865344</v>
      </c>
      <c r="S305" s="106">
        <f t="shared" si="147"/>
        <v>-16438346.984121433</v>
      </c>
      <c r="T305" s="106">
        <f t="shared" si="147"/>
        <v>-17530668.657289751</v>
      </c>
      <c r="U305" s="106">
        <f t="shared" si="147"/>
        <v>-18509445.264748458</v>
      </c>
      <c r="V305" s="106">
        <f t="shared" si="147"/>
        <v>-19393898.414706726</v>
      </c>
      <c r="W305" s="106">
        <f t="shared" si="147"/>
        <v>-20193802.946093597</v>
      </c>
      <c r="X305" s="106">
        <f t="shared" si="147"/>
        <v>-20966893.413858406</v>
      </c>
      <c r="Y305" s="106">
        <f t="shared" si="147"/>
        <v>-21663128.113645215</v>
      </c>
      <c r="Z305" s="106">
        <f t="shared" si="147"/>
        <v>-22275555.956576508</v>
      </c>
      <c r="AA305" s="106">
        <f t="shared" si="147"/>
        <v>-22803454.64692156</v>
      </c>
      <c r="AB305" s="106">
        <f t="shared" si="148"/>
        <v>-946201437.63159955</v>
      </c>
    </row>
    <row r="306" spans="1:28" hidden="1" x14ac:dyDescent="0.25">
      <c r="E306" s="47" t="s">
        <v>709</v>
      </c>
      <c r="F306" s="47" t="s">
        <v>639</v>
      </c>
      <c r="G306" s="106">
        <f t="shared" si="147"/>
        <v>0</v>
      </c>
      <c r="H306" s="106">
        <f t="shared" si="147"/>
        <v>0</v>
      </c>
      <c r="I306" s="106">
        <f t="shared" si="147"/>
        <v>0</v>
      </c>
      <c r="J306" s="106">
        <f t="shared" si="147"/>
        <v>0</v>
      </c>
      <c r="K306" s="106">
        <f t="shared" si="147"/>
        <v>0</v>
      </c>
      <c r="L306" s="106">
        <f t="shared" si="147"/>
        <v>0</v>
      </c>
      <c r="M306" s="106">
        <f t="shared" si="147"/>
        <v>0</v>
      </c>
      <c r="N306" s="106">
        <f t="shared" si="147"/>
        <v>0</v>
      </c>
      <c r="O306" s="106">
        <f t="shared" si="147"/>
        <v>0</v>
      </c>
      <c r="P306" s="106">
        <f t="shared" si="147"/>
        <v>0</v>
      </c>
      <c r="Q306" s="106">
        <f t="shared" si="147"/>
        <v>0</v>
      </c>
      <c r="R306" s="106">
        <f t="shared" si="147"/>
        <v>0</v>
      </c>
      <c r="S306" s="106">
        <f t="shared" si="147"/>
        <v>0</v>
      </c>
      <c r="T306" s="106">
        <f t="shared" si="147"/>
        <v>0</v>
      </c>
      <c r="U306" s="106">
        <f t="shared" si="147"/>
        <v>0</v>
      </c>
      <c r="V306" s="106">
        <f t="shared" si="147"/>
        <v>0</v>
      </c>
      <c r="W306" s="106">
        <f t="shared" si="147"/>
        <v>0</v>
      </c>
      <c r="X306" s="106">
        <f t="shared" si="147"/>
        <v>0</v>
      </c>
      <c r="Y306" s="106">
        <f t="shared" si="147"/>
        <v>0</v>
      </c>
      <c r="Z306" s="106">
        <f t="shared" si="147"/>
        <v>0</v>
      </c>
      <c r="AA306" s="106">
        <f t="shared" si="147"/>
        <v>0</v>
      </c>
      <c r="AB306" s="106">
        <f t="shared" si="148"/>
        <v>0</v>
      </c>
    </row>
    <row r="307" spans="1:28" hidden="1" x14ac:dyDescent="0.25">
      <c r="E307" s="47" t="s">
        <v>714</v>
      </c>
      <c r="F307" s="47" t="s">
        <v>639</v>
      </c>
      <c r="G307" s="106">
        <f t="shared" si="147"/>
        <v>0</v>
      </c>
      <c r="H307" s="106">
        <f t="shared" si="147"/>
        <v>0</v>
      </c>
      <c r="I307" s="106">
        <f t="shared" si="147"/>
        <v>0</v>
      </c>
      <c r="J307" s="106">
        <f t="shared" si="147"/>
        <v>0</v>
      </c>
      <c r="K307" s="106">
        <f t="shared" si="147"/>
        <v>0</v>
      </c>
      <c r="L307" s="106">
        <f t="shared" si="147"/>
        <v>0</v>
      </c>
      <c r="M307" s="106">
        <f t="shared" si="147"/>
        <v>0</v>
      </c>
      <c r="N307" s="106">
        <f t="shared" si="147"/>
        <v>0</v>
      </c>
      <c r="O307" s="106">
        <f t="shared" si="147"/>
        <v>0</v>
      </c>
      <c r="P307" s="106">
        <f t="shared" si="147"/>
        <v>0</v>
      </c>
      <c r="Q307" s="106">
        <f t="shared" si="147"/>
        <v>0</v>
      </c>
      <c r="R307" s="106">
        <f t="shared" si="147"/>
        <v>0</v>
      </c>
      <c r="S307" s="106">
        <f t="shared" si="147"/>
        <v>0</v>
      </c>
      <c r="T307" s="106">
        <f t="shared" si="147"/>
        <v>0</v>
      </c>
      <c r="U307" s="106">
        <f t="shared" si="147"/>
        <v>0</v>
      </c>
      <c r="V307" s="106">
        <f t="shared" si="147"/>
        <v>0</v>
      </c>
      <c r="W307" s="106">
        <f t="shared" si="147"/>
        <v>0</v>
      </c>
      <c r="X307" s="106">
        <f t="shared" si="147"/>
        <v>0</v>
      </c>
      <c r="Y307" s="106">
        <f t="shared" si="147"/>
        <v>0</v>
      </c>
      <c r="Z307" s="106">
        <f t="shared" si="147"/>
        <v>0</v>
      </c>
      <c r="AA307" s="106">
        <f t="shared" si="147"/>
        <v>0</v>
      </c>
      <c r="AB307" s="106">
        <f t="shared" si="148"/>
        <v>0</v>
      </c>
    </row>
    <row r="308" spans="1:28" hidden="1" x14ac:dyDescent="0.25">
      <c r="E308" s="47" t="s">
        <v>458</v>
      </c>
      <c r="F308" s="47" t="s">
        <v>639</v>
      </c>
      <c r="G308" s="106" t="e">
        <f t="shared" ref="G308:AA308" si="149">G297</f>
        <v>#VALUE!</v>
      </c>
      <c r="H308" s="106" t="e">
        <f t="shared" si="149"/>
        <v>#VALUE!</v>
      </c>
      <c r="I308" s="106" t="e">
        <f t="shared" si="149"/>
        <v>#VALUE!</v>
      </c>
      <c r="J308" s="106" t="e">
        <f t="shared" si="149"/>
        <v>#VALUE!</v>
      </c>
      <c r="K308" s="106" t="e">
        <f t="shared" si="149"/>
        <v>#VALUE!</v>
      </c>
      <c r="L308" s="106" t="e">
        <f t="shared" si="149"/>
        <v>#VALUE!</v>
      </c>
      <c r="M308" s="106" t="e">
        <f t="shared" si="149"/>
        <v>#VALUE!</v>
      </c>
      <c r="N308" s="106" t="e">
        <f t="shared" si="149"/>
        <v>#VALUE!</v>
      </c>
      <c r="O308" s="106" t="e">
        <f t="shared" si="149"/>
        <v>#VALUE!</v>
      </c>
      <c r="P308" s="106" t="e">
        <f t="shared" si="149"/>
        <v>#VALUE!</v>
      </c>
      <c r="Q308" s="106" t="e">
        <f t="shared" si="149"/>
        <v>#VALUE!</v>
      </c>
      <c r="R308" s="106" t="e">
        <f t="shared" si="149"/>
        <v>#VALUE!</v>
      </c>
      <c r="S308" s="106" t="e">
        <f t="shared" si="149"/>
        <v>#VALUE!</v>
      </c>
      <c r="T308" s="106" t="e">
        <f t="shared" si="149"/>
        <v>#VALUE!</v>
      </c>
      <c r="U308" s="106" t="e">
        <f t="shared" si="149"/>
        <v>#VALUE!</v>
      </c>
      <c r="V308" s="106" t="e">
        <f t="shared" si="149"/>
        <v>#VALUE!</v>
      </c>
      <c r="W308" s="106" t="e">
        <f t="shared" si="149"/>
        <v>#VALUE!</v>
      </c>
      <c r="X308" s="106" t="e">
        <f t="shared" si="149"/>
        <v>#VALUE!</v>
      </c>
      <c r="Y308" s="106" t="e">
        <f t="shared" si="149"/>
        <v>#VALUE!</v>
      </c>
      <c r="Z308" s="106" t="e">
        <f t="shared" si="149"/>
        <v>#VALUE!</v>
      </c>
      <c r="AA308" s="106" t="e">
        <f t="shared" si="149"/>
        <v>#VALUE!</v>
      </c>
      <c r="AB308" s="106" t="e">
        <f>IF(V308=0,0,IF($G$15&gt;(AA308/V308)^(1/5)-1+2%,AA308*(AA308/V308)^(1/5)/($G$15-((AA308/V308)^(1/5)-1)),AA308*(1+$G$14)/$G$16))</f>
        <v>#VALUE!</v>
      </c>
    </row>
    <row r="309" spans="1:28" hidden="1" x14ac:dyDescent="0.25">
      <c r="E309" s="47" t="s">
        <v>730</v>
      </c>
      <c r="F309" s="47" t="s">
        <v>639</v>
      </c>
      <c r="G309" s="106" t="e">
        <f>-$G$17*G308</f>
        <v>#VALUE!</v>
      </c>
      <c r="H309" s="106" t="e">
        <f t="shared" ref="H309:AA309" si="150">-$G$17*H308</f>
        <v>#VALUE!</v>
      </c>
      <c r="I309" s="106" t="e">
        <f t="shared" si="150"/>
        <v>#VALUE!</v>
      </c>
      <c r="J309" s="106" t="e">
        <f t="shared" si="150"/>
        <v>#VALUE!</v>
      </c>
      <c r="K309" s="106" t="e">
        <f t="shared" si="150"/>
        <v>#VALUE!</v>
      </c>
      <c r="L309" s="106" t="e">
        <f t="shared" si="150"/>
        <v>#VALUE!</v>
      </c>
      <c r="M309" s="106" t="e">
        <f t="shared" si="150"/>
        <v>#VALUE!</v>
      </c>
      <c r="N309" s="106" t="e">
        <f t="shared" si="150"/>
        <v>#VALUE!</v>
      </c>
      <c r="O309" s="106" t="e">
        <f t="shared" si="150"/>
        <v>#VALUE!</v>
      </c>
      <c r="P309" s="106" t="e">
        <f t="shared" si="150"/>
        <v>#VALUE!</v>
      </c>
      <c r="Q309" s="106" t="e">
        <f t="shared" si="150"/>
        <v>#VALUE!</v>
      </c>
      <c r="R309" s="106" t="e">
        <f t="shared" si="150"/>
        <v>#VALUE!</v>
      </c>
      <c r="S309" s="106" t="e">
        <f t="shared" si="150"/>
        <v>#VALUE!</v>
      </c>
      <c r="T309" s="106" t="e">
        <f t="shared" si="150"/>
        <v>#VALUE!</v>
      </c>
      <c r="U309" s="106" t="e">
        <f t="shared" si="150"/>
        <v>#VALUE!</v>
      </c>
      <c r="V309" s="106" t="e">
        <f t="shared" si="150"/>
        <v>#VALUE!</v>
      </c>
      <c r="W309" s="106" t="e">
        <f t="shared" si="150"/>
        <v>#VALUE!</v>
      </c>
      <c r="X309" s="106" t="e">
        <f t="shared" si="150"/>
        <v>#VALUE!</v>
      </c>
      <c r="Y309" s="106" t="e">
        <f t="shared" si="150"/>
        <v>#VALUE!</v>
      </c>
      <c r="Z309" s="106" t="e">
        <f t="shared" si="150"/>
        <v>#VALUE!</v>
      </c>
      <c r="AA309" s="106" t="e">
        <f t="shared" si="150"/>
        <v>#VALUE!</v>
      </c>
      <c r="AB309" s="106" t="e">
        <f t="shared" ref="AB309" si="151">IF(V309=0,0,IF($G$15&gt;(AA309/V309)^(1/5)-1+2%,AA309*(AA309/V309)^(1/5)/($G$15-((AA309/V309)^(1/5)-1)),AA309*(1+$G$14)/$G$16))</f>
        <v>#VALUE!</v>
      </c>
    </row>
    <row r="310" spans="1:28" hidden="1" x14ac:dyDescent="0.25">
      <c r="E310" s="47" t="s">
        <v>731</v>
      </c>
      <c r="F310" s="47" t="s">
        <v>639</v>
      </c>
      <c r="G310" s="106" t="e">
        <f t="shared" ref="G310:AA310" si="152">SUM(G300:G309)</f>
        <v>#VALUE!</v>
      </c>
      <c r="H310" s="106" t="e">
        <f t="shared" si="152"/>
        <v>#VALUE!</v>
      </c>
      <c r="I310" s="106" t="e">
        <f t="shared" si="152"/>
        <v>#VALUE!</v>
      </c>
      <c r="J310" s="106" t="e">
        <f t="shared" si="152"/>
        <v>#VALUE!</v>
      </c>
      <c r="K310" s="106" t="e">
        <f t="shared" si="152"/>
        <v>#VALUE!</v>
      </c>
      <c r="L310" s="106" t="e">
        <f t="shared" si="152"/>
        <v>#VALUE!</v>
      </c>
      <c r="M310" s="106" t="e">
        <f t="shared" si="152"/>
        <v>#VALUE!</v>
      </c>
      <c r="N310" s="106" t="e">
        <f t="shared" si="152"/>
        <v>#VALUE!</v>
      </c>
      <c r="O310" s="106" t="e">
        <f t="shared" si="152"/>
        <v>#VALUE!</v>
      </c>
      <c r="P310" s="106" t="e">
        <f t="shared" si="152"/>
        <v>#VALUE!</v>
      </c>
      <c r="Q310" s="106" t="e">
        <f t="shared" si="152"/>
        <v>#VALUE!</v>
      </c>
      <c r="R310" s="106" t="e">
        <f t="shared" si="152"/>
        <v>#VALUE!</v>
      </c>
      <c r="S310" s="106" t="e">
        <f t="shared" si="152"/>
        <v>#VALUE!</v>
      </c>
      <c r="T310" s="106" t="e">
        <f t="shared" si="152"/>
        <v>#VALUE!</v>
      </c>
      <c r="U310" s="106" t="e">
        <f t="shared" si="152"/>
        <v>#VALUE!</v>
      </c>
      <c r="V310" s="106" t="e">
        <f t="shared" si="152"/>
        <v>#VALUE!</v>
      </c>
      <c r="W310" s="106" t="e">
        <f t="shared" si="152"/>
        <v>#VALUE!</v>
      </c>
      <c r="X310" s="106" t="e">
        <f t="shared" si="152"/>
        <v>#VALUE!</v>
      </c>
      <c r="Y310" s="106" t="e">
        <f t="shared" si="152"/>
        <v>#VALUE!</v>
      </c>
      <c r="Z310" s="106" t="e">
        <f t="shared" si="152"/>
        <v>#VALUE!</v>
      </c>
      <c r="AA310" s="106" t="e">
        <f t="shared" si="152"/>
        <v>#VALUE!</v>
      </c>
      <c r="AB310" s="106" t="e">
        <f>SUM(AB300:AB309)*IF(DASH!#REF!="yes",1,0)</f>
        <v>#VALUE!</v>
      </c>
    </row>
    <row r="311" spans="1:28" hidden="1" x14ac:dyDescent="0.25">
      <c r="E311" s="47" t="s">
        <v>732</v>
      </c>
      <c r="F311" s="47" t="s">
        <v>639</v>
      </c>
      <c r="G311" s="106" t="e">
        <f>NPV($G$15,H310:AQ310)+G310</f>
        <v>#VALUE!</v>
      </c>
    </row>
    <row r="312" spans="1:28" hidden="1" x14ac:dyDescent="0.25"/>
    <row r="313" spans="1:28" hidden="1" x14ac:dyDescent="0.25">
      <c r="E313" s="47" t="s">
        <v>725</v>
      </c>
      <c r="F313" s="47" t="s">
        <v>639</v>
      </c>
      <c r="G313" s="106" t="e">
        <f t="shared" ref="G313:AA313" si="153">G285</f>
        <v>#VALUE!</v>
      </c>
      <c r="H313" s="106" t="e">
        <f t="shared" si="153"/>
        <v>#VALUE!</v>
      </c>
      <c r="I313" s="106" t="e">
        <f t="shared" si="153"/>
        <v>#VALUE!</v>
      </c>
      <c r="J313" s="106" t="e">
        <f t="shared" si="153"/>
        <v>#VALUE!</v>
      </c>
      <c r="K313" s="106" t="e">
        <f t="shared" si="153"/>
        <v>#VALUE!</v>
      </c>
      <c r="L313" s="106" t="e">
        <f t="shared" si="153"/>
        <v>#VALUE!</v>
      </c>
      <c r="M313" s="106" t="e">
        <f t="shared" si="153"/>
        <v>#VALUE!</v>
      </c>
      <c r="N313" s="106" t="e">
        <f t="shared" si="153"/>
        <v>#VALUE!</v>
      </c>
      <c r="O313" s="106" t="e">
        <f t="shared" si="153"/>
        <v>#VALUE!</v>
      </c>
      <c r="P313" s="106" t="e">
        <f t="shared" si="153"/>
        <v>#VALUE!</v>
      </c>
      <c r="Q313" s="106" t="e">
        <f t="shared" si="153"/>
        <v>#VALUE!</v>
      </c>
      <c r="R313" s="106" t="e">
        <f t="shared" si="153"/>
        <v>#VALUE!</v>
      </c>
      <c r="S313" s="106" t="e">
        <f t="shared" si="153"/>
        <v>#VALUE!</v>
      </c>
      <c r="T313" s="106" t="e">
        <f t="shared" si="153"/>
        <v>#VALUE!</v>
      </c>
      <c r="U313" s="106" t="e">
        <f t="shared" si="153"/>
        <v>#VALUE!</v>
      </c>
      <c r="V313" s="106" t="e">
        <f t="shared" si="153"/>
        <v>#VALUE!</v>
      </c>
      <c r="W313" s="106" t="e">
        <f t="shared" si="153"/>
        <v>#VALUE!</v>
      </c>
      <c r="X313" s="106" t="e">
        <f t="shared" si="153"/>
        <v>#VALUE!</v>
      </c>
      <c r="Y313" s="106" t="e">
        <f t="shared" si="153"/>
        <v>#VALUE!</v>
      </c>
      <c r="Z313" s="106" t="e">
        <f t="shared" si="153"/>
        <v>#VALUE!</v>
      </c>
      <c r="AA313" s="106" t="e">
        <f t="shared" si="153"/>
        <v>#VALUE!</v>
      </c>
    </row>
    <row r="314" spans="1:28" hidden="1" x14ac:dyDescent="0.25">
      <c r="E314" s="47" t="s">
        <v>733</v>
      </c>
      <c r="F314" s="47" t="s">
        <v>639</v>
      </c>
      <c r="G314" s="106" t="e">
        <f>NPV($G$15,H313:AP313)+G313</f>
        <v>#VALUE!</v>
      </c>
    </row>
    <row r="315" spans="1:28" hidden="1" x14ac:dyDescent="0.25">
      <c r="E315" s="111" t="s">
        <v>734</v>
      </c>
      <c r="F315" s="111"/>
      <c r="G315" s="118" t="e">
        <f>IF(G311&gt;0,"N/A",IF(ABS(G311+G314)&gt;1,"Error","OK"))</f>
        <v>#VALUE!</v>
      </c>
    </row>
    <row r="316" spans="1:28" hidden="1" x14ac:dyDescent="0.25"/>
    <row r="318" spans="1:28" x14ac:dyDescent="0.25">
      <c r="C318" s="100" t="s">
        <v>740</v>
      </c>
    </row>
    <row r="319" spans="1:28" x14ac:dyDescent="0.25">
      <c r="E319" s="47" t="s">
        <v>741</v>
      </c>
      <c r="F319" s="47" t="s">
        <v>742</v>
      </c>
    </row>
    <row r="320" spans="1:28" x14ac:dyDescent="0.25">
      <c r="A320" s="101">
        <v>55</v>
      </c>
      <c r="E320" s="119" t="s">
        <v>301</v>
      </c>
      <c r="F320" s="119" t="s">
        <v>743</v>
      </c>
    </row>
    <row r="321" spans="5:6" x14ac:dyDescent="0.25">
      <c r="E321" s="119" t="s">
        <v>303</v>
      </c>
      <c r="F321" s="119" t="s">
        <v>744</v>
      </c>
    </row>
    <row r="322" spans="5:6" x14ac:dyDescent="0.25">
      <c r="E322" s="119" t="s">
        <v>310</v>
      </c>
      <c r="F322" s="119" t="s">
        <v>745</v>
      </c>
    </row>
    <row r="323" spans="5:6" x14ac:dyDescent="0.25">
      <c r="E323" s="119" t="s">
        <v>305</v>
      </c>
      <c r="F323" s="119" t="s">
        <v>746</v>
      </c>
    </row>
  </sheetData>
  <mergeCells count="1">
    <mergeCell ref="G4:H4"/>
  </mergeCells>
  <dataValidations count="1">
    <dataValidation type="list" showInputMessage="1" showErrorMessage="1" sqref="G4:H4" xr:uid="{43676C1D-0D5C-469F-88A6-40D0ECB0F717}">
      <formula1>$E$320:$E$323</formula1>
    </dataValidation>
  </dataValidations>
  <hyperlinks>
    <hyperlink ref="A2" location="Summary!A1" display="Summary" xr:uid="{EAE99711-8C90-4F06-B432-6DCD7E33E3C3}"/>
  </hyperlinks>
  <pageMargins left="0.75" right="0.75" top="1" bottom="1" header="0.5" footer="0.5"/>
  <pageSetup paperSize="9" orientation="portrait" horizontalDpi="4294967292" verticalDpi="429496729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C02F3-FDAE-42C5-B484-6F66405688E3}">
  <sheetPr codeName="Sheet45">
    <tabColor rgb="FF8EA9DB"/>
  </sheetPr>
  <dimension ref="A1:AN323"/>
  <sheetViews>
    <sheetView zoomScale="70" zoomScaleNormal="70" workbookViewId="0">
      <pane xSplit="5" ySplit="2" topLeftCell="F198" activePane="bottomRight" state="frozenSplit"/>
      <selection pane="topRight" activeCell="G37" sqref="G37:AA37"/>
      <selection pane="bottomLeft" activeCell="G37" sqref="G37:AA37"/>
      <selection pane="bottomRight" activeCell="G218" sqref="G218"/>
    </sheetView>
  </sheetViews>
  <sheetFormatPr defaultColWidth="14" defaultRowHeight="15.75" x14ac:dyDescent="0.25"/>
  <cols>
    <col min="1" max="1" width="12.83203125" style="101" customWidth="1"/>
    <col min="2" max="2" width="3.83203125" style="47" customWidth="1"/>
    <col min="3" max="3" width="4.33203125" style="47" customWidth="1"/>
    <col min="4" max="4" width="3.6640625" style="47" customWidth="1"/>
    <col min="5" max="5" width="46.5" style="47" bestFit="1" customWidth="1"/>
    <col min="6" max="6" width="22.33203125" style="47" customWidth="1"/>
    <col min="7" max="7" width="16.5" style="47" customWidth="1"/>
    <col min="8" max="27" width="14" style="47"/>
    <col min="28" max="28" width="14.1640625" style="47" customWidth="1"/>
    <col min="29" max="16384" width="14" style="47"/>
  </cols>
  <sheetData>
    <row r="1" spans="1:27" ht="28.5" x14ac:dyDescent="0.45">
      <c r="A1" s="95" t="str" cm="1">
        <f t="array" ref="A1">RIGHT(CELL("filename",A1),LEN(CELL("filename",A1))-SEARCH("]",CELL("filename",A1)))</f>
        <v>GR</v>
      </c>
      <c r="E1" s="96" t="str">
        <f>INDEX(TariffName,MATCH(A1,TariffCode,0))</f>
        <v>Other RW</v>
      </c>
      <c r="F1" s="97">
        <f>G218</f>
        <v>7362.9179518184774</v>
      </c>
      <c r="G1" s="98" t="str">
        <f>'INPUT Opex'!AC7</f>
        <v>2023-24</v>
      </c>
      <c r="H1" s="98" t="str">
        <f>'INPUT Opex'!AD7</f>
        <v>2024-25</v>
      </c>
      <c r="I1" s="98" t="str">
        <f>'INPUT Opex'!AE7</f>
        <v>2025-26</v>
      </c>
      <c r="J1" s="98" t="str">
        <f>'INPUT Opex'!AF7</f>
        <v>2026-27</v>
      </c>
      <c r="K1" s="98" t="str">
        <f>'INPUT Opex'!AG7</f>
        <v>2027-28</v>
      </c>
      <c r="L1" s="98" t="str">
        <f>'INPUT Opex'!AH7</f>
        <v>2028-29</v>
      </c>
      <c r="M1" s="98" t="str">
        <f>'INPUT Opex'!AI7</f>
        <v>2029-30</v>
      </c>
      <c r="N1" s="98" t="str">
        <f>'INPUT Opex'!AJ7</f>
        <v>2030-31</v>
      </c>
      <c r="O1" s="98" t="str">
        <f>'INPUT Opex'!AK7</f>
        <v>2031-32</v>
      </c>
      <c r="P1" s="98" t="str">
        <f>'INPUT Opex'!AL7</f>
        <v>2032-33</v>
      </c>
      <c r="Q1" s="98" t="str">
        <f>'INPUT Opex'!AM7</f>
        <v>2033-34</v>
      </c>
      <c r="R1" s="98" t="str">
        <f>'INPUT Opex'!AN7</f>
        <v>2034-35</v>
      </c>
      <c r="S1" s="98" t="str">
        <f>'INPUT Opex'!AO7</f>
        <v>2035-36</v>
      </c>
      <c r="T1" s="98" t="str">
        <f>'INPUT Opex'!AP7</f>
        <v>2036-37</v>
      </c>
      <c r="U1" s="98" t="str">
        <f>'INPUT Opex'!AQ7</f>
        <v>2037-38</v>
      </c>
      <c r="V1" s="98" t="str">
        <f>'INPUT Opex'!AR7</f>
        <v>2038-39</v>
      </c>
      <c r="W1" s="98" t="str">
        <f>'INPUT Opex'!AS7</f>
        <v>2039-40</v>
      </c>
      <c r="X1" s="98" t="str">
        <f>'INPUT Opex'!AT7</f>
        <v>2040-41</v>
      </c>
      <c r="Y1" s="98" t="str">
        <f>'INPUT Opex'!AU7</f>
        <v>2041-42</v>
      </c>
      <c r="Z1" s="98" t="str">
        <f>'INPUT Opex'!AV7</f>
        <v>2042-43</v>
      </c>
      <c r="AA1" s="98" t="str">
        <f>'INPUT Opex'!AW7</f>
        <v>2043-44</v>
      </c>
    </row>
    <row r="2" spans="1:27" x14ac:dyDescent="0.25">
      <c r="A2" s="99"/>
      <c r="C2" s="100" t="s">
        <v>625</v>
      </c>
      <c r="D2" s="100"/>
      <c r="F2" s="97"/>
      <c r="G2" s="47">
        <v>0</v>
      </c>
      <c r="H2" s="47">
        <v>1</v>
      </c>
      <c r="I2" s="47">
        <v>2</v>
      </c>
      <c r="J2" s="47">
        <v>3</v>
      </c>
      <c r="K2" s="47">
        <v>4</v>
      </c>
      <c r="L2" s="47">
        <v>5</v>
      </c>
      <c r="M2" s="47">
        <v>6</v>
      </c>
      <c r="N2" s="47">
        <v>7</v>
      </c>
      <c r="O2" s="47">
        <v>8</v>
      </c>
      <c r="P2" s="47">
        <v>9</v>
      </c>
      <c r="Q2" s="47">
        <v>10</v>
      </c>
      <c r="R2" s="47">
        <v>11</v>
      </c>
      <c r="S2" s="47">
        <v>12</v>
      </c>
      <c r="T2" s="47">
        <v>13</v>
      </c>
      <c r="U2" s="47">
        <v>14</v>
      </c>
      <c r="V2" s="47">
        <v>15</v>
      </c>
      <c r="W2" s="47">
        <v>16</v>
      </c>
      <c r="X2" s="47">
        <v>17</v>
      </c>
      <c r="Y2" s="47">
        <v>18</v>
      </c>
      <c r="Z2" s="47">
        <v>19</v>
      </c>
      <c r="AA2" s="47">
        <v>20</v>
      </c>
    </row>
    <row r="4" spans="1:27" x14ac:dyDescent="0.25">
      <c r="A4" s="101">
        <v>1</v>
      </c>
      <c r="C4" s="100" t="s">
        <v>626</v>
      </c>
      <c r="F4" s="47" t="s">
        <v>627</v>
      </c>
      <c r="G4" s="310" t="str">
        <f>INDEX(TariffProduct,MATCH(A1,TariffCode,0))</f>
        <v>Recycled</v>
      </c>
      <c r="H4" s="310"/>
    </row>
    <row r="6" spans="1:27" x14ac:dyDescent="0.25">
      <c r="C6" s="100" t="s">
        <v>628</v>
      </c>
    </row>
    <row r="7" spans="1:27" x14ac:dyDescent="0.25">
      <c r="A7" s="101">
        <v>2</v>
      </c>
      <c r="E7" s="102" t="s">
        <v>616</v>
      </c>
      <c r="F7" s="47" t="s">
        <v>629</v>
      </c>
      <c r="G7" s="102">
        <f>Assumptions!H23</f>
        <v>90</v>
      </c>
    </row>
    <row r="8" spans="1:27" x14ac:dyDescent="0.25">
      <c r="A8" s="101">
        <v>3</v>
      </c>
      <c r="E8" s="102" t="s">
        <v>617</v>
      </c>
      <c r="F8" s="47" t="s">
        <v>629</v>
      </c>
      <c r="G8" s="102">
        <f>Assumptions!H24</f>
        <v>30</v>
      </c>
    </row>
    <row r="9" spans="1:27" x14ac:dyDescent="0.25">
      <c r="A9" s="101">
        <v>4</v>
      </c>
      <c r="E9" s="102" t="s">
        <v>144</v>
      </c>
      <c r="F9" s="47" t="s">
        <v>629</v>
      </c>
      <c r="G9" s="102">
        <f>Assumptions!H25</f>
        <v>80</v>
      </c>
    </row>
    <row r="10" spans="1:27" x14ac:dyDescent="0.25">
      <c r="A10" s="101">
        <v>5</v>
      </c>
      <c r="E10" s="47" t="s">
        <v>630</v>
      </c>
      <c r="F10" s="47" t="s">
        <v>629</v>
      </c>
      <c r="G10" s="102">
        <f>Assumptions!H26</f>
        <v>5</v>
      </c>
    </row>
    <row r="13" spans="1:27" x14ac:dyDescent="0.25">
      <c r="C13" s="100" t="s">
        <v>631</v>
      </c>
    </row>
    <row r="14" spans="1:27" x14ac:dyDescent="0.25">
      <c r="A14" s="101">
        <v>6</v>
      </c>
      <c r="E14" s="47" t="s">
        <v>632</v>
      </c>
      <c r="F14" s="47" t="s">
        <v>633</v>
      </c>
      <c r="G14" s="103">
        <f>Assumptions!H16</f>
        <v>0</v>
      </c>
    </row>
    <row r="15" spans="1:27" x14ac:dyDescent="0.25">
      <c r="A15" s="101">
        <v>7</v>
      </c>
      <c r="E15" s="47" t="s">
        <v>634</v>
      </c>
      <c r="F15" s="47" t="s">
        <v>633</v>
      </c>
      <c r="G15" s="103">
        <f>'INPUT Reg'!AD20</f>
        <v>2.41E-2</v>
      </c>
    </row>
    <row r="16" spans="1:27" x14ac:dyDescent="0.25">
      <c r="E16" s="47" t="s">
        <v>635</v>
      </c>
      <c r="F16" s="47" t="s">
        <v>633</v>
      </c>
      <c r="G16" s="104">
        <f>(1+G15)/(1+G14)-1</f>
        <v>2.410000000000001E-2</v>
      </c>
    </row>
    <row r="17" spans="1:27" x14ac:dyDescent="0.25">
      <c r="E17" s="47" t="s">
        <v>636</v>
      </c>
      <c r="F17" s="47" t="s">
        <v>633</v>
      </c>
      <c r="G17" s="105">
        <f>'INPUT Reg'!E22</f>
        <v>0.5</v>
      </c>
    </row>
    <row r="18" spans="1:27" x14ac:dyDescent="0.25">
      <c r="A18" s="101">
        <v>9</v>
      </c>
      <c r="E18" s="47" t="s">
        <v>637</v>
      </c>
      <c r="F18" s="47" t="s">
        <v>633</v>
      </c>
      <c r="G18" s="105">
        <f>'INPUT Reg'!E23</f>
        <v>0.3</v>
      </c>
      <c r="H18" s="105">
        <f>G18</f>
        <v>0.3</v>
      </c>
      <c r="I18" s="105">
        <f t="shared" ref="I18:AA18" si="0">H18</f>
        <v>0.3</v>
      </c>
      <c r="J18" s="105">
        <f t="shared" si="0"/>
        <v>0.3</v>
      </c>
      <c r="K18" s="105">
        <f t="shared" si="0"/>
        <v>0.3</v>
      </c>
      <c r="L18" s="105">
        <f t="shared" si="0"/>
        <v>0.3</v>
      </c>
      <c r="M18" s="105">
        <f t="shared" si="0"/>
        <v>0.3</v>
      </c>
      <c r="N18" s="105">
        <f t="shared" si="0"/>
        <v>0.3</v>
      </c>
      <c r="O18" s="105">
        <f t="shared" si="0"/>
        <v>0.3</v>
      </c>
      <c r="P18" s="105">
        <f t="shared" si="0"/>
        <v>0.3</v>
      </c>
      <c r="Q18" s="105">
        <f t="shared" si="0"/>
        <v>0.3</v>
      </c>
      <c r="R18" s="105">
        <f t="shared" si="0"/>
        <v>0.3</v>
      </c>
      <c r="S18" s="105">
        <f t="shared" si="0"/>
        <v>0.3</v>
      </c>
      <c r="T18" s="105">
        <f t="shared" si="0"/>
        <v>0.3</v>
      </c>
      <c r="U18" s="105">
        <f t="shared" si="0"/>
        <v>0.3</v>
      </c>
      <c r="V18" s="105">
        <f t="shared" si="0"/>
        <v>0.3</v>
      </c>
      <c r="W18" s="105">
        <f t="shared" si="0"/>
        <v>0.3</v>
      </c>
      <c r="X18" s="105">
        <f t="shared" si="0"/>
        <v>0.3</v>
      </c>
      <c r="Y18" s="105">
        <f t="shared" si="0"/>
        <v>0.3</v>
      </c>
      <c r="Z18" s="105">
        <f t="shared" si="0"/>
        <v>0.3</v>
      </c>
      <c r="AA18" s="105">
        <f t="shared" si="0"/>
        <v>0.3</v>
      </c>
    </row>
    <row r="20" spans="1:27" x14ac:dyDescent="0.25">
      <c r="A20" s="101">
        <v>10</v>
      </c>
      <c r="C20" s="100" t="s">
        <v>638</v>
      </c>
      <c r="D20" s="100"/>
    </row>
    <row r="21" spans="1:27" x14ac:dyDescent="0.25">
      <c r="E21" s="106" t="str">
        <f>E7</f>
        <v>Pipes / Storage</v>
      </c>
      <c r="F21" s="47" t="s">
        <v>639</v>
      </c>
      <c r="G21" s="102">
        <f>(SUMIFS('INPUT Capex'!AC$236:AC$255,'INPUT Capex'!$A$236:$A$255,$A$1,'INPUT Capex'!$G$236:$G$255,$E21)+SUMIFS('INPUT Capex'!AC$211:AC$228,'INPUT Capex'!$A$211:$A$228,$A$1,'INPUT Capex'!$G$211:$G$228,$E21))*IF(G$2=0,DASH!$E$8,1)</f>
        <v>0</v>
      </c>
      <c r="H21" s="102">
        <f>(SUMIFS('INPUT Capex'!AD$236:AD$255,'INPUT Capex'!$A$236:$A$255,$A$1,'INPUT Capex'!$G$236:$G$255,$E21)+SUMIFS('INPUT Capex'!AD$211:AD$228,'INPUT Capex'!$A$211:$A$228,$A$1,'INPUT Capex'!$G$211:$G$228,$E21))*IF(H$2=0,DASH!$E$8,1)</f>
        <v>85617.433414043204</v>
      </c>
      <c r="I21" s="102">
        <f>(SUMIFS('INPUT Capex'!AE$236:AE$255,'INPUT Capex'!$A$236:$A$255,$A$1,'INPUT Capex'!$G$236:$G$255,$E21)+SUMIFS('INPUT Capex'!AE$211:AE$228,'INPUT Capex'!$A$211:$A$228,$A$1,'INPUT Capex'!$G$211:$G$228,$E21))*IF(I$2=0,DASH!$E$8,1)</f>
        <v>256852.3002421296</v>
      </c>
      <c r="J21" s="102">
        <f>(SUMIFS('INPUT Capex'!AF$236:AF$255,'INPUT Capex'!$A$236:$A$255,$A$1,'INPUT Capex'!$G$236:$G$255,$E21)+SUMIFS('INPUT Capex'!AF$211:AF$228,'INPUT Capex'!$A$211:$A$228,$A$1,'INPUT Capex'!$G$211:$G$228,$E21))*IF(J$2=0,DASH!$E$8,1)</f>
        <v>256852.3002421296</v>
      </c>
      <c r="K21" s="102">
        <f>(SUMIFS('INPUT Capex'!AG$236:AG$255,'INPUT Capex'!$A$236:$A$255,$A$1,'INPUT Capex'!$G$236:$G$255,$E21)+SUMIFS('INPUT Capex'!AG$211:AG$228,'INPUT Capex'!$A$211:$A$228,$A$1,'INPUT Capex'!$G$211:$G$228,$E21))*IF(K$2=0,DASH!$E$8,1)</f>
        <v>256852.3002421296</v>
      </c>
      <c r="L21" s="102">
        <f>(SUMIFS('INPUT Capex'!AH$236:AH$255,'INPUT Capex'!$A$236:$A$255,$A$1,'INPUT Capex'!$G$236:$G$255,$E21)+SUMIFS('INPUT Capex'!AH$211:AH$228,'INPUT Capex'!$A$211:$A$228,$A$1,'INPUT Capex'!$G$211:$G$228,$E21))*IF(L$2=0,DASH!$E$8,1)</f>
        <v>267554.47941888502</v>
      </c>
      <c r="M21" s="102">
        <f>(SUMIFS('INPUT Capex'!AI$236:AI$255,'INPUT Capex'!$A$236:$A$255,$A$1,'INPUT Capex'!$G$236:$G$255,$E21)+SUMIFS('INPUT Capex'!AI$211:AI$228,'INPUT Capex'!$A$211:$A$228,$A$1,'INPUT Capex'!$G$211:$G$228,$E21))*IF(M$2=0,DASH!$E$8,1)</f>
        <v>3745762.7118643895</v>
      </c>
      <c r="N21" s="102">
        <f>(SUMIFS('INPUT Capex'!AJ$236:AJ$255,'INPUT Capex'!$A$236:$A$255,$A$1,'INPUT Capex'!$G$236:$G$255,$E21)+SUMIFS('INPUT Capex'!AJ$211:AJ$228,'INPUT Capex'!$A$211:$A$228,$A$1,'INPUT Capex'!$G$211:$G$228,$E21))*IF(N$2=0,DASH!$E$8,1)</f>
        <v>3745762.7118643895</v>
      </c>
      <c r="O21" s="102">
        <f>(SUMIFS('INPUT Capex'!AK$236:AK$255,'INPUT Capex'!$A$236:$A$255,$A$1,'INPUT Capex'!$G$236:$G$255,$E21)+SUMIFS('INPUT Capex'!AK$211:AK$228,'INPUT Capex'!$A$211:$A$228,$A$1,'INPUT Capex'!$G$211:$G$228,$E21))*IF(O$2=0,DASH!$E$8,1)</f>
        <v>0</v>
      </c>
      <c r="P21" s="102">
        <f>(SUMIFS('INPUT Capex'!AL$236:AL$255,'INPUT Capex'!$A$236:$A$255,$A$1,'INPUT Capex'!$G$236:$G$255,$E21)+SUMIFS('INPUT Capex'!AL$211:AL$228,'INPUT Capex'!$A$211:$A$228,$A$1,'INPUT Capex'!$G$211:$G$228,$E21))*IF(P$2=0,DASH!$E$8,1)</f>
        <v>0</v>
      </c>
      <c r="Q21" s="102">
        <f>(SUMIFS('INPUT Capex'!AM$236:AM$255,'INPUT Capex'!$A$236:$A$255,$A$1,'INPUT Capex'!$G$236:$G$255,$E21)+SUMIFS('INPUT Capex'!AM$211:AM$228,'INPUT Capex'!$A$211:$A$228,$A$1,'INPUT Capex'!$G$211:$G$228,$E21))*IF(Q$2=0,DASH!$E$8,1)</f>
        <v>1551815.9806295328</v>
      </c>
      <c r="R21" s="102">
        <f>(SUMIFS('INPUT Capex'!AN$236:AN$255,'INPUT Capex'!$A$236:$A$255,$A$1,'INPUT Capex'!$G$236:$G$255,$E21)+SUMIFS('INPUT Capex'!AN$211:AN$228,'INPUT Capex'!$A$211:$A$228,$A$1,'INPUT Capex'!$G$211:$G$228,$E21))*IF(R$2=0,DASH!$E$8,1)</f>
        <v>1551815.9806295328</v>
      </c>
      <c r="S21" s="102">
        <f>(SUMIFS('INPUT Capex'!AO$236:AO$255,'INPUT Capex'!$A$236:$A$255,$A$1,'INPUT Capex'!$G$236:$G$255,$E21)+SUMIFS('INPUT Capex'!AO$211:AO$228,'INPUT Capex'!$A$211:$A$228,$A$1,'INPUT Capex'!$G$211:$G$228,$E21))*IF(S$2=0,DASH!$E$8,1)</f>
        <v>1551815.9806295328</v>
      </c>
      <c r="T21" s="102">
        <f>(SUMIFS('INPUT Capex'!AP$236:AP$255,'INPUT Capex'!$A$236:$A$255,$A$1,'INPUT Capex'!$G$236:$G$255,$E21)+SUMIFS('INPUT Capex'!AP$211:AP$228,'INPUT Capex'!$A$211:$A$228,$A$1,'INPUT Capex'!$G$211:$G$228,$E21))*IF(T$2=0,DASH!$E$8,1)</f>
        <v>1551815.9806295328</v>
      </c>
      <c r="U21" s="102">
        <f>(SUMIFS('INPUT Capex'!AQ$236:AQ$255,'INPUT Capex'!$A$236:$A$255,$A$1,'INPUT Capex'!$G$236:$G$255,$E21)+SUMIFS('INPUT Capex'!AQ$211:AQ$228,'INPUT Capex'!$A$211:$A$228,$A$1,'INPUT Capex'!$G$211:$G$228,$E21))*IF(U$2=0,DASH!$E$8,1)</f>
        <v>1551815.9806295328</v>
      </c>
      <c r="V21" s="102">
        <f>(SUMIFS('INPUT Capex'!AR$236:AR$255,'INPUT Capex'!$A$236:$A$255,$A$1,'INPUT Capex'!$G$236:$G$255,$E21)+SUMIFS('INPUT Capex'!AR$211:AR$228,'INPUT Capex'!$A$211:$A$228,$A$1,'INPUT Capex'!$G$211:$G$228,$E21))*IF(V$2=0,DASH!$E$8,1)</f>
        <v>1551815.9806295328</v>
      </c>
      <c r="W21" s="102">
        <f>(SUMIFS('INPUT Capex'!AS$236:AS$255,'INPUT Capex'!$A$236:$A$255,$A$1,'INPUT Capex'!$G$236:$G$255,$E21)+SUMIFS('INPUT Capex'!AS$211:AS$228,'INPUT Capex'!$A$211:$A$228,$A$1,'INPUT Capex'!$G$211:$G$228,$E21))*IF(W$2=0,DASH!$E$8,1)</f>
        <v>1551815.9806295328</v>
      </c>
      <c r="X21" s="102">
        <f>(SUMIFS('INPUT Capex'!AT$236:AT$255,'INPUT Capex'!$A$236:$A$255,$A$1,'INPUT Capex'!$G$236:$G$255,$E21)+SUMIFS('INPUT Capex'!AT$211:AT$228,'INPUT Capex'!$A$211:$A$228,$A$1,'INPUT Capex'!$G$211:$G$228,$E21))*IF(X$2=0,DASH!$E$8,1)</f>
        <v>1551815.9806295328</v>
      </c>
      <c r="Y21" s="102">
        <f>(SUMIFS('INPUT Capex'!AU$236:AU$255,'INPUT Capex'!$A$236:$A$255,$A$1,'INPUT Capex'!$G$236:$G$255,$E21)+SUMIFS('INPUT Capex'!AU$211:AU$228,'INPUT Capex'!$A$211:$A$228,$A$1,'INPUT Capex'!$G$211:$G$228,$E21))*IF(Y$2=0,DASH!$E$8,1)</f>
        <v>1551815.9806295328</v>
      </c>
      <c r="Z21" s="102">
        <f>(SUMIFS('INPUT Capex'!AV$236:AV$255,'INPUT Capex'!$A$236:$A$255,$A$1,'INPUT Capex'!$G$236:$G$255,$E21)+SUMIFS('INPUT Capex'!AV$211:AV$228,'INPUT Capex'!$A$211:$A$228,$A$1,'INPUT Capex'!$G$211:$G$228,$E21))*IF(Z$2=0,DASH!$E$8,1)</f>
        <v>1551815.9806295328</v>
      </c>
      <c r="AA21" s="102">
        <f>(SUMIFS('INPUT Capex'!AW$236:AW$255,'INPUT Capex'!$A$236:$A$255,$A$1,'INPUT Capex'!$G$236:$G$255,$E21)+SUMIFS('INPUT Capex'!AW$211:AW$228,'INPUT Capex'!$A$211:$A$228,$A$1,'INPUT Capex'!$G$211:$G$228,$E21))*IF(AA$2=0,DASH!$E$8,1)</f>
        <v>1551815.9806295328</v>
      </c>
    </row>
    <row r="22" spans="1:27" x14ac:dyDescent="0.25">
      <c r="E22" s="106" t="str">
        <f>E8</f>
        <v>Pumps / Valves</v>
      </c>
      <c r="F22" s="47" t="s">
        <v>639</v>
      </c>
      <c r="G22" s="102">
        <f>(SUMIFS('INPUT Capex'!AC$236:AC$255,'INPUT Capex'!$A$236:$A$255,$A$1,'INPUT Capex'!$G$236:$G$255,$E22)+SUMIFS('INPUT Capex'!AC$211:AC$228,'INPUT Capex'!$A$211:$A$228,$A$1,'INPUT Capex'!$G$211:$G$228,$E22))*IF(G$2=0,DASH!$E$8,1)</f>
        <v>0</v>
      </c>
      <c r="H22" s="102">
        <f>(SUMIFS('INPUT Capex'!AD$236:AD$255,'INPUT Capex'!$A$236:$A$255,$A$1,'INPUT Capex'!$G$236:$G$255,$E22)+SUMIFS('INPUT Capex'!AD$211:AD$228,'INPUT Capex'!$A$211:$A$228,$A$1,'INPUT Capex'!$G$211:$G$228,$E22))*IF(H$2=0,DASH!$E$8,1)</f>
        <v>0</v>
      </c>
      <c r="I22" s="102">
        <f>(SUMIFS('INPUT Capex'!AE$236:AE$255,'INPUT Capex'!$A$236:$A$255,$A$1,'INPUT Capex'!$G$236:$G$255,$E22)+SUMIFS('INPUT Capex'!AE$211:AE$228,'INPUT Capex'!$A$211:$A$228,$A$1,'INPUT Capex'!$G$211:$G$228,$E22))*IF(I$2=0,DASH!$E$8,1)</f>
        <v>0</v>
      </c>
      <c r="J22" s="102">
        <f>(SUMIFS('INPUT Capex'!AF$236:AF$255,'INPUT Capex'!$A$236:$A$255,$A$1,'INPUT Capex'!$G$236:$G$255,$E22)+SUMIFS('INPUT Capex'!AF$211:AF$228,'INPUT Capex'!$A$211:$A$228,$A$1,'INPUT Capex'!$G$211:$G$228,$E22))*IF(J$2=0,DASH!$E$8,1)</f>
        <v>0</v>
      </c>
      <c r="K22" s="102">
        <f>(SUMIFS('INPUT Capex'!AG$236:AG$255,'INPUT Capex'!$A$236:$A$255,$A$1,'INPUT Capex'!$G$236:$G$255,$E22)+SUMIFS('INPUT Capex'!AG$211:AG$228,'INPUT Capex'!$A$211:$A$228,$A$1,'INPUT Capex'!$G$211:$G$228,$E22))*IF(K$2=0,DASH!$E$8,1)</f>
        <v>0</v>
      </c>
      <c r="L22" s="102">
        <f>(SUMIFS('INPUT Capex'!AH$236:AH$255,'INPUT Capex'!$A$236:$A$255,$A$1,'INPUT Capex'!$G$236:$G$255,$E22)+SUMIFS('INPUT Capex'!AH$211:AH$228,'INPUT Capex'!$A$211:$A$228,$A$1,'INPUT Capex'!$G$211:$G$228,$E22))*IF(L$2=0,DASH!$E$8,1)</f>
        <v>0</v>
      </c>
      <c r="M22" s="102">
        <f>(SUMIFS('INPUT Capex'!AI$236:AI$255,'INPUT Capex'!$A$236:$A$255,$A$1,'INPUT Capex'!$G$236:$G$255,$E22)+SUMIFS('INPUT Capex'!AI$211:AI$228,'INPUT Capex'!$A$211:$A$228,$A$1,'INPUT Capex'!$G$211:$G$228,$E22))*IF(M$2=0,DASH!$E$8,1)</f>
        <v>0</v>
      </c>
      <c r="N22" s="102">
        <f>(SUMIFS('INPUT Capex'!AJ$236:AJ$255,'INPUT Capex'!$A$236:$A$255,$A$1,'INPUT Capex'!$G$236:$G$255,$E22)+SUMIFS('INPUT Capex'!AJ$211:AJ$228,'INPUT Capex'!$A$211:$A$228,$A$1,'INPUT Capex'!$G$211:$G$228,$E22))*IF(N$2=0,DASH!$E$8,1)</f>
        <v>0</v>
      </c>
      <c r="O22" s="102">
        <f>(SUMIFS('INPUT Capex'!AK$236:AK$255,'INPUT Capex'!$A$236:$A$255,$A$1,'INPUT Capex'!$G$236:$G$255,$E22)+SUMIFS('INPUT Capex'!AK$211:AK$228,'INPUT Capex'!$A$211:$A$228,$A$1,'INPUT Capex'!$G$211:$G$228,$E22))*IF(O$2=0,DASH!$E$8,1)</f>
        <v>0</v>
      </c>
      <c r="P22" s="102">
        <f>(SUMIFS('INPUT Capex'!AL$236:AL$255,'INPUT Capex'!$A$236:$A$255,$A$1,'INPUT Capex'!$G$236:$G$255,$E22)+SUMIFS('INPUT Capex'!AL$211:AL$228,'INPUT Capex'!$A$211:$A$228,$A$1,'INPUT Capex'!$G$211:$G$228,$E22))*IF(P$2=0,DASH!$E$8,1)</f>
        <v>0</v>
      </c>
      <c r="Q22" s="102">
        <f>(SUMIFS('INPUT Capex'!AM$236:AM$255,'INPUT Capex'!$A$236:$A$255,$A$1,'INPUT Capex'!$G$236:$G$255,$E22)+SUMIFS('INPUT Capex'!AM$211:AM$228,'INPUT Capex'!$A$211:$A$228,$A$1,'INPUT Capex'!$G$211:$G$228,$E22))*IF(Q$2=0,DASH!$E$8,1)</f>
        <v>0</v>
      </c>
      <c r="R22" s="102">
        <f>(SUMIFS('INPUT Capex'!AN$236:AN$255,'INPUT Capex'!$A$236:$A$255,$A$1,'INPUT Capex'!$G$236:$G$255,$E22)+SUMIFS('INPUT Capex'!AN$211:AN$228,'INPUT Capex'!$A$211:$A$228,$A$1,'INPUT Capex'!$G$211:$G$228,$E22))*IF(R$2=0,DASH!$E$8,1)</f>
        <v>0</v>
      </c>
      <c r="S22" s="102">
        <f>(SUMIFS('INPUT Capex'!AO$236:AO$255,'INPUT Capex'!$A$236:$A$255,$A$1,'INPUT Capex'!$G$236:$G$255,$E22)+SUMIFS('INPUT Capex'!AO$211:AO$228,'INPUT Capex'!$A$211:$A$228,$A$1,'INPUT Capex'!$G$211:$G$228,$E22))*IF(S$2=0,DASH!$E$8,1)</f>
        <v>0</v>
      </c>
      <c r="T22" s="102">
        <f>(SUMIFS('INPUT Capex'!AP$236:AP$255,'INPUT Capex'!$A$236:$A$255,$A$1,'INPUT Capex'!$G$236:$G$255,$E22)+SUMIFS('INPUT Capex'!AP$211:AP$228,'INPUT Capex'!$A$211:$A$228,$A$1,'INPUT Capex'!$G$211:$G$228,$E22))*IF(T$2=0,DASH!$E$8,1)</f>
        <v>0</v>
      </c>
      <c r="U22" s="102">
        <f>(SUMIFS('INPUT Capex'!AQ$236:AQ$255,'INPUT Capex'!$A$236:$A$255,$A$1,'INPUT Capex'!$G$236:$G$255,$E22)+SUMIFS('INPUT Capex'!AQ$211:AQ$228,'INPUT Capex'!$A$211:$A$228,$A$1,'INPUT Capex'!$G$211:$G$228,$E22))*IF(U$2=0,DASH!$E$8,1)</f>
        <v>0</v>
      </c>
      <c r="V22" s="102">
        <f>(SUMIFS('INPUT Capex'!AR$236:AR$255,'INPUT Capex'!$A$236:$A$255,$A$1,'INPUT Capex'!$G$236:$G$255,$E22)+SUMIFS('INPUT Capex'!AR$211:AR$228,'INPUT Capex'!$A$211:$A$228,$A$1,'INPUT Capex'!$G$211:$G$228,$E22))*IF(V$2=0,DASH!$E$8,1)</f>
        <v>0</v>
      </c>
      <c r="W22" s="102">
        <f>(SUMIFS('INPUT Capex'!AS$236:AS$255,'INPUT Capex'!$A$236:$A$255,$A$1,'INPUT Capex'!$G$236:$G$255,$E22)+SUMIFS('INPUT Capex'!AS$211:AS$228,'INPUT Capex'!$A$211:$A$228,$A$1,'INPUT Capex'!$G$211:$G$228,$E22))*IF(W$2=0,DASH!$E$8,1)</f>
        <v>0</v>
      </c>
      <c r="X22" s="102">
        <f>(SUMIFS('INPUT Capex'!AT$236:AT$255,'INPUT Capex'!$A$236:$A$255,$A$1,'INPUT Capex'!$G$236:$G$255,$E22)+SUMIFS('INPUT Capex'!AT$211:AT$228,'INPUT Capex'!$A$211:$A$228,$A$1,'INPUT Capex'!$G$211:$G$228,$E22))*IF(X$2=0,DASH!$E$8,1)</f>
        <v>0</v>
      </c>
      <c r="Y22" s="102">
        <f>(SUMIFS('INPUT Capex'!AU$236:AU$255,'INPUT Capex'!$A$236:$A$255,$A$1,'INPUT Capex'!$G$236:$G$255,$E22)+SUMIFS('INPUT Capex'!AU$211:AU$228,'INPUT Capex'!$A$211:$A$228,$A$1,'INPUT Capex'!$G$211:$G$228,$E22))*IF(Y$2=0,DASH!$E$8,1)</f>
        <v>0</v>
      </c>
      <c r="Z22" s="102">
        <f>(SUMIFS('INPUT Capex'!AV$236:AV$255,'INPUT Capex'!$A$236:$A$255,$A$1,'INPUT Capex'!$G$236:$G$255,$E22)+SUMIFS('INPUT Capex'!AV$211:AV$228,'INPUT Capex'!$A$211:$A$228,$A$1,'INPUT Capex'!$G$211:$G$228,$E22))*IF(Z$2=0,DASH!$E$8,1)</f>
        <v>0</v>
      </c>
      <c r="AA22" s="102">
        <f>(SUMIFS('INPUT Capex'!AW$236:AW$255,'INPUT Capex'!$A$236:$A$255,$A$1,'INPUT Capex'!$G$236:$G$255,$E22)+SUMIFS('INPUT Capex'!AW$211:AW$228,'INPUT Capex'!$A$211:$A$228,$A$1,'INPUT Capex'!$G$211:$G$228,$E22))*IF(AA$2=0,DASH!$E$8,1)</f>
        <v>0</v>
      </c>
    </row>
    <row r="23" spans="1:27" x14ac:dyDescent="0.25">
      <c r="E23" s="106" t="str">
        <f>E9</f>
        <v>Treatment</v>
      </c>
      <c r="F23" s="47" t="s">
        <v>639</v>
      </c>
      <c r="G23" s="102">
        <f>(SUMIFS('INPUT Capex'!AC$236:AC$255,'INPUT Capex'!$A$236:$A$255,$A$1,'INPUT Capex'!$G$236:$G$255,$E23)+SUMIFS('INPUT Capex'!AC$211:AC$228,'INPUT Capex'!$A$211:$A$228,$A$1,'INPUT Capex'!$G$211:$G$228,$E23))*IF(G$2=0,DASH!$E$8,1)</f>
        <v>0</v>
      </c>
      <c r="H23" s="102">
        <f>(SUMIFS('INPUT Capex'!AD$236:AD$255,'INPUT Capex'!$A$236:$A$255,$A$1,'INPUT Capex'!$G$236:$G$255,$E23)+SUMIFS('INPUT Capex'!AD$211:AD$228,'INPUT Capex'!$A$211:$A$228,$A$1,'INPUT Capex'!$G$211:$G$228,$E23))*IF(H$2=0,DASH!$E$8,1)</f>
        <v>0</v>
      </c>
      <c r="I23" s="102">
        <f>(SUMIFS('INPUT Capex'!AE$236:AE$255,'INPUT Capex'!$A$236:$A$255,$A$1,'INPUT Capex'!$G$236:$G$255,$E23)+SUMIFS('INPUT Capex'!AE$211:AE$228,'INPUT Capex'!$A$211:$A$228,$A$1,'INPUT Capex'!$G$211:$G$228,$E23))*IF(I$2=0,DASH!$E$8,1)</f>
        <v>0</v>
      </c>
      <c r="J23" s="102">
        <f>(SUMIFS('INPUT Capex'!AF$236:AF$255,'INPUT Capex'!$A$236:$A$255,$A$1,'INPUT Capex'!$G$236:$G$255,$E23)+SUMIFS('INPUT Capex'!AF$211:AF$228,'INPUT Capex'!$A$211:$A$228,$A$1,'INPUT Capex'!$G$211:$G$228,$E23))*IF(J$2=0,DASH!$E$8,1)</f>
        <v>0</v>
      </c>
      <c r="K23" s="102">
        <f>(SUMIFS('INPUT Capex'!AG$236:AG$255,'INPUT Capex'!$A$236:$A$255,$A$1,'INPUT Capex'!$G$236:$G$255,$E23)+SUMIFS('INPUT Capex'!AG$211:AG$228,'INPUT Capex'!$A$211:$A$228,$A$1,'INPUT Capex'!$G$211:$G$228,$E23))*IF(K$2=0,DASH!$E$8,1)</f>
        <v>0</v>
      </c>
      <c r="L23" s="102">
        <f>(SUMIFS('INPUT Capex'!AH$236:AH$255,'INPUT Capex'!$A$236:$A$255,$A$1,'INPUT Capex'!$G$236:$G$255,$E23)+SUMIFS('INPUT Capex'!AH$211:AH$228,'INPUT Capex'!$A$211:$A$228,$A$1,'INPUT Capex'!$G$211:$G$228,$E23))*IF(L$2=0,DASH!$E$8,1)</f>
        <v>0</v>
      </c>
      <c r="M23" s="102">
        <f>(SUMIFS('INPUT Capex'!AI$236:AI$255,'INPUT Capex'!$A$236:$A$255,$A$1,'INPUT Capex'!$G$236:$G$255,$E23)+SUMIFS('INPUT Capex'!AI$211:AI$228,'INPUT Capex'!$A$211:$A$228,$A$1,'INPUT Capex'!$G$211:$G$228,$E23))*IF(M$2=0,DASH!$E$8,1)</f>
        <v>0</v>
      </c>
      <c r="N23" s="102">
        <f>(SUMIFS('INPUT Capex'!AJ$236:AJ$255,'INPUT Capex'!$A$236:$A$255,$A$1,'INPUT Capex'!$G$236:$G$255,$E23)+SUMIFS('INPUT Capex'!AJ$211:AJ$228,'INPUT Capex'!$A$211:$A$228,$A$1,'INPUT Capex'!$G$211:$G$228,$E23))*IF(N$2=0,DASH!$E$8,1)</f>
        <v>0</v>
      </c>
      <c r="O23" s="102">
        <f>(SUMIFS('INPUT Capex'!AK$236:AK$255,'INPUT Capex'!$A$236:$A$255,$A$1,'INPUT Capex'!$G$236:$G$255,$E23)+SUMIFS('INPUT Capex'!AK$211:AK$228,'INPUT Capex'!$A$211:$A$228,$A$1,'INPUT Capex'!$G$211:$G$228,$E23))*IF(O$2=0,DASH!$E$8,1)</f>
        <v>0</v>
      </c>
      <c r="P23" s="102">
        <f>(SUMIFS('INPUT Capex'!AL$236:AL$255,'INPUT Capex'!$A$236:$A$255,$A$1,'INPUT Capex'!$G$236:$G$255,$E23)+SUMIFS('INPUT Capex'!AL$211:AL$228,'INPUT Capex'!$A$211:$A$228,$A$1,'INPUT Capex'!$G$211:$G$228,$E23))*IF(P$2=0,DASH!$E$8,1)</f>
        <v>0</v>
      </c>
      <c r="Q23" s="102">
        <f>(SUMIFS('INPUT Capex'!AM$236:AM$255,'INPUT Capex'!$A$236:$A$255,$A$1,'INPUT Capex'!$G$236:$G$255,$E23)+SUMIFS('INPUT Capex'!AM$211:AM$228,'INPUT Capex'!$A$211:$A$228,$A$1,'INPUT Capex'!$G$211:$G$228,$E23))*IF(Q$2=0,DASH!$E$8,1)</f>
        <v>0</v>
      </c>
      <c r="R23" s="102">
        <f>(SUMIFS('INPUT Capex'!AN$236:AN$255,'INPUT Capex'!$A$236:$A$255,$A$1,'INPUT Capex'!$G$236:$G$255,$E23)+SUMIFS('INPUT Capex'!AN$211:AN$228,'INPUT Capex'!$A$211:$A$228,$A$1,'INPUT Capex'!$G$211:$G$228,$E23))*IF(R$2=0,DASH!$E$8,1)</f>
        <v>0</v>
      </c>
      <c r="S23" s="102">
        <f>(SUMIFS('INPUT Capex'!AO$236:AO$255,'INPUT Capex'!$A$236:$A$255,$A$1,'INPUT Capex'!$G$236:$G$255,$E23)+SUMIFS('INPUT Capex'!AO$211:AO$228,'INPUT Capex'!$A$211:$A$228,$A$1,'INPUT Capex'!$G$211:$G$228,$E23))*IF(S$2=0,DASH!$E$8,1)</f>
        <v>0</v>
      </c>
      <c r="T23" s="102">
        <f>(SUMIFS('INPUT Capex'!AP$236:AP$255,'INPUT Capex'!$A$236:$A$255,$A$1,'INPUT Capex'!$G$236:$G$255,$E23)+SUMIFS('INPUT Capex'!AP$211:AP$228,'INPUT Capex'!$A$211:$A$228,$A$1,'INPUT Capex'!$G$211:$G$228,$E23))*IF(T$2=0,DASH!$E$8,1)</f>
        <v>0</v>
      </c>
      <c r="U23" s="102">
        <f>(SUMIFS('INPUT Capex'!AQ$236:AQ$255,'INPUT Capex'!$A$236:$A$255,$A$1,'INPUT Capex'!$G$236:$G$255,$E23)+SUMIFS('INPUT Capex'!AQ$211:AQ$228,'INPUT Capex'!$A$211:$A$228,$A$1,'INPUT Capex'!$G$211:$G$228,$E23))*IF(U$2=0,DASH!$E$8,1)</f>
        <v>0</v>
      </c>
      <c r="V23" s="102">
        <f>(SUMIFS('INPUT Capex'!AR$236:AR$255,'INPUT Capex'!$A$236:$A$255,$A$1,'INPUT Capex'!$G$236:$G$255,$E23)+SUMIFS('INPUT Capex'!AR$211:AR$228,'INPUT Capex'!$A$211:$A$228,$A$1,'INPUT Capex'!$G$211:$G$228,$E23))*IF(V$2=0,DASH!$E$8,1)</f>
        <v>0</v>
      </c>
      <c r="W23" s="102">
        <f>(SUMIFS('INPUT Capex'!AS$236:AS$255,'INPUT Capex'!$A$236:$A$255,$A$1,'INPUT Capex'!$G$236:$G$255,$E23)+SUMIFS('INPUT Capex'!AS$211:AS$228,'INPUT Capex'!$A$211:$A$228,$A$1,'INPUT Capex'!$G$211:$G$228,$E23))*IF(W$2=0,DASH!$E$8,1)</f>
        <v>0</v>
      </c>
      <c r="X23" s="102">
        <f>(SUMIFS('INPUT Capex'!AT$236:AT$255,'INPUT Capex'!$A$236:$A$255,$A$1,'INPUT Capex'!$G$236:$G$255,$E23)+SUMIFS('INPUT Capex'!AT$211:AT$228,'INPUT Capex'!$A$211:$A$228,$A$1,'INPUT Capex'!$G$211:$G$228,$E23))*IF(X$2=0,DASH!$E$8,1)</f>
        <v>0</v>
      </c>
      <c r="Y23" s="102">
        <f>(SUMIFS('INPUT Capex'!AU$236:AU$255,'INPUT Capex'!$A$236:$A$255,$A$1,'INPUT Capex'!$G$236:$G$255,$E23)+SUMIFS('INPUT Capex'!AU$211:AU$228,'INPUT Capex'!$A$211:$A$228,$A$1,'INPUT Capex'!$G$211:$G$228,$E23))*IF(Y$2=0,DASH!$E$8,1)</f>
        <v>0</v>
      </c>
      <c r="Z23" s="102">
        <f>(SUMIFS('INPUT Capex'!AV$236:AV$255,'INPUT Capex'!$A$236:$A$255,$A$1,'INPUT Capex'!$G$236:$G$255,$E23)+SUMIFS('INPUT Capex'!AV$211:AV$228,'INPUT Capex'!$A$211:$A$228,$A$1,'INPUT Capex'!$G$211:$G$228,$E23))*IF(Z$2=0,DASH!$E$8,1)</f>
        <v>0</v>
      </c>
      <c r="AA23" s="102">
        <f>(SUMIFS('INPUT Capex'!AW$236:AW$255,'INPUT Capex'!$A$236:$A$255,$A$1,'INPUT Capex'!$G$236:$G$255,$E23)+SUMIFS('INPUT Capex'!AW$211:AW$228,'INPUT Capex'!$A$211:$A$228,$A$1,'INPUT Capex'!$G$211:$G$228,$E23))*IF(AA$2=0,DASH!$E$8,1)</f>
        <v>0</v>
      </c>
    </row>
    <row r="24" spans="1:27" x14ac:dyDescent="0.25">
      <c r="E24" s="47" t="s">
        <v>630</v>
      </c>
      <c r="F24" s="47" t="s">
        <v>639</v>
      </c>
      <c r="G24" s="102"/>
      <c r="H24" s="102"/>
      <c r="I24" s="102"/>
      <c r="J24" s="102"/>
      <c r="K24" s="102"/>
      <c r="L24" s="102"/>
      <c r="M24" s="102"/>
      <c r="N24" s="102"/>
      <c r="O24" s="102"/>
      <c r="P24" s="102"/>
      <c r="Q24" s="102"/>
      <c r="R24" s="102"/>
      <c r="S24" s="102"/>
      <c r="T24" s="102"/>
      <c r="U24" s="102"/>
      <c r="V24" s="102"/>
      <c r="W24" s="102"/>
      <c r="X24" s="102"/>
      <c r="Y24" s="102"/>
      <c r="Z24" s="102"/>
      <c r="AA24" s="102"/>
    </row>
    <row r="25" spans="1:27" x14ac:dyDescent="0.25">
      <c r="E25" s="47" t="s">
        <v>640</v>
      </c>
      <c r="F25" s="47" t="s">
        <v>639</v>
      </c>
      <c r="G25" s="102"/>
      <c r="H25" s="102"/>
      <c r="I25" s="102"/>
      <c r="J25" s="102"/>
      <c r="K25" s="102"/>
      <c r="L25" s="102"/>
      <c r="M25" s="102"/>
      <c r="N25" s="102"/>
      <c r="O25" s="102"/>
      <c r="P25" s="102"/>
      <c r="Q25" s="102"/>
      <c r="R25" s="102"/>
      <c r="S25" s="102"/>
      <c r="T25" s="102"/>
      <c r="U25" s="102"/>
      <c r="V25" s="102"/>
      <c r="W25" s="102"/>
      <c r="X25" s="102"/>
      <c r="Y25" s="102"/>
      <c r="Z25" s="102"/>
      <c r="AA25" s="102"/>
    </row>
    <row r="26" spans="1:27" x14ac:dyDescent="0.25">
      <c r="G26" s="106">
        <f>SUM(G21:G25)</f>
        <v>0</v>
      </c>
      <c r="H26" s="106">
        <f t="shared" ref="H26:AA26" si="1">SUM(H21:H25)</f>
        <v>85617.433414043204</v>
      </c>
      <c r="I26" s="106">
        <f t="shared" si="1"/>
        <v>256852.3002421296</v>
      </c>
      <c r="J26" s="106">
        <f t="shared" si="1"/>
        <v>256852.3002421296</v>
      </c>
      <c r="K26" s="106">
        <f t="shared" si="1"/>
        <v>256852.3002421296</v>
      </c>
      <c r="L26" s="106">
        <f t="shared" si="1"/>
        <v>267554.47941888502</v>
      </c>
      <c r="M26" s="106">
        <f t="shared" si="1"/>
        <v>3745762.7118643895</v>
      </c>
      <c r="N26" s="106">
        <f t="shared" si="1"/>
        <v>3745762.7118643895</v>
      </c>
      <c r="O26" s="106">
        <f t="shared" si="1"/>
        <v>0</v>
      </c>
      <c r="P26" s="106">
        <f t="shared" si="1"/>
        <v>0</v>
      </c>
      <c r="Q26" s="106">
        <f t="shared" si="1"/>
        <v>1551815.9806295328</v>
      </c>
      <c r="R26" s="106">
        <f t="shared" si="1"/>
        <v>1551815.9806295328</v>
      </c>
      <c r="S26" s="106">
        <f t="shared" si="1"/>
        <v>1551815.9806295328</v>
      </c>
      <c r="T26" s="106">
        <f t="shared" si="1"/>
        <v>1551815.9806295328</v>
      </c>
      <c r="U26" s="106">
        <f t="shared" si="1"/>
        <v>1551815.9806295328</v>
      </c>
      <c r="V26" s="106">
        <f t="shared" si="1"/>
        <v>1551815.9806295328</v>
      </c>
      <c r="W26" s="106">
        <f t="shared" si="1"/>
        <v>1551815.9806295328</v>
      </c>
      <c r="X26" s="106">
        <f t="shared" si="1"/>
        <v>1551815.9806295328</v>
      </c>
      <c r="Y26" s="106">
        <f t="shared" si="1"/>
        <v>1551815.9806295328</v>
      </c>
      <c r="Z26" s="106">
        <f t="shared" si="1"/>
        <v>1551815.9806295328</v>
      </c>
      <c r="AA26" s="106">
        <f t="shared" si="1"/>
        <v>1551815.9806295328</v>
      </c>
    </row>
    <row r="27" spans="1:27" x14ac:dyDescent="0.25">
      <c r="G27" s="106"/>
      <c r="H27" s="106"/>
      <c r="I27" s="106"/>
      <c r="J27" s="106"/>
      <c r="K27" s="106"/>
      <c r="L27" s="106"/>
      <c r="M27" s="106"/>
      <c r="N27" s="106"/>
      <c r="O27" s="106"/>
      <c r="P27" s="106"/>
      <c r="Q27" s="106"/>
    </row>
    <row r="28" spans="1:27" x14ac:dyDescent="0.25">
      <c r="D28" s="47" t="s">
        <v>641</v>
      </c>
      <c r="G28" s="106"/>
      <c r="H28" s="106"/>
      <c r="I28" s="106"/>
      <c r="J28" s="106"/>
      <c r="K28" s="106"/>
      <c r="L28" s="106"/>
      <c r="M28" s="106"/>
      <c r="N28" s="106"/>
      <c r="O28" s="106"/>
      <c r="P28" s="106"/>
      <c r="Q28" s="106"/>
    </row>
    <row r="29" spans="1:27" x14ac:dyDescent="0.25">
      <c r="E29" s="106" t="str">
        <f>E21</f>
        <v>Pipes / Storage</v>
      </c>
      <c r="F29" s="47" t="s">
        <v>639</v>
      </c>
      <c r="G29" s="106">
        <f>G21/$G7+IF((G$2-$G7+1)&gt;0,-INDEX($G21:$AP21,1,(G$2-$G7+1))/$G7,0)</f>
        <v>0</v>
      </c>
      <c r="H29" s="106">
        <f t="shared" ref="H29:AA29" si="2">H21/$G7+IF((H$2-$G7+1)&gt;0,-INDEX($G21:$AP21,1,(H$2-$G7+1))/$G7,0)</f>
        <v>951.30481571159112</v>
      </c>
      <c r="I29" s="106">
        <f t="shared" si="2"/>
        <v>2853.9144471347731</v>
      </c>
      <c r="J29" s="106">
        <f t="shared" si="2"/>
        <v>2853.9144471347731</v>
      </c>
      <c r="K29" s="106">
        <f t="shared" si="2"/>
        <v>2853.9144471347731</v>
      </c>
      <c r="L29" s="106">
        <f t="shared" si="2"/>
        <v>2972.8275490987226</v>
      </c>
      <c r="M29" s="106">
        <f t="shared" si="2"/>
        <v>41619.585687382103</v>
      </c>
      <c r="N29" s="106">
        <f t="shared" si="2"/>
        <v>41619.585687382103</v>
      </c>
      <c r="O29" s="106">
        <f t="shared" si="2"/>
        <v>0</v>
      </c>
      <c r="P29" s="106">
        <f t="shared" si="2"/>
        <v>0</v>
      </c>
      <c r="Q29" s="106">
        <f t="shared" si="2"/>
        <v>17242.399784772588</v>
      </c>
      <c r="R29" s="106">
        <f t="shared" si="2"/>
        <v>17242.399784772588</v>
      </c>
      <c r="S29" s="106">
        <f t="shared" si="2"/>
        <v>17242.399784772588</v>
      </c>
      <c r="T29" s="106">
        <f t="shared" si="2"/>
        <v>17242.399784772588</v>
      </c>
      <c r="U29" s="106">
        <f t="shared" si="2"/>
        <v>17242.399784772588</v>
      </c>
      <c r="V29" s="106">
        <f t="shared" si="2"/>
        <v>17242.399784772588</v>
      </c>
      <c r="W29" s="106">
        <f t="shared" si="2"/>
        <v>17242.399784772588</v>
      </c>
      <c r="X29" s="106">
        <f t="shared" si="2"/>
        <v>17242.399784772588</v>
      </c>
      <c r="Y29" s="106">
        <f t="shared" si="2"/>
        <v>17242.399784772588</v>
      </c>
      <c r="Z29" s="106">
        <f t="shared" si="2"/>
        <v>17242.399784772588</v>
      </c>
      <c r="AA29" s="106">
        <f t="shared" si="2"/>
        <v>17242.399784772588</v>
      </c>
    </row>
    <row r="30" spans="1:27" x14ac:dyDescent="0.25">
      <c r="E30" s="106" t="str">
        <f t="shared" ref="E30:E32" si="3">E22</f>
        <v>Pumps / Valves</v>
      </c>
      <c r="F30" s="47" t="s">
        <v>639</v>
      </c>
      <c r="G30" s="106">
        <f t="shared" ref="G30:AA32" si="4">G22/$G8+IF((G$2-$G8+1)&gt;0,-INDEX($G22:$AP22,1,(G$2-$G8+1))/$G8,0)</f>
        <v>0</v>
      </c>
      <c r="H30" s="106">
        <f t="shared" si="4"/>
        <v>0</v>
      </c>
      <c r="I30" s="106">
        <f t="shared" si="4"/>
        <v>0</v>
      </c>
      <c r="J30" s="106">
        <f t="shared" si="4"/>
        <v>0</v>
      </c>
      <c r="K30" s="106">
        <f t="shared" si="4"/>
        <v>0</v>
      </c>
      <c r="L30" s="106">
        <f t="shared" si="4"/>
        <v>0</v>
      </c>
      <c r="M30" s="106">
        <f t="shared" si="4"/>
        <v>0</v>
      </c>
      <c r="N30" s="106">
        <f t="shared" si="4"/>
        <v>0</v>
      </c>
      <c r="O30" s="106">
        <f t="shared" si="4"/>
        <v>0</v>
      </c>
      <c r="P30" s="106">
        <f t="shared" si="4"/>
        <v>0</v>
      </c>
      <c r="Q30" s="106">
        <f t="shared" si="4"/>
        <v>0</v>
      </c>
      <c r="R30" s="106">
        <f t="shared" si="4"/>
        <v>0</v>
      </c>
      <c r="S30" s="106">
        <f t="shared" si="4"/>
        <v>0</v>
      </c>
      <c r="T30" s="106">
        <f t="shared" si="4"/>
        <v>0</v>
      </c>
      <c r="U30" s="106">
        <f t="shared" si="4"/>
        <v>0</v>
      </c>
      <c r="V30" s="106">
        <f t="shared" si="4"/>
        <v>0</v>
      </c>
      <c r="W30" s="106">
        <f t="shared" si="4"/>
        <v>0</v>
      </c>
      <c r="X30" s="106">
        <f t="shared" si="4"/>
        <v>0</v>
      </c>
      <c r="Y30" s="106">
        <f t="shared" si="4"/>
        <v>0</v>
      </c>
      <c r="Z30" s="106">
        <f t="shared" si="4"/>
        <v>0</v>
      </c>
      <c r="AA30" s="106">
        <f t="shared" si="4"/>
        <v>0</v>
      </c>
    </row>
    <row r="31" spans="1:27" x14ac:dyDescent="0.25">
      <c r="E31" s="106" t="str">
        <f t="shared" si="3"/>
        <v>Treatment</v>
      </c>
      <c r="F31" s="47" t="s">
        <v>639</v>
      </c>
      <c r="G31" s="106">
        <f t="shared" si="4"/>
        <v>0</v>
      </c>
      <c r="H31" s="106">
        <f t="shared" si="4"/>
        <v>0</v>
      </c>
      <c r="I31" s="106">
        <f t="shared" si="4"/>
        <v>0</v>
      </c>
      <c r="J31" s="106">
        <f t="shared" si="4"/>
        <v>0</v>
      </c>
      <c r="K31" s="106">
        <f t="shared" si="4"/>
        <v>0</v>
      </c>
      <c r="L31" s="106">
        <f t="shared" si="4"/>
        <v>0</v>
      </c>
      <c r="M31" s="106">
        <f t="shared" si="4"/>
        <v>0</v>
      </c>
      <c r="N31" s="106">
        <f t="shared" si="4"/>
        <v>0</v>
      </c>
      <c r="O31" s="106">
        <f t="shared" si="4"/>
        <v>0</v>
      </c>
      <c r="P31" s="106">
        <f t="shared" si="4"/>
        <v>0</v>
      </c>
      <c r="Q31" s="106">
        <f t="shared" si="4"/>
        <v>0</v>
      </c>
      <c r="R31" s="106">
        <f t="shared" si="4"/>
        <v>0</v>
      </c>
      <c r="S31" s="106">
        <f t="shared" si="4"/>
        <v>0</v>
      </c>
      <c r="T31" s="106">
        <f t="shared" si="4"/>
        <v>0</v>
      </c>
      <c r="U31" s="106">
        <f t="shared" si="4"/>
        <v>0</v>
      </c>
      <c r="V31" s="106">
        <f t="shared" si="4"/>
        <v>0</v>
      </c>
      <c r="W31" s="106">
        <f t="shared" si="4"/>
        <v>0</v>
      </c>
      <c r="X31" s="106">
        <f t="shared" si="4"/>
        <v>0</v>
      </c>
      <c r="Y31" s="106">
        <f t="shared" si="4"/>
        <v>0</v>
      </c>
      <c r="Z31" s="106">
        <f t="shared" si="4"/>
        <v>0</v>
      </c>
      <c r="AA31" s="106">
        <f t="shared" si="4"/>
        <v>0</v>
      </c>
    </row>
    <row r="32" spans="1:27" x14ac:dyDescent="0.25">
      <c r="E32" s="106" t="str">
        <f t="shared" si="3"/>
        <v>Temporary Assets</v>
      </c>
      <c r="F32" s="47" t="s">
        <v>639</v>
      </c>
      <c r="G32" s="106">
        <f t="shared" si="4"/>
        <v>0</v>
      </c>
      <c r="H32" s="106">
        <f t="shared" si="4"/>
        <v>0</v>
      </c>
      <c r="I32" s="106">
        <f t="shared" si="4"/>
        <v>0</v>
      </c>
      <c r="J32" s="106">
        <f t="shared" si="4"/>
        <v>0</v>
      </c>
      <c r="K32" s="106">
        <f t="shared" si="4"/>
        <v>0</v>
      </c>
      <c r="L32" s="106">
        <f t="shared" si="4"/>
        <v>0</v>
      </c>
      <c r="M32" s="106">
        <f t="shared" si="4"/>
        <v>0</v>
      </c>
      <c r="N32" s="106">
        <f t="shared" si="4"/>
        <v>0</v>
      </c>
      <c r="O32" s="106">
        <f t="shared" si="4"/>
        <v>0</v>
      </c>
      <c r="P32" s="106">
        <f t="shared" si="4"/>
        <v>0</v>
      </c>
      <c r="Q32" s="106">
        <f t="shared" si="4"/>
        <v>0</v>
      </c>
      <c r="R32" s="106">
        <f t="shared" si="4"/>
        <v>0</v>
      </c>
      <c r="S32" s="106">
        <f t="shared" si="4"/>
        <v>0</v>
      </c>
      <c r="T32" s="106">
        <f t="shared" si="4"/>
        <v>0</v>
      </c>
      <c r="U32" s="106">
        <f t="shared" si="4"/>
        <v>0</v>
      </c>
      <c r="V32" s="106">
        <f t="shared" si="4"/>
        <v>0</v>
      </c>
      <c r="W32" s="106">
        <f t="shared" si="4"/>
        <v>0</v>
      </c>
      <c r="X32" s="106">
        <f t="shared" si="4"/>
        <v>0</v>
      </c>
      <c r="Y32" s="106">
        <f t="shared" si="4"/>
        <v>0</v>
      </c>
      <c r="Z32" s="106">
        <f t="shared" si="4"/>
        <v>0</v>
      </c>
      <c r="AA32" s="106">
        <f t="shared" si="4"/>
        <v>0</v>
      </c>
    </row>
    <row r="33" spans="1:27" x14ac:dyDescent="0.25">
      <c r="G33" s="106"/>
      <c r="H33" s="106"/>
      <c r="I33" s="106"/>
      <c r="J33" s="106"/>
      <c r="K33" s="106"/>
      <c r="L33" s="106"/>
      <c r="M33" s="106"/>
      <c r="N33" s="106"/>
      <c r="O33" s="106"/>
      <c r="P33" s="106"/>
      <c r="Q33" s="106"/>
    </row>
    <row r="34" spans="1:27" x14ac:dyDescent="0.25">
      <c r="D34" s="47" t="s">
        <v>642</v>
      </c>
      <c r="F34" s="47" t="s">
        <v>639</v>
      </c>
      <c r="G34" s="106">
        <f>SUM($G$29:G32)</f>
        <v>0</v>
      </c>
      <c r="H34" s="106">
        <f>SUM($G$29:H32)</f>
        <v>951.30481571159112</v>
      </c>
      <c r="I34" s="106">
        <f>SUM($G$29:I32)</f>
        <v>3805.2192628463645</v>
      </c>
      <c r="J34" s="106">
        <f>SUM($G$29:J32)</f>
        <v>6659.1337099811371</v>
      </c>
      <c r="K34" s="106">
        <f>SUM($G$29:K32)</f>
        <v>9513.0481571159107</v>
      </c>
      <c r="L34" s="106">
        <f>SUM($G$29:L32)</f>
        <v>12485.875706214632</v>
      </c>
      <c r="M34" s="106">
        <f>SUM($G$29:M32)</f>
        <v>54105.461393596735</v>
      </c>
      <c r="N34" s="106">
        <f>SUM($G$29:N32)</f>
        <v>95725.047080978838</v>
      </c>
      <c r="O34" s="106">
        <f>SUM($G$29:O32)</f>
        <v>95725.047080978838</v>
      </c>
      <c r="P34" s="106">
        <f>SUM($G$29:P32)</f>
        <v>95725.047080978838</v>
      </c>
      <c r="Q34" s="106">
        <f>SUM($G$29:Q32)</f>
        <v>112967.44686575142</v>
      </c>
      <c r="R34" s="106">
        <f>SUM($G$29:R32)</f>
        <v>130209.84665052401</v>
      </c>
      <c r="S34" s="106">
        <f>SUM($G$29:S32)</f>
        <v>147452.24643529661</v>
      </c>
      <c r="T34" s="106">
        <f>SUM($G$29:T32)</f>
        <v>164694.6462200692</v>
      </c>
      <c r="U34" s="106">
        <f>SUM($G$29:U32)</f>
        <v>181937.0460048418</v>
      </c>
      <c r="V34" s="106">
        <f>SUM($G$29:V32)</f>
        <v>199179.4457896144</v>
      </c>
      <c r="W34" s="106">
        <f>SUM($G$29:W32)</f>
        <v>216421.845574387</v>
      </c>
      <c r="X34" s="106">
        <f>SUM($G$29:X32)</f>
        <v>233664.2453591596</v>
      </c>
      <c r="Y34" s="106">
        <f>SUM($G$29:Y32)</f>
        <v>250906.6451439322</v>
      </c>
      <c r="Z34" s="106">
        <f>SUM($G$29:Z32)</f>
        <v>268149.0449287048</v>
      </c>
      <c r="AA34" s="106">
        <f>SUM($G$29:AA32)</f>
        <v>285391.44471347739</v>
      </c>
    </row>
    <row r="35" spans="1:27" x14ac:dyDescent="0.25">
      <c r="G35" s="106"/>
      <c r="H35" s="106"/>
      <c r="I35" s="106"/>
      <c r="J35" s="106"/>
      <c r="K35" s="106"/>
      <c r="L35" s="106"/>
      <c r="M35" s="106"/>
      <c r="N35" s="106"/>
      <c r="O35" s="106"/>
      <c r="P35" s="106"/>
      <c r="Q35" s="106"/>
      <c r="R35" s="106"/>
      <c r="S35" s="106"/>
      <c r="T35" s="106"/>
      <c r="U35" s="106"/>
      <c r="V35" s="106"/>
      <c r="W35" s="106"/>
      <c r="X35" s="106"/>
      <c r="Y35" s="106"/>
      <c r="Z35" s="106"/>
      <c r="AA35" s="106"/>
    </row>
    <row r="36" spans="1:27" x14ac:dyDescent="0.25">
      <c r="A36" s="101">
        <v>11</v>
      </c>
      <c r="C36" s="100" t="s">
        <v>573</v>
      </c>
      <c r="D36" s="100"/>
    </row>
    <row r="37" spans="1:27" x14ac:dyDescent="0.25">
      <c r="E37" s="106" t="str">
        <f>E7</f>
        <v>Pipes / Storage</v>
      </c>
      <c r="F37" s="47" t="s">
        <v>639</v>
      </c>
      <c r="G37" s="102">
        <f>SUMIFS('INPUT Capex'!AC$48:AC$53,'INPUT Capex'!$A$48:$A$53,$A$1)*IF(G$2=0,DASH!$E$8,1)</f>
        <v>0</v>
      </c>
      <c r="H37" s="102">
        <f>SUMIFS('INPUT Capex'!AD$48:AD$53,'INPUT Capex'!$A$48:$A$53,$A$1)*IF(H$2=0,DASH!$E$8,1)</f>
        <v>1234166.8109491884</v>
      </c>
      <c r="I37" s="102">
        <f>SUMIFS('INPUT Capex'!AE$48:AE$53,'INPUT Capex'!$A$48:$A$53,$A$1)*IF(I$2=0,DASH!$E$8,1)</f>
        <v>1244387.0219450446</v>
      </c>
      <c r="J37" s="102">
        <f>SUMIFS('INPUT Capex'!AF$48:AF$53,'INPUT Capex'!$A$48:$A$53,$A$1)*IF(J$2=0,DASH!$E$8,1)</f>
        <v>1060916.3266165103</v>
      </c>
      <c r="K37" s="102">
        <f>SUMIFS('INPUT Capex'!AG$48:AG$53,'INPUT Capex'!$A$48:$A$53,$A$1)*IF(K$2=0,DASH!$E$8,1)</f>
        <v>988189.52997885097</v>
      </c>
      <c r="L37" s="102">
        <f>SUMIFS('INPUT Capex'!AH$48:AH$53,'INPUT Capex'!$A$48:$A$53,$A$1)*IF(L$2=0,DASH!$E$8,1)</f>
        <v>734550.19938942033</v>
      </c>
      <c r="M37" s="102">
        <f>SUMIFS('INPUT Capex'!AI$48:AI$53,'INPUT Capex'!$A$48:$A$53,$A$1)*IF(M$2=0,DASH!$E$8,1)</f>
        <v>602933.84523563483</v>
      </c>
      <c r="N37" s="102">
        <f>SUMIFS('INPUT Capex'!AJ$48:AJ$53,'INPUT Capex'!$A$48:$A$53,$A$1)*IF(N$2=0,DASH!$E$8,1)</f>
        <v>590535.95720360859</v>
      </c>
      <c r="O37" s="102">
        <f>SUMIFS('INPUT Capex'!AK$48:AK$53,'INPUT Capex'!$A$48:$A$53,$A$1)*IF(O$2=0,DASH!$E$8,1)</f>
        <v>752222.96427281026</v>
      </c>
      <c r="P37" s="102">
        <f>SUMIFS('INPUT Capex'!AL$48:AL$53,'INPUT Capex'!$A$48:$A$53,$A$1)*IF(P$2=0,DASH!$E$8,1)</f>
        <v>733969.34904559643</v>
      </c>
      <c r="Q37" s="102">
        <f>SUMIFS('INPUT Capex'!AM$48:AM$53,'INPUT Capex'!$A$48:$A$53,$A$1)*IF(Q$2=0,DASH!$E$8,1)</f>
        <v>664326.62340877624</v>
      </c>
      <c r="R37" s="102">
        <f>SUMIFS('INPUT Capex'!AN$48:AN$53,'INPUT Capex'!$A$48:$A$53,$A$1)*IF(R$2=0,DASH!$E$8,1)</f>
        <v>609646.24834272638</v>
      </c>
      <c r="S37" s="102">
        <f>SUMIFS('INPUT Capex'!AO$48:AO$53,'INPUT Capex'!$A$48:$A$53,$A$1)*IF(S$2=0,DASH!$E$8,1)</f>
        <v>546673.49830112897</v>
      </c>
      <c r="T37" s="102">
        <f>SUMIFS('INPUT Capex'!AP$48:AP$53,'INPUT Capex'!$A$48:$A$53,$A$1)*IF(T$2=0,DASH!$E$8,1)</f>
        <v>482971.40019814734</v>
      </c>
      <c r="U37" s="102">
        <f>SUMIFS('INPUT Capex'!AQ$48:AQ$53,'INPUT Capex'!$A$48:$A$53,$A$1)*IF(U$2=0,DASH!$E$8,1)</f>
        <v>431591.41371147439</v>
      </c>
      <c r="V37" s="102">
        <f>SUMIFS('INPUT Capex'!AR$48:AR$53,'INPUT Capex'!$A$48:$A$53,$A$1)*IF(V$2=0,DASH!$E$8,1)</f>
        <v>454222.99222979636</v>
      </c>
      <c r="W37" s="102">
        <f>SUMIFS('INPUT Capex'!AS$48:AS$53,'INPUT Capex'!$A$48:$A$53,$A$1)*IF(W$2=0,DASH!$E$8,1)</f>
        <v>570958.21613941446</v>
      </c>
      <c r="X37" s="102">
        <f>SUMIFS('INPUT Capex'!AT$48:AT$53,'INPUT Capex'!$A$48:$A$53,$A$1)*IF(X$2=0,DASH!$E$8,1)</f>
        <v>658262.35729099216</v>
      </c>
      <c r="Y37" s="102">
        <f>SUMIFS('INPUT Capex'!AU$48:AU$53,'INPUT Capex'!$A$48:$A$53,$A$1)*IF(Y$2=0,DASH!$E$8,1)</f>
        <v>605660.16395267367</v>
      </c>
      <c r="Z37" s="102">
        <f>SUMIFS('INPUT Capex'!AV$48:AV$53,'INPUT Capex'!$A$48:$A$53,$A$1)*IF(Z$2=0,DASH!$E$8,1)</f>
        <v>535365.57394800475</v>
      </c>
      <c r="AA37" s="102">
        <f>SUMIFS('INPUT Capex'!AW$48:AW$53,'INPUT Capex'!$A$48:$A$53,$A$1)*IF(AA$2=0,DASH!$E$8,1)</f>
        <v>501916.40454039664</v>
      </c>
    </row>
    <row r="38" spans="1:27" x14ac:dyDescent="0.25">
      <c r="E38" s="106" t="str">
        <f>E8</f>
        <v>Pumps / Valves</v>
      </c>
      <c r="F38" s="47" t="s">
        <v>639</v>
      </c>
      <c r="G38" s="102"/>
      <c r="H38" s="102"/>
      <c r="I38" s="102"/>
      <c r="J38" s="102"/>
      <c r="K38" s="102"/>
      <c r="L38" s="102"/>
      <c r="M38" s="102"/>
      <c r="N38" s="102"/>
      <c r="O38" s="102"/>
      <c r="P38" s="102"/>
      <c r="Q38" s="102"/>
      <c r="R38" s="102"/>
      <c r="S38" s="102"/>
      <c r="T38" s="102"/>
      <c r="U38" s="102"/>
      <c r="V38" s="102"/>
      <c r="W38" s="102"/>
      <c r="X38" s="102"/>
      <c r="Y38" s="102"/>
      <c r="Z38" s="102"/>
      <c r="AA38" s="102"/>
    </row>
    <row r="39" spans="1:27" x14ac:dyDescent="0.25">
      <c r="E39" s="106" t="str">
        <f>E9</f>
        <v>Treatment</v>
      </c>
      <c r="F39" s="47" t="s">
        <v>639</v>
      </c>
      <c r="G39" s="102"/>
      <c r="H39" s="102"/>
      <c r="I39" s="102"/>
      <c r="J39" s="102"/>
      <c r="K39" s="102"/>
      <c r="L39" s="102"/>
      <c r="M39" s="102"/>
      <c r="N39" s="102"/>
      <c r="O39" s="102"/>
      <c r="P39" s="102"/>
      <c r="Q39" s="102"/>
      <c r="R39" s="102"/>
      <c r="S39" s="102"/>
      <c r="T39" s="102"/>
      <c r="U39" s="102"/>
      <c r="V39" s="102"/>
      <c r="W39" s="102"/>
      <c r="X39" s="102"/>
      <c r="Y39" s="102"/>
      <c r="Z39" s="102"/>
      <c r="AA39" s="102"/>
    </row>
    <row r="40" spans="1:27" x14ac:dyDescent="0.25">
      <c r="E40" s="106" t="str">
        <f>E10</f>
        <v>Temporary Assets</v>
      </c>
      <c r="F40" s="47" t="s">
        <v>639</v>
      </c>
      <c r="G40" s="102"/>
      <c r="H40" s="102"/>
      <c r="I40" s="102"/>
      <c r="J40" s="102"/>
      <c r="K40" s="102"/>
      <c r="L40" s="102"/>
      <c r="M40" s="102"/>
      <c r="N40" s="102"/>
      <c r="O40" s="102"/>
      <c r="P40" s="102"/>
      <c r="Q40" s="102"/>
      <c r="R40" s="102"/>
      <c r="S40" s="102"/>
      <c r="T40" s="102"/>
      <c r="U40" s="102"/>
      <c r="V40" s="102"/>
      <c r="W40" s="102"/>
      <c r="X40" s="102"/>
      <c r="Y40" s="102"/>
      <c r="Z40" s="102"/>
      <c r="AA40" s="102"/>
    </row>
    <row r="41" spans="1:27" x14ac:dyDescent="0.25">
      <c r="E41" s="47" t="s">
        <v>640</v>
      </c>
      <c r="F41" s="47" t="s">
        <v>639</v>
      </c>
      <c r="G41" s="102"/>
      <c r="H41" s="102"/>
      <c r="I41" s="102"/>
      <c r="J41" s="102"/>
      <c r="K41" s="102"/>
      <c r="L41" s="102"/>
      <c r="M41" s="102"/>
      <c r="N41" s="102"/>
      <c r="O41" s="102"/>
      <c r="P41" s="102"/>
      <c r="Q41" s="102"/>
      <c r="R41" s="102"/>
      <c r="S41" s="102"/>
      <c r="T41" s="102"/>
      <c r="U41" s="102"/>
      <c r="V41" s="102"/>
      <c r="W41" s="102"/>
      <c r="X41" s="102"/>
      <c r="Y41" s="102"/>
      <c r="Z41" s="102"/>
      <c r="AA41" s="102"/>
    </row>
    <row r="42" spans="1:27" x14ac:dyDescent="0.25">
      <c r="G42" s="106">
        <f>SUM(G37:G41)</f>
        <v>0</v>
      </c>
      <c r="H42" s="106">
        <f t="shared" ref="H42:AA42" si="5">SUM(H37:H41)</f>
        <v>1234166.8109491884</v>
      </c>
      <c r="I42" s="106">
        <f t="shared" si="5"/>
        <v>1244387.0219450446</v>
      </c>
      <c r="J42" s="106">
        <f t="shared" si="5"/>
        <v>1060916.3266165103</v>
      </c>
      <c r="K42" s="106">
        <f t="shared" si="5"/>
        <v>988189.52997885097</v>
      </c>
      <c r="L42" s="106">
        <f t="shared" si="5"/>
        <v>734550.19938942033</v>
      </c>
      <c r="M42" s="106">
        <f t="shared" si="5"/>
        <v>602933.84523563483</v>
      </c>
      <c r="N42" s="106">
        <f t="shared" si="5"/>
        <v>590535.95720360859</v>
      </c>
      <c r="O42" s="106">
        <f t="shared" si="5"/>
        <v>752222.96427281026</v>
      </c>
      <c r="P42" s="106">
        <f t="shared" si="5"/>
        <v>733969.34904559643</v>
      </c>
      <c r="Q42" s="106">
        <f t="shared" si="5"/>
        <v>664326.62340877624</v>
      </c>
      <c r="R42" s="106">
        <f t="shared" si="5"/>
        <v>609646.24834272638</v>
      </c>
      <c r="S42" s="106">
        <f t="shared" si="5"/>
        <v>546673.49830112897</v>
      </c>
      <c r="T42" s="106">
        <f t="shared" si="5"/>
        <v>482971.40019814734</v>
      </c>
      <c r="U42" s="106">
        <f t="shared" si="5"/>
        <v>431591.41371147439</v>
      </c>
      <c r="V42" s="106">
        <f t="shared" si="5"/>
        <v>454222.99222979636</v>
      </c>
      <c r="W42" s="106">
        <f t="shared" si="5"/>
        <v>570958.21613941446</v>
      </c>
      <c r="X42" s="106">
        <f t="shared" si="5"/>
        <v>658262.35729099216</v>
      </c>
      <c r="Y42" s="106">
        <f t="shared" si="5"/>
        <v>605660.16395267367</v>
      </c>
      <c r="Z42" s="106">
        <f t="shared" si="5"/>
        <v>535365.57394800475</v>
      </c>
      <c r="AA42" s="106">
        <f t="shared" si="5"/>
        <v>501916.40454039664</v>
      </c>
    </row>
    <row r="43" spans="1:27" x14ac:dyDescent="0.25">
      <c r="G43" s="106"/>
      <c r="H43" s="106"/>
      <c r="I43" s="106"/>
      <c r="J43" s="106"/>
      <c r="K43" s="106"/>
      <c r="L43" s="106"/>
      <c r="M43" s="106"/>
      <c r="N43" s="106"/>
      <c r="O43" s="106"/>
      <c r="P43" s="106"/>
      <c r="Q43" s="106"/>
    </row>
    <row r="44" spans="1:27" x14ac:dyDescent="0.25">
      <c r="D44" s="47" t="s">
        <v>643</v>
      </c>
      <c r="G44" s="106"/>
      <c r="H44" s="106"/>
      <c r="I44" s="106"/>
      <c r="J44" s="106"/>
      <c r="K44" s="106"/>
      <c r="L44" s="106"/>
      <c r="M44" s="106"/>
      <c r="N44" s="106"/>
      <c r="O44" s="106"/>
      <c r="P44" s="106"/>
      <c r="Q44" s="106"/>
    </row>
    <row r="45" spans="1:27" x14ac:dyDescent="0.25">
      <c r="E45" s="106" t="str">
        <f>E37</f>
        <v>Pipes / Storage</v>
      </c>
      <c r="F45" s="47" t="s">
        <v>639</v>
      </c>
      <c r="G45" s="106">
        <f>G37/$G7+IF((G$2-$G7+1)&gt;0,-INDEX($G37:$AP37,1,(G$2-$G7+1))/$G7,0)</f>
        <v>0</v>
      </c>
      <c r="H45" s="106">
        <f t="shared" ref="H45:AA45" si="6">H37/$G7+IF((H$2-$G7+1)&gt;0,-INDEX($G37:$AP37,1,(H$2-$G7+1))/$G7,0)</f>
        <v>13712.964566102093</v>
      </c>
      <c r="I45" s="106">
        <f t="shared" si="6"/>
        <v>13826.522466056051</v>
      </c>
      <c r="J45" s="106">
        <f t="shared" si="6"/>
        <v>11787.959184627893</v>
      </c>
      <c r="K45" s="106">
        <f t="shared" si="6"/>
        <v>10979.883666431677</v>
      </c>
      <c r="L45" s="106">
        <f t="shared" si="6"/>
        <v>8161.66888210467</v>
      </c>
      <c r="M45" s="106">
        <f t="shared" si="6"/>
        <v>6699.2649470626093</v>
      </c>
      <c r="N45" s="106">
        <f t="shared" si="6"/>
        <v>6561.5106355956514</v>
      </c>
      <c r="O45" s="106">
        <f t="shared" si="6"/>
        <v>8358.0329363645578</v>
      </c>
      <c r="P45" s="106">
        <f t="shared" si="6"/>
        <v>8155.2149893955157</v>
      </c>
      <c r="Q45" s="106">
        <f t="shared" si="6"/>
        <v>7381.4069267641808</v>
      </c>
      <c r="R45" s="106">
        <f t="shared" si="6"/>
        <v>6773.8472038080708</v>
      </c>
      <c r="S45" s="106">
        <f t="shared" si="6"/>
        <v>6074.1499811236554</v>
      </c>
      <c r="T45" s="106">
        <f t="shared" si="6"/>
        <v>5366.3488910905262</v>
      </c>
      <c r="U45" s="106">
        <f t="shared" si="6"/>
        <v>4795.4601523497158</v>
      </c>
      <c r="V45" s="106">
        <f t="shared" si="6"/>
        <v>5046.9221358866262</v>
      </c>
      <c r="W45" s="106">
        <f t="shared" si="6"/>
        <v>6343.9801793268271</v>
      </c>
      <c r="X45" s="106">
        <f t="shared" si="6"/>
        <v>7314.0261921221354</v>
      </c>
      <c r="Y45" s="106">
        <f t="shared" si="6"/>
        <v>6729.5573772519292</v>
      </c>
      <c r="Z45" s="106">
        <f t="shared" si="6"/>
        <v>5948.5063772000531</v>
      </c>
      <c r="AA45" s="106">
        <f t="shared" si="6"/>
        <v>5576.8489393377404</v>
      </c>
    </row>
    <row r="46" spans="1:27" x14ac:dyDescent="0.25">
      <c r="E46" s="106" t="str">
        <f t="shared" ref="E46:E48" si="7">E38</f>
        <v>Pumps / Valves</v>
      </c>
      <c r="F46" s="47" t="s">
        <v>639</v>
      </c>
      <c r="G46" s="106">
        <f t="shared" ref="G46:AA48" si="8">G38/$G8+IF((G$2-$G8+1)&gt;0,-INDEX($G38:$AP38,1,(G$2-$G8+1))/$G8,0)</f>
        <v>0</v>
      </c>
      <c r="H46" s="106">
        <f t="shared" si="8"/>
        <v>0</v>
      </c>
      <c r="I46" s="106">
        <f t="shared" si="8"/>
        <v>0</v>
      </c>
      <c r="J46" s="106">
        <f t="shared" si="8"/>
        <v>0</v>
      </c>
      <c r="K46" s="106">
        <f t="shared" si="8"/>
        <v>0</v>
      </c>
      <c r="L46" s="106">
        <f t="shared" si="8"/>
        <v>0</v>
      </c>
      <c r="M46" s="106">
        <f t="shared" si="8"/>
        <v>0</v>
      </c>
      <c r="N46" s="106">
        <f t="shared" si="8"/>
        <v>0</v>
      </c>
      <c r="O46" s="106">
        <f t="shared" si="8"/>
        <v>0</v>
      </c>
      <c r="P46" s="106">
        <f t="shared" si="8"/>
        <v>0</v>
      </c>
      <c r="Q46" s="106">
        <f t="shared" si="8"/>
        <v>0</v>
      </c>
      <c r="R46" s="106">
        <f t="shared" si="8"/>
        <v>0</v>
      </c>
      <c r="S46" s="106">
        <f t="shared" si="8"/>
        <v>0</v>
      </c>
      <c r="T46" s="106">
        <f t="shared" si="8"/>
        <v>0</v>
      </c>
      <c r="U46" s="106">
        <f t="shared" si="8"/>
        <v>0</v>
      </c>
      <c r="V46" s="106">
        <f t="shared" si="8"/>
        <v>0</v>
      </c>
      <c r="W46" s="106">
        <f t="shared" si="8"/>
        <v>0</v>
      </c>
      <c r="X46" s="106">
        <f t="shared" si="8"/>
        <v>0</v>
      </c>
      <c r="Y46" s="106">
        <f t="shared" si="8"/>
        <v>0</v>
      </c>
      <c r="Z46" s="106">
        <f t="shared" si="8"/>
        <v>0</v>
      </c>
      <c r="AA46" s="106">
        <f t="shared" si="8"/>
        <v>0</v>
      </c>
    </row>
    <row r="47" spans="1:27" x14ac:dyDescent="0.25">
      <c r="E47" s="106" t="str">
        <f t="shared" si="7"/>
        <v>Treatment</v>
      </c>
      <c r="F47" s="47" t="s">
        <v>639</v>
      </c>
      <c r="G47" s="106">
        <f t="shared" si="8"/>
        <v>0</v>
      </c>
      <c r="H47" s="106">
        <f t="shared" si="8"/>
        <v>0</v>
      </c>
      <c r="I47" s="106">
        <f t="shared" si="8"/>
        <v>0</v>
      </c>
      <c r="J47" s="106">
        <f t="shared" si="8"/>
        <v>0</v>
      </c>
      <c r="K47" s="106">
        <f t="shared" si="8"/>
        <v>0</v>
      </c>
      <c r="L47" s="106">
        <f t="shared" si="8"/>
        <v>0</v>
      </c>
      <c r="M47" s="106">
        <f t="shared" si="8"/>
        <v>0</v>
      </c>
      <c r="N47" s="106">
        <f t="shared" si="8"/>
        <v>0</v>
      </c>
      <c r="O47" s="106">
        <f t="shared" si="8"/>
        <v>0</v>
      </c>
      <c r="P47" s="106">
        <f t="shared" si="8"/>
        <v>0</v>
      </c>
      <c r="Q47" s="106">
        <f t="shared" si="8"/>
        <v>0</v>
      </c>
      <c r="R47" s="106">
        <f t="shared" si="8"/>
        <v>0</v>
      </c>
      <c r="S47" s="106">
        <f t="shared" si="8"/>
        <v>0</v>
      </c>
      <c r="T47" s="106">
        <f t="shared" si="8"/>
        <v>0</v>
      </c>
      <c r="U47" s="106">
        <f t="shared" si="8"/>
        <v>0</v>
      </c>
      <c r="V47" s="106">
        <f t="shared" si="8"/>
        <v>0</v>
      </c>
      <c r="W47" s="106">
        <f t="shared" si="8"/>
        <v>0</v>
      </c>
      <c r="X47" s="106">
        <f t="shared" si="8"/>
        <v>0</v>
      </c>
      <c r="Y47" s="106">
        <f t="shared" si="8"/>
        <v>0</v>
      </c>
      <c r="Z47" s="106">
        <f t="shared" si="8"/>
        <v>0</v>
      </c>
      <c r="AA47" s="106">
        <f t="shared" si="8"/>
        <v>0</v>
      </c>
    </row>
    <row r="48" spans="1:27" x14ac:dyDescent="0.25">
      <c r="E48" s="106" t="str">
        <f t="shared" si="7"/>
        <v>Temporary Assets</v>
      </c>
      <c r="F48" s="47" t="s">
        <v>639</v>
      </c>
      <c r="G48" s="106">
        <f t="shared" si="8"/>
        <v>0</v>
      </c>
      <c r="H48" s="106">
        <f t="shared" si="8"/>
        <v>0</v>
      </c>
      <c r="I48" s="106">
        <f t="shared" si="8"/>
        <v>0</v>
      </c>
      <c r="J48" s="106">
        <f t="shared" si="8"/>
        <v>0</v>
      </c>
      <c r="K48" s="106">
        <f t="shared" si="8"/>
        <v>0</v>
      </c>
      <c r="L48" s="106">
        <f t="shared" si="8"/>
        <v>0</v>
      </c>
      <c r="M48" s="106">
        <f t="shared" si="8"/>
        <v>0</v>
      </c>
      <c r="N48" s="106">
        <f t="shared" si="8"/>
        <v>0</v>
      </c>
      <c r="O48" s="106">
        <f t="shared" si="8"/>
        <v>0</v>
      </c>
      <c r="P48" s="106">
        <f t="shared" si="8"/>
        <v>0</v>
      </c>
      <c r="Q48" s="106">
        <f t="shared" si="8"/>
        <v>0</v>
      </c>
      <c r="R48" s="106">
        <f t="shared" si="8"/>
        <v>0</v>
      </c>
      <c r="S48" s="106">
        <f t="shared" si="8"/>
        <v>0</v>
      </c>
      <c r="T48" s="106">
        <f t="shared" si="8"/>
        <v>0</v>
      </c>
      <c r="U48" s="106">
        <f t="shared" si="8"/>
        <v>0</v>
      </c>
      <c r="V48" s="106">
        <f t="shared" si="8"/>
        <v>0</v>
      </c>
      <c r="W48" s="106">
        <f t="shared" si="8"/>
        <v>0</v>
      </c>
      <c r="X48" s="106">
        <f t="shared" si="8"/>
        <v>0</v>
      </c>
      <c r="Y48" s="106">
        <f t="shared" si="8"/>
        <v>0</v>
      </c>
      <c r="Z48" s="106">
        <f t="shared" si="8"/>
        <v>0</v>
      </c>
      <c r="AA48" s="106">
        <f t="shared" si="8"/>
        <v>0</v>
      </c>
    </row>
    <row r="49" spans="1:27" x14ac:dyDescent="0.25">
      <c r="G49" s="106"/>
      <c r="H49" s="106"/>
      <c r="I49" s="106"/>
      <c r="J49" s="106"/>
      <c r="K49" s="106"/>
      <c r="L49" s="106"/>
      <c r="M49" s="106"/>
      <c r="N49" s="106"/>
      <c r="O49" s="106"/>
      <c r="P49" s="106"/>
      <c r="Q49" s="106"/>
    </row>
    <row r="50" spans="1:27" x14ac:dyDescent="0.25">
      <c r="D50" s="47" t="s">
        <v>644</v>
      </c>
      <c r="F50" s="47" t="s">
        <v>639</v>
      </c>
      <c r="G50" s="106">
        <f>SUM($G$45:G48)</f>
        <v>0</v>
      </c>
      <c r="H50" s="106">
        <f>SUM($G$45:H48)</f>
        <v>13712.964566102093</v>
      </c>
      <c r="I50" s="106">
        <f>SUM($G$45:I48)</f>
        <v>27539.487032158144</v>
      </c>
      <c r="J50" s="106">
        <f>SUM($G$45:J48)</f>
        <v>39327.446216786033</v>
      </c>
      <c r="K50" s="106">
        <f>SUM($G$45:K48)</f>
        <v>50307.32988321771</v>
      </c>
      <c r="L50" s="106">
        <f>SUM($G$45:L48)</f>
        <v>58468.99876532238</v>
      </c>
      <c r="M50" s="106">
        <f>SUM($G$45:M48)</f>
        <v>65168.263712384985</v>
      </c>
      <c r="N50" s="106">
        <f>SUM($G$45:N48)</f>
        <v>71729.774347980638</v>
      </c>
      <c r="O50" s="106">
        <f>SUM($G$45:O48)</f>
        <v>80087.807284345196</v>
      </c>
      <c r="P50" s="106">
        <f>SUM($G$45:P48)</f>
        <v>88243.022273740717</v>
      </c>
      <c r="Q50" s="106">
        <f>SUM($G$45:Q48)</f>
        <v>95624.429200504892</v>
      </c>
      <c r="R50" s="106">
        <f>SUM($G$45:R48)</f>
        <v>102398.27640431296</v>
      </c>
      <c r="S50" s="106">
        <f>SUM($G$45:S48)</f>
        <v>108472.42638543661</v>
      </c>
      <c r="T50" s="106">
        <f>SUM($G$45:T48)</f>
        <v>113838.77527652714</v>
      </c>
      <c r="U50" s="106">
        <f>SUM($G$45:U48)</f>
        <v>118634.23542887685</v>
      </c>
      <c r="V50" s="106">
        <f>SUM($G$45:V48)</f>
        <v>123681.15756476347</v>
      </c>
      <c r="W50" s="106">
        <f>SUM($G$45:W48)</f>
        <v>130025.1377440903</v>
      </c>
      <c r="X50" s="106">
        <f>SUM($G$45:X48)</f>
        <v>137339.16393621243</v>
      </c>
      <c r="Y50" s="106">
        <f>SUM($G$45:Y48)</f>
        <v>144068.72131346437</v>
      </c>
      <c r="Z50" s="106">
        <f>SUM($G$45:Z48)</f>
        <v>150017.22769066441</v>
      </c>
      <c r="AA50" s="106">
        <f>SUM($G$45:AA48)</f>
        <v>155594.07663000215</v>
      </c>
    </row>
    <row r="51" spans="1:27" x14ac:dyDescent="0.25">
      <c r="G51" s="106"/>
      <c r="H51" s="106"/>
      <c r="I51" s="106"/>
      <c r="J51" s="106"/>
      <c r="K51" s="106"/>
      <c r="L51" s="106"/>
      <c r="M51" s="106"/>
      <c r="N51" s="106"/>
      <c r="O51" s="106"/>
      <c r="P51" s="106"/>
      <c r="Q51" s="106"/>
      <c r="R51" s="106"/>
      <c r="S51" s="106"/>
      <c r="T51" s="106"/>
      <c r="U51" s="106"/>
      <c r="V51" s="106"/>
      <c r="W51" s="106"/>
      <c r="X51" s="106"/>
      <c r="Y51" s="106"/>
      <c r="Z51" s="106"/>
      <c r="AA51" s="106"/>
    </row>
    <row r="52" spans="1:27" x14ac:dyDescent="0.25">
      <c r="A52" s="101">
        <v>12</v>
      </c>
      <c r="C52" s="100" t="s">
        <v>645</v>
      </c>
      <c r="G52" s="106"/>
      <c r="H52" s="106"/>
      <c r="I52" s="106"/>
      <c r="J52" s="106"/>
      <c r="K52" s="106"/>
      <c r="L52" s="106"/>
      <c r="M52" s="106"/>
      <c r="N52" s="106"/>
      <c r="O52" s="106"/>
      <c r="P52" s="106"/>
      <c r="Q52" s="106"/>
      <c r="R52" s="106"/>
      <c r="S52" s="106"/>
      <c r="T52" s="106"/>
      <c r="U52" s="106"/>
      <c r="V52" s="106"/>
      <c r="W52" s="106"/>
      <c r="X52" s="106"/>
      <c r="Y52" s="106"/>
      <c r="Z52" s="106"/>
      <c r="AA52" s="106"/>
    </row>
    <row r="53" spans="1:27" x14ac:dyDescent="0.25">
      <c r="E53" s="47" t="s">
        <v>645</v>
      </c>
      <c r="F53" s="47" t="s">
        <v>639</v>
      </c>
      <c r="G53" s="102"/>
      <c r="H53" s="102"/>
      <c r="I53" s="102"/>
      <c r="J53" s="102"/>
      <c r="K53" s="102"/>
      <c r="L53" s="102"/>
      <c r="M53" s="102"/>
      <c r="N53" s="102"/>
      <c r="O53" s="102"/>
      <c r="P53" s="102"/>
      <c r="Q53" s="102"/>
      <c r="R53" s="102"/>
      <c r="S53" s="102"/>
      <c r="T53" s="102"/>
      <c r="U53" s="102"/>
      <c r="V53" s="102"/>
      <c r="W53" s="102"/>
      <c r="X53" s="102"/>
      <c r="Y53" s="102"/>
      <c r="Z53" s="102"/>
      <c r="AA53" s="102"/>
    </row>
    <row r="55" spans="1:27" x14ac:dyDescent="0.25">
      <c r="C55" s="100" t="s">
        <v>646</v>
      </c>
      <c r="D55" s="100"/>
    </row>
    <row r="56" spans="1:27" x14ac:dyDescent="0.25">
      <c r="A56" s="101">
        <v>13</v>
      </c>
      <c r="D56" s="47" t="s">
        <v>647</v>
      </c>
    </row>
    <row r="57" spans="1:27" x14ac:dyDescent="0.25">
      <c r="E57" s="106" t="str">
        <f>E7</f>
        <v>Pipes / Storage</v>
      </c>
      <c r="F57" s="47" t="s">
        <v>639</v>
      </c>
      <c r="G57" s="102"/>
      <c r="H57" s="102"/>
      <c r="I57" s="102"/>
      <c r="J57" s="102"/>
      <c r="K57" s="102"/>
      <c r="L57" s="102"/>
      <c r="M57" s="102"/>
      <c r="N57" s="102"/>
      <c r="O57" s="102"/>
      <c r="P57" s="102"/>
      <c r="Q57" s="102"/>
      <c r="R57" s="102"/>
      <c r="S57" s="102"/>
      <c r="T57" s="102"/>
      <c r="U57" s="102"/>
      <c r="V57" s="102"/>
      <c r="W57" s="102"/>
      <c r="X57" s="102"/>
      <c r="Y57" s="102"/>
      <c r="Z57" s="102"/>
      <c r="AA57" s="102"/>
    </row>
    <row r="58" spans="1:27" x14ac:dyDescent="0.25">
      <c r="E58" s="106" t="str">
        <f>E8</f>
        <v>Pumps / Valves</v>
      </c>
      <c r="F58" s="47" t="s">
        <v>639</v>
      </c>
      <c r="G58" s="102"/>
      <c r="H58" s="102"/>
      <c r="I58" s="102"/>
      <c r="J58" s="102"/>
      <c r="K58" s="102"/>
      <c r="L58" s="102"/>
      <c r="M58" s="102"/>
      <c r="N58" s="102"/>
      <c r="O58" s="102"/>
      <c r="P58" s="102"/>
      <c r="Q58" s="102"/>
      <c r="R58" s="102"/>
      <c r="S58" s="102"/>
      <c r="T58" s="102"/>
      <c r="U58" s="102"/>
      <c r="V58" s="102"/>
      <c r="W58" s="102"/>
      <c r="X58" s="102"/>
      <c r="Y58" s="102"/>
      <c r="Z58" s="102"/>
      <c r="AA58" s="102"/>
    </row>
    <row r="59" spans="1:27" x14ac:dyDescent="0.25">
      <c r="E59" s="106" t="str">
        <f>E9</f>
        <v>Treatment</v>
      </c>
      <c r="F59" s="47" t="s">
        <v>639</v>
      </c>
      <c r="G59" s="102"/>
      <c r="H59" s="102"/>
      <c r="I59" s="102"/>
      <c r="J59" s="102"/>
      <c r="K59" s="102"/>
      <c r="L59" s="102"/>
      <c r="M59" s="102"/>
      <c r="N59" s="102"/>
      <c r="O59" s="102"/>
      <c r="P59" s="102"/>
      <c r="Q59" s="102"/>
      <c r="R59" s="102"/>
      <c r="S59" s="102"/>
      <c r="T59" s="102"/>
      <c r="U59" s="102"/>
      <c r="V59" s="102"/>
      <c r="W59" s="102"/>
      <c r="X59" s="102"/>
      <c r="Y59" s="102"/>
      <c r="Z59" s="102"/>
      <c r="AA59" s="102"/>
    </row>
    <row r="60" spans="1:27" x14ac:dyDescent="0.25">
      <c r="E60" s="47" t="s">
        <v>640</v>
      </c>
      <c r="F60" s="47" t="s">
        <v>639</v>
      </c>
      <c r="G60" s="102"/>
      <c r="H60" s="102"/>
      <c r="I60" s="102"/>
      <c r="J60" s="102"/>
      <c r="K60" s="102"/>
      <c r="L60" s="102"/>
      <c r="M60" s="102"/>
      <c r="N60" s="102"/>
      <c r="O60" s="102"/>
      <c r="P60" s="102"/>
      <c r="Q60" s="102"/>
      <c r="R60" s="102"/>
      <c r="S60" s="102"/>
      <c r="T60" s="102"/>
      <c r="U60" s="102"/>
      <c r="V60" s="102"/>
      <c r="W60" s="102"/>
      <c r="X60" s="102"/>
      <c r="Y60" s="102"/>
      <c r="Z60" s="102"/>
      <c r="AA60" s="102"/>
    </row>
    <row r="61" spans="1:27" x14ac:dyDescent="0.25">
      <c r="G61" s="106">
        <f>SUM(G57:G60)</f>
        <v>0</v>
      </c>
      <c r="H61" s="106">
        <f t="shared" ref="H61:AA61" si="9">SUM(H57:H60)</f>
        <v>0</v>
      </c>
      <c r="I61" s="106">
        <f t="shared" si="9"/>
        <v>0</v>
      </c>
      <c r="J61" s="106">
        <f t="shared" si="9"/>
        <v>0</v>
      </c>
      <c r="K61" s="106">
        <f t="shared" si="9"/>
        <v>0</v>
      </c>
      <c r="L61" s="106">
        <f t="shared" si="9"/>
        <v>0</v>
      </c>
      <c r="M61" s="106">
        <f t="shared" si="9"/>
        <v>0</v>
      </c>
      <c r="N61" s="106">
        <f t="shared" si="9"/>
        <v>0</v>
      </c>
      <c r="O61" s="106">
        <f t="shared" si="9"/>
        <v>0</v>
      </c>
      <c r="P61" s="106">
        <f t="shared" si="9"/>
        <v>0</v>
      </c>
      <c r="Q61" s="106">
        <f t="shared" si="9"/>
        <v>0</v>
      </c>
      <c r="R61" s="106">
        <f t="shared" si="9"/>
        <v>0</v>
      </c>
      <c r="S61" s="106">
        <f t="shared" si="9"/>
        <v>0</v>
      </c>
      <c r="T61" s="106">
        <f t="shared" si="9"/>
        <v>0</v>
      </c>
      <c r="U61" s="106">
        <f t="shared" si="9"/>
        <v>0</v>
      </c>
      <c r="V61" s="106">
        <f t="shared" si="9"/>
        <v>0</v>
      </c>
      <c r="W61" s="106">
        <f t="shared" si="9"/>
        <v>0</v>
      </c>
      <c r="X61" s="106">
        <f t="shared" si="9"/>
        <v>0</v>
      </c>
      <c r="Y61" s="106">
        <f t="shared" si="9"/>
        <v>0</v>
      </c>
      <c r="Z61" s="106">
        <f t="shared" si="9"/>
        <v>0</v>
      </c>
      <c r="AA61" s="106">
        <f t="shared" si="9"/>
        <v>0</v>
      </c>
    </row>
    <row r="63" spans="1:27" x14ac:dyDescent="0.25">
      <c r="D63" s="47" t="s">
        <v>648</v>
      </c>
      <c r="G63" s="106"/>
      <c r="H63" s="106"/>
      <c r="I63" s="106"/>
      <c r="J63" s="106"/>
      <c r="K63" s="106"/>
      <c r="L63" s="106"/>
      <c r="M63" s="106"/>
      <c r="N63" s="106"/>
      <c r="O63" s="106"/>
      <c r="P63" s="106"/>
      <c r="Q63" s="106"/>
    </row>
    <row r="64" spans="1:27" x14ac:dyDescent="0.25">
      <c r="E64" s="106" t="str">
        <f>E57</f>
        <v>Pipes / Storage</v>
      </c>
      <c r="F64" s="47" t="s">
        <v>639</v>
      </c>
      <c r="G64" s="106">
        <f>G57/$G7+IF((G$2-$G7+1)&gt;0,-INDEX($G57:$AP57,1,(G$2-$G7+1))/$G7,0)</f>
        <v>0</v>
      </c>
      <c r="H64" s="106">
        <f t="shared" ref="H64:AA64" si="10">H57/$G7+IF((H$2-$G7+1)&gt;0,-INDEX($G57:$AP57,1,(H$2-$G7+1))/$G7,0)</f>
        <v>0</v>
      </c>
      <c r="I64" s="106">
        <f t="shared" si="10"/>
        <v>0</v>
      </c>
      <c r="J64" s="106">
        <f t="shared" si="10"/>
        <v>0</v>
      </c>
      <c r="K64" s="106">
        <f t="shared" si="10"/>
        <v>0</v>
      </c>
      <c r="L64" s="106">
        <f t="shared" si="10"/>
        <v>0</v>
      </c>
      <c r="M64" s="106">
        <f t="shared" si="10"/>
        <v>0</v>
      </c>
      <c r="N64" s="106">
        <f t="shared" si="10"/>
        <v>0</v>
      </c>
      <c r="O64" s="106">
        <f t="shared" si="10"/>
        <v>0</v>
      </c>
      <c r="P64" s="106">
        <f t="shared" si="10"/>
        <v>0</v>
      </c>
      <c r="Q64" s="106">
        <f t="shared" si="10"/>
        <v>0</v>
      </c>
      <c r="R64" s="106">
        <f t="shared" si="10"/>
        <v>0</v>
      </c>
      <c r="S64" s="106">
        <f t="shared" si="10"/>
        <v>0</v>
      </c>
      <c r="T64" s="106">
        <f t="shared" si="10"/>
        <v>0</v>
      </c>
      <c r="U64" s="106">
        <f t="shared" si="10"/>
        <v>0</v>
      </c>
      <c r="V64" s="106">
        <f t="shared" si="10"/>
        <v>0</v>
      </c>
      <c r="W64" s="106">
        <f t="shared" si="10"/>
        <v>0</v>
      </c>
      <c r="X64" s="106">
        <f t="shared" si="10"/>
        <v>0</v>
      </c>
      <c r="Y64" s="106">
        <f t="shared" si="10"/>
        <v>0</v>
      </c>
      <c r="Z64" s="106">
        <f t="shared" si="10"/>
        <v>0</v>
      </c>
      <c r="AA64" s="106">
        <f t="shared" si="10"/>
        <v>0</v>
      </c>
    </row>
    <row r="65" spans="1:27" x14ac:dyDescent="0.25">
      <c r="E65" s="106" t="str">
        <f t="shared" ref="E65:E66" si="11">E58</f>
        <v>Pumps / Valves</v>
      </c>
      <c r="F65" s="47" t="s">
        <v>639</v>
      </c>
      <c r="G65" s="106">
        <f t="shared" ref="G65:AA66" si="12">G58/$G8+IF((G$2-$G8+1)&gt;0,-INDEX($G58:$AP58,1,(G$2-$G8+1))/$G8,0)</f>
        <v>0</v>
      </c>
      <c r="H65" s="106">
        <f t="shared" si="12"/>
        <v>0</v>
      </c>
      <c r="I65" s="106">
        <f t="shared" si="12"/>
        <v>0</v>
      </c>
      <c r="J65" s="106">
        <f t="shared" si="12"/>
        <v>0</v>
      </c>
      <c r="K65" s="106">
        <f t="shared" si="12"/>
        <v>0</v>
      </c>
      <c r="L65" s="106">
        <f t="shared" si="12"/>
        <v>0</v>
      </c>
      <c r="M65" s="106">
        <f t="shared" si="12"/>
        <v>0</v>
      </c>
      <c r="N65" s="106">
        <f t="shared" si="12"/>
        <v>0</v>
      </c>
      <c r="O65" s="106">
        <f t="shared" si="12"/>
        <v>0</v>
      </c>
      <c r="P65" s="106">
        <f t="shared" si="12"/>
        <v>0</v>
      </c>
      <c r="Q65" s="106">
        <f t="shared" si="12"/>
        <v>0</v>
      </c>
      <c r="R65" s="106">
        <f t="shared" si="12"/>
        <v>0</v>
      </c>
      <c r="S65" s="106">
        <f t="shared" si="12"/>
        <v>0</v>
      </c>
      <c r="T65" s="106">
        <f t="shared" si="12"/>
        <v>0</v>
      </c>
      <c r="U65" s="106">
        <f t="shared" si="12"/>
        <v>0</v>
      </c>
      <c r="V65" s="106">
        <f t="shared" si="12"/>
        <v>0</v>
      </c>
      <c r="W65" s="106">
        <f t="shared" si="12"/>
        <v>0</v>
      </c>
      <c r="X65" s="106">
        <f t="shared" si="12"/>
        <v>0</v>
      </c>
      <c r="Y65" s="106">
        <f t="shared" si="12"/>
        <v>0</v>
      </c>
      <c r="Z65" s="106">
        <f t="shared" si="12"/>
        <v>0</v>
      </c>
      <c r="AA65" s="106">
        <f t="shared" si="12"/>
        <v>0</v>
      </c>
    </row>
    <row r="66" spans="1:27" x14ac:dyDescent="0.25">
      <c r="E66" s="106" t="str">
        <f t="shared" si="11"/>
        <v>Treatment</v>
      </c>
      <c r="F66" s="47" t="s">
        <v>639</v>
      </c>
      <c r="G66" s="106">
        <f t="shared" si="12"/>
        <v>0</v>
      </c>
      <c r="H66" s="106">
        <f t="shared" si="12"/>
        <v>0</v>
      </c>
      <c r="I66" s="106">
        <f t="shared" si="12"/>
        <v>0</v>
      </c>
      <c r="J66" s="106">
        <f t="shared" si="12"/>
        <v>0</v>
      </c>
      <c r="K66" s="106">
        <f t="shared" si="12"/>
        <v>0</v>
      </c>
      <c r="L66" s="106">
        <f t="shared" si="12"/>
        <v>0</v>
      </c>
      <c r="M66" s="106">
        <f t="shared" si="12"/>
        <v>0</v>
      </c>
      <c r="N66" s="106">
        <f t="shared" si="12"/>
        <v>0</v>
      </c>
      <c r="O66" s="106">
        <f t="shared" si="12"/>
        <v>0</v>
      </c>
      <c r="P66" s="106">
        <f t="shared" si="12"/>
        <v>0</v>
      </c>
      <c r="Q66" s="106">
        <f t="shared" si="12"/>
        <v>0</v>
      </c>
      <c r="R66" s="106">
        <f t="shared" si="12"/>
        <v>0</v>
      </c>
      <c r="S66" s="106">
        <f t="shared" si="12"/>
        <v>0</v>
      </c>
      <c r="T66" s="106">
        <f t="shared" si="12"/>
        <v>0</v>
      </c>
      <c r="U66" s="106">
        <f t="shared" si="12"/>
        <v>0</v>
      </c>
      <c r="V66" s="106">
        <f t="shared" si="12"/>
        <v>0</v>
      </c>
      <c r="W66" s="106">
        <f t="shared" si="12"/>
        <v>0</v>
      </c>
      <c r="X66" s="106">
        <f t="shared" si="12"/>
        <v>0</v>
      </c>
      <c r="Y66" s="106">
        <f t="shared" si="12"/>
        <v>0</v>
      </c>
      <c r="Z66" s="106">
        <f t="shared" si="12"/>
        <v>0</v>
      </c>
      <c r="AA66" s="106">
        <f t="shared" si="12"/>
        <v>0</v>
      </c>
    </row>
    <row r="68" spans="1:27" x14ac:dyDescent="0.25">
      <c r="D68" s="47" t="s">
        <v>649</v>
      </c>
      <c r="F68" s="47" t="s">
        <v>639</v>
      </c>
      <c r="G68" s="106">
        <f>SUM($G$64:G66)</f>
        <v>0</v>
      </c>
      <c r="H68" s="106">
        <f>SUM($G$64:H66)</f>
        <v>0</v>
      </c>
      <c r="I68" s="106">
        <f>SUM($G$64:I66)</f>
        <v>0</v>
      </c>
      <c r="J68" s="106">
        <f>SUM($G$64:J66)</f>
        <v>0</v>
      </c>
      <c r="K68" s="106">
        <f>SUM($G$64:K66)</f>
        <v>0</v>
      </c>
      <c r="L68" s="106">
        <f>SUM($G$64:L66)</f>
        <v>0</v>
      </c>
      <c r="M68" s="106">
        <f>SUM($G$64:M66)</f>
        <v>0</v>
      </c>
      <c r="N68" s="106">
        <f>SUM($G$64:N66)</f>
        <v>0</v>
      </c>
      <c r="O68" s="106">
        <f>SUM($G$64:O66)</f>
        <v>0</v>
      </c>
      <c r="P68" s="106">
        <f>SUM($G$64:P66)</f>
        <v>0</v>
      </c>
      <c r="Q68" s="106">
        <f>SUM($G$64:Q66)</f>
        <v>0</v>
      </c>
      <c r="R68" s="106">
        <f>SUM($G$64:R66)</f>
        <v>0</v>
      </c>
      <c r="S68" s="106">
        <f>SUM($G$64:S66)</f>
        <v>0</v>
      </c>
      <c r="T68" s="106">
        <f>SUM($G$64:T66)</f>
        <v>0</v>
      </c>
      <c r="U68" s="106">
        <f>SUM($G$64:U66)</f>
        <v>0</v>
      </c>
      <c r="V68" s="106">
        <f>SUM($G$64:V66)</f>
        <v>0</v>
      </c>
      <c r="W68" s="106">
        <f>SUM($G$64:W66)</f>
        <v>0</v>
      </c>
      <c r="X68" s="106">
        <f>SUM($G$64:X66)</f>
        <v>0</v>
      </c>
      <c r="Y68" s="106">
        <f>SUM($G$64:Y66)</f>
        <v>0</v>
      </c>
      <c r="Z68" s="106">
        <f>SUM($G$64:Z66)</f>
        <v>0</v>
      </c>
      <c r="AA68" s="106">
        <f>SUM($G$64:AA66)</f>
        <v>0</v>
      </c>
    </row>
    <row r="70" spans="1:27" x14ac:dyDescent="0.25">
      <c r="A70" s="101">
        <v>14</v>
      </c>
      <c r="D70" s="47" t="s">
        <v>650</v>
      </c>
    </row>
    <row r="71" spans="1:27" x14ac:dyDescent="0.25">
      <c r="E71" s="106" t="str">
        <f>E7</f>
        <v>Pipes / Storage</v>
      </c>
      <c r="F71" s="47" t="s">
        <v>639</v>
      </c>
      <c r="G71" s="102"/>
      <c r="H71" s="102"/>
      <c r="I71" s="102"/>
      <c r="J71" s="102"/>
      <c r="K71" s="102"/>
      <c r="L71" s="102"/>
      <c r="M71" s="102"/>
      <c r="N71" s="102"/>
      <c r="O71" s="102"/>
      <c r="P71" s="102"/>
      <c r="Q71" s="102"/>
      <c r="R71" s="102"/>
      <c r="S71" s="102"/>
      <c r="T71" s="102"/>
      <c r="U71" s="102"/>
      <c r="V71" s="102"/>
      <c r="W71" s="102"/>
      <c r="X71" s="102"/>
      <c r="Y71" s="102"/>
      <c r="Z71" s="102"/>
      <c r="AA71" s="102"/>
    </row>
    <row r="72" spans="1:27" x14ac:dyDescent="0.25">
      <c r="E72" s="106" t="str">
        <f>E8</f>
        <v>Pumps / Valves</v>
      </c>
      <c r="F72" s="47" t="s">
        <v>639</v>
      </c>
      <c r="G72" s="102"/>
      <c r="H72" s="102"/>
      <c r="I72" s="102"/>
      <c r="J72" s="102"/>
      <c r="K72" s="102"/>
      <c r="L72" s="102"/>
      <c r="M72" s="102"/>
      <c r="N72" s="102"/>
      <c r="O72" s="102"/>
      <c r="P72" s="102"/>
      <c r="Q72" s="102"/>
      <c r="R72" s="102"/>
      <c r="S72" s="102"/>
      <c r="T72" s="102"/>
      <c r="U72" s="102"/>
      <c r="V72" s="102"/>
      <c r="W72" s="102"/>
      <c r="X72" s="102"/>
      <c r="Y72" s="102"/>
      <c r="Z72" s="102"/>
      <c r="AA72" s="102"/>
    </row>
    <row r="73" spans="1:27" x14ac:dyDescent="0.25">
      <c r="E73" s="106" t="str">
        <f>E9</f>
        <v>Treatment</v>
      </c>
      <c r="F73" s="47" t="s">
        <v>639</v>
      </c>
      <c r="G73" s="102"/>
      <c r="H73" s="102"/>
      <c r="I73" s="102"/>
      <c r="J73" s="102"/>
      <c r="K73" s="102"/>
      <c r="L73" s="102"/>
      <c r="M73" s="102"/>
      <c r="N73" s="102"/>
      <c r="O73" s="102"/>
      <c r="P73" s="102"/>
      <c r="Q73" s="102"/>
      <c r="R73" s="102"/>
      <c r="S73" s="102"/>
      <c r="T73" s="102"/>
      <c r="U73" s="102"/>
      <c r="V73" s="102"/>
      <c r="W73" s="102"/>
      <c r="X73" s="102"/>
      <c r="Y73" s="102"/>
      <c r="Z73" s="102"/>
      <c r="AA73" s="102"/>
    </row>
    <row r="74" spans="1:27" x14ac:dyDescent="0.25">
      <c r="E74" s="47" t="s">
        <v>640</v>
      </c>
      <c r="F74" s="47" t="s">
        <v>639</v>
      </c>
      <c r="G74" s="102"/>
      <c r="H74" s="102"/>
      <c r="I74" s="102"/>
      <c r="J74" s="102"/>
      <c r="K74" s="102"/>
      <c r="L74" s="102"/>
      <c r="M74" s="102"/>
      <c r="N74" s="102"/>
      <c r="O74" s="102"/>
      <c r="P74" s="102"/>
      <c r="Q74" s="102"/>
      <c r="R74" s="102"/>
      <c r="S74" s="102"/>
      <c r="T74" s="102"/>
      <c r="U74" s="102"/>
      <c r="V74" s="102"/>
      <c r="W74" s="102"/>
      <c r="X74" s="102"/>
      <c r="Y74" s="102"/>
      <c r="Z74" s="102"/>
      <c r="AA74" s="102"/>
    </row>
    <row r="75" spans="1:27" x14ac:dyDescent="0.25">
      <c r="G75" s="106">
        <f>SUM(G71:G74)</f>
        <v>0</v>
      </c>
      <c r="H75" s="106">
        <f t="shared" ref="H75:AA75" si="13">SUM(H71:H74)</f>
        <v>0</v>
      </c>
      <c r="I75" s="106">
        <f t="shared" si="13"/>
        <v>0</v>
      </c>
      <c r="J75" s="106">
        <f t="shared" si="13"/>
        <v>0</v>
      </c>
      <c r="K75" s="106">
        <f t="shared" si="13"/>
        <v>0</v>
      </c>
      <c r="L75" s="106">
        <f t="shared" si="13"/>
        <v>0</v>
      </c>
      <c r="M75" s="106">
        <f t="shared" si="13"/>
        <v>0</v>
      </c>
      <c r="N75" s="106">
        <f t="shared" si="13"/>
        <v>0</v>
      </c>
      <c r="O75" s="106">
        <f t="shared" si="13"/>
        <v>0</v>
      </c>
      <c r="P75" s="106">
        <f t="shared" si="13"/>
        <v>0</v>
      </c>
      <c r="Q75" s="106">
        <f t="shared" si="13"/>
        <v>0</v>
      </c>
      <c r="R75" s="106">
        <f t="shared" si="13"/>
        <v>0</v>
      </c>
      <c r="S75" s="106">
        <f t="shared" si="13"/>
        <v>0</v>
      </c>
      <c r="T75" s="106">
        <f t="shared" si="13"/>
        <v>0</v>
      </c>
      <c r="U75" s="106">
        <f t="shared" si="13"/>
        <v>0</v>
      </c>
      <c r="V75" s="106">
        <f t="shared" si="13"/>
        <v>0</v>
      </c>
      <c r="W75" s="106">
        <f t="shared" si="13"/>
        <v>0</v>
      </c>
      <c r="X75" s="106">
        <f t="shared" si="13"/>
        <v>0</v>
      </c>
      <c r="Y75" s="106">
        <f t="shared" si="13"/>
        <v>0</v>
      </c>
      <c r="Z75" s="106">
        <f t="shared" si="13"/>
        <v>0</v>
      </c>
      <c r="AA75" s="106">
        <f t="shared" si="13"/>
        <v>0</v>
      </c>
    </row>
    <row r="76" spans="1:27" x14ac:dyDescent="0.25">
      <c r="G76" s="106"/>
      <c r="H76" s="106"/>
      <c r="I76" s="106"/>
      <c r="J76" s="106"/>
      <c r="K76" s="106"/>
      <c r="L76" s="106"/>
      <c r="M76" s="106"/>
      <c r="N76" s="106"/>
      <c r="O76" s="106"/>
      <c r="P76" s="106"/>
      <c r="Q76" s="106"/>
      <c r="R76" s="106"/>
      <c r="S76" s="106"/>
      <c r="T76" s="106"/>
      <c r="U76" s="106"/>
      <c r="V76" s="106"/>
      <c r="W76" s="106"/>
      <c r="X76" s="106"/>
      <c r="Y76" s="106"/>
      <c r="Z76" s="106"/>
      <c r="AA76" s="106"/>
    </row>
    <row r="77" spans="1:27" x14ac:dyDescent="0.25">
      <c r="D77" s="47" t="s">
        <v>648</v>
      </c>
      <c r="G77" s="106"/>
      <c r="H77" s="106"/>
      <c r="I77" s="106"/>
      <c r="J77" s="106"/>
      <c r="K77" s="106"/>
      <c r="L77" s="106"/>
      <c r="M77" s="106"/>
      <c r="N77" s="106"/>
      <c r="O77" s="106"/>
      <c r="P77" s="106"/>
      <c r="Q77" s="106"/>
    </row>
    <row r="78" spans="1:27" x14ac:dyDescent="0.25">
      <c r="E78" s="106" t="str">
        <f>E71</f>
        <v>Pipes / Storage</v>
      </c>
      <c r="F78" s="47" t="s">
        <v>639</v>
      </c>
      <c r="G78" s="106">
        <f t="shared" ref="G78:AA80" si="14">G71/$G7+IF((G$2-$G7+1)&gt;0,-INDEX($G71:$AP71,1,(G$2-$G7+1))/$G7,0)</f>
        <v>0</v>
      </c>
      <c r="H78" s="106">
        <f t="shared" si="14"/>
        <v>0</v>
      </c>
      <c r="I78" s="106">
        <f t="shared" si="14"/>
        <v>0</v>
      </c>
      <c r="J78" s="106">
        <f t="shared" si="14"/>
        <v>0</v>
      </c>
      <c r="K78" s="106">
        <f t="shared" si="14"/>
        <v>0</v>
      </c>
      <c r="L78" s="106">
        <f t="shared" si="14"/>
        <v>0</v>
      </c>
      <c r="M78" s="106">
        <f t="shared" si="14"/>
        <v>0</v>
      </c>
      <c r="N78" s="106">
        <f t="shared" si="14"/>
        <v>0</v>
      </c>
      <c r="O78" s="106">
        <f t="shared" si="14"/>
        <v>0</v>
      </c>
      <c r="P78" s="106">
        <f t="shared" si="14"/>
        <v>0</v>
      </c>
      <c r="Q78" s="106">
        <f t="shared" si="14"/>
        <v>0</v>
      </c>
      <c r="R78" s="106">
        <f t="shared" si="14"/>
        <v>0</v>
      </c>
      <c r="S78" s="106">
        <f t="shared" si="14"/>
        <v>0</v>
      </c>
      <c r="T78" s="106">
        <f t="shared" si="14"/>
        <v>0</v>
      </c>
      <c r="U78" s="106">
        <f t="shared" si="14"/>
        <v>0</v>
      </c>
      <c r="V78" s="106">
        <f t="shared" si="14"/>
        <v>0</v>
      </c>
      <c r="W78" s="106">
        <f t="shared" si="14"/>
        <v>0</v>
      </c>
      <c r="X78" s="106">
        <f t="shared" si="14"/>
        <v>0</v>
      </c>
      <c r="Y78" s="106">
        <f t="shared" si="14"/>
        <v>0</v>
      </c>
      <c r="Z78" s="106">
        <f t="shared" si="14"/>
        <v>0</v>
      </c>
      <c r="AA78" s="106">
        <f t="shared" si="14"/>
        <v>0</v>
      </c>
    </row>
    <row r="79" spans="1:27" x14ac:dyDescent="0.25">
      <c r="E79" s="106" t="str">
        <f t="shared" ref="E79:E80" si="15">E72</f>
        <v>Pumps / Valves</v>
      </c>
      <c r="F79" s="47" t="s">
        <v>639</v>
      </c>
      <c r="G79" s="106">
        <f t="shared" si="14"/>
        <v>0</v>
      </c>
      <c r="H79" s="106">
        <f t="shared" si="14"/>
        <v>0</v>
      </c>
      <c r="I79" s="106">
        <f t="shared" si="14"/>
        <v>0</v>
      </c>
      <c r="J79" s="106">
        <f t="shared" si="14"/>
        <v>0</v>
      </c>
      <c r="K79" s="106">
        <f t="shared" si="14"/>
        <v>0</v>
      </c>
      <c r="L79" s="106">
        <f t="shared" si="14"/>
        <v>0</v>
      </c>
      <c r="M79" s="106">
        <f t="shared" si="14"/>
        <v>0</v>
      </c>
      <c r="N79" s="106">
        <f t="shared" si="14"/>
        <v>0</v>
      </c>
      <c r="O79" s="106">
        <f t="shared" si="14"/>
        <v>0</v>
      </c>
      <c r="P79" s="106">
        <f t="shared" si="14"/>
        <v>0</v>
      </c>
      <c r="Q79" s="106">
        <f t="shared" si="14"/>
        <v>0</v>
      </c>
      <c r="R79" s="106">
        <f t="shared" si="14"/>
        <v>0</v>
      </c>
      <c r="S79" s="106">
        <f t="shared" si="14"/>
        <v>0</v>
      </c>
      <c r="T79" s="106">
        <f t="shared" si="14"/>
        <v>0</v>
      </c>
      <c r="U79" s="106">
        <f t="shared" si="14"/>
        <v>0</v>
      </c>
      <c r="V79" s="106">
        <f t="shared" si="14"/>
        <v>0</v>
      </c>
      <c r="W79" s="106">
        <f t="shared" si="14"/>
        <v>0</v>
      </c>
      <c r="X79" s="106">
        <f t="shared" si="14"/>
        <v>0</v>
      </c>
      <c r="Y79" s="106">
        <f t="shared" si="14"/>
        <v>0</v>
      </c>
      <c r="Z79" s="106">
        <f t="shared" si="14"/>
        <v>0</v>
      </c>
      <c r="AA79" s="106">
        <f t="shared" si="14"/>
        <v>0</v>
      </c>
    </row>
    <row r="80" spans="1:27" x14ac:dyDescent="0.25">
      <c r="E80" s="106" t="str">
        <f t="shared" si="15"/>
        <v>Treatment</v>
      </c>
      <c r="F80" s="47" t="s">
        <v>639</v>
      </c>
      <c r="G80" s="106">
        <f t="shared" si="14"/>
        <v>0</v>
      </c>
      <c r="H80" s="106">
        <f t="shared" si="14"/>
        <v>0</v>
      </c>
      <c r="I80" s="106">
        <f t="shared" si="14"/>
        <v>0</v>
      </c>
      <c r="J80" s="106">
        <f t="shared" si="14"/>
        <v>0</v>
      </c>
      <c r="K80" s="106">
        <f t="shared" si="14"/>
        <v>0</v>
      </c>
      <c r="L80" s="106">
        <f t="shared" si="14"/>
        <v>0</v>
      </c>
      <c r="M80" s="106">
        <f t="shared" si="14"/>
        <v>0</v>
      </c>
      <c r="N80" s="106">
        <f t="shared" si="14"/>
        <v>0</v>
      </c>
      <c r="O80" s="106">
        <f t="shared" si="14"/>
        <v>0</v>
      </c>
      <c r="P80" s="106">
        <f t="shared" si="14"/>
        <v>0</v>
      </c>
      <c r="Q80" s="106">
        <f t="shared" si="14"/>
        <v>0</v>
      </c>
      <c r="R80" s="106">
        <f t="shared" si="14"/>
        <v>0</v>
      </c>
      <c r="S80" s="106">
        <f t="shared" si="14"/>
        <v>0</v>
      </c>
      <c r="T80" s="106">
        <f t="shared" si="14"/>
        <v>0</v>
      </c>
      <c r="U80" s="106">
        <f t="shared" si="14"/>
        <v>0</v>
      </c>
      <c r="V80" s="106">
        <f t="shared" si="14"/>
        <v>0</v>
      </c>
      <c r="W80" s="106">
        <f t="shared" si="14"/>
        <v>0</v>
      </c>
      <c r="X80" s="106">
        <f t="shared" si="14"/>
        <v>0</v>
      </c>
      <c r="Y80" s="106">
        <f t="shared" si="14"/>
        <v>0</v>
      </c>
      <c r="Z80" s="106">
        <f t="shared" si="14"/>
        <v>0</v>
      </c>
      <c r="AA80" s="106">
        <f t="shared" si="14"/>
        <v>0</v>
      </c>
    </row>
    <row r="82" spans="1:27" x14ac:dyDescent="0.25">
      <c r="D82" s="47" t="s">
        <v>649</v>
      </c>
      <c r="F82" s="47" t="s">
        <v>639</v>
      </c>
      <c r="G82" s="106">
        <f>SUM($G$77:G80)</f>
        <v>0</v>
      </c>
      <c r="H82" s="106">
        <f>SUM($G$77:H80)</f>
        <v>0</v>
      </c>
      <c r="I82" s="106">
        <f>SUM($G$77:I80)</f>
        <v>0</v>
      </c>
      <c r="J82" s="106">
        <f>SUM($G$77:J80)</f>
        <v>0</v>
      </c>
      <c r="K82" s="106">
        <f>SUM($G$77:K80)</f>
        <v>0</v>
      </c>
      <c r="L82" s="106">
        <f>SUM($G$77:L80)</f>
        <v>0</v>
      </c>
      <c r="M82" s="106">
        <f>SUM($G$77:M80)</f>
        <v>0</v>
      </c>
      <c r="N82" s="106">
        <f>SUM($G$77:N80)</f>
        <v>0</v>
      </c>
      <c r="O82" s="106">
        <f>SUM($G$77:O80)</f>
        <v>0</v>
      </c>
      <c r="P82" s="106">
        <f>SUM($G$77:P80)</f>
        <v>0</v>
      </c>
      <c r="Q82" s="106">
        <f>SUM($G$77:Q80)</f>
        <v>0</v>
      </c>
      <c r="R82" s="106">
        <f>SUM($G$77:R80)</f>
        <v>0</v>
      </c>
      <c r="S82" s="106">
        <f>SUM($G$77:S80)</f>
        <v>0</v>
      </c>
      <c r="T82" s="106">
        <f>SUM($G$77:T80)</f>
        <v>0</v>
      </c>
      <c r="U82" s="106">
        <f>SUM($G$77:U80)</f>
        <v>0</v>
      </c>
      <c r="V82" s="106">
        <f>SUM($G$77:V80)</f>
        <v>0</v>
      </c>
      <c r="W82" s="106">
        <f>SUM($G$77:W80)</f>
        <v>0</v>
      </c>
      <c r="X82" s="106">
        <f>SUM($G$77:X80)</f>
        <v>0</v>
      </c>
      <c r="Y82" s="106">
        <f>SUM($G$77:Y80)</f>
        <v>0</v>
      </c>
      <c r="Z82" s="106">
        <f>SUM($G$77:Z80)</f>
        <v>0</v>
      </c>
      <c r="AA82" s="106">
        <f>SUM($G$77:AA80)</f>
        <v>0</v>
      </c>
    </row>
    <row r="83" spans="1:27" x14ac:dyDescent="0.25">
      <c r="G83" s="106"/>
      <c r="H83" s="106"/>
      <c r="I83" s="106"/>
      <c r="J83" s="106"/>
      <c r="K83" s="106"/>
      <c r="L83" s="106"/>
      <c r="M83" s="106"/>
      <c r="N83" s="106"/>
      <c r="O83" s="106"/>
      <c r="P83" s="106"/>
      <c r="Q83" s="106"/>
      <c r="R83" s="106"/>
      <c r="S83" s="106"/>
      <c r="T83" s="106"/>
      <c r="U83" s="106"/>
      <c r="V83" s="106"/>
      <c r="W83" s="106"/>
      <c r="X83" s="106"/>
      <c r="Y83" s="106"/>
      <c r="Z83" s="106"/>
      <c r="AA83" s="106"/>
    </row>
    <row r="84" spans="1:27" x14ac:dyDescent="0.25">
      <c r="D84" s="47" t="s">
        <v>651</v>
      </c>
      <c r="F84" s="47" t="s">
        <v>639</v>
      </c>
      <c r="G84" s="106">
        <f t="shared" ref="G84:AA84" si="16">G61-G75</f>
        <v>0</v>
      </c>
      <c r="H84" s="106">
        <f t="shared" si="16"/>
        <v>0</v>
      </c>
      <c r="I84" s="106">
        <f t="shared" si="16"/>
        <v>0</v>
      </c>
      <c r="J84" s="106">
        <f t="shared" si="16"/>
        <v>0</v>
      </c>
      <c r="K84" s="106">
        <f t="shared" si="16"/>
        <v>0</v>
      </c>
      <c r="L84" s="106">
        <f t="shared" si="16"/>
        <v>0</v>
      </c>
      <c r="M84" s="106">
        <f t="shared" si="16"/>
        <v>0</v>
      </c>
      <c r="N84" s="106">
        <f t="shared" si="16"/>
        <v>0</v>
      </c>
      <c r="O84" s="106">
        <f t="shared" si="16"/>
        <v>0</v>
      </c>
      <c r="P84" s="106">
        <f t="shared" si="16"/>
        <v>0</v>
      </c>
      <c r="Q84" s="106">
        <f t="shared" si="16"/>
        <v>0</v>
      </c>
      <c r="R84" s="106">
        <f t="shared" si="16"/>
        <v>0</v>
      </c>
      <c r="S84" s="106">
        <f t="shared" si="16"/>
        <v>0</v>
      </c>
      <c r="T84" s="106">
        <f t="shared" si="16"/>
        <v>0</v>
      </c>
      <c r="U84" s="106">
        <f t="shared" si="16"/>
        <v>0</v>
      </c>
      <c r="V84" s="106">
        <f t="shared" si="16"/>
        <v>0</v>
      </c>
      <c r="W84" s="106">
        <f t="shared" si="16"/>
        <v>0</v>
      </c>
      <c r="X84" s="106">
        <f t="shared" si="16"/>
        <v>0</v>
      </c>
      <c r="Y84" s="106">
        <f t="shared" si="16"/>
        <v>0</v>
      </c>
      <c r="Z84" s="106">
        <f t="shared" si="16"/>
        <v>0</v>
      </c>
      <c r="AA84" s="106">
        <f t="shared" si="16"/>
        <v>0</v>
      </c>
    </row>
    <row r="85" spans="1:27" x14ac:dyDescent="0.25">
      <c r="D85" s="47" t="s">
        <v>652</v>
      </c>
      <c r="F85" s="47" t="s">
        <v>639</v>
      </c>
      <c r="G85" s="106">
        <f t="shared" ref="G85:AA85" si="17">-G68+G82</f>
        <v>0</v>
      </c>
      <c r="H85" s="106">
        <f t="shared" si="17"/>
        <v>0</v>
      </c>
      <c r="I85" s="106">
        <f t="shared" si="17"/>
        <v>0</v>
      </c>
      <c r="J85" s="106">
        <f t="shared" si="17"/>
        <v>0</v>
      </c>
      <c r="K85" s="106">
        <f t="shared" si="17"/>
        <v>0</v>
      </c>
      <c r="L85" s="106">
        <f t="shared" si="17"/>
        <v>0</v>
      </c>
      <c r="M85" s="106">
        <f t="shared" si="17"/>
        <v>0</v>
      </c>
      <c r="N85" s="106">
        <f t="shared" si="17"/>
        <v>0</v>
      </c>
      <c r="O85" s="106">
        <f t="shared" si="17"/>
        <v>0</v>
      </c>
      <c r="P85" s="106">
        <f t="shared" si="17"/>
        <v>0</v>
      </c>
      <c r="Q85" s="106">
        <f t="shared" si="17"/>
        <v>0</v>
      </c>
      <c r="R85" s="106">
        <f t="shared" si="17"/>
        <v>0</v>
      </c>
      <c r="S85" s="106">
        <f t="shared" si="17"/>
        <v>0</v>
      </c>
      <c r="T85" s="106">
        <f t="shared" si="17"/>
        <v>0</v>
      </c>
      <c r="U85" s="106">
        <f t="shared" si="17"/>
        <v>0</v>
      </c>
      <c r="V85" s="106">
        <f t="shared" si="17"/>
        <v>0</v>
      </c>
      <c r="W85" s="106">
        <f t="shared" si="17"/>
        <v>0</v>
      </c>
      <c r="X85" s="106">
        <f t="shared" si="17"/>
        <v>0</v>
      </c>
      <c r="Y85" s="106">
        <f t="shared" si="17"/>
        <v>0</v>
      </c>
      <c r="Z85" s="106">
        <f t="shared" si="17"/>
        <v>0</v>
      </c>
      <c r="AA85" s="106">
        <f t="shared" si="17"/>
        <v>0</v>
      </c>
    </row>
    <row r="87" spans="1:27" x14ac:dyDescent="0.25">
      <c r="C87" s="100" t="str">
        <f>"Incremental "&amp;G4&amp;" Service Revenue"</f>
        <v>Incremental Recycled Service Revenue</v>
      </c>
      <c r="D87" s="100"/>
    </row>
    <row r="88" spans="1:27" x14ac:dyDescent="0.25">
      <c r="C88" s="100"/>
      <c r="D88" s="100"/>
    </row>
    <row r="89" spans="1:27" x14ac:dyDescent="0.25">
      <c r="C89" s="100"/>
      <c r="D89" s="47" t="s">
        <v>653</v>
      </c>
    </row>
    <row r="90" spans="1:27" x14ac:dyDescent="0.25">
      <c r="A90" s="101">
        <v>15</v>
      </c>
      <c r="B90" s="107" t="s">
        <v>262</v>
      </c>
      <c r="C90" s="47" t="s">
        <v>405</v>
      </c>
      <c r="D90" s="100" t="str">
        <f>$G$4</f>
        <v>Recycled</v>
      </c>
      <c r="E90" s="47" t="s">
        <v>654</v>
      </c>
      <c r="F90" s="47" t="s">
        <v>655</v>
      </c>
      <c r="H90" s="102">
        <f>IF($G$4="Water and sewer",SUMIFS('INPUT Growth'!AD$64:AD$115,'INPUT Growth'!$B$64:$B$115,$A$1,'INPUT Growth'!$F$64:$F$115,$B90,'INPUT Growth'!$E$64:$E$115,$C90),SUMIFS('INPUT Growth'!AD$64:AD$115,'INPUT Growth'!$A$64:$A$115,$A$1,'INPUT Growth'!$F$64:$F$115,$B90,'INPUT Growth'!$E$64:$E$115,$C90))</f>
        <v>0</v>
      </c>
      <c r="I90" s="102">
        <f>IF($G$4="Water and sewer",SUMIFS('INPUT Growth'!AE$64:AE$115,'INPUT Growth'!$B$64:$B$115,$A$1,'INPUT Growth'!$F$64:$F$115,$B90,'INPUT Growth'!$E$64:$E$115,$C90),SUMIFS('INPUT Growth'!AE$64:AE$115,'INPUT Growth'!$A$64:$A$115,$A$1,'INPUT Growth'!$F$64:$F$115,$B90,'INPUT Growth'!$E$64:$E$115,$C90))</f>
        <v>0</v>
      </c>
      <c r="J90" s="102">
        <f>IF($G$4="Water and sewer",SUMIFS('INPUT Growth'!AF$64:AF$115,'INPUT Growth'!$B$64:$B$115,$A$1,'INPUT Growth'!$F$64:$F$115,$B90,'INPUT Growth'!$E$64:$E$115,$C90),SUMIFS('INPUT Growth'!AF$64:AF$115,'INPUT Growth'!$A$64:$A$115,$A$1,'INPUT Growth'!$F$64:$F$115,$B90,'INPUT Growth'!$E$64:$E$115,$C90))</f>
        <v>0</v>
      </c>
      <c r="K90" s="102">
        <f>IF($G$4="Water and sewer",SUMIFS('INPUT Growth'!AG$64:AG$115,'INPUT Growth'!$B$64:$B$115,$A$1,'INPUT Growth'!$F$64:$F$115,$B90,'INPUT Growth'!$E$64:$E$115,$C90),SUMIFS('INPUT Growth'!AG$64:AG$115,'INPUT Growth'!$A$64:$A$115,$A$1,'INPUT Growth'!$F$64:$F$115,$B90,'INPUT Growth'!$E$64:$E$115,$C90))</f>
        <v>0</v>
      </c>
      <c r="L90" s="102">
        <f>IF($G$4="Water and sewer",SUMIFS('INPUT Growth'!AH$64:AH$115,'INPUT Growth'!$B$64:$B$115,$A$1,'INPUT Growth'!$F$64:$F$115,$B90,'INPUT Growth'!$E$64:$E$115,$C90),SUMIFS('INPUT Growth'!AH$64:AH$115,'INPUT Growth'!$A$64:$A$115,$A$1,'INPUT Growth'!$F$64:$F$115,$B90,'INPUT Growth'!$E$64:$E$115,$C90))</f>
        <v>0</v>
      </c>
      <c r="M90" s="102">
        <f>IF($G$4="Water and sewer",SUMIFS('INPUT Growth'!AI$64:AI$115,'INPUT Growth'!$B$64:$B$115,$A$1,'INPUT Growth'!$F$64:$F$115,$B90,'INPUT Growth'!$E$64:$E$115,$C90),SUMIFS('INPUT Growth'!AI$64:AI$115,'INPUT Growth'!$A$64:$A$115,$A$1,'INPUT Growth'!$F$64:$F$115,$B90,'INPUT Growth'!$E$64:$E$115,$C90))</f>
        <v>0</v>
      </c>
      <c r="N90" s="102">
        <f>IF($G$4="Water and sewer",SUMIFS('INPUT Growth'!AJ$64:AJ$115,'INPUT Growth'!$B$64:$B$115,$A$1,'INPUT Growth'!$F$64:$F$115,$B90,'INPUT Growth'!$E$64:$E$115,$C90),SUMIFS('INPUT Growth'!AJ$64:AJ$115,'INPUT Growth'!$A$64:$A$115,$A$1,'INPUT Growth'!$F$64:$F$115,$B90,'INPUT Growth'!$E$64:$E$115,$C90))</f>
        <v>0</v>
      </c>
      <c r="O90" s="102">
        <f>IF($G$4="Water and sewer",SUMIFS('INPUT Growth'!AK$64:AK$115,'INPUT Growth'!$B$64:$B$115,$A$1,'INPUT Growth'!$F$64:$F$115,$B90,'INPUT Growth'!$E$64:$E$115,$C90),SUMIFS('INPUT Growth'!AK$64:AK$115,'INPUT Growth'!$A$64:$A$115,$A$1,'INPUT Growth'!$F$64:$F$115,$B90,'INPUT Growth'!$E$64:$E$115,$C90))</f>
        <v>0</v>
      </c>
      <c r="P90" s="102">
        <f>IF($G$4="Water and sewer",SUMIFS('INPUT Growth'!AL$64:AL$115,'INPUT Growth'!$B$64:$B$115,$A$1,'INPUT Growth'!$F$64:$F$115,$B90,'INPUT Growth'!$E$64:$E$115,$C90),SUMIFS('INPUT Growth'!AL$64:AL$115,'INPUT Growth'!$A$64:$A$115,$A$1,'INPUT Growth'!$F$64:$F$115,$B90,'INPUT Growth'!$E$64:$E$115,$C90))</f>
        <v>0</v>
      </c>
      <c r="Q90" s="102">
        <f>IF($G$4="Water and sewer",SUMIFS('INPUT Growth'!AM$64:AM$115,'INPUT Growth'!$B$64:$B$115,$A$1,'INPUT Growth'!$F$64:$F$115,$B90,'INPUT Growth'!$E$64:$E$115,$C90),SUMIFS('INPUT Growth'!AM$64:AM$115,'INPUT Growth'!$A$64:$A$115,$A$1,'INPUT Growth'!$F$64:$F$115,$B90,'INPUT Growth'!$E$64:$E$115,$C90))</f>
        <v>0</v>
      </c>
      <c r="R90" s="102">
        <f>IF($G$4="Water and sewer",SUMIFS('INPUT Growth'!AN$64:AN$115,'INPUT Growth'!$B$64:$B$115,$A$1,'INPUT Growth'!$F$64:$F$115,$B90,'INPUT Growth'!$E$64:$E$115,$C90),SUMIFS('INPUT Growth'!AN$64:AN$115,'INPUT Growth'!$A$64:$A$115,$A$1,'INPUT Growth'!$F$64:$F$115,$B90,'INPUT Growth'!$E$64:$E$115,$C90))</f>
        <v>0</v>
      </c>
      <c r="S90" s="102">
        <f>IF($G$4="Water and sewer",SUMIFS('INPUT Growth'!AO$64:AO$115,'INPUT Growth'!$B$64:$B$115,$A$1,'INPUT Growth'!$F$64:$F$115,$B90,'INPUT Growth'!$E$64:$E$115,$C90),SUMIFS('INPUT Growth'!AO$64:AO$115,'INPUT Growth'!$A$64:$A$115,$A$1,'INPUT Growth'!$F$64:$F$115,$B90,'INPUT Growth'!$E$64:$E$115,$C90))</f>
        <v>0</v>
      </c>
      <c r="T90" s="102">
        <f>IF($G$4="Water and sewer",SUMIFS('INPUT Growth'!AP$64:AP$115,'INPUT Growth'!$B$64:$B$115,$A$1,'INPUT Growth'!$F$64:$F$115,$B90,'INPUT Growth'!$E$64:$E$115,$C90),SUMIFS('INPUT Growth'!AP$64:AP$115,'INPUT Growth'!$A$64:$A$115,$A$1,'INPUT Growth'!$F$64:$F$115,$B90,'INPUT Growth'!$E$64:$E$115,$C90))</f>
        <v>0</v>
      </c>
      <c r="U90" s="102">
        <f>IF($G$4="Water and sewer",SUMIFS('INPUT Growth'!AQ$64:AQ$115,'INPUT Growth'!$B$64:$B$115,$A$1,'INPUT Growth'!$F$64:$F$115,$B90,'INPUT Growth'!$E$64:$E$115,$C90),SUMIFS('INPUT Growth'!AQ$64:AQ$115,'INPUT Growth'!$A$64:$A$115,$A$1,'INPUT Growth'!$F$64:$F$115,$B90,'INPUT Growth'!$E$64:$E$115,$C90))</f>
        <v>0</v>
      </c>
      <c r="V90" s="102">
        <f>IF($G$4="Water and sewer",SUMIFS('INPUT Growth'!AR$64:AR$115,'INPUT Growth'!$B$64:$B$115,$A$1,'INPUT Growth'!$F$64:$F$115,$B90,'INPUT Growth'!$E$64:$E$115,$C90),SUMIFS('INPUT Growth'!AR$64:AR$115,'INPUT Growth'!$A$64:$A$115,$A$1,'INPUT Growth'!$F$64:$F$115,$B90,'INPUT Growth'!$E$64:$E$115,$C90))</f>
        <v>0</v>
      </c>
      <c r="W90" s="102">
        <f>IF($G$4="Water and sewer",SUMIFS('INPUT Growth'!AS$64:AS$115,'INPUT Growth'!$B$64:$B$115,$A$1,'INPUT Growth'!$F$64:$F$115,$B90,'INPUT Growth'!$E$64:$E$115,$C90),SUMIFS('INPUT Growth'!AS$64:AS$115,'INPUT Growth'!$A$64:$A$115,$A$1,'INPUT Growth'!$F$64:$F$115,$B90,'INPUT Growth'!$E$64:$E$115,$C90))</f>
        <v>0</v>
      </c>
      <c r="X90" s="102">
        <f>IF($G$4="Water and sewer",SUMIFS('INPUT Growth'!AT$64:AT$115,'INPUT Growth'!$B$64:$B$115,$A$1,'INPUT Growth'!$F$64:$F$115,$B90,'INPUT Growth'!$E$64:$E$115,$C90),SUMIFS('INPUT Growth'!AT$64:AT$115,'INPUT Growth'!$A$64:$A$115,$A$1,'INPUT Growth'!$F$64:$F$115,$B90,'INPUT Growth'!$E$64:$E$115,$C90))</f>
        <v>0</v>
      </c>
      <c r="Y90" s="102">
        <f>IF($G$4="Water and sewer",SUMIFS('INPUT Growth'!AU$64:AU$115,'INPUT Growth'!$B$64:$B$115,$A$1,'INPUT Growth'!$F$64:$F$115,$B90,'INPUT Growth'!$E$64:$E$115,$C90),SUMIFS('INPUT Growth'!AU$64:AU$115,'INPUT Growth'!$A$64:$A$115,$A$1,'INPUT Growth'!$F$64:$F$115,$B90,'INPUT Growth'!$E$64:$E$115,$C90))</f>
        <v>0</v>
      </c>
      <c r="Z90" s="102">
        <f>IF($G$4="Water and sewer",SUMIFS('INPUT Growth'!AV$64:AV$115,'INPUT Growth'!$B$64:$B$115,$A$1,'INPUT Growth'!$F$64:$F$115,$B90,'INPUT Growth'!$E$64:$E$115,$C90),SUMIFS('INPUT Growth'!AV$64:AV$115,'INPUT Growth'!$A$64:$A$115,$A$1,'INPUT Growth'!$F$64:$F$115,$B90,'INPUT Growth'!$E$64:$E$115,$C90))</f>
        <v>0</v>
      </c>
      <c r="AA90" s="102">
        <f>IF($G$4="Water and sewer",SUMIFS('INPUT Growth'!AW$64:AW$115,'INPUT Growth'!$B$64:$B$115,$A$1,'INPUT Growth'!$F$64:$F$115,$B90,'INPUT Growth'!$E$64:$E$115,$C90),SUMIFS('INPUT Growth'!AW$64:AW$115,'INPUT Growth'!$A$64:$A$115,$A$1,'INPUT Growth'!$F$64:$F$115,$B90,'INPUT Growth'!$E$64:$E$115,$C90))</f>
        <v>0</v>
      </c>
    </row>
    <row r="91" spans="1:27" x14ac:dyDescent="0.25">
      <c r="C91" s="100"/>
      <c r="D91" s="100"/>
      <c r="E91" s="47" t="s">
        <v>656</v>
      </c>
      <c r="F91" s="47" t="s">
        <v>655</v>
      </c>
      <c r="H91" s="106">
        <f>G91+H90</f>
        <v>0</v>
      </c>
      <c r="I91" s="106">
        <f t="shared" ref="I91:AA91" si="18">H91+I90</f>
        <v>0</v>
      </c>
      <c r="J91" s="106">
        <f t="shared" si="18"/>
        <v>0</v>
      </c>
      <c r="K91" s="106">
        <f t="shared" si="18"/>
        <v>0</v>
      </c>
      <c r="L91" s="106">
        <f t="shared" si="18"/>
        <v>0</v>
      </c>
      <c r="M91" s="106">
        <f t="shared" si="18"/>
        <v>0</v>
      </c>
      <c r="N91" s="106">
        <f t="shared" si="18"/>
        <v>0</v>
      </c>
      <c r="O91" s="106">
        <f t="shared" si="18"/>
        <v>0</v>
      </c>
      <c r="P91" s="106">
        <f t="shared" si="18"/>
        <v>0</v>
      </c>
      <c r="Q91" s="106">
        <f t="shared" si="18"/>
        <v>0</v>
      </c>
      <c r="R91" s="106">
        <f t="shared" si="18"/>
        <v>0</v>
      </c>
      <c r="S91" s="106">
        <f t="shared" si="18"/>
        <v>0</v>
      </c>
      <c r="T91" s="106">
        <f t="shared" si="18"/>
        <v>0</v>
      </c>
      <c r="U91" s="106">
        <f t="shared" si="18"/>
        <v>0</v>
      </c>
      <c r="V91" s="106">
        <f t="shared" si="18"/>
        <v>0</v>
      </c>
      <c r="W91" s="106">
        <f t="shared" si="18"/>
        <v>0</v>
      </c>
      <c r="X91" s="106">
        <f t="shared" si="18"/>
        <v>0</v>
      </c>
      <c r="Y91" s="106">
        <f t="shared" si="18"/>
        <v>0</v>
      </c>
      <c r="Z91" s="106">
        <f t="shared" si="18"/>
        <v>0</v>
      </c>
      <c r="AA91" s="106">
        <f t="shared" si="18"/>
        <v>0</v>
      </c>
    </row>
    <row r="92" spans="1:27" x14ac:dyDescent="0.25">
      <c r="A92" s="101">
        <v>16</v>
      </c>
      <c r="C92" s="100"/>
      <c r="D92" s="100"/>
      <c r="E92" s="47" t="s">
        <v>657</v>
      </c>
      <c r="F92" s="47" t="s">
        <v>655</v>
      </c>
      <c r="G92" s="102">
        <v>1</v>
      </c>
    </row>
    <row r="93" spans="1:27" x14ac:dyDescent="0.25">
      <c r="C93" s="100"/>
      <c r="D93" s="100"/>
      <c r="E93" s="47" t="s">
        <v>658</v>
      </c>
      <c r="F93" s="47" t="s">
        <v>655</v>
      </c>
      <c r="H93" s="47">
        <f>H90*$G92</f>
        <v>0</v>
      </c>
      <c r="I93" s="47">
        <f t="shared" ref="I93:AA93" si="19">I90*$G92</f>
        <v>0</v>
      </c>
      <c r="J93" s="47">
        <f t="shared" si="19"/>
        <v>0</v>
      </c>
      <c r="K93" s="47">
        <f t="shared" si="19"/>
        <v>0</v>
      </c>
      <c r="L93" s="47">
        <f t="shared" si="19"/>
        <v>0</v>
      </c>
      <c r="M93" s="47">
        <f t="shared" si="19"/>
        <v>0</v>
      </c>
      <c r="N93" s="47">
        <f t="shared" si="19"/>
        <v>0</v>
      </c>
      <c r="O93" s="47">
        <f t="shared" si="19"/>
        <v>0</v>
      </c>
      <c r="P93" s="47">
        <f t="shared" si="19"/>
        <v>0</v>
      </c>
      <c r="Q93" s="47">
        <f t="shared" si="19"/>
        <v>0</v>
      </c>
      <c r="R93" s="47">
        <f t="shared" si="19"/>
        <v>0</v>
      </c>
      <c r="S93" s="47">
        <f t="shared" si="19"/>
        <v>0</v>
      </c>
      <c r="T93" s="47">
        <f t="shared" si="19"/>
        <v>0</v>
      </c>
      <c r="U93" s="47">
        <f t="shared" si="19"/>
        <v>0</v>
      </c>
      <c r="V93" s="47">
        <f t="shared" si="19"/>
        <v>0</v>
      </c>
      <c r="W93" s="47">
        <f t="shared" si="19"/>
        <v>0</v>
      </c>
      <c r="X93" s="47">
        <f t="shared" si="19"/>
        <v>0</v>
      </c>
      <c r="Y93" s="47">
        <f t="shared" si="19"/>
        <v>0</v>
      </c>
      <c r="Z93" s="47">
        <f t="shared" si="19"/>
        <v>0</v>
      </c>
      <c r="AA93" s="47">
        <f t="shared" si="19"/>
        <v>0</v>
      </c>
    </row>
    <row r="94" spans="1:27" x14ac:dyDescent="0.25">
      <c r="C94" s="100"/>
      <c r="D94" s="100"/>
      <c r="E94" s="47" t="s">
        <v>659</v>
      </c>
      <c r="F94" s="47" t="s">
        <v>655</v>
      </c>
      <c r="H94" s="47">
        <f>H91*$G92</f>
        <v>0</v>
      </c>
      <c r="I94" s="47">
        <f t="shared" ref="I94:AA94" si="20">I91*$G92</f>
        <v>0</v>
      </c>
      <c r="J94" s="47">
        <f t="shared" si="20"/>
        <v>0</v>
      </c>
      <c r="K94" s="47">
        <f t="shared" si="20"/>
        <v>0</v>
      </c>
      <c r="L94" s="47">
        <f t="shared" si="20"/>
        <v>0</v>
      </c>
      <c r="M94" s="47">
        <f t="shared" si="20"/>
        <v>0</v>
      </c>
      <c r="N94" s="47">
        <f t="shared" si="20"/>
        <v>0</v>
      </c>
      <c r="O94" s="47">
        <f t="shared" si="20"/>
        <v>0</v>
      </c>
      <c r="P94" s="47">
        <f t="shared" si="20"/>
        <v>0</v>
      </c>
      <c r="Q94" s="47">
        <f t="shared" si="20"/>
        <v>0</v>
      </c>
      <c r="R94" s="47">
        <f t="shared" si="20"/>
        <v>0</v>
      </c>
      <c r="S94" s="47">
        <f t="shared" si="20"/>
        <v>0</v>
      </c>
      <c r="T94" s="47">
        <f t="shared" si="20"/>
        <v>0</v>
      </c>
      <c r="U94" s="47">
        <f t="shared" si="20"/>
        <v>0</v>
      </c>
      <c r="V94" s="47">
        <f t="shared" si="20"/>
        <v>0</v>
      </c>
      <c r="W94" s="47">
        <f t="shared" si="20"/>
        <v>0</v>
      </c>
      <c r="X94" s="47">
        <f t="shared" si="20"/>
        <v>0</v>
      </c>
      <c r="Y94" s="47">
        <f t="shared" si="20"/>
        <v>0</v>
      </c>
      <c r="Z94" s="47">
        <f t="shared" si="20"/>
        <v>0</v>
      </c>
      <c r="AA94" s="47">
        <f t="shared" si="20"/>
        <v>0</v>
      </c>
    </row>
    <row r="95" spans="1:27" x14ac:dyDescent="0.25">
      <c r="A95" s="101">
        <v>17</v>
      </c>
      <c r="B95" s="47" t="str">
        <f>B90</f>
        <v>Central</v>
      </c>
      <c r="C95" s="47" t="str">
        <f>C90</f>
        <v>R</v>
      </c>
      <c r="D95" s="47" t="str">
        <f>D90</f>
        <v>Recycled</v>
      </c>
      <c r="E95" s="47" t="s">
        <v>660</v>
      </c>
      <c r="F95" s="47" t="s">
        <v>661</v>
      </c>
      <c r="H95" s="102">
        <f>IF(OR($D95=W,$D95=WS),'INPUT Reg'!AD113,IF($D95=RW,'INPUT Reg'!AD117,0))</f>
        <v>63.518788754833842</v>
      </c>
      <c r="I95" s="102">
        <f>IF(OR($D95=W,$D95=WS),'INPUT Reg'!AE113,IF($D95=RW,'INPUT Reg'!AE117,0))</f>
        <v>63.315334289132622</v>
      </c>
      <c r="J95" s="102">
        <f>IF(OR($D95=W,$D95=WS),'INPUT Reg'!AF113,IF($D95=RW,'INPUT Reg'!AF117,0))</f>
        <v>62.825865069138132</v>
      </c>
      <c r="K95" s="102">
        <f>IF(OR($D95=W,$D95=WS),'INPUT Reg'!AG113,IF($D95=RW,'INPUT Reg'!AG117,0))</f>
        <v>62.206403098357626</v>
      </c>
      <c r="L95" s="102">
        <f>IF(OR($D95=W,$D95=WS),'INPUT Reg'!AH113,IF($D95=RW,'INPUT Reg'!AH117,0))</f>
        <v>61.606911264828398</v>
      </c>
      <c r="M95" s="102">
        <f>IF(OR($D95=W,$D95=WS),'INPUT Reg'!AI113,IF($D95=RW,'INPUT Reg'!AI117,0))</f>
        <v>61.20295495855293</v>
      </c>
      <c r="N95" s="102">
        <f>IF(OR($D95=W,$D95=WS),'INPUT Reg'!AJ113,IF($D95=RW,'INPUT Reg'!AJ117,0))</f>
        <v>61.171405146482648</v>
      </c>
      <c r="O95" s="102">
        <f>IF(OR($D95=W,$D95=WS),'INPUT Reg'!AK113,IF($D95=RW,'INPUT Reg'!AK117,0))</f>
        <v>61.362122687904922</v>
      </c>
      <c r="P95" s="102">
        <f>IF(OR($D95=W,$D95=WS),'INPUT Reg'!AL113,IF($D95=RW,'INPUT Reg'!AL117,0))</f>
        <v>61.69955374302284</v>
      </c>
      <c r="Q95" s="102">
        <f>IF(OR($D95=W,$D95=WS),'INPUT Reg'!AM113,IF($D95=RW,'INPUT Reg'!AM117,0))</f>
        <v>62.119143736076218</v>
      </c>
      <c r="R95" s="102">
        <f>IF(OR($D95=W,$D95=WS),'INPUT Reg'!AN113,IF($D95=RW,'INPUT Reg'!AN117,0))</f>
        <v>62.516645844098598</v>
      </c>
      <c r="S95" s="102">
        <f>IF(OR($D95=W,$D95=WS),'INPUT Reg'!AO113,IF($D95=RW,'INPUT Reg'!AO117,0))</f>
        <v>62.933514379735371</v>
      </c>
      <c r="T95" s="102">
        <f>IF(OR($D95=W,$D95=WS),'INPUT Reg'!AP113,IF($D95=RW,'INPUT Reg'!AP117,0))</f>
        <v>63.45726082734101</v>
      </c>
      <c r="U95" s="102">
        <f>IF(OR($D95=W,$D95=WS),'INPUT Reg'!AQ113,IF($D95=RW,'INPUT Reg'!AQ117,0))</f>
        <v>64.083662870455697</v>
      </c>
      <c r="V95" s="102">
        <f>IF(OR($D95=W,$D95=WS),'INPUT Reg'!AR113,IF($D95=RW,'INPUT Reg'!AR117,0))</f>
        <v>64.781608014461611</v>
      </c>
      <c r="W95" s="102">
        <f>IF(OR($D95=W,$D95=WS),'INPUT Reg'!AS113,IF($D95=RW,'INPUT Reg'!AS117,0))</f>
        <v>65.286210837717761</v>
      </c>
      <c r="X95" s="102">
        <f>IF(OR($D95=W,$D95=WS),'INPUT Reg'!AT113,IF($D95=RW,'INPUT Reg'!AT117,0))</f>
        <v>65.525811042587506</v>
      </c>
      <c r="Y95" s="102">
        <f>IF(OR($D95=W,$D95=WS),'INPUT Reg'!AU113,IF($D95=RW,'INPUT Reg'!AU117,0))</f>
        <v>65.611736400735779</v>
      </c>
      <c r="Z95" s="102">
        <f>IF(OR($D95=W,$D95=WS),'INPUT Reg'!AV113,IF($D95=RW,'INPUT Reg'!AV117,0))</f>
        <v>65.615800309312306</v>
      </c>
      <c r="AA95" s="102">
        <f>IF(OR($D95=W,$D95=WS),'INPUT Reg'!AW113,IF($D95=RW,'INPUT Reg'!AW117,0))</f>
        <v>65.615800309312306</v>
      </c>
    </row>
    <row r="96" spans="1:27" x14ac:dyDescent="0.25">
      <c r="B96" s="47" t="str">
        <f>B90</f>
        <v>Central</v>
      </c>
      <c r="C96" s="47" t="str">
        <f t="shared" ref="C96:D96" si="21">C90</f>
        <v>R</v>
      </c>
      <c r="D96" s="47" t="str">
        <f t="shared" si="21"/>
        <v>Recycled</v>
      </c>
      <c r="E96" s="47" t="s">
        <v>662</v>
      </c>
      <c r="F96" s="47" t="s">
        <v>661</v>
      </c>
      <c r="H96" s="102">
        <f>IF(OR($D96=W,$D96=WS),'INPUT Reg'!AD114,0)</f>
        <v>0</v>
      </c>
      <c r="I96" s="102">
        <f>IF(OR($D96=W,$D96=WS),'INPUT Reg'!AE114,0)</f>
        <v>0</v>
      </c>
      <c r="J96" s="102">
        <f>IF(OR($D96=W,$D96=WS),'INPUT Reg'!AF114,0)</f>
        <v>0</v>
      </c>
      <c r="K96" s="102">
        <f>IF(OR($D96=W,$D96=WS),'INPUT Reg'!AG114,0)</f>
        <v>0</v>
      </c>
      <c r="L96" s="102">
        <f>IF(OR($D96=W,$D96=WS),'INPUT Reg'!AH114,0)</f>
        <v>0</v>
      </c>
      <c r="M96" s="102">
        <f>IF(OR($D96=W,$D96=WS),'INPUT Reg'!AI114,0)</f>
        <v>0</v>
      </c>
      <c r="N96" s="102">
        <f>IF(OR($D96=W,$D96=WS),'INPUT Reg'!AJ114,0)</f>
        <v>0</v>
      </c>
      <c r="O96" s="102">
        <f>IF(OR($D96=W,$D96=WS),'INPUT Reg'!AK114,0)</f>
        <v>0</v>
      </c>
      <c r="P96" s="102">
        <f>IF(OR($D96=W,$D96=WS),'INPUT Reg'!AL114,0)</f>
        <v>0</v>
      </c>
      <c r="Q96" s="102">
        <f>IF(OR($D96=W,$D96=WS),'INPUT Reg'!AM114,0)</f>
        <v>0</v>
      </c>
      <c r="R96" s="102">
        <f>IF(OR($D96=W,$D96=WS),'INPUT Reg'!AN114,0)</f>
        <v>0</v>
      </c>
      <c r="S96" s="102">
        <f>IF(OR($D96=W,$D96=WS),'INPUT Reg'!AO114,0)</f>
        <v>0</v>
      </c>
      <c r="T96" s="102">
        <f>IF(OR($D96=W,$D96=WS),'INPUT Reg'!AP114,0)</f>
        <v>0</v>
      </c>
      <c r="U96" s="102">
        <f>IF(OR($D96=W,$D96=WS),'INPUT Reg'!AQ114,0)</f>
        <v>0</v>
      </c>
      <c r="V96" s="102">
        <f>IF(OR($D96=W,$D96=WS),'INPUT Reg'!AR114,0)</f>
        <v>0</v>
      </c>
      <c r="W96" s="102">
        <f>IF(OR($D96=W,$D96=WS),'INPUT Reg'!AS114,0)</f>
        <v>0</v>
      </c>
      <c r="X96" s="102">
        <f>IF(OR($D96=W,$D96=WS),'INPUT Reg'!AT114,0)</f>
        <v>0</v>
      </c>
      <c r="Y96" s="102">
        <f>IF(OR($D96=W,$D96=WS),'INPUT Reg'!AU114,0)</f>
        <v>0</v>
      </c>
      <c r="Z96" s="102">
        <f>IF(OR($D96=W,$D96=WS),'INPUT Reg'!AV114,0)</f>
        <v>0</v>
      </c>
      <c r="AA96" s="102">
        <f>IF(OR($D96=W,$D96=WS),'INPUT Reg'!AW114,0)</f>
        <v>0</v>
      </c>
    </row>
    <row r="97" spans="1:27" x14ac:dyDescent="0.25">
      <c r="B97" s="47" t="str">
        <f>B90</f>
        <v>Central</v>
      </c>
      <c r="C97" s="47" t="str">
        <f t="shared" ref="C97:D97" si="22">C90</f>
        <v>R</v>
      </c>
      <c r="D97" s="47" t="str">
        <f t="shared" si="22"/>
        <v>Recycled</v>
      </c>
      <c r="E97" s="47" t="s">
        <v>663</v>
      </c>
      <c r="F97" s="47" t="s">
        <v>661</v>
      </c>
      <c r="H97" s="102">
        <f>IF(OR($D97=S,$D97=WS),'INPUT Reg'!AD116,0)</f>
        <v>0</v>
      </c>
      <c r="I97" s="102">
        <f>IF(OR($D97=S,$D97=WS),'INPUT Reg'!AE116,0)</f>
        <v>0</v>
      </c>
      <c r="J97" s="102">
        <f>IF(OR($D97=S,$D97=WS),'INPUT Reg'!AF116,0)</f>
        <v>0</v>
      </c>
      <c r="K97" s="102">
        <f>IF(OR($D97=S,$D97=WS),'INPUT Reg'!AG116,0)</f>
        <v>0</v>
      </c>
      <c r="L97" s="102">
        <f>IF(OR($D97=S,$D97=WS),'INPUT Reg'!AH116,0)</f>
        <v>0</v>
      </c>
      <c r="M97" s="102">
        <f>IF(OR($D97=S,$D97=WS),'INPUT Reg'!AI116,0)</f>
        <v>0</v>
      </c>
      <c r="N97" s="102">
        <f>IF(OR($D97=S,$D97=WS),'INPUT Reg'!AJ116,0)</f>
        <v>0</v>
      </c>
      <c r="O97" s="102">
        <f>IF(OR($D97=S,$D97=WS),'INPUT Reg'!AK116,0)</f>
        <v>0</v>
      </c>
      <c r="P97" s="102">
        <f>IF(OR($D97=S,$D97=WS),'INPUT Reg'!AL116,0)</f>
        <v>0</v>
      </c>
      <c r="Q97" s="102">
        <f>IF(OR($D97=S,$D97=WS),'INPUT Reg'!AM116,0)</f>
        <v>0</v>
      </c>
      <c r="R97" s="102">
        <f>IF(OR($D97=S,$D97=WS),'INPUT Reg'!AN116,0)</f>
        <v>0</v>
      </c>
      <c r="S97" s="102">
        <f>IF(OR($D97=S,$D97=WS),'INPUT Reg'!AO116,0)</f>
        <v>0</v>
      </c>
      <c r="T97" s="102">
        <f>IF(OR($D97=S,$D97=WS),'INPUT Reg'!AP116,0)</f>
        <v>0</v>
      </c>
      <c r="U97" s="102">
        <f>IF(OR($D97=S,$D97=WS),'INPUT Reg'!AQ116,0)</f>
        <v>0</v>
      </c>
      <c r="V97" s="102">
        <f>IF(OR($D97=S,$D97=WS),'INPUT Reg'!AR116,0)</f>
        <v>0</v>
      </c>
      <c r="W97" s="102">
        <f>IF(OR($D97=S,$D97=WS),'INPUT Reg'!AS116,0)</f>
        <v>0</v>
      </c>
      <c r="X97" s="102">
        <f>IF(OR($D97=S,$D97=WS),'INPUT Reg'!AT116,0)</f>
        <v>0</v>
      </c>
      <c r="Y97" s="102">
        <f>IF(OR($D97=S,$D97=WS),'INPUT Reg'!AU116,0)</f>
        <v>0</v>
      </c>
      <c r="Z97" s="102">
        <f>IF(OR($D97=S,$D97=WS),'INPUT Reg'!AV116,0)</f>
        <v>0</v>
      </c>
      <c r="AA97" s="102">
        <f>IF(OR($D97=S,$D97=WS),'INPUT Reg'!AW116,0)</f>
        <v>0</v>
      </c>
    </row>
    <row r="98" spans="1:27" x14ac:dyDescent="0.25">
      <c r="C98" s="100"/>
      <c r="D98" s="100"/>
      <c r="E98" s="47" t="s">
        <v>664</v>
      </c>
      <c r="F98" s="47" t="s">
        <v>665</v>
      </c>
      <c r="H98" s="106">
        <f>H91*H95</f>
        <v>0</v>
      </c>
      <c r="I98" s="106">
        <f t="shared" ref="I98:AA98" si="23">I91*I95</f>
        <v>0</v>
      </c>
      <c r="J98" s="106">
        <f t="shared" si="23"/>
        <v>0</v>
      </c>
      <c r="K98" s="106">
        <f t="shared" si="23"/>
        <v>0</v>
      </c>
      <c r="L98" s="106">
        <f t="shared" si="23"/>
        <v>0</v>
      </c>
      <c r="M98" s="106">
        <f t="shared" si="23"/>
        <v>0</v>
      </c>
      <c r="N98" s="106">
        <f t="shared" si="23"/>
        <v>0</v>
      </c>
      <c r="O98" s="106">
        <f t="shared" si="23"/>
        <v>0</v>
      </c>
      <c r="P98" s="106">
        <f t="shared" si="23"/>
        <v>0</v>
      </c>
      <c r="Q98" s="106">
        <f t="shared" si="23"/>
        <v>0</v>
      </c>
      <c r="R98" s="106">
        <f t="shared" si="23"/>
        <v>0</v>
      </c>
      <c r="S98" s="106">
        <f t="shared" si="23"/>
        <v>0</v>
      </c>
      <c r="T98" s="106">
        <f t="shared" si="23"/>
        <v>0</v>
      </c>
      <c r="U98" s="106">
        <f t="shared" si="23"/>
        <v>0</v>
      </c>
      <c r="V98" s="106">
        <f t="shared" si="23"/>
        <v>0</v>
      </c>
      <c r="W98" s="106">
        <f t="shared" si="23"/>
        <v>0</v>
      </c>
      <c r="X98" s="106">
        <f t="shared" si="23"/>
        <v>0</v>
      </c>
      <c r="Y98" s="106">
        <f t="shared" si="23"/>
        <v>0</v>
      </c>
      <c r="Z98" s="106">
        <f t="shared" si="23"/>
        <v>0</v>
      </c>
      <c r="AA98" s="106">
        <f t="shared" si="23"/>
        <v>0</v>
      </c>
    </row>
    <row r="99" spans="1:27" x14ac:dyDescent="0.25">
      <c r="C99" s="100"/>
      <c r="D99" s="100"/>
      <c r="E99" s="47" t="s">
        <v>666</v>
      </c>
      <c r="F99" s="47" t="s">
        <v>665</v>
      </c>
      <c r="H99" s="106">
        <f>H91*H96</f>
        <v>0</v>
      </c>
      <c r="I99" s="106">
        <f t="shared" ref="I99:AA99" si="24">I91*I96</f>
        <v>0</v>
      </c>
      <c r="J99" s="106">
        <f t="shared" si="24"/>
        <v>0</v>
      </c>
      <c r="K99" s="106">
        <f t="shared" si="24"/>
        <v>0</v>
      </c>
      <c r="L99" s="106">
        <f t="shared" si="24"/>
        <v>0</v>
      </c>
      <c r="M99" s="106">
        <f t="shared" si="24"/>
        <v>0</v>
      </c>
      <c r="N99" s="106">
        <f t="shared" si="24"/>
        <v>0</v>
      </c>
      <c r="O99" s="106">
        <f t="shared" si="24"/>
        <v>0</v>
      </c>
      <c r="P99" s="106">
        <f t="shared" si="24"/>
        <v>0</v>
      </c>
      <c r="Q99" s="106">
        <f t="shared" si="24"/>
        <v>0</v>
      </c>
      <c r="R99" s="106">
        <f t="shared" si="24"/>
        <v>0</v>
      </c>
      <c r="S99" s="106">
        <f t="shared" si="24"/>
        <v>0</v>
      </c>
      <c r="T99" s="106">
        <f t="shared" si="24"/>
        <v>0</v>
      </c>
      <c r="U99" s="106">
        <f t="shared" si="24"/>
        <v>0</v>
      </c>
      <c r="V99" s="106">
        <f t="shared" si="24"/>
        <v>0</v>
      </c>
      <c r="W99" s="106">
        <f t="shared" si="24"/>
        <v>0</v>
      </c>
      <c r="X99" s="106">
        <f t="shared" si="24"/>
        <v>0</v>
      </c>
      <c r="Y99" s="106">
        <f t="shared" si="24"/>
        <v>0</v>
      </c>
      <c r="Z99" s="106">
        <f t="shared" si="24"/>
        <v>0</v>
      </c>
      <c r="AA99" s="106">
        <f t="shared" si="24"/>
        <v>0</v>
      </c>
    </row>
    <row r="100" spans="1:27" x14ac:dyDescent="0.25">
      <c r="C100" s="100"/>
      <c r="D100" s="100"/>
      <c r="E100" s="47" t="s">
        <v>667</v>
      </c>
      <c r="F100" s="47" t="s">
        <v>665</v>
      </c>
      <c r="H100" s="106">
        <f>H91*H97</f>
        <v>0</v>
      </c>
      <c r="I100" s="106">
        <f t="shared" ref="I100:AA100" si="25">I91*I97</f>
        <v>0</v>
      </c>
      <c r="J100" s="106">
        <f t="shared" si="25"/>
        <v>0</v>
      </c>
      <c r="K100" s="106">
        <f t="shared" si="25"/>
        <v>0</v>
      </c>
      <c r="L100" s="106">
        <f t="shared" si="25"/>
        <v>0</v>
      </c>
      <c r="M100" s="106">
        <f t="shared" si="25"/>
        <v>0</v>
      </c>
      <c r="N100" s="106">
        <f t="shared" si="25"/>
        <v>0</v>
      </c>
      <c r="O100" s="106">
        <f t="shared" si="25"/>
        <v>0</v>
      </c>
      <c r="P100" s="106">
        <f t="shared" si="25"/>
        <v>0</v>
      </c>
      <c r="Q100" s="106">
        <f t="shared" si="25"/>
        <v>0</v>
      </c>
      <c r="R100" s="106">
        <f t="shared" si="25"/>
        <v>0</v>
      </c>
      <c r="S100" s="106">
        <f t="shared" si="25"/>
        <v>0</v>
      </c>
      <c r="T100" s="106">
        <f t="shared" si="25"/>
        <v>0</v>
      </c>
      <c r="U100" s="106">
        <f t="shared" si="25"/>
        <v>0</v>
      </c>
      <c r="V100" s="106">
        <f t="shared" si="25"/>
        <v>0</v>
      </c>
      <c r="W100" s="106">
        <f t="shared" si="25"/>
        <v>0</v>
      </c>
      <c r="X100" s="106">
        <f t="shared" si="25"/>
        <v>0</v>
      </c>
      <c r="Y100" s="106">
        <f t="shared" si="25"/>
        <v>0</v>
      </c>
      <c r="Z100" s="106">
        <f t="shared" si="25"/>
        <v>0</v>
      </c>
      <c r="AA100" s="106">
        <f t="shared" si="25"/>
        <v>0</v>
      </c>
    </row>
    <row r="101" spans="1:27" x14ac:dyDescent="0.25">
      <c r="A101" s="101">
        <v>18</v>
      </c>
      <c r="B101" s="47" t="str">
        <f>B95</f>
        <v>Central</v>
      </c>
      <c r="C101" s="47" t="str">
        <f t="shared" ref="C101:D101" si="26">C95</f>
        <v>R</v>
      </c>
      <c r="D101" s="47" t="str">
        <f t="shared" si="26"/>
        <v>Recycled</v>
      </c>
      <c r="E101" s="47" t="s">
        <v>668</v>
      </c>
      <c r="F101" s="47" t="s">
        <v>633</v>
      </c>
      <c r="H101" s="105">
        <f>SUMIFS('INPUT Reg'!AD$94:AD$109,'INPUT Reg'!$D$94:$D$109,$D101,'INPUT Reg'!$C$94:$C$109,$C101,'INPUT Reg'!$B$94:$B$109,$B101)</f>
        <v>8.7101910727980236E-3</v>
      </c>
      <c r="I101" s="105">
        <f>SUMIFS('INPUT Reg'!AE$94:AE$109,'INPUT Reg'!$D$94:$D$109,$D101,'INPUT Reg'!$C$94:$C$109,$C101,'INPUT Reg'!$B$94:$B$109,$B101)</f>
        <v>8.6349787579071968E-3</v>
      </c>
      <c r="J101" s="105">
        <f>SUMIFS('INPUT Reg'!AF$94:AF$109,'INPUT Reg'!$D$94:$D$109,$D101,'INPUT Reg'!$C$94:$C$109,$C101,'INPUT Reg'!$B$94:$B$109,$B101)</f>
        <v>8.5610542364302766E-3</v>
      </c>
      <c r="K101" s="105">
        <f>SUMIFS('INPUT Reg'!AG$94:AG$109,'INPUT Reg'!$D$94:$D$109,$D101,'INPUT Reg'!$C$94:$C$109,$C101,'INPUT Reg'!$B$94:$B$109,$B101)</f>
        <v>8.4883847145098557E-3</v>
      </c>
      <c r="L101" s="105">
        <f>SUMIFS('INPUT Reg'!AH$94:AH$109,'INPUT Reg'!$D$94:$D$109,$D101,'INPUT Reg'!$C$94:$C$109,$C101,'INPUT Reg'!$B$94:$B$109,$B101)</f>
        <v>9.6029349386337337E-3</v>
      </c>
      <c r="M101" s="105">
        <f>SUMIFS('INPUT Reg'!AI$94:AI$109,'INPUT Reg'!$D$94:$D$109,$D101,'INPUT Reg'!$C$94:$C$109,$C101,'INPUT Reg'!$B$94:$B$109,$B101)</f>
        <v>9.5115957039262344E-3</v>
      </c>
      <c r="N101" s="105">
        <f>SUMIFS('INPUT Reg'!AJ$94:AJ$109,'INPUT Reg'!$D$94:$D$109,$D101,'INPUT Reg'!$C$94:$C$109,$C101,'INPUT Reg'!$B$94:$B$109,$B101)</f>
        <v>9.4219776616768502E-3</v>
      </c>
      <c r="O101" s="105">
        <f>SUMIFS('INPUT Reg'!AK$94:AK$109,'INPUT Reg'!$D$94:$D$109,$D101,'INPUT Reg'!$C$94:$C$109,$C101,'INPUT Reg'!$B$94:$B$109,$B101)</f>
        <v>9.3340326148860786E-3</v>
      </c>
      <c r="P101" s="105">
        <f>SUMIFS('INPUT Reg'!AL$94:AL$109,'INPUT Reg'!$D$94:$D$109,$D101,'INPUT Reg'!$C$94:$C$109,$C101,'INPUT Reg'!$B$94:$B$109,$B101)</f>
        <v>1.3816215798010401E-2</v>
      </c>
      <c r="Q101" s="105">
        <f>SUMIFS('INPUT Reg'!AM$94:AM$109,'INPUT Reg'!$D$94:$D$109,$D101,'INPUT Reg'!$C$94:$C$109,$C101,'INPUT Reg'!$B$94:$B$109,$B101)</f>
        <v>-0.17717578877838569</v>
      </c>
      <c r="R101" s="105">
        <f>SUMIFS('INPUT Reg'!AN$94:AN$109,'INPUT Reg'!$D$94:$D$109,$D101,'INPUT Reg'!$C$94:$C$109,$C101,'INPUT Reg'!$B$94:$B$109,$B101)</f>
        <v>0</v>
      </c>
      <c r="S101" s="105">
        <f>SUMIFS('INPUT Reg'!AO$94:AO$109,'INPUT Reg'!$D$94:$D$109,$D101,'INPUT Reg'!$C$94:$C$109,$C101,'INPUT Reg'!$B$94:$B$109,$B101)</f>
        <v>0</v>
      </c>
      <c r="T101" s="105">
        <f>SUMIFS('INPUT Reg'!AP$94:AP$109,'INPUT Reg'!$D$94:$D$109,$D101,'INPUT Reg'!$C$94:$C$109,$C101,'INPUT Reg'!$B$94:$B$109,$B101)</f>
        <v>0</v>
      </c>
      <c r="U101" s="105">
        <f>SUMIFS('INPUT Reg'!AQ$94:AQ$109,'INPUT Reg'!$D$94:$D$109,$D101,'INPUT Reg'!$C$94:$C$109,$C101,'INPUT Reg'!$B$94:$B$109,$B101)</f>
        <v>0</v>
      </c>
      <c r="V101" s="105">
        <f>SUMIFS('INPUT Reg'!AR$94:AR$109,'INPUT Reg'!$D$94:$D$109,$D101,'INPUT Reg'!$C$94:$C$109,$C101,'INPUT Reg'!$B$94:$B$109,$B101)</f>
        <v>-0.10833701166993215</v>
      </c>
      <c r="W101" s="105">
        <f>SUMIFS('INPUT Reg'!AS$94:AS$109,'INPUT Reg'!$D$94:$D$109,$D101,'INPUT Reg'!$C$94:$C$109,$C101,'INPUT Reg'!$B$94:$B$109,$B101)</f>
        <v>0</v>
      </c>
      <c r="X101" s="105">
        <f>SUMIFS('INPUT Reg'!AT$94:AT$109,'INPUT Reg'!$D$94:$D$109,$D101,'INPUT Reg'!$C$94:$C$109,$C101,'INPUT Reg'!$B$94:$B$109,$B101)</f>
        <v>0</v>
      </c>
      <c r="Y101" s="105">
        <f>SUMIFS('INPUT Reg'!AU$94:AU$109,'INPUT Reg'!$D$94:$D$109,$D101,'INPUT Reg'!$C$94:$C$109,$C101,'INPUT Reg'!$B$94:$B$109,$B101)</f>
        <v>0</v>
      </c>
      <c r="Z101" s="105">
        <f>SUMIFS('INPUT Reg'!AV$94:AV$109,'INPUT Reg'!$D$94:$D$109,$D101,'INPUT Reg'!$C$94:$C$109,$C101,'INPUT Reg'!$B$94:$B$109,$B101)</f>
        <v>0</v>
      </c>
      <c r="AA101" s="105">
        <f>SUMIFS('INPUT Reg'!AW$94:AW$109,'INPUT Reg'!$D$94:$D$109,$D101,'INPUT Reg'!$C$94:$C$109,$C101,'INPUT Reg'!$B$94:$B$109,$B101)</f>
        <v>0</v>
      </c>
    </row>
    <row r="102" spans="1:27" x14ac:dyDescent="0.25">
      <c r="A102" s="101">
        <v>19</v>
      </c>
      <c r="B102" s="47" t="str">
        <f>B90</f>
        <v>Central</v>
      </c>
      <c r="C102" s="47" t="str">
        <f t="shared" ref="C102:D102" si="27">C90</f>
        <v>R</v>
      </c>
      <c r="D102" s="47" t="str">
        <f t="shared" si="27"/>
        <v>Recycled</v>
      </c>
      <c r="E102" s="47" t="s">
        <v>669</v>
      </c>
      <c r="F102" s="47" t="s">
        <v>670</v>
      </c>
      <c r="G102" s="108">
        <f>IF(D102=W,CWW_R_W_N,IF(D102=S,CWW_R_S_N,IF(D102=WS,CWW_R_W_N+CWW_R_S_N,CWW_R_R_N)))</f>
        <v>35.92</v>
      </c>
      <c r="H102" s="106">
        <f>G102*(1+$G$14)*(1+H101)</f>
        <v>36.232870063334907</v>
      </c>
      <c r="I102" s="106">
        <f t="shared" ref="I102:AA102" si="28">H102*(1+$G$14)*(1+I101)</f>
        <v>36.545740126669813</v>
      </c>
      <c r="J102" s="106">
        <f t="shared" si="28"/>
        <v>36.858610190004718</v>
      </c>
      <c r="K102" s="106">
        <f t="shared" si="28"/>
        <v>37.171480253339631</v>
      </c>
      <c r="L102" s="106">
        <f t="shared" si="28"/>
        <v>37.528435559785159</v>
      </c>
      <c r="M102" s="106">
        <f t="shared" si="28"/>
        <v>37.885390866230686</v>
      </c>
      <c r="N102" s="106">
        <f t="shared" si="28"/>
        <v>38.242346172676207</v>
      </c>
      <c r="O102" s="106">
        <f t="shared" si="28"/>
        <v>38.599301479121728</v>
      </c>
      <c r="P102" s="106">
        <f t="shared" si="28"/>
        <v>39.132597758009737</v>
      </c>
      <c r="Q102" s="106">
        <f t="shared" si="28"/>
        <v>32.199248883287076</v>
      </c>
      <c r="R102" s="106">
        <f t="shared" si="28"/>
        <v>32.199248883287076</v>
      </c>
      <c r="S102" s="106">
        <f t="shared" si="28"/>
        <v>32.199248883287076</v>
      </c>
      <c r="T102" s="106">
        <f t="shared" si="28"/>
        <v>32.199248883287076</v>
      </c>
      <c r="U102" s="106">
        <f t="shared" si="28"/>
        <v>32.199248883287076</v>
      </c>
      <c r="V102" s="106">
        <f t="shared" si="28"/>
        <v>28.710878481255353</v>
      </c>
      <c r="W102" s="106">
        <f t="shared" si="28"/>
        <v>28.710878481255353</v>
      </c>
      <c r="X102" s="106">
        <f t="shared" si="28"/>
        <v>28.710878481255353</v>
      </c>
      <c r="Y102" s="106">
        <f t="shared" si="28"/>
        <v>28.710878481255353</v>
      </c>
      <c r="Z102" s="106">
        <f t="shared" si="28"/>
        <v>28.710878481255353</v>
      </c>
      <c r="AA102" s="106">
        <f t="shared" si="28"/>
        <v>28.710878481255353</v>
      </c>
    </row>
    <row r="103" spans="1:27" x14ac:dyDescent="0.25">
      <c r="B103" s="47" t="str">
        <f>B90</f>
        <v>Central</v>
      </c>
      <c r="C103" s="47" t="str">
        <f t="shared" ref="C103:D103" si="29">C90</f>
        <v>R</v>
      </c>
      <c r="D103" s="47" t="str">
        <f t="shared" si="29"/>
        <v>Recycled</v>
      </c>
      <c r="E103" s="47" t="s">
        <v>671</v>
      </c>
      <c r="F103" s="47" t="s">
        <v>672</v>
      </c>
      <c r="G103" s="109">
        <f>IF(OR(D103=W,D103=WS),CWW_T1,IF(D103=RW,CWW_R_R_V,0))</f>
        <v>2.5074000000000001</v>
      </c>
      <c r="H103" s="110">
        <f>G103*(1+$G$14)*(1+H101)</f>
        <v>2.5292399330959339</v>
      </c>
      <c r="I103" s="110">
        <f t="shared" ref="I103:AA103" si="30">H103*(1+$G$14)*(1+I101)</f>
        <v>2.5510798661918677</v>
      </c>
      <c r="J103" s="110">
        <f t="shared" si="30"/>
        <v>2.5729197992878015</v>
      </c>
      <c r="K103" s="110">
        <f t="shared" si="30"/>
        <v>2.5947597323837357</v>
      </c>
      <c r="L103" s="110">
        <f t="shared" si="30"/>
        <v>2.6196770412752035</v>
      </c>
      <c r="M103" s="110">
        <f t="shared" si="30"/>
        <v>2.6445943501666709</v>
      </c>
      <c r="N103" s="110">
        <f t="shared" si="30"/>
        <v>2.6695116590581383</v>
      </c>
      <c r="O103" s="110">
        <f t="shared" si="30"/>
        <v>2.6944289679496056</v>
      </c>
      <c r="P103" s="110">
        <f t="shared" si="30"/>
        <v>2.7316557800232077</v>
      </c>
      <c r="Q103" s="110">
        <f t="shared" si="30"/>
        <v>2.2476725125265595</v>
      </c>
      <c r="R103" s="110">
        <f t="shared" si="30"/>
        <v>2.2476725125265595</v>
      </c>
      <c r="S103" s="110">
        <f t="shared" si="30"/>
        <v>2.2476725125265595</v>
      </c>
      <c r="T103" s="110">
        <f t="shared" si="30"/>
        <v>2.2476725125265595</v>
      </c>
      <c r="U103" s="110">
        <f t="shared" si="30"/>
        <v>2.2476725125265595</v>
      </c>
      <c r="V103" s="110">
        <f t="shared" si="30"/>
        <v>2.0041663893067838</v>
      </c>
      <c r="W103" s="110">
        <f t="shared" si="30"/>
        <v>2.0041663893067838</v>
      </c>
      <c r="X103" s="110">
        <f t="shared" si="30"/>
        <v>2.0041663893067838</v>
      </c>
      <c r="Y103" s="110">
        <f t="shared" si="30"/>
        <v>2.0041663893067838</v>
      </c>
      <c r="Z103" s="110">
        <f t="shared" si="30"/>
        <v>2.0041663893067838</v>
      </c>
      <c r="AA103" s="110">
        <f t="shared" si="30"/>
        <v>2.0041663893067838</v>
      </c>
    </row>
    <row r="104" spans="1:27" x14ac:dyDescent="0.25">
      <c r="B104" s="47" t="str">
        <f>B90</f>
        <v>Central</v>
      </c>
      <c r="C104" s="47" t="str">
        <f t="shared" ref="C104:D104" si="31">C90</f>
        <v>R</v>
      </c>
      <c r="D104" s="47" t="str">
        <f t="shared" si="31"/>
        <v>Recycled</v>
      </c>
      <c r="E104" s="47" t="s">
        <v>673</v>
      </c>
      <c r="F104" s="47" t="s">
        <v>672</v>
      </c>
      <c r="G104" s="109">
        <f>IF(OR(D104=W,D104=WS),CWW_T2,0)</f>
        <v>0</v>
      </c>
      <c r="H104" s="110">
        <f>G104*(1+$G$14)*(1+H101)</f>
        <v>0</v>
      </c>
      <c r="I104" s="110">
        <f t="shared" ref="I104:AA104" si="32">H104*(1+$G$14)*(1+I101)</f>
        <v>0</v>
      </c>
      <c r="J104" s="110">
        <f t="shared" si="32"/>
        <v>0</v>
      </c>
      <c r="K104" s="110">
        <f t="shared" si="32"/>
        <v>0</v>
      </c>
      <c r="L104" s="110">
        <f t="shared" si="32"/>
        <v>0</v>
      </c>
      <c r="M104" s="110">
        <f t="shared" si="32"/>
        <v>0</v>
      </c>
      <c r="N104" s="110">
        <f t="shared" si="32"/>
        <v>0</v>
      </c>
      <c r="O104" s="110">
        <f t="shared" si="32"/>
        <v>0</v>
      </c>
      <c r="P104" s="110">
        <f t="shared" si="32"/>
        <v>0</v>
      </c>
      <c r="Q104" s="110">
        <f t="shared" si="32"/>
        <v>0</v>
      </c>
      <c r="R104" s="110">
        <f t="shared" si="32"/>
        <v>0</v>
      </c>
      <c r="S104" s="110">
        <f t="shared" si="32"/>
        <v>0</v>
      </c>
      <c r="T104" s="110">
        <f t="shared" si="32"/>
        <v>0</v>
      </c>
      <c r="U104" s="110">
        <f t="shared" si="32"/>
        <v>0</v>
      </c>
      <c r="V104" s="110">
        <f t="shared" si="32"/>
        <v>0</v>
      </c>
      <c r="W104" s="110">
        <f t="shared" si="32"/>
        <v>0</v>
      </c>
      <c r="X104" s="110">
        <f t="shared" si="32"/>
        <v>0</v>
      </c>
      <c r="Y104" s="110">
        <f t="shared" si="32"/>
        <v>0</v>
      </c>
      <c r="Z104" s="110">
        <f t="shared" si="32"/>
        <v>0</v>
      </c>
      <c r="AA104" s="110">
        <f t="shared" si="32"/>
        <v>0</v>
      </c>
    </row>
    <row r="105" spans="1:27" x14ac:dyDescent="0.25">
      <c r="B105" s="47" t="str">
        <f>B90</f>
        <v>Central</v>
      </c>
      <c r="C105" s="47" t="str">
        <f t="shared" ref="C105:D105" si="33">C90</f>
        <v>R</v>
      </c>
      <c r="D105" s="47" t="str">
        <f t="shared" si="33"/>
        <v>Recycled</v>
      </c>
      <c r="E105" s="47" t="s">
        <v>674</v>
      </c>
      <c r="F105" s="47" t="s">
        <v>672</v>
      </c>
      <c r="G105" s="109">
        <f>IF(OR(D105=S,D105=WS),CWW_R_SDC,0)</f>
        <v>0</v>
      </c>
      <c r="H105" s="110">
        <f>G105*(1+$G$14)*(1+H101)</f>
        <v>0</v>
      </c>
      <c r="I105" s="110">
        <f t="shared" ref="I105:AA105" si="34">H105*(1+$G$14)*(1+I101)</f>
        <v>0</v>
      </c>
      <c r="J105" s="110">
        <f t="shared" si="34"/>
        <v>0</v>
      </c>
      <c r="K105" s="110">
        <f t="shared" si="34"/>
        <v>0</v>
      </c>
      <c r="L105" s="110">
        <f t="shared" si="34"/>
        <v>0</v>
      </c>
      <c r="M105" s="110">
        <f t="shared" si="34"/>
        <v>0</v>
      </c>
      <c r="N105" s="110">
        <f t="shared" si="34"/>
        <v>0</v>
      </c>
      <c r="O105" s="110">
        <f t="shared" si="34"/>
        <v>0</v>
      </c>
      <c r="P105" s="110">
        <f t="shared" si="34"/>
        <v>0</v>
      </c>
      <c r="Q105" s="110">
        <f t="shared" si="34"/>
        <v>0</v>
      </c>
      <c r="R105" s="110">
        <f t="shared" si="34"/>
        <v>0</v>
      </c>
      <c r="S105" s="110">
        <f t="shared" si="34"/>
        <v>0</v>
      </c>
      <c r="T105" s="110">
        <f t="shared" si="34"/>
        <v>0</v>
      </c>
      <c r="U105" s="110">
        <f t="shared" si="34"/>
        <v>0</v>
      </c>
      <c r="V105" s="110">
        <f t="shared" si="34"/>
        <v>0</v>
      </c>
      <c r="W105" s="110">
        <f t="shared" si="34"/>
        <v>0</v>
      </c>
      <c r="X105" s="110">
        <f t="shared" si="34"/>
        <v>0</v>
      </c>
      <c r="Y105" s="110">
        <f t="shared" si="34"/>
        <v>0</v>
      </c>
      <c r="Z105" s="110">
        <f t="shared" si="34"/>
        <v>0</v>
      </c>
      <c r="AA105" s="110">
        <f t="shared" si="34"/>
        <v>0</v>
      </c>
    </row>
    <row r="106" spans="1:27" x14ac:dyDescent="0.25">
      <c r="C106" s="100"/>
      <c r="D106" s="100"/>
    </row>
    <row r="107" spans="1:27" x14ac:dyDescent="0.25">
      <c r="C107" s="100"/>
      <c r="D107" s="100"/>
      <c r="E107" s="47" t="s">
        <v>675</v>
      </c>
      <c r="F107" s="47" t="s">
        <v>676</v>
      </c>
      <c r="H107" s="106">
        <f>SUM(H98:H100)/1000</f>
        <v>0</v>
      </c>
      <c r="I107" s="106">
        <f t="shared" ref="I107:AA107" si="35">SUM(I98:I100)/1000</f>
        <v>0</v>
      </c>
      <c r="J107" s="106">
        <f t="shared" si="35"/>
        <v>0</v>
      </c>
      <c r="K107" s="106">
        <f t="shared" si="35"/>
        <v>0</v>
      </c>
      <c r="L107" s="106">
        <f t="shared" si="35"/>
        <v>0</v>
      </c>
      <c r="M107" s="106">
        <f t="shared" si="35"/>
        <v>0</v>
      </c>
      <c r="N107" s="106">
        <f t="shared" si="35"/>
        <v>0</v>
      </c>
      <c r="O107" s="106">
        <f t="shared" si="35"/>
        <v>0</v>
      </c>
      <c r="P107" s="106">
        <f t="shared" si="35"/>
        <v>0</v>
      </c>
      <c r="Q107" s="106">
        <f t="shared" si="35"/>
        <v>0</v>
      </c>
      <c r="R107" s="106">
        <f t="shared" si="35"/>
        <v>0</v>
      </c>
      <c r="S107" s="106">
        <f t="shared" si="35"/>
        <v>0</v>
      </c>
      <c r="T107" s="106">
        <f t="shared" si="35"/>
        <v>0</v>
      </c>
      <c r="U107" s="106">
        <f t="shared" si="35"/>
        <v>0</v>
      </c>
      <c r="V107" s="106">
        <f t="shared" si="35"/>
        <v>0</v>
      </c>
      <c r="W107" s="106">
        <f t="shared" si="35"/>
        <v>0</v>
      </c>
      <c r="X107" s="106">
        <f t="shared" si="35"/>
        <v>0</v>
      </c>
      <c r="Y107" s="106">
        <f t="shared" si="35"/>
        <v>0</v>
      </c>
      <c r="Z107" s="106">
        <f t="shared" si="35"/>
        <v>0</v>
      </c>
      <c r="AA107" s="106">
        <f t="shared" si="35"/>
        <v>0</v>
      </c>
    </row>
    <row r="108" spans="1:27" x14ac:dyDescent="0.25">
      <c r="C108" s="100"/>
      <c r="D108" s="100"/>
      <c r="E108" s="47" t="s">
        <v>677</v>
      </c>
      <c r="F108" s="47" t="s">
        <v>639</v>
      </c>
      <c r="H108" s="106">
        <f>H91*H102+H98*H103+H99*H104+H100*H105</f>
        <v>0</v>
      </c>
      <c r="I108" s="106">
        <f t="shared" ref="I108:AA108" si="36">I91*I102+I98*I103+I99*I104+I100*I105</f>
        <v>0</v>
      </c>
      <c r="J108" s="106">
        <f t="shared" si="36"/>
        <v>0</v>
      </c>
      <c r="K108" s="106">
        <f t="shared" si="36"/>
        <v>0</v>
      </c>
      <c r="L108" s="106">
        <f t="shared" si="36"/>
        <v>0</v>
      </c>
      <c r="M108" s="106">
        <f t="shared" si="36"/>
        <v>0</v>
      </c>
      <c r="N108" s="106">
        <f t="shared" si="36"/>
        <v>0</v>
      </c>
      <c r="O108" s="106">
        <f t="shared" si="36"/>
        <v>0</v>
      </c>
      <c r="P108" s="106">
        <f t="shared" si="36"/>
        <v>0</v>
      </c>
      <c r="Q108" s="106">
        <f t="shared" si="36"/>
        <v>0</v>
      </c>
      <c r="R108" s="106">
        <f t="shared" si="36"/>
        <v>0</v>
      </c>
      <c r="S108" s="106">
        <f t="shared" si="36"/>
        <v>0</v>
      </c>
      <c r="T108" s="106">
        <f t="shared" si="36"/>
        <v>0</v>
      </c>
      <c r="U108" s="106">
        <f t="shared" si="36"/>
        <v>0</v>
      </c>
      <c r="V108" s="106">
        <f t="shared" si="36"/>
        <v>0</v>
      </c>
      <c r="W108" s="106">
        <f t="shared" si="36"/>
        <v>0</v>
      </c>
      <c r="X108" s="106">
        <f t="shared" si="36"/>
        <v>0</v>
      </c>
      <c r="Y108" s="106">
        <f t="shared" si="36"/>
        <v>0</v>
      </c>
      <c r="Z108" s="106">
        <f t="shared" si="36"/>
        <v>0</v>
      </c>
      <c r="AA108" s="106">
        <f t="shared" si="36"/>
        <v>0</v>
      </c>
    </row>
    <row r="109" spans="1:27" x14ac:dyDescent="0.25">
      <c r="C109" s="100"/>
      <c r="D109" s="100"/>
    </row>
    <row r="110" spans="1:27" x14ac:dyDescent="0.25">
      <c r="C110" s="100"/>
      <c r="D110" s="47" t="s">
        <v>678</v>
      </c>
    </row>
    <row r="111" spans="1:27" x14ac:dyDescent="0.25">
      <c r="A111" s="101">
        <v>20</v>
      </c>
      <c r="B111" s="107" t="s">
        <v>262</v>
      </c>
      <c r="C111" s="47" t="s">
        <v>407</v>
      </c>
      <c r="D111" s="100" t="str">
        <f>$G$4</f>
        <v>Recycled</v>
      </c>
      <c r="E111" s="47" t="s">
        <v>654</v>
      </c>
      <c r="F111" s="47" t="s">
        <v>655</v>
      </c>
      <c r="H111" s="102">
        <f>IF($G$4="Water and sewer",SUMIFS('INPUT Growth'!AD$64:AD$115,'INPUT Growth'!$B$64:$B$115,$A$1,'INPUT Growth'!$F$64:$F$115,$B111,'INPUT Growth'!$E$64:$E$115,$C111),SUMIFS('INPUT Growth'!AD$64:AD$115,'INPUT Growth'!$A$64:$A$115,$A$1,'INPUT Growth'!$F$64:$F$115,$B111,'INPUT Growth'!$E$64:$E$115,$C111))</f>
        <v>0</v>
      </c>
      <c r="I111" s="102">
        <f>IF($G$4="Water and sewer",SUMIFS('INPUT Growth'!AE$64:AE$115,'INPUT Growth'!$B$64:$B$115,$A$1,'INPUT Growth'!$F$64:$F$115,$B111,'INPUT Growth'!$E$64:$E$115,$C111),SUMIFS('INPUT Growth'!AE$64:AE$115,'INPUT Growth'!$A$64:$A$115,$A$1,'INPUT Growth'!$F$64:$F$115,$B111,'INPUT Growth'!$E$64:$E$115,$C111))</f>
        <v>0</v>
      </c>
      <c r="J111" s="102">
        <f>IF($G$4="Water and sewer",SUMIFS('INPUT Growth'!AF$64:AF$115,'INPUT Growth'!$B$64:$B$115,$A$1,'INPUT Growth'!$F$64:$F$115,$B111,'INPUT Growth'!$E$64:$E$115,$C111),SUMIFS('INPUT Growth'!AF$64:AF$115,'INPUT Growth'!$A$64:$A$115,$A$1,'INPUT Growth'!$F$64:$F$115,$B111,'INPUT Growth'!$E$64:$E$115,$C111))</f>
        <v>0</v>
      </c>
      <c r="K111" s="102">
        <f>IF($G$4="Water and sewer",SUMIFS('INPUT Growth'!AG$64:AG$115,'INPUT Growth'!$B$64:$B$115,$A$1,'INPUT Growth'!$F$64:$F$115,$B111,'INPUT Growth'!$E$64:$E$115,$C111),SUMIFS('INPUT Growth'!AG$64:AG$115,'INPUT Growth'!$A$64:$A$115,$A$1,'INPUT Growth'!$F$64:$F$115,$B111,'INPUT Growth'!$E$64:$E$115,$C111))</f>
        <v>0</v>
      </c>
      <c r="L111" s="102">
        <f>IF($G$4="Water and sewer",SUMIFS('INPUT Growth'!AH$64:AH$115,'INPUT Growth'!$B$64:$B$115,$A$1,'INPUT Growth'!$F$64:$F$115,$B111,'INPUT Growth'!$E$64:$E$115,$C111),SUMIFS('INPUT Growth'!AH$64:AH$115,'INPUT Growth'!$A$64:$A$115,$A$1,'INPUT Growth'!$F$64:$F$115,$B111,'INPUT Growth'!$E$64:$E$115,$C111))</f>
        <v>0</v>
      </c>
      <c r="M111" s="102">
        <f>IF($G$4="Water and sewer",SUMIFS('INPUT Growth'!AI$64:AI$115,'INPUT Growth'!$B$64:$B$115,$A$1,'INPUT Growth'!$F$64:$F$115,$B111,'INPUT Growth'!$E$64:$E$115,$C111),SUMIFS('INPUT Growth'!AI$64:AI$115,'INPUT Growth'!$A$64:$A$115,$A$1,'INPUT Growth'!$F$64:$F$115,$B111,'INPUT Growth'!$E$64:$E$115,$C111))</f>
        <v>0</v>
      </c>
      <c r="N111" s="102">
        <f>IF($G$4="Water and sewer",SUMIFS('INPUT Growth'!AJ$64:AJ$115,'INPUT Growth'!$B$64:$B$115,$A$1,'INPUT Growth'!$F$64:$F$115,$B111,'INPUT Growth'!$E$64:$E$115,$C111),SUMIFS('INPUT Growth'!AJ$64:AJ$115,'INPUT Growth'!$A$64:$A$115,$A$1,'INPUT Growth'!$F$64:$F$115,$B111,'INPUT Growth'!$E$64:$E$115,$C111))</f>
        <v>0</v>
      </c>
      <c r="O111" s="102">
        <f>IF($G$4="Water and sewer",SUMIFS('INPUT Growth'!AK$64:AK$115,'INPUT Growth'!$B$64:$B$115,$A$1,'INPUT Growth'!$F$64:$F$115,$B111,'INPUT Growth'!$E$64:$E$115,$C111),SUMIFS('INPUT Growth'!AK$64:AK$115,'INPUT Growth'!$A$64:$A$115,$A$1,'INPUT Growth'!$F$64:$F$115,$B111,'INPUT Growth'!$E$64:$E$115,$C111))</f>
        <v>0</v>
      </c>
      <c r="P111" s="102">
        <f>IF($G$4="Water and sewer",SUMIFS('INPUT Growth'!AL$64:AL$115,'INPUT Growth'!$B$64:$B$115,$A$1,'INPUT Growth'!$F$64:$F$115,$B111,'INPUT Growth'!$E$64:$E$115,$C111),SUMIFS('INPUT Growth'!AL$64:AL$115,'INPUT Growth'!$A$64:$A$115,$A$1,'INPUT Growth'!$F$64:$F$115,$B111,'INPUT Growth'!$E$64:$E$115,$C111))</f>
        <v>0</v>
      </c>
      <c r="Q111" s="102">
        <f>IF($G$4="Water and sewer",SUMIFS('INPUT Growth'!AM$64:AM$115,'INPUT Growth'!$B$64:$B$115,$A$1,'INPUT Growth'!$F$64:$F$115,$B111,'INPUT Growth'!$E$64:$E$115,$C111),SUMIFS('INPUT Growth'!AM$64:AM$115,'INPUT Growth'!$A$64:$A$115,$A$1,'INPUT Growth'!$F$64:$F$115,$B111,'INPUT Growth'!$E$64:$E$115,$C111))</f>
        <v>0</v>
      </c>
      <c r="R111" s="102">
        <f>IF($G$4="Water and sewer",SUMIFS('INPUT Growth'!AN$64:AN$115,'INPUT Growth'!$B$64:$B$115,$A$1,'INPUT Growth'!$F$64:$F$115,$B111,'INPUT Growth'!$E$64:$E$115,$C111),SUMIFS('INPUT Growth'!AN$64:AN$115,'INPUT Growth'!$A$64:$A$115,$A$1,'INPUT Growth'!$F$64:$F$115,$B111,'INPUT Growth'!$E$64:$E$115,$C111))</f>
        <v>0</v>
      </c>
      <c r="S111" s="102">
        <f>IF($G$4="Water and sewer",SUMIFS('INPUT Growth'!AO$64:AO$115,'INPUT Growth'!$B$64:$B$115,$A$1,'INPUT Growth'!$F$64:$F$115,$B111,'INPUT Growth'!$E$64:$E$115,$C111),SUMIFS('INPUT Growth'!AO$64:AO$115,'INPUT Growth'!$A$64:$A$115,$A$1,'INPUT Growth'!$F$64:$F$115,$B111,'INPUT Growth'!$E$64:$E$115,$C111))</f>
        <v>0</v>
      </c>
      <c r="T111" s="102">
        <f>IF($G$4="Water and sewer",SUMIFS('INPUT Growth'!AP$64:AP$115,'INPUT Growth'!$B$64:$B$115,$A$1,'INPUT Growth'!$F$64:$F$115,$B111,'INPUT Growth'!$E$64:$E$115,$C111),SUMIFS('INPUT Growth'!AP$64:AP$115,'INPUT Growth'!$A$64:$A$115,$A$1,'INPUT Growth'!$F$64:$F$115,$B111,'INPUT Growth'!$E$64:$E$115,$C111))</f>
        <v>0</v>
      </c>
      <c r="U111" s="102">
        <f>IF($G$4="Water and sewer",SUMIFS('INPUT Growth'!AQ$64:AQ$115,'INPUT Growth'!$B$64:$B$115,$A$1,'INPUT Growth'!$F$64:$F$115,$B111,'INPUT Growth'!$E$64:$E$115,$C111),SUMIFS('INPUT Growth'!AQ$64:AQ$115,'INPUT Growth'!$A$64:$A$115,$A$1,'INPUT Growth'!$F$64:$F$115,$B111,'INPUT Growth'!$E$64:$E$115,$C111))</f>
        <v>0</v>
      </c>
      <c r="V111" s="102">
        <f>IF($G$4="Water and sewer",SUMIFS('INPUT Growth'!AR$64:AR$115,'INPUT Growth'!$B$64:$B$115,$A$1,'INPUT Growth'!$F$64:$F$115,$B111,'INPUT Growth'!$E$64:$E$115,$C111),SUMIFS('INPUT Growth'!AR$64:AR$115,'INPUT Growth'!$A$64:$A$115,$A$1,'INPUT Growth'!$F$64:$F$115,$B111,'INPUT Growth'!$E$64:$E$115,$C111))</f>
        <v>0</v>
      </c>
      <c r="W111" s="102">
        <f>IF($G$4="Water and sewer",SUMIFS('INPUT Growth'!AS$64:AS$115,'INPUT Growth'!$B$64:$B$115,$A$1,'INPUT Growth'!$F$64:$F$115,$B111,'INPUT Growth'!$E$64:$E$115,$C111),SUMIFS('INPUT Growth'!AS$64:AS$115,'INPUT Growth'!$A$64:$A$115,$A$1,'INPUT Growth'!$F$64:$F$115,$B111,'INPUT Growth'!$E$64:$E$115,$C111))</f>
        <v>0</v>
      </c>
      <c r="X111" s="102">
        <f>IF($G$4="Water and sewer",SUMIFS('INPUT Growth'!AT$64:AT$115,'INPUT Growth'!$B$64:$B$115,$A$1,'INPUT Growth'!$F$64:$F$115,$B111,'INPUT Growth'!$E$64:$E$115,$C111),SUMIFS('INPUT Growth'!AT$64:AT$115,'INPUT Growth'!$A$64:$A$115,$A$1,'INPUT Growth'!$F$64:$F$115,$B111,'INPUT Growth'!$E$64:$E$115,$C111))</f>
        <v>0</v>
      </c>
      <c r="Y111" s="102">
        <f>IF($G$4="Water and sewer",SUMIFS('INPUT Growth'!AU$64:AU$115,'INPUT Growth'!$B$64:$B$115,$A$1,'INPUT Growth'!$F$64:$F$115,$B111,'INPUT Growth'!$E$64:$E$115,$C111),SUMIFS('INPUT Growth'!AU$64:AU$115,'INPUT Growth'!$A$64:$A$115,$A$1,'INPUT Growth'!$F$64:$F$115,$B111,'INPUT Growth'!$E$64:$E$115,$C111))</f>
        <v>0</v>
      </c>
      <c r="Z111" s="102">
        <f>IF($G$4="Water and sewer",SUMIFS('INPUT Growth'!AV$64:AV$115,'INPUT Growth'!$B$64:$B$115,$A$1,'INPUT Growth'!$F$64:$F$115,$B111,'INPUT Growth'!$E$64:$E$115,$C111),SUMIFS('INPUT Growth'!AV$64:AV$115,'INPUT Growth'!$A$64:$A$115,$A$1,'INPUT Growth'!$F$64:$F$115,$B111,'INPUT Growth'!$E$64:$E$115,$C111))</f>
        <v>0</v>
      </c>
      <c r="AA111" s="102">
        <f>IF($G$4="Water and sewer",SUMIFS('INPUT Growth'!AW$64:AW$115,'INPUT Growth'!$B$64:$B$115,$A$1,'INPUT Growth'!$F$64:$F$115,$B111,'INPUT Growth'!$E$64:$E$115,$C111),SUMIFS('INPUT Growth'!AW$64:AW$115,'INPUT Growth'!$A$64:$A$115,$A$1,'INPUT Growth'!$F$64:$F$115,$B111,'INPUT Growth'!$E$64:$E$115,$C111))</f>
        <v>0</v>
      </c>
    </row>
    <row r="112" spans="1:27" x14ac:dyDescent="0.25">
      <c r="C112" s="100"/>
      <c r="D112" s="100"/>
      <c r="E112" s="47" t="s">
        <v>656</v>
      </c>
      <c r="F112" s="47" t="s">
        <v>655</v>
      </c>
      <c r="H112" s="106">
        <f>G112+H111</f>
        <v>0</v>
      </c>
      <c r="I112" s="106">
        <f t="shared" ref="I112:AA112" si="37">H112+I111</f>
        <v>0</v>
      </c>
      <c r="J112" s="106">
        <f t="shared" si="37"/>
        <v>0</v>
      </c>
      <c r="K112" s="106">
        <f t="shared" si="37"/>
        <v>0</v>
      </c>
      <c r="L112" s="106">
        <f t="shared" si="37"/>
        <v>0</v>
      </c>
      <c r="M112" s="106">
        <f t="shared" si="37"/>
        <v>0</v>
      </c>
      <c r="N112" s="106">
        <f t="shared" si="37"/>
        <v>0</v>
      </c>
      <c r="O112" s="106">
        <f t="shared" si="37"/>
        <v>0</v>
      </c>
      <c r="P112" s="106">
        <f t="shared" si="37"/>
        <v>0</v>
      </c>
      <c r="Q112" s="106">
        <f t="shared" si="37"/>
        <v>0</v>
      </c>
      <c r="R112" s="106">
        <f t="shared" si="37"/>
        <v>0</v>
      </c>
      <c r="S112" s="106">
        <f t="shared" si="37"/>
        <v>0</v>
      </c>
      <c r="T112" s="106">
        <f t="shared" si="37"/>
        <v>0</v>
      </c>
      <c r="U112" s="106">
        <f t="shared" si="37"/>
        <v>0</v>
      </c>
      <c r="V112" s="106">
        <f t="shared" si="37"/>
        <v>0</v>
      </c>
      <c r="W112" s="106">
        <f t="shared" si="37"/>
        <v>0</v>
      </c>
      <c r="X112" s="106">
        <f t="shared" si="37"/>
        <v>0</v>
      </c>
      <c r="Y112" s="106">
        <f t="shared" si="37"/>
        <v>0</v>
      </c>
      <c r="Z112" s="106">
        <f t="shared" si="37"/>
        <v>0</v>
      </c>
      <c r="AA112" s="106">
        <f t="shared" si="37"/>
        <v>0</v>
      </c>
    </row>
    <row r="113" spans="1:27" x14ac:dyDescent="0.25">
      <c r="A113" s="101">
        <v>21</v>
      </c>
      <c r="C113" s="100"/>
      <c r="D113" s="100"/>
      <c r="E113" s="47" t="s">
        <v>657</v>
      </c>
      <c r="F113" s="47" t="s">
        <v>655</v>
      </c>
      <c r="G113" s="102">
        <v>2</v>
      </c>
    </row>
    <row r="114" spans="1:27" x14ac:dyDescent="0.25">
      <c r="C114" s="100"/>
      <c r="D114" s="100"/>
      <c r="E114" s="47" t="s">
        <v>658</v>
      </c>
      <c r="F114" s="47" t="s">
        <v>655</v>
      </c>
      <c r="H114" s="47">
        <f>H111*$G113</f>
        <v>0</v>
      </c>
      <c r="I114" s="47">
        <f t="shared" ref="I114:AA114" si="38">I111*$G113</f>
        <v>0</v>
      </c>
      <c r="J114" s="47">
        <f t="shared" si="38"/>
        <v>0</v>
      </c>
      <c r="K114" s="47">
        <f t="shared" si="38"/>
        <v>0</v>
      </c>
      <c r="L114" s="47">
        <f t="shared" si="38"/>
        <v>0</v>
      </c>
      <c r="M114" s="47">
        <f t="shared" si="38"/>
        <v>0</v>
      </c>
      <c r="N114" s="47">
        <f t="shared" si="38"/>
        <v>0</v>
      </c>
      <c r="O114" s="47">
        <f t="shared" si="38"/>
        <v>0</v>
      </c>
      <c r="P114" s="47">
        <f t="shared" si="38"/>
        <v>0</v>
      </c>
      <c r="Q114" s="47">
        <f t="shared" si="38"/>
        <v>0</v>
      </c>
      <c r="R114" s="47">
        <f t="shared" si="38"/>
        <v>0</v>
      </c>
      <c r="S114" s="47">
        <f t="shared" si="38"/>
        <v>0</v>
      </c>
      <c r="T114" s="47">
        <f t="shared" si="38"/>
        <v>0</v>
      </c>
      <c r="U114" s="47">
        <f t="shared" si="38"/>
        <v>0</v>
      </c>
      <c r="V114" s="47">
        <f t="shared" si="38"/>
        <v>0</v>
      </c>
      <c r="W114" s="47">
        <f t="shared" si="38"/>
        <v>0</v>
      </c>
      <c r="X114" s="47">
        <f t="shared" si="38"/>
        <v>0</v>
      </c>
      <c r="Y114" s="47">
        <f t="shared" si="38"/>
        <v>0</v>
      </c>
      <c r="Z114" s="47">
        <f t="shared" si="38"/>
        <v>0</v>
      </c>
      <c r="AA114" s="47">
        <f t="shared" si="38"/>
        <v>0</v>
      </c>
    </row>
    <row r="115" spans="1:27" x14ac:dyDescent="0.25">
      <c r="C115" s="100"/>
      <c r="D115" s="100"/>
      <c r="E115" s="47" t="s">
        <v>659</v>
      </c>
      <c r="F115" s="47" t="s">
        <v>655</v>
      </c>
      <c r="H115" s="47">
        <f>H112*$G113</f>
        <v>0</v>
      </c>
      <c r="I115" s="47">
        <f t="shared" ref="I115:AA115" si="39">I112*$G113</f>
        <v>0</v>
      </c>
      <c r="J115" s="47">
        <f t="shared" si="39"/>
        <v>0</v>
      </c>
      <c r="K115" s="47">
        <f t="shared" si="39"/>
        <v>0</v>
      </c>
      <c r="L115" s="47">
        <f t="shared" si="39"/>
        <v>0</v>
      </c>
      <c r="M115" s="47">
        <f t="shared" si="39"/>
        <v>0</v>
      </c>
      <c r="N115" s="47">
        <f t="shared" si="39"/>
        <v>0</v>
      </c>
      <c r="O115" s="47">
        <f t="shared" si="39"/>
        <v>0</v>
      </c>
      <c r="P115" s="47">
        <f t="shared" si="39"/>
        <v>0</v>
      </c>
      <c r="Q115" s="47">
        <f t="shared" si="39"/>
        <v>0</v>
      </c>
      <c r="R115" s="47">
        <f t="shared" si="39"/>
        <v>0</v>
      </c>
      <c r="S115" s="47">
        <f t="shared" si="39"/>
        <v>0</v>
      </c>
      <c r="T115" s="47">
        <f t="shared" si="39"/>
        <v>0</v>
      </c>
      <c r="U115" s="47">
        <f t="shared" si="39"/>
        <v>0</v>
      </c>
      <c r="V115" s="47">
        <f t="shared" si="39"/>
        <v>0</v>
      </c>
      <c r="W115" s="47">
        <f t="shared" si="39"/>
        <v>0</v>
      </c>
      <c r="X115" s="47">
        <f t="shared" si="39"/>
        <v>0</v>
      </c>
      <c r="Y115" s="47">
        <f t="shared" si="39"/>
        <v>0</v>
      </c>
      <c r="Z115" s="47">
        <f t="shared" si="39"/>
        <v>0</v>
      </c>
      <c r="AA115" s="47">
        <f t="shared" si="39"/>
        <v>0</v>
      </c>
    </row>
    <row r="116" spans="1:27" x14ac:dyDescent="0.25">
      <c r="A116" s="101">
        <v>22</v>
      </c>
      <c r="B116" s="47" t="str">
        <f>B111</f>
        <v>Central</v>
      </c>
      <c r="C116" s="47" t="str">
        <f>C111</f>
        <v>N</v>
      </c>
      <c r="D116" s="47" t="str">
        <f>D111</f>
        <v>Recycled</v>
      </c>
      <c r="E116" s="47" t="s">
        <v>660</v>
      </c>
      <c r="F116" s="47" t="s">
        <v>661</v>
      </c>
      <c r="H116" s="102">
        <f>IF(OR($D116=W,$D116=WS),'INPUT Reg'!AD$118,IF($D116=RW,'INPUT Reg'!AD$120,0))</f>
        <v>0</v>
      </c>
      <c r="I116" s="102">
        <f>IF(OR($D116=W,$D116=WS),'INPUT Reg'!AE$118,IF($D116=RW,'INPUT Reg'!AE$120,0))</f>
        <v>0</v>
      </c>
      <c r="J116" s="102">
        <f>IF(OR($D116=W,$D116=WS),'INPUT Reg'!AF$118,IF($D116=RW,'INPUT Reg'!AF$120,0))</f>
        <v>0</v>
      </c>
      <c r="K116" s="102">
        <f>IF(OR($D116=W,$D116=WS),'INPUT Reg'!AG$118,IF($D116=RW,'INPUT Reg'!AG$120,0))</f>
        <v>0</v>
      </c>
      <c r="L116" s="102">
        <f>IF(OR($D116=W,$D116=WS),'INPUT Reg'!AH$118,IF($D116=RW,'INPUT Reg'!AH$120,0))</f>
        <v>0</v>
      </c>
      <c r="M116" s="102">
        <f>IF(OR($D116=W,$D116=WS),'INPUT Reg'!AI$118,IF($D116=RW,'INPUT Reg'!AI$120,0))</f>
        <v>0</v>
      </c>
      <c r="N116" s="102">
        <f>IF(OR($D116=W,$D116=WS),'INPUT Reg'!AJ$118,IF($D116=RW,'INPUT Reg'!AJ$120,0))</f>
        <v>0</v>
      </c>
      <c r="O116" s="102">
        <f>IF(OR($D116=W,$D116=WS),'INPUT Reg'!AK$118,IF($D116=RW,'INPUT Reg'!AK$120,0))</f>
        <v>0</v>
      </c>
      <c r="P116" s="102">
        <f>IF(OR($D116=W,$D116=WS),'INPUT Reg'!AL$118,IF($D116=RW,'INPUT Reg'!AL$120,0))</f>
        <v>0</v>
      </c>
      <c r="Q116" s="102">
        <f>IF(OR($D116=W,$D116=WS),'INPUT Reg'!AM$118,IF($D116=RW,'INPUT Reg'!AM$120,0))</f>
        <v>0</v>
      </c>
      <c r="R116" s="102">
        <f>IF(OR($D116=W,$D116=WS),'INPUT Reg'!AN$118,IF($D116=RW,'INPUT Reg'!AN$120,0))</f>
        <v>0</v>
      </c>
      <c r="S116" s="102">
        <f>IF(OR($D116=W,$D116=WS),'INPUT Reg'!AO$118,IF($D116=RW,'INPUT Reg'!AO$120,0))</f>
        <v>0</v>
      </c>
      <c r="T116" s="102">
        <f>IF(OR($D116=W,$D116=WS),'INPUT Reg'!AP$118,IF($D116=RW,'INPUT Reg'!AP$120,0))</f>
        <v>0</v>
      </c>
      <c r="U116" s="102">
        <f>IF(OR($D116=W,$D116=WS),'INPUT Reg'!AQ$118,IF($D116=RW,'INPUT Reg'!AQ$120,0))</f>
        <v>0</v>
      </c>
      <c r="V116" s="102">
        <f>IF(OR($D116=W,$D116=WS),'INPUT Reg'!AR$118,IF($D116=RW,'INPUT Reg'!AR$120,0))</f>
        <v>0</v>
      </c>
      <c r="W116" s="102">
        <f>IF(OR($D116=W,$D116=WS),'INPUT Reg'!AS$118,IF($D116=RW,'INPUT Reg'!AS$120,0))</f>
        <v>0</v>
      </c>
      <c r="X116" s="102">
        <f>IF(OR($D116=W,$D116=WS),'INPUT Reg'!AT$118,IF($D116=RW,'INPUT Reg'!AT$120,0))</f>
        <v>0</v>
      </c>
      <c r="Y116" s="102">
        <f>IF(OR($D116=W,$D116=WS),'INPUT Reg'!AU$118,IF($D116=RW,'INPUT Reg'!AU$120,0))</f>
        <v>0</v>
      </c>
      <c r="Z116" s="102">
        <f>IF(OR($D116=W,$D116=WS),'INPUT Reg'!AV$118,IF($D116=RW,'INPUT Reg'!AV$120,0))</f>
        <v>0</v>
      </c>
      <c r="AA116" s="102">
        <f>IF(OR($D116=W,$D116=WS),'INPUT Reg'!AW$118,IF($D116=RW,'INPUT Reg'!AW$120,0))</f>
        <v>0</v>
      </c>
    </row>
    <row r="117" spans="1:27" x14ac:dyDescent="0.25">
      <c r="B117" s="47" t="str">
        <f>B111</f>
        <v>Central</v>
      </c>
      <c r="C117" s="47" t="str">
        <f t="shared" ref="C117:D117" si="40">C111</f>
        <v>N</v>
      </c>
      <c r="D117" s="47" t="str">
        <f t="shared" si="40"/>
        <v>Recycled</v>
      </c>
      <c r="E117" s="47" t="s">
        <v>662</v>
      </c>
      <c r="F117" s="47" t="s">
        <v>661</v>
      </c>
      <c r="H117" s="102"/>
      <c r="I117" s="102"/>
      <c r="J117" s="102"/>
      <c r="K117" s="102"/>
      <c r="L117" s="102"/>
      <c r="M117" s="102"/>
      <c r="N117" s="102"/>
      <c r="O117" s="102"/>
      <c r="P117" s="102"/>
      <c r="Q117" s="102"/>
      <c r="R117" s="102"/>
      <c r="S117" s="102"/>
      <c r="T117" s="102"/>
      <c r="U117" s="102"/>
      <c r="V117" s="102"/>
      <c r="W117" s="102"/>
      <c r="X117" s="102"/>
      <c r="Y117" s="102"/>
      <c r="Z117" s="102"/>
      <c r="AA117" s="102"/>
    </row>
    <row r="118" spans="1:27" x14ac:dyDescent="0.25">
      <c r="B118" s="47" t="str">
        <f>B111</f>
        <v>Central</v>
      </c>
      <c r="C118" s="47" t="str">
        <f t="shared" ref="C118:D118" si="41">C111</f>
        <v>N</v>
      </c>
      <c r="D118" s="47" t="str">
        <f t="shared" si="41"/>
        <v>Recycled</v>
      </c>
      <c r="E118" s="47" t="s">
        <v>663</v>
      </c>
      <c r="F118" s="47" t="s">
        <v>661</v>
      </c>
      <c r="H118" s="102">
        <f>IF(OR($D118=S,$D118=WS),'INPUT Reg'!AD$119,0)</f>
        <v>0</v>
      </c>
      <c r="I118" s="102">
        <f>IF(OR($D118=S,$D118=WS),'INPUT Reg'!AE$119,0)</f>
        <v>0</v>
      </c>
      <c r="J118" s="102">
        <f>IF(OR($D118=S,$D118=WS),'INPUT Reg'!AF$119,0)</f>
        <v>0</v>
      </c>
      <c r="K118" s="102">
        <f>IF(OR($D118=S,$D118=WS),'INPUT Reg'!AG$119,0)</f>
        <v>0</v>
      </c>
      <c r="L118" s="102">
        <f>IF(OR($D118=S,$D118=WS),'INPUT Reg'!AH$119,0)</f>
        <v>0</v>
      </c>
      <c r="M118" s="102">
        <f>IF(OR($D118=S,$D118=WS),'INPUT Reg'!AI$119,0)</f>
        <v>0</v>
      </c>
      <c r="N118" s="102">
        <f>IF(OR($D118=S,$D118=WS),'INPUT Reg'!AJ$119,0)</f>
        <v>0</v>
      </c>
      <c r="O118" s="102">
        <f>IF(OR($D118=S,$D118=WS),'INPUT Reg'!AK$119,0)</f>
        <v>0</v>
      </c>
      <c r="P118" s="102">
        <f>IF(OR($D118=S,$D118=WS),'INPUT Reg'!AL$119,0)</f>
        <v>0</v>
      </c>
      <c r="Q118" s="102">
        <f>IF(OR($D118=S,$D118=WS),'INPUT Reg'!AM$119,0)</f>
        <v>0</v>
      </c>
      <c r="R118" s="102">
        <f>IF(OR($D118=S,$D118=WS),'INPUT Reg'!AN$119,0)</f>
        <v>0</v>
      </c>
      <c r="S118" s="102">
        <f>IF(OR($D118=S,$D118=WS),'INPUT Reg'!AO$119,0)</f>
        <v>0</v>
      </c>
      <c r="T118" s="102">
        <f>IF(OR($D118=S,$D118=WS),'INPUT Reg'!AP$119,0)</f>
        <v>0</v>
      </c>
      <c r="U118" s="102">
        <f>IF(OR($D118=S,$D118=WS),'INPUT Reg'!AQ$119,0)</f>
        <v>0</v>
      </c>
      <c r="V118" s="102">
        <f>IF(OR($D118=S,$D118=WS),'INPUT Reg'!AR$119,0)</f>
        <v>0</v>
      </c>
      <c r="W118" s="102">
        <f>IF(OR($D118=S,$D118=WS),'INPUT Reg'!AS$119,0)</f>
        <v>0</v>
      </c>
      <c r="X118" s="102">
        <f>IF(OR($D118=S,$D118=WS),'INPUT Reg'!AT$119,0)</f>
        <v>0</v>
      </c>
      <c r="Y118" s="102">
        <f>IF(OR($D118=S,$D118=WS),'INPUT Reg'!AU$119,0)</f>
        <v>0</v>
      </c>
      <c r="Z118" s="102">
        <f>IF(OR($D118=S,$D118=WS),'INPUT Reg'!AV$119,0)</f>
        <v>0</v>
      </c>
      <c r="AA118" s="102">
        <f>IF(OR($D118=S,$D118=WS),'INPUT Reg'!AW$119,0)</f>
        <v>0</v>
      </c>
    </row>
    <row r="119" spans="1:27" x14ac:dyDescent="0.25">
      <c r="C119" s="100"/>
      <c r="D119" s="100"/>
      <c r="E119" s="47" t="s">
        <v>664</v>
      </c>
      <c r="F119" s="47" t="s">
        <v>665</v>
      </c>
      <c r="H119" s="106">
        <f>H112*H116</f>
        <v>0</v>
      </c>
      <c r="I119" s="106">
        <f t="shared" ref="I119:AA119" si="42">I112*I116</f>
        <v>0</v>
      </c>
      <c r="J119" s="106">
        <f t="shared" si="42"/>
        <v>0</v>
      </c>
      <c r="K119" s="106">
        <f t="shared" si="42"/>
        <v>0</v>
      </c>
      <c r="L119" s="106">
        <f t="shared" si="42"/>
        <v>0</v>
      </c>
      <c r="M119" s="106">
        <f t="shared" si="42"/>
        <v>0</v>
      </c>
      <c r="N119" s="106">
        <f t="shared" si="42"/>
        <v>0</v>
      </c>
      <c r="O119" s="106">
        <f t="shared" si="42"/>
        <v>0</v>
      </c>
      <c r="P119" s="106">
        <f t="shared" si="42"/>
        <v>0</v>
      </c>
      <c r="Q119" s="106">
        <f t="shared" si="42"/>
        <v>0</v>
      </c>
      <c r="R119" s="106">
        <f t="shared" si="42"/>
        <v>0</v>
      </c>
      <c r="S119" s="106">
        <f t="shared" si="42"/>
        <v>0</v>
      </c>
      <c r="T119" s="106">
        <f t="shared" si="42"/>
        <v>0</v>
      </c>
      <c r="U119" s="106">
        <f t="shared" si="42"/>
        <v>0</v>
      </c>
      <c r="V119" s="106">
        <f t="shared" si="42"/>
        <v>0</v>
      </c>
      <c r="W119" s="106">
        <f t="shared" si="42"/>
        <v>0</v>
      </c>
      <c r="X119" s="106">
        <f t="shared" si="42"/>
        <v>0</v>
      </c>
      <c r="Y119" s="106">
        <f t="shared" si="42"/>
        <v>0</v>
      </c>
      <c r="Z119" s="106">
        <f t="shared" si="42"/>
        <v>0</v>
      </c>
      <c r="AA119" s="106">
        <f t="shared" si="42"/>
        <v>0</v>
      </c>
    </row>
    <row r="120" spans="1:27" x14ac:dyDescent="0.25">
      <c r="C120" s="100"/>
      <c r="D120" s="100"/>
      <c r="E120" s="47" t="s">
        <v>666</v>
      </c>
      <c r="F120" s="47" t="s">
        <v>665</v>
      </c>
      <c r="H120" s="106">
        <f>H112*H117</f>
        <v>0</v>
      </c>
      <c r="I120" s="106">
        <f t="shared" ref="I120:AA120" si="43">I112*I117</f>
        <v>0</v>
      </c>
      <c r="J120" s="106">
        <f t="shared" si="43"/>
        <v>0</v>
      </c>
      <c r="K120" s="106">
        <f t="shared" si="43"/>
        <v>0</v>
      </c>
      <c r="L120" s="106">
        <f t="shared" si="43"/>
        <v>0</v>
      </c>
      <c r="M120" s="106">
        <f t="shared" si="43"/>
        <v>0</v>
      </c>
      <c r="N120" s="106">
        <f t="shared" si="43"/>
        <v>0</v>
      </c>
      <c r="O120" s="106">
        <f t="shared" si="43"/>
        <v>0</v>
      </c>
      <c r="P120" s="106">
        <f t="shared" si="43"/>
        <v>0</v>
      </c>
      <c r="Q120" s="106">
        <f t="shared" si="43"/>
        <v>0</v>
      </c>
      <c r="R120" s="106">
        <f t="shared" si="43"/>
        <v>0</v>
      </c>
      <c r="S120" s="106">
        <f t="shared" si="43"/>
        <v>0</v>
      </c>
      <c r="T120" s="106">
        <f t="shared" si="43"/>
        <v>0</v>
      </c>
      <c r="U120" s="106">
        <f t="shared" si="43"/>
        <v>0</v>
      </c>
      <c r="V120" s="106">
        <f t="shared" si="43"/>
        <v>0</v>
      </c>
      <c r="W120" s="106">
        <f t="shared" si="43"/>
        <v>0</v>
      </c>
      <c r="X120" s="106">
        <f t="shared" si="43"/>
        <v>0</v>
      </c>
      <c r="Y120" s="106">
        <f t="shared" si="43"/>
        <v>0</v>
      </c>
      <c r="Z120" s="106">
        <f t="shared" si="43"/>
        <v>0</v>
      </c>
      <c r="AA120" s="106">
        <f t="shared" si="43"/>
        <v>0</v>
      </c>
    </row>
    <row r="121" spans="1:27" x14ac:dyDescent="0.25">
      <c r="C121" s="100"/>
      <c r="D121" s="100"/>
      <c r="E121" s="47" t="s">
        <v>667</v>
      </c>
      <c r="F121" s="47" t="s">
        <v>665</v>
      </c>
      <c r="H121" s="106">
        <f>H112*H118</f>
        <v>0</v>
      </c>
      <c r="I121" s="106">
        <f t="shared" ref="I121:AA121" si="44">I112*I118</f>
        <v>0</v>
      </c>
      <c r="J121" s="106">
        <f t="shared" si="44"/>
        <v>0</v>
      </c>
      <c r="K121" s="106">
        <f t="shared" si="44"/>
        <v>0</v>
      </c>
      <c r="L121" s="106">
        <f t="shared" si="44"/>
        <v>0</v>
      </c>
      <c r="M121" s="106">
        <f t="shared" si="44"/>
        <v>0</v>
      </c>
      <c r="N121" s="106">
        <f t="shared" si="44"/>
        <v>0</v>
      </c>
      <c r="O121" s="106">
        <f t="shared" si="44"/>
        <v>0</v>
      </c>
      <c r="P121" s="106">
        <f t="shared" si="44"/>
        <v>0</v>
      </c>
      <c r="Q121" s="106">
        <f t="shared" si="44"/>
        <v>0</v>
      </c>
      <c r="R121" s="106">
        <f t="shared" si="44"/>
        <v>0</v>
      </c>
      <c r="S121" s="106">
        <f t="shared" si="44"/>
        <v>0</v>
      </c>
      <c r="T121" s="106">
        <f t="shared" si="44"/>
        <v>0</v>
      </c>
      <c r="U121" s="106">
        <f t="shared" si="44"/>
        <v>0</v>
      </c>
      <c r="V121" s="106">
        <f t="shared" si="44"/>
        <v>0</v>
      </c>
      <c r="W121" s="106">
        <f t="shared" si="44"/>
        <v>0</v>
      </c>
      <c r="X121" s="106">
        <f t="shared" si="44"/>
        <v>0</v>
      </c>
      <c r="Y121" s="106">
        <f t="shared" si="44"/>
        <v>0</v>
      </c>
      <c r="Z121" s="106">
        <f t="shared" si="44"/>
        <v>0</v>
      </c>
      <c r="AA121" s="106">
        <f t="shared" si="44"/>
        <v>0</v>
      </c>
    </row>
    <row r="122" spans="1:27" x14ac:dyDescent="0.25">
      <c r="A122" s="101">
        <v>23</v>
      </c>
      <c r="B122" s="47" t="str">
        <f>B116</f>
        <v>Central</v>
      </c>
      <c r="C122" s="47" t="str">
        <f t="shared" ref="C122:D122" si="45">C116</f>
        <v>N</v>
      </c>
      <c r="D122" s="47" t="str">
        <f t="shared" si="45"/>
        <v>Recycled</v>
      </c>
      <c r="E122" s="47" t="s">
        <v>668</v>
      </c>
      <c r="F122" s="47" t="s">
        <v>633</v>
      </c>
      <c r="H122" s="105">
        <f>SUMIFS('INPUT Reg'!AD$94:AD$109,'INPUT Reg'!$D$94:$D$109,$D122,'INPUT Reg'!$C$94:$C$109,$C122,'INPUT Reg'!$B$94:$B$109,$B122)</f>
        <v>-2.4774657792713262E-3</v>
      </c>
      <c r="I122" s="105">
        <f>SUMIFS('INPUT Reg'!AE$94:AE$109,'INPUT Reg'!$D$94:$D$109,$D122,'INPUT Reg'!$C$94:$C$109,$C122,'INPUT Reg'!$B$94:$B$109,$B122)</f>
        <v>-2.4836188600058096E-3</v>
      </c>
      <c r="J122" s="105">
        <f>SUMIFS('INPUT Reg'!AF$94:AF$109,'INPUT Reg'!$D$94:$D$109,$D122,'INPUT Reg'!$C$94:$C$109,$C122,'INPUT Reg'!$B$94:$B$109,$B122)</f>
        <v>-2.489802580652789E-3</v>
      </c>
      <c r="K122" s="105">
        <f>SUMIFS('INPUT Reg'!AG$94:AG$109,'INPUT Reg'!$D$94:$D$109,$D122,'INPUT Reg'!$C$94:$C$109,$C122,'INPUT Reg'!$B$94:$B$109,$B122)</f>
        <v>-2.4960171706456258E-3</v>
      </c>
      <c r="L122" s="105">
        <f>SUMIFS('INPUT Reg'!AH$94:AH$109,'INPUT Reg'!$D$94:$D$109,$D122,'INPUT Reg'!$C$94:$C$109,$C122,'INPUT Reg'!$B$94:$B$109,$B122)</f>
        <v>-1.3710973262105464E-3</v>
      </c>
      <c r="M122" s="105">
        <f>SUMIFS('INPUT Reg'!AI$94:AI$109,'INPUT Reg'!$D$94:$D$109,$D122,'INPUT Reg'!$C$94:$C$109,$C122,'INPUT Reg'!$B$94:$B$109,$B122)</f>
        <v>-1.3729798151640438E-3</v>
      </c>
      <c r="N122" s="105">
        <f>SUMIFS('INPUT Reg'!AJ$94:AJ$109,'INPUT Reg'!$D$94:$D$109,$D122,'INPUT Reg'!$C$94:$C$109,$C122,'INPUT Reg'!$B$94:$B$109,$B122)</f>
        <v>-1.3748674804632266E-3</v>
      </c>
      <c r="O122" s="105">
        <f>SUMIFS('INPUT Reg'!AK$94:AK$109,'INPUT Reg'!$D$94:$D$109,$D122,'INPUT Reg'!$C$94:$C$109,$C122,'INPUT Reg'!$B$94:$B$109,$B122)</f>
        <v>-1.3767603434878817E-3</v>
      </c>
      <c r="P122" s="105">
        <f>SUMIFS('INPUT Reg'!AL$94:AL$109,'INPUT Reg'!$D$94:$D$109,$D122,'INPUT Reg'!$C$94:$C$109,$C122,'INPUT Reg'!$B$94:$B$109,$B122)</f>
        <v>3.1709555706203041E-3</v>
      </c>
      <c r="Q122" s="105">
        <f>SUMIFS('INPUT Reg'!AM$94:AM$109,'INPUT Reg'!$D$94:$D$109,$D122,'INPUT Reg'!$C$94:$C$109,$C122,'INPUT Reg'!$B$94:$B$109,$B122)</f>
        <v>-0.17233996913209249</v>
      </c>
      <c r="R122" s="105">
        <f>SUMIFS('INPUT Reg'!AN$94:AN$109,'INPUT Reg'!$D$94:$D$109,$D122,'INPUT Reg'!$C$94:$C$109,$C122,'INPUT Reg'!$B$94:$B$109,$B122)</f>
        <v>3.4635108234759571E-6</v>
      </c>
      <c r="S122" s="105">
        <f>SUMIFS('INPUT Reg'!AO$94:AO$109,'INPUT Reg'!$D$94:$D$109,$D122,'INPUT Reg'!$C$94:$C$109,$C122,'INPUT Reg'!$B$94:$B$109,$B122)</f>
        <v>3.6518431074661351E-6</v>
      </c>
      <c r="T122" s="105">
        <f>SUMIFS('INPUT Reg'!AP$94:AP$109,'INPUT Reg'!$D$94:$D$109,$D122,'INPUT Reg'!$C$94:$C$109,$C122,'INPUT Reg'!$B$94:$B$109,$B122)</f>
        <v>2.1076914509254863E-6</v>
      </c>
      <c r="U122" s="105">
        <f>SUMIFS('INPUT Reg'!AQ$94:AQ$109,'INPUT Reg'!$D$94:$D$109,$D122,'INPUT Reg'!$C$94:$C$109,$C122,'INPUT Reg'!$B$94:$B$109,$B122)</f>
        <v>2.5137960331100828E-6</v>
      </c>
      <c r="V122" s="105">
        <f>SUMIFS('INPUT Reg'!AR$94:AR$109,'INPUT Reg'!$D$94:$D$109,$D122,'INPUT Reg'!$C$94:$C$109,$C122,'INPUT Reg'!$B$94:$B$109,$B122)</f>
        <v>-0.10789710723483914</v>
      </c>
      <c r="W122" s="105">
        <f>SUMIFS('INPUT Reg'!AS$94:AS$109,'INPUT Reg'!$D$94:$D$109,$D122,'INPUT Reg'!$C$94:$C$109,$C122,'INPUT Reg'!$B$94:$B$109,$B122)</f>
        <v>2.9002174235515099E-6</v>
      </c>
      <c r="X122" s="105">
        <f>SUMIFS('INPUT Reg'!AT$94:AT$109,'INPUT Reg'!$D$94:$D$109,$D122,'INPUT Reg'!$C$94:$C$109,$C122,'INPUT Reg'!$B$94:$B$109,$B122)</f>
        <v>2.183856211424029E-6</v>
      </c>
      <c r="Y122" s="105">
        <f>SUMIFS('INPUT Reg'!AU$94:AU$109,'INPUT Reg'!$D$94:$D$109,$D122,'INPUT Reg'!$C$94:$C$109,$C122,'INPUT Reg'!$B$94:$B$109,$B122)</f>
        <v>2.2698471480175897E-6</v>
      </c>
      <c r="Z122" s="105">
        <f>SUMIFS('INPUT Reg'!AV$94:AV$109,'INPUT Reg'!$D$94:$D$109,$D122,'INPUT Reg'!$C$94:$C$109,$C122,'INPUT Reg'!$B$94:$B$109,$B122)</f>
        <v>2.0534963258711514E-6</v>
      </c>
      <c r="AA122" s="105">
        <f>SUMIFS('INPUT Reg'!AW$94:AW$109,'INPUT Reg'!$D$94:$D$109,$D122,'INPUT Reg'!$C$94:$C$109,$C122,'INPUT Reg'!$B$94:$B$109,$B122)</f>
        <v>0</v>
      </c>
    </row>
    <row r="123" spans="1:27" x14ac:dyDescent="0.25">
      <c r="A123" s="101">
        <v>24</v>
      </c>
      <c r="B123" s="47" t="str">
        <f>B111</f>
        <v>Central</v>
      </c>
      <c r="C123" s="47" t="str">
        <f t="shared" ref="C123:D123" si="46">C111</f>
        <v>N</v>
      </c>
      <c r="D123" s="47" t="str">
        <f t="shared" si="46"/>
        <v>Recycled</v>
      </c>
      <c r="E123" s="47" t="s">
        <v>669</v>
      </c>
      <c r="F123" s="47" t="s">
        <v>670</v>
      </c>
      <c r="G123" s="108">
        <f>IF(D123=W,CWW_N_W_N,IF(D123=S,CWW_N_S_N,IF(D123=WS, CWW_N_W_N+CWW_N_S_N,CWW_N_R_F)))</f>
        <v>0</v>
      </c>
      <c r="H123" s="106">
        <f>G123*(1+$G$14)*(1+H122)</f>
        <v>0</v>
      </c>
      <c r="I123" s="106">
        <f t="shared" ref="I123:AA123" si="47">H123*(1+$G$14)*(1+I122)</f>
        <v>0</v>
      </c>
      <c r="J123" s="106">
        <f t="shared" si="47"/>
        <v>0</v>
      </c>
      <c r="K123" s="106">
        <f t="shared" si="47"/>
        <v>0</v>
      </c>
      <c r="L123" s="106">
        <f t="shared" si="47"/>
        <v>0</v>
      </c>
      <c r="M123" s="106">
        <f t="shared" si="47"/>
        <v>0</v>
      </c>
      <c r="N123" s="106">
        <f t="shared" si="47"/>
        <v>0</v>
      </c>
      <c r="O123" s="106">
        <f t="shared" si="47"/>
        <v>0</v>
      </c>
      <c r="P123" s="106">
        <f t="shared" si="47"/>
        <v>0</v>
      </c>
      <c r="Q123" s="106">
        <f t="shared" si="47"/>
        <v>0</v>
      </c>
      <c r="R123" s="106">
        <f t="shared" si="47"/>
        <v>0</v>
      </c>
      <c r="S123" s="106">
        <f t="shared" si="47"/>
        <v>0</v>
      </c>
      <c r="T123" s="106">
        <f t="shared" si="47"/>
        <v>0</v>
      </c>
      <c r="U123" s="106">
        <f t="shared" si="47"/>
        <v>0</v>
      </c>
      <c r="V123" s="106">
        <f t="shared" si="47"/>
        <v>0</v>
      </c>
      <c r="W123" s="106">
        <f t="shared" si="47"/>
        <v>0</v>
      </c>
      <c r="X123" s="106">
        <f t="shared" si="47"/>
        <v>0</v>
      </c>
      <c r="Y123" s="106">
        <f t="shared" si="47"/>
        <v>0</v>
      </c>
      <c r="Z123" s="106">
        <f t="shared" si="47"/>
        <v>0</v>
      </c>
      <c r="AA123" s="106">
        <f t="shared" si="47"/>
        <v>0</v>
      </c>
    </row>
    <row r="124" spans="1:27" x14ac:dyDescent="0.25">
      <c r="B124" s="47" t="str">
        <f>B111</f>
        <v>Central</v>
      </c>
      <c r="C124" s="47" t="str">
        <f t="shared" ref="C124:D124" si="48">C111</f>
        <v>N</v>
      </c>
      <c r="D124" s="47" t="str">
        <f t="shared" si="48"/>
        <v>Recycled</v>
      </c>
      <c r="E124" s="47" t="s">
        <v>671</v>
      </c>
      <c r="F124" s="47" t="s">
        <v>672</v>
      </c>
      <c r="G124" s="109">
        <f>IF(OR(D124=W,D124=WS),CWW_N_W_V,IF(D124=RW,CWW_N_R_V,0))</f>
        <v>2.6147999999999998</v>
      </c>
      <c r="H124" s="110">
        <f>G124*(1+$G$14)*(1+H122)</f>
        <v>2.6083219224803611</v>
      </c>
      <c r="I124" s="110">
        <f t="shared" ref="I124:AA124" si="49">H124*(1+$G$14)*(1+I122)</f>
        <v>2.6018438449607224</v>
      </c>
      <c r="J124" s="110">
        <f t="shared" si="49"/>
        <v>2.5953657674410837</v>
      </c>
      <c r="K124" s="110">
        <f t="shared" si="49"/>
        <v>2.588887689921445</v>
      </c>
      <c r="L124" s="110">
        <f t="shared" si="49"/>
        <v>2.5853380729319344</v>
      </c>
      <c r="M124" s="110">
        <f t="shared" si="49"/>
        <v>2.5817884559424238</v>
      </c>
      <c r="N124" s="110">
        <f t="shared" si="49"/>
        <v>2.5782388389529132</v>
      </c>
      <c r="O124" s="110">
        <f t="shared" si="49"/>
        <v>2.5746892219634026</v>
      </c>
      <c r="P124" s="110">
        <f t="shared" si="49"/>
        <v>2.5828534470944033</v>
      </c>
      <c r="Q124" s="110">
        <f t="shared" si="49"/>
        <v>2.1377245637494351</v>
      </c>
      <c r="R124" s="110">
        <f t="shared" si="49"/>
        <v>2.1377319677815994</v>
      </c>
      <c r="S124" s="110">
        <f t="shared" si="49"/>
        <v>2.1377397744433515</v>
      </c>
      <c r="T124" s="110">
        <f t="shared" si="49"/>
        <v>2.1377442801391986</v>
      </c>
      <c r="U124" s="110">
        <f t="shared" si="49"/>
        <v>2.13774965399229</v>
      </c>
      <c r="V124" s="110">
        <f t="shared" si="49"/>
        <v>1.9070926503342436</v>
      </c>
      <c r="W124" s="110">
        <f t="shared" si="49"/>
        <v>1.9070981813175765</v>
      </c>
      <c r="X124" s="110">
        <f t="shared" si="49"/>
        <v>1.9071023461457854</v>
      </c>
      <c r="Y124" s="110">
        <f t="shared" si="49"/>
        <v>1.9071066749766068</v>
      </c>
      <c r="Z124" s="110">
        <f t="shared" si="49"/>
        <v>1.907110591213157</v>
      </c>
      <c r="AA124" s="110">
        <f t="shared" si="49"/>
        <v>1.907110591213157</v>
      </c>
    </row>
    <row r="125" spans="1:27" x14ac:dyDescent="0.25">
      <c r="B125" s="47" t="str">
        <f>B111</f>
        <v>Central</v>
      </c>
      <c r="C125" s="47" t="str">
        <f t="shared" ref="C125:D125" si="50">C111</f>
        <v>N</v>
      </c>
      <c r="D125" s="47" t="str">
        <f t="shared" si="50"/>
        <v>Recycled</v>
      </c>
      <c r="E125" s="47" t="s">
        <v>673</v>
      </c>
      <c r="F125" s="47" t="s">
        <v>672</v>
      </c>
      <c r="G125" s="109"/>
      <c r="H125" s="110">
        <f>G125*(1+$G$14)*(1+H122)</f>
        <v>0</v>
      </c>
      <c r="I125" s="110">
        <f t="shared" ref="I125:AA125" si="51">H125*(1+$G$14)*(1+I122)</f>
        <v>0</v>
      </c>
      <c r="J125" s="110">
        <f t="shared" si="51"/>
        <v>0</v>
      </c>
      <c r="K125" s="110">
        <f t="shared" si="51"/>
        <v>0</v>
      </c>
      <c r="L125" s="110">
        <f t="shared" si="51"/>
        <v>0</v>
      </c>
      <c r="M125" s="110">
        <f t="shared" si="51"/>
        <v>0</v>
      </c>
      <c r="N125" s="110">
        <f t="shared" si="51"/>
        <v>0</v>
      </c>
      <c r="O125" s="110">
        <f t="shared" si="51"/>
        <v>0</v>
      </c>
      <c r="P125" s="110">
        <f t="shared" si="51"/>
        <v>0</v>
      </c>
      <c r="Q125" s="110">
        <f t="shared" si="51"/>
        <v>0</v>
      </c>
      <c r="R125" s="110">
        <f t="shared" si="51"/>
        <v>0</v>
      </c>
      <c r="S125" s="110">
        <f t="shared" si="51"/>
        <v>0</v>
      </c>
      <c r="T125" s="110">
        <f t="shared" si="51"/>
        <v>0</v>
      </c>
      <c r="U125" s="110">
        <f t="shared" si="51"/>
        <v>0</v>
      </c>
      <c r="V125" s="110">
        <f t="shared" si="51"/>
        <v>0</v>
      </c>
      <c r="W125" s="110">
        <f t="shared" si="51"/>
        <v>0</v>
      </c>
      <c r="X125" s="110">
        <f t="shared" si="51"/>
        <v>0</v>
      </c>
      <c r="Y125" s="110">
        <f t="shared" si="51"/>
        <v>0</v>
      </c>
      <c r="Z125" s="110">
        <f t="shared" si="51"/>
        <v>0</v>
      </c>
      <c r="AA125" s="110">
        <f t="shared" si="51"/>
        <v>0</v>
      </c>
    </row>
    <row r="126" spans="1:27" x14ac:dyDescent="0.25">
      <c r="B126" s="47" t="str">
        <f>B111</f>
        <v>Central</v>
      </c>
      <c r="C126" s="47" t="str">
        <f t="shared" ref="C126:D126" si="52">C111</f>
        <v>N</v>
      </c>
      <c r="D126" s="47" t="str">
        <f t="shared" si="52"/>
        <v>Recycled</v>
      </c>
      <c r="E126" s="47" t="s">
        <v>674</v>
      </c>
      <c r="F126" s="47" t="s">
        <v>672</v>
      </c>
      <c r="G126" s="109">
        <f>IF(OR(D126=S,D126=WS),CWW_N_SDC,0)</f>
        <v>0</v>
      </c>
      <c r="H126" s="110">
        <f>G126*(1+$G$14)*(1+H122)</f>
        <v>0</v>
      </c>
      <c r="I126" s="110">
        <f t="shared" ref="I126:AA126" si="53">H126*(1+$G$14)*(1+I122)</f>
        <v>0</v>
      </c>
      <c r="J126" s="110">
        <f t="shared" si="53"/>
        <v>0</v>
      </c>
      <c r="K126" s="110">
        <f t="shared" si="53"/>
        <v>0</v>
      </c>
      <c r="L126" s="110">
        <f t="shared" si="53"/>
        <v>0</v>
      </c>
      <c r="M126" s="110">
        <f t="shared" si="53"/>
        <v>0</v>
      </c>
      <c r="N126" s="110">
        <f t="shared" si="53"/>
        <v>0</v>
      </c>
      <c r="O126" s="110">
        <f t="shared" si="53"/>
        <v>0</v>
      </c>
      <c r="P126" s="110">
        <f t="shared" si="53"/>
        <v>0</v>
      </c>
      <c r="Q126" s="110">
        <f t="shared" si="53"/>
        <v>0</v>
      </c>
      <c r="R126" s="110">
        <f t="shared" si="53"/>
        <v>0</v>
      </c>
      <c r="S126" s="110">
        <f t="shared" si="53"/>
        <v>0</v>
      </c>
      <c r="T126" s="110">
        <f t="shared" si="53"/>
        <v>0</v>
      </c>
      <c r="U126" s="110">
        <f t="shared" si="53"/>
        <v>0</v>
      </c>
      <c r="V126" s="110">
        <f t="shared" si="53"/>
        <v>0</v>
      </c>
      <c r="W126" s="110">
        <f t="shared" si="53"/>
        <v>0</v>
      </c>
      <c r="X126" s="110">
        <f t="shared" si="53"/>
        <v>0</v>
      </c>
      <c r="Y126" s="110">
        <f t="shared" si="53"/>
        <v>0</v>
      </c>
      <c r="Z126" s="110">
        <f t="shared" si="53"/>
        <v>0</v>
      </c>
      <c r="AA126" s="110">
        <f t="shared" si="53"/>
        <v>0</v>
      </c>
    </row>
    <row r="127" spans="1:27" x14ac:dyDescent="0.25">
      <c r="C127" s="100"/>
      <c r="D127" s="100"/>
    </row>
    <row r="128" spans="1:27" x14ac:dyDescent="0.25">
      <c r="C128" s="100"/>
      <c r="D128" s="100"/>
      <c r="E128" s="47" t="s">
        <v>679</v>
      </c>
      <c r="F128" s="47" t="s">
        <v>676</v>
      </c>
      <c r="H128" s="106">
        <f>SUM(H119:H121)/1000</f>
        <v>0</v>
      </c>
      <c r="I128" s="106">
        <f t="shared" ref="I128:AA128" si="54">SUM(I119:I121)/1000</f>
        <v>0</v>
      </c>
      <c r="J128" s="106">
        <f t="shared" si="54"/>
        <v>0</v>
      </c>
      <c r="K128" s="106">
        <f t="shared" si="54"/>
        <v>0</v>
      </c>
      <c r="L128" s="106">
        <f t="shared" si="54"/>
        <v>0</v>
      </c>
      <c r="M128" s="106">
        <f t="shared" si="54"/>
        <v>0</v>
      </c>
      <c r="N128" s="106">
        <f t="shared" si="54"/>
        <v>0</v>
      </c>
      <c r="O128" s="106">
        <f t="shared" si="54"/>
        <v>0</v>
      </c>
      <c r="P128" s="106">
        <f t="shared" si="54"/>
        <v>0</v>
      </c>
      <c r="Q128" s="106">
        <f t="shared" si="54"/>
        <v>0</v>
      </c>
      <c r="R128" s="106">
        <f t="shared" si="54"/>
        <v>0</v>
      </c>
      <c r="S128" s="106">
        <f t="shared" si="54"/>
        <v>0</v>
      </c>
      <c r="T128" s="106">
        <f t="shared" si="54"/>
        <v>0</v>
      </c>
      <c r="U128" s="106">
        <f t="shared" si="54"/>
        <v>0</v>
      </c>
      <c r="V128" s="106">
        <f t="shared" si="54"/>
        <v>0</v>
      </c>
      <c r="W128" s="106">
        <f t="shared" si="54"/>
        <v>0</v>
      </c>
      <c r="X128" s="106">
        <f t="shared" si="54"/>
        <v>0</v>
      </c>
      <c r="Y128" s="106">
        <f t="shared" si="54"/>
        <v>0</v>
      </c>
      <c r="Z128" s="106">
        <f t="shared" si="54"/>
        <v>0</v>
      </c>
      <c r="AA128" s="106">
        <f t="shared" si="54"/>
        <v>0</v>
      </c>
    </row>
    <row r="129" spans="1:27" x14ac:dyDescent="0.25">
      <c r="C129" s="100"/>
      <c r="D129" s="100"/>
      <c r="E129" s="47" t="s">
        <v>680</v>
      </c>
      <c r="F129" s="47" t="s">
        <v>639</v>
      </c>
      <c r="H129" s="106">
        <f>H112*H123+H119*H124+H120*H125+H121*H126</f>
        <v>0</v>
      </c>
      <c r="I129" s="106">
        <f t="shared" ref="I129:AA129" si="55">I112*I123+I119*I124+I120*I125+I121*I126</f>
        <v>0</v>
      </c>
      <c r="J129" s="106">
        <f t="shared" si="55"/>
        <v>0</v>
      </c>
      <c r="K129" s="106">
        <f t="shared" si="55"/>
        <v>0</v>
      </c>
      <c r="L129" s="106">
        <f t="shared" si="55"/>
        <v>0</v>
      </c>
      <c r="M129" s="106">
        <f t="shared" si="55"/>
        <v>0</v>
      </c>
      <c r="N129" s="106">
        <f t="shared" si="55"/>
        <v>0</v>
      </c>
      <c r="O129" s="106">
        <f t="shared" si="55"/>
        <v>0</v>
      </c>
      <c r="P129" s="106">
        <f t="shared" si="55"/>
        <v>0</v>
      </c>
      <c r="Q129" s="106">
        <f t="shared" si="55"/>
        <v>0</v>
      </c>
      <c r="R129" s="106">
        <f t="shared" si="55"/>
        <v>0</v>
      </c>
      <c r="S129" s="106">
        <f t="shared" si="55"/>
        <v>0</v>
      </c>
      <c r="T129" s="106">
        <f t="shared" si="55"/>
        <v>0</v>
      </c>
      <c r="U129" s="106">
        <f t="shared" si="55"/>
        <v>0</v>
      </c>
      <c r="V129" s="106">
        <f t="shared" si="55"/>
        <v>0</v>
      </c>
      <c r="W129" s="106">
        <f t="shared" si="55"/>
        <v>0</v>
      </c>
      <c r="X129" s="106">
        <f t="shared" si="55"/>
        <v>0</v>
      </c>
      <c r="Y129" s="106">
        <f t="shared" si="55"/>
        <v>0</v>
      </c>
      <c r="Z129" s="106">
        <f t="shared" si="55"/>
        <v>0</v>
      </c>
      <c r="AA129" s="106">
        <f t="shared" si="55"/>
        <v>0</v>
      </c>
    </row>
    <row r="130" spans="1:27" x14ac:dyDescent="0.25">
      <c r="C130" s="100"/>
      <c r="D130" s="100"/>
    </row>
    <row r="131" spans="1:27" x14ac:dyDescent="0.25">
      <c r="C131" s="100"/>
      <c r="D131" s="47" t="s">
        <v>681</v>
      </c>
    </row>
    <row r="132" spans="1:27" x14ac:dyDescent="0.25">
      <c r="A132" s="101">
        <v>25</v>
      </c>
      <c r="B132" s="47" t="s">
        <v>265</v>
      </c>
      <c r="C132" s="100" t="s">
        <v>405</v>
      </c>
      <c r="D132" s="100" t="str">
        <f>$G$4</f>
        <v>Recycled</v>
      </c>
      <c r="E132" s="47" t="s">
        <v>654</v>
      </c>
      <c r="F132" s="47" t="s">
        <v>655</v>
      </c>
      <c r="H132" s="102">
        <f>IF($G$4="Water and sewer",SUMIFS('INPUT Growth'!AD$64:AD$115,'INPUT Growth'!$B$64:$B$115,$A$1,'INPUT Growth'!$F$64:$F$115,$B132,'INPUT Growth'!$E$64:$E$115,$C132),SUMIFS('INPUT Growth'!AD$64:AD$115,'INPUT Growth'!$A$64:$A$115,$A$1,'INPUT Growth'!$F$64:$F$115,$B132,'INPUT Growth'!$E$64:$E$115,$C132))</f>
        <v>590.02962699546151</v>
      </c>
      <c r="I132" s="102">
        <f>IF($G$4="Water and sewer",SUMIFS('INPUT Growth'!AE$64:AE$115,'INPUT Growth'!$B$64:$B$115,$A$1,'INPUT Growth'!$F$64:$F$115,$B132,'INPUT Growth'!$E$64:$E$115,$C132),SUMIFS('INPUT Growth'!AE$64:AE$115,'INPUT Growth'!$A$64:$A$115,$A$1,'INPUT Growth'!$F$64:$F$115,$B132,'INPUT Growth'!$E$64:$E$115,$C132))</f>
        <v>587.79639214560848</v>
      </c>
      <c r="J132" s="102">
        <f>IF($G$4="Water and sewer",SUMIFS('INPUT Growth'!AF$64:AF$115,'INPUT Growth'!$B$64:$B$115,$A$1,'INPUT Growth'!$F$64:$F$115,$B132,'INPUT Growth'!$E$64:$E$115,$C132),SUMIFS('INPUT Growth'!AF$64:AF$115,'INPUT Growth'!$A$64:$A$115,$A$1,'INPUT Growth'!$F$64:$F$115,$B132,'INPUT Growth'!$E$64:$E$115,$C132))</f>
        <v>408.39616419475351</v>
      </c>
      <c r="K132" s="102">
        <f>IF($G$4="Water and sewer",SUMIFS('INPUT Growth'!AG$64:AG$115,'INPUT Growth'!$B$64:$B$115,$A$1,'INPUT Growth'!$F$64:$F$115,$B132,'INPUT Growth'!$E$64:$E$115,$C132),SUMIFS('INPUT Growth'!AG$64:AG$115,'INPUT Growth'!$A$64:$A$115,$A$1,'INPUT Growth'!$F$64:$F$115,$B132,'INPUT Growth'!$E$64:$E$115,$C132))</f>
        <v>357.37045469124132</v>
      </c>
      <c r="L132" s="102">
        <f>IF($G$4="Water and sewer",SUMIFS('INPUT Growth'!AH$64:AH$115,'INPUT Growth'!$B$64:$B$115,$A$1,'INPUT Growth'!$F$64:$F$115,$B132,'INPUT Growth'!$E$64:$E$115,$C132),SUMIFS('INPUT Growth'!AH$64:AH$115,'INPUT Growth'!$A$64:$A$115,$A$1,'INPUT Growth'!$F$64:$F$115,$B132,'INPUT Growth'!$E$64:$E$115,$C132))</f>
        <v>310.26144888135241</v>
      </c>
      <c r="M132" s="102">
        <f>IF($G$4="Water and sewer",SUMIFS('INPUT Growth'!AI$64:AI$115,'INPUT Growth'!$B$64:$B$115,$A$1,'INPUT Growth'!$F$64:$F$115,$B132,'INPUT Growth'!$E$64:$E$115,$C132),SUMIFS('INPUT Growth'!AI$64:AI$115,'INPUT Growth'!$A$64:$A$115,$A$1,'INPUT Growth'!$F$64:$F$115,$B132,'INPUT Growth'!$E$64:$E$115,$C132))</f>
        <v>254.66895054675479</v>
      </c>
      <c r="N132" s="102">
        <f>IF($G$4="Water and sewer",SUMIFS('INPUT Growth'!AJ$64:AJ$115,'INPUT Growth'!$B$64:$B$115,$A$1,'INPUT Growth'!$F$64:$F$115,$B132,'INPUT Growth'!$E$64:$E$115,$C132),SUMIFS('INPUT Growth'!AJ$64:AJ$115,'INPUT Growth'!$A$64:$A$115,$A$1,'INPUT Growth'!$F$64:$F$115,$B132,'INPUT Growth'!$E$64:$E$115,$C132))</f>
        <v>249.4322945536278</v>
      </c>
      <c r="O132" s="102">
        <f>IF($G$4="Water and sewer",SUMIFS('INPUT Growth'!AK$64:AK$115,'INPUT Growth'!$B$64:$B$115,$A$1,'INPUT Growth'!$F$64:$F$115,$B132,'INPUT Growth'!$E$64:$E$115,$C132),SUMIFS('INPUT Growth'!AK$64:AK$115,'INPUT Growth'!$A$64:$A$115,$A$1,'INPUT Growth'!$F$64:$F$115,$B132,'INPUT Growth'!$E$64:$E$115,$C132))</f>
        <v>317.72612269536512</v>
      </c>
      <c r="P132" s="102">
        <f>IF($G$4="Water and sewer",SUMIFS('INPUT Growth'!AL$64:AL$115,'INPUT Growth'!$B$64:$B$115,$A$1,'INPUT Growth'!$F$64:$F$115,$B132,'INPUT Growth'!$E$64:$E$115,$C132),SUMIFS('INPUT Growth'!AL$64:AL$115,'INPUT Growth'!$A$64:$A$115,$A$1,'INPUT Growth'!$F$64:$F$115,$B132,'INPUT Growth'!$E$64:$E$115,$C132))</f>
        <v>310.01610762433847</v>
      </c>
      <c r="Q132" s="102">
        <f>IF($G$4="Water and sewer",SUMIFS('INPUT Growth'!AM$64:AM$115,'INPUT Growth'!$B$64:$B$115,$A$1,'INPUT Growth'!$F$64:$F$115,$B132,'INPUT Growth'!$E$64:$E$115,$C132),SUMIFS('INPUT Growth'!AM$64:AM$115,'INPUT Growth'!$A$64:$A$115,$A$1,'INPUT Growth'!$F$64:$F$115,$B132,'INPUT Growth'!$E$64:$E$115,$C132))</f>
        <v>280.60021068756396</v>
      </c>
      <c r="R132" s="102">
        <f>IF($G$4="Water and sewer",SUMIFS('INPUT Growth'!AN$64:AN$115,'INPUT Growth'!$B$64:$B$115,$A$1,'INPUT Growth'!$F$64:$F$115,$B132,'INPUT Growth'!$E$64:$E$115,$C132),SUMIFS('INPUT Growth'!AN$64:AN$115,'INPUT Growth'!$A$64:$A$115,$A$1,'INPUT Growth'!$F$64:$F$115,$B132,'INPUT Growth'!$E$64:$E$115,$C132))</f>
        <v>257.5041548870613</v>
      </c>
      <c r="S132" s="102">
        <f>IF($G$4="Water and sewer",SUMIFS('INPUT Growth'!AO$64:AO$115,'INPUT Growth'!$B$64:$B$115,$A$1,'INPUT Growth'!$F$64:$F$115,$B132,'INPUT Growth'!$E$64:$E$115,$C132),SUMIFS('INPUT Growth'!AO$64:AO$115,'INPUT Growth'!$A$64:$A$115,$A$1,'INPUT Growth'!$F$64:$F$115,$B132,'INPUT Growth'!$E$64:$E$115,$C132))</f>
        <v>230.90554163477464</v>
      </c>
      <c r="T132" s="102">
        <f>IF($G$4="Water and sewer",SUMIFS('INPUT Growth'!AP$64:AP$115,'INPUT Growth'!$B$64:$B$115,$A$1,'INPUT Growth'!$F$64:$F$115,$B132,'INPUT Growth'!$E$64:$E$115,$C132),SUMIFS('INPUT Growth'!AP$64:AP$115,'INPUT Growth'!$A$64:$A$115,$A$1,'INPUT Growth'!$F$64:$F$115,$B132,'INPUT Growth'!$E$64:$E$115,$C132))</f>
        <v>203.99886422778218</v>
      </c>
      <c r="U132" s="102">
        <f>IF($G$4="Water and sewer",SUMIFS('INPUT Growth'!AQ$64:AQ$115,'INPUT Growth'!$B$64:$B$115,$A$1,'INPUT Growth'!$F$64:$F$115,$B132,'INPUT Growth'!$E$64:$E$115,$C132),SUMIFS('INPUT Growth'!AQ$64:AQ$115,'INPUT Growth'!$A$64:$A$115,$A$1,'INPUT Growth'!$F$64:$F$115,$B132,'INPUT Growth'!$E$64:$E$115,$C132))</f>
        <v>182.29683615113026</v>
      </c>
      <c r="V132" s="102">
        <f>IF($G$4="Water and sewer",SUMIFS('INPUT Growth'!AR$64:AR$115,'INPUT Growth'!$B$64:$B$115,$A$1,'INPUT Growth'!$F$64:$F$115,$B132,'INPUT Growth'!$E$64:$E$115,$C132),SUMIFS('INPUT Growth'!AR$64:AR$115,'INPUT Growth'!$A$64:$A$115,$A$1,'INPUT Growth'!$F$64:$F$115,$B132,'INPUT Growth'!$E$64:$E$115,$C132))</f>
        <v>191.8560280857364</v>
      </c>
      <c r="W132" s="102">
        <f>IF($G$4="Water and sewer",SUMIFS('INPUT Growth'!AS$64:AS$115,'INPUT Growth'!$B$64:$B$115,$A$1,'INPUT Growth'!$F$64:$F$115,$B132,'INPUT Growth'!$E$64:$E$115,$C132),SUMIFS('INPUT Growth'!AS$64:AS$115,'INPUT Growth'!$A$64:$A$115,$A$1,'INPUT Growth'!$F$64:$F$115,$B132,'INPUT Growth'!$E$64:$E$115,$C132))</f>
        <v>241.16299136175621</v>
      </c>
      <c r="X132" s="102">
        <f>IF($G$4="Water and sewer",SUMIFS('INPUT Growth'!AT$64:AT$115,'INPUT Growth'!$B$64:$B$115,$A$1,'INPUT Growth'!$F$64:$F$115,$B132,'INPUT Growth'!$E$64:$E$115,$C132),SUMIFS('INPUT Growth'!AT$64:AT$115,'INPUT Growth'!$A$64:$A$115,$A$1,'INPUT Growth'!$F$64:$F$115,$B132,'INPUT Growth'!$E$64:$E$115,$C132))</f>
        <v>278.03876833322283</v>
      </c>
      <c r="Y132" s="102">
        <f>IF($G$4="Water and sewer",SUMIFS('INPUT Growth'!AU$64:AU$115,'INPUT Growth'!$B$64:$B$115,$A$1,'INPUT Growth'!$F$64:$F$115,$B132,'INPUT Growth'!$E$64:$E$115,$C132),SUMIFS('INPUT Growth'!AU$64:AU$115,'INPUT Growth'!$A$64:$A$115,$A$1,'INPUT Growth'!$F$64:$F$115,$B132,'INPUT Growth'!$E$64:$E$115,$C132))</f>
        <v>255.82050097307547</v>
      </c>
      <c r="Z132" s="102">
        <f>IF($G$4="Water and sewer",SUMIFS('INPUT Growth'!AV$64:AV$115,'INPUT Growth'!$B$64:$B$115,$A$1,'INPUT Growth'!$F$64:$F$115,$B132,'INPUT Growth'!$E$64:$E$115,$C132),SUMIFS('INPUT Growth'!AV$64:AV$115,'INPUT Growth'!$A$64:$A$115,$A$1,'INPUT Growth'!$F$64:$F$115,$B132,'INPUT Growth'!$E$64:$E$115,$C132))</f>
        <v>226.12926766935016</v>
      </c>
      <c r="AA132" s="102">
        <f>IF($G$4="Water and sewer",SUMIFS('INPUT Growth'!AW$64:AW$115,'INPUT Growth'!$B$64:$B$115,$A$1,'INPUT Growth'!$F$64:$F$115,$B132,'INPUT Growth'!$E$64:$E$115,$C132),SUMIFS('INPUT Growth'!AW$64:AW$115,'INPUT Growth'!$A$64:$A$115,$A$1,'INPUT Growth'!$F$64:$F$115,$B132,'INPUT Growth'!$E$64:$E$115,$C132))</f>
        <v>212.00091024339235</v>
      </c>
    </row>
    <row r="133" spans="1:27" x14ac:dyDescent="0.25">
      <c r="C133" s="100"/>
      <c r="D133" s="100"/>
      <c r="E133" s="47" t="s">
        <v>656</v>
      </c>
      <c r="F133" s="47" t="s">
        <v>655</v>
      </c>
      <c r="H133" s="106">
        <f>G133+H132</f>
        <v>590.02962699546151</v>
      </c>
      <c r="I133" s="106">
        <f t="shared" ref="I133:AA133" si="56">H133+I132</f>
        <v>1177.82601914107</v>
      </c>
      <c r="J133" s="106">
        <f t="shared" si="56"/>
        <v>1586.2221833358235</v>
      </c>
      <c r="K133" s="106">
        <f t="shared" si="56"/>
        <v>1943.5926380270648</v>
      </c>
      <c r="L133" s="106">
        <f t="shared" si="56"/>
        <v>2253.8540869084172</v>
      </c>
      <c r="M133" s="106">
        <f t="shared" si="56"/>
        <v>2508.523037455172</v>
      </c>
      <c r="N133" s="106">
        <f t="shared" si="56"/>
        <v>2757.9553320087998</v>
      </c>
      <c r="O133" s="106">
        <f t="shared" si="56"/>
        <v>3075.6814547041649</v>
      </c>
      <c r="P133" s="106">
        <f t="shared" si="56"/>
        <v>3385.6975623285034</v>
      </c>
      <c r="Q133" s="106">
        <f t="shared" si="56"/>
        <v>3666.2977730160674</v>
      </c>
      <c r="R133" s="106">
        <f t="shared" si="56"/>
        <v>3923.8019279031287</v>
      </c>
      <c r="S133" s="106">
        <f t="shared" si="56"/>
        <v>4154.7074695379033</v>
      </c>
      <c r="T133" s="106">
        <f t="shared" si="56"/>
        <v>4358.7063337656855</v>
      </c>
      <c r="U133" s="106">
        <f t="shared" si="56"/>
        <v>4541.0031699168158</v>
      </c>
      <c r="V133" s="106">
        <f t="shared" si="56"/>
        <v>4732.8591980025521</v>
      </c>
      <c r="W133" s="106">
        <f t="shared" si="56"/>
        <v>4974.0221893643084</v>
      </c>
      <c r="X133" s="106">
        <f t="shared" si="56"/>
        <v>5252.0609576975312</v>
      </c>
      <c r="Y133" s="106">
        <f t="shared" si="56"/>
        <v>5507.8814586706067</v>
      </c>
      <c r="Z133" s="106">
        <f t="shared" si="56"/>
        <v>5734.0107263399568</v>
      </c>
      <c r="AA133" s="106">
        <f t="shared" si="56"/>
        <v>5946.0116365833492</v>
      </c>
    </row>
    <row r="134" spans="1:27" x14ac:dyDescent="0.25">
      <c r="A134" s="101">
        <v>26</v>
      </c>
      <c r="C134" s="100"/>
      <c r="D134" s="100"/>
      <c r="E134" s="47" t="s">
        <v>657</v>
      </c>
      <c r="F134" s="47" t="s">
        <v>655</v>
      </c>
      <c r="G134" s="102">
        <v>1</v>
      </c>
    </row>
    <row r="135" spans="1:27" x14ac:dyDescent="0.25">
      <c r="C135" s="100"/>
      <c r="D135" s="100"/>
      <c r="E135" s="47" t="s">
        <v>658</v>
      </c>
      <c r="F135" s="47" t="s">
        <v>655</v>
      </c>
      <c r="H135" s="47">
        <f>H132*$G134</f>
        <v>590.02962699546151</v>
      </c>
      <c r="I135" s="47">
        <f t="shared" ref="I135:AA135" si="57">I132*$G134</f>
        <v>587.79639214560848</v>
      </c>
      <c r="J135" s="47">
        <f t="shared" si="57"/>
        <v>408.39616419475351</v>
      </c>
      <c r="K135" s="47">
        <f t="shared" si="57"/>
        <v>357.37045469124132</v>
      </c>
      <c r="L135" s="47">
        <f t="shared" si="57"/>
        <v>310.26144888135241</v>
      </c>
      <c r="M135" s="47">
        <f t="shared" si="57"/>
        <v>254.66895054675479</v>
      </c>
      <c r="N135" s="47">
        <f t="shared" si="57"/>
        <v>249.4322945536278</v>
      </c>
      <c r="O135" s="47">
        <f t="shared" si="57"/>
        <v>317.72612269536512</v>
      </c>
      <c r="P135" s="47">
        <f t="shared" si="57"/>
        <v>310.01610762433847</v>
      </c>
      <c r="Q135" s="47">
        <f t="shared" si="57"/>
        <v>280.60021068756396</v>
      </c>
      <c r="R135" s="47">
        <f t="shared" si="57"/>
        <v>257.5041548870613</v>
      </c>
      <c r="S135" s="47">
        <f t="shared" si="57"/>
        <v>230.90554163477464</v>
      </c>
      <c r="T135" s="47">
        <f t="shared" si="57"/>
        <v>203.99886422778218</v>
      </c>
      <c r="U135" s="47">
        <f t="shared" si="57"/>
        <v>182.29683615113026</v>
      </c>
      <c r="V135" s="47">
        <f t="shared" si="57"/>
        <v>191.8560280857364</v>
      </c>
      <c r="W135" s="47">
        <f t="shared" si="57"/>
        <v>241.16299136175621</v>
      </c>
      <c r="X135" s="47">
        <f t="shared" si="57"/>
        <v>278.03876833322283</v>
      </c>
      <c r="Y135" s="47">
        <f t="shared" si="57"/>
        <v>255.82050097307547</v>
      </c>
      <c r="Z135" s="47">
        <f t="shared" si="57"/>
        <v>226.12926766935016</v>
      </c>
      <c r="AA135" s="47">
        <f t="shared" si="57"/>
        <v>212.00091024339235</v>
      </c>
    </row>
    <row r="136" spans="1:27" x14ac:dyDescent="0.25">
      <c r="C136" s="100"/>
      <c r="D136" s="100"/>
      <c r="E136" s="47" t="s">
        <v>659</v>
      </c>
      <c r="F136" s="47" t="s">
        <v>655</v>
      </c>
      <c r="H136" s="47">
        <f>H133*$G134</f>
        <v>590.02962699546151</v>
      </c>
      <c r="I136" s="47">
        <f t="shared" ref="I136:AA136" si="58">I133*$G134</f>
        <v>1177.82601914107</v>
      </c>
      <c r="J136" s="47">
        <f t="shared" si="58"/>
        <v>1586.2221833358235</v>
      </c>
      <c r="K136" s="47">
        <f t="shared" si="58"/>
        <v>1943.5926380270648</v>
      </c>
      <c r="L136" s="47">
        <f t="shared" si="58"/>
        <v>2253.8540869084172</v>
      </c>
      <c r="M136" s="47">
        <f t="shared" si="58"/>
        <v>2508.523037455172</v>
      </c>
      <c r="N136" s="47">
        <f t="shared" si="58"/>
        <v>2757.9553320087998</v>
      </c>
      <c r="O136" s="47">
        <f t="shared" si="58"/>
        <v>3075.6814547041649</v>
      </c>
      <c r="P136" s="47">
        <f t="shared" si="58"/>
        <v>3385.6975623285034</v>
      </c>
      <c r="Q136" s="47">
        <f t="shared" si="58"/>
        <v>3666.2977730160674</v>
      </c>
      <c r="R136" s="47">
        <f t="shared" si="58"/>
        <v>3923.8019279031287</v>
      </c>
      <c r="S136" s="47">
        <f t="shared" si="58"/>
        <v>4154.7074695379033</v>
      </c>
      <c r="T136" s="47">
        <f t="shared" si="58"/>
        <v>4358.7063337656855</v>
      </c>
      <c r="U136" s="47">
        <f t="shared" si="58"/>
        <v>4541.0031699168158</v>
      </c>
      <c r="V136" s="47">
        <f t="shared" si="58"/>
        <v>4732.8591980025521</v>
      </c>
      <c r="W136" s="47">
        <f t="shared" si="58"/>
        <v>4974.0221893643084</v>
      </c>
      <c r="X136" s="47">
        <f t="shared" si="58"/>
        <v>5252.0609576975312</v>
      </c>
      <c r="Y136" s="47">
        <f t="shared" si="58"/>
        <v>5507.8814586706067</v>
      </c>
      <c r="Z136" s="47">
        <f t="shared" si="58"/>
        <v>5734.0107263399568</v>
      </c>
      <c r="AA136" s="47">
        <f t="shared" si="58"/>
        <v>5946.0116365833492</v>
      </c>
    </row>
    <row r="137" spans="1:27" x14ac:dyDescent="0.25">
      <c r="A137" s="101">
        <v>27</v>
      </c>
      <c r="B137" s="47" t="str">
        <f>B132</f>
        <v>Western</v>
      </c>
      <c r="C137" s="47" t="str">
        <f>C132</f>
        <v>R</v>
      </c>
      <c r="D137" s="47" t="str">
        <f>D132</f>
        <v>Recycled</v>
      </c>
      <c r="E137" s="47" t="s">
        <v>660</v>
      </c>
      <c r="F137" s="47" t="s">
        <v>661</v>
      </c>
      <c r="H137" s="102">
        <f>IF(OR($D137=W,$D137=WS),'INPUT Reg'!AD121,IF($D137=RW,'INPUT Reg'!AD125,0))</f>
        <v>120.01160337697544</v>
      </c>
      <c r="I137" s="102">
        <f>IF(OR($D137=W,$D137=WS),'INPUT Reg'!AE121,IF($D137=RW,'INPUT Reg'!AE125,0))</f>
        <v>116.95594883502993</v>
      </c>
      <c r="J137" s="102">
        <f>IF(OR($D137=W,$D137=WS),'INPUT Reg'!AF121,IF($D137=RW,'INPUT Reg'!AF125,0))</f>
        <v>114.66732432087197</v>
      </c>
      <c r="K137" s="102">
        <f>IF(OR($D137=W,$D137=WS),'INPUT Reg'!AG121,IF($D137=RW,'INPUT Reg'!AG125,0))</f>
        <v>112.80967430446599</v>
      </c>
      <c r="L137" s="102">
        <f>IF(OR($D137=W,$D137=WS),'INPUT Reg'!AH121,IF($D137=RW,'INPUT Reg'!AH125,0))</f>
        <v>111.3536251925038</v>
      </c>
      <c r="M137" s="102">
        <f>IF(OR($D137=W,$D137=WS),'INPUT Reg'!AI121,IF($D137=RW,'INPUT Reg'!AI125,0))</f>
        <v>110.27697647425563</v>
      </c>
      <c r="N137" s="102">
        <f>IF(OR($D137=W,$D137=WS),'INPUT Reg'!AJ121,IF($D137=RW,'INPUT Reg'!AJ125,0))</f>
        <v>109.26082753179607</v>
      </c>
      <c r="O137" s="102">
        <f>IF(OR($D137=W,$D137=WS),'INPUT Reg'!AK121,IF($D137=RW,'INPUT Reg'!AK125,0))</f>
        <v>107.92323829436916</v>
      </c>
      <c r="P137" s="102">
        <f>IF(OR($D137=W,$D137=WS),'INPUT Reg'!AL121,IF($D137=RW,'INPUT Reg'!AL125,0))</f>
        <v>106.68228495991369</v>
      </c>
      <c r="Q137" s="102">
        <f>IF(OR($D137=W,$D137=WS),'INPUT Reg'!AM121,IF($D137=RW,'INPUT Reg'!AM125,0))</f>
        <v>105.64442383008557</v>
      </c>
      <c r="R137" s="102">
        <f>IF(OR($D137=W,$D137=WS),'INPUT Reg'!AN121,IF($D137=RW,'INPUT Reg'!AN125,0))</f>
        <v>104.7550728877856</v>
      </c>
      <c r="S137" s="102">
        <f>IF(OR($D137=W,$D137=WS),'INPUT Reg'!AO121,IF($D137=RW,'INPUT Reg'!AO125,0))</f>
        <v>104.02127153476697</v>
      </c>
      <c r="T137" s="102">
        <f>IF(OR($D137=W,$D137=WS),'INPUT Reg'!AP121,IF($D137=RW,'INPUT Reg'!AP125,0))</f>
        <v>103.43694799046061</v>
      </c>
      <c r="U137" s="102">
        <f>IF(OR($D137=W,$D137=WS),'INPUT Reg'!AQ121,IF($D137=RW,'INPUT Reg'!AQ125,0))</f>
        <v>102.96542551308575</v>
      </c>
      <c r="V137" s="102">
        <f>IF(OR($D137=W,$D137=WS),'INPUT Reg'!AR121,IF($D137=RW,'INPUT Reg'!AR125,0))</f>
        <v>102.48081320538829</v>
      </c>
      <c r="W137" s="102">
        <f>IF(OR($D137=W,$D137=WS),'INPUT Reg'!AS121,IF($D137=RW,'INPUT Reg'!AS125,0))</f>
        <v>101.88152483764281</v>
      </c>
      <c r="X137" s="102">
        <f>IF(OR($D137=W,$D137=WS),'INPUT Reg'!AT121,IF($D137=RW,'INPUT Reg'!AT125,0))</f>
        <v>101.21863033094485</v>
      </c>
      <c r="Y137" s="102">
        <f>IF(OR($D137=W,$D137=WS),'INPUT Reg'!AU121,IF($D137=RW,'INPUT Reg'!AU125,0))</f>
        <v>100.70138854954867</v>
      </c>
      <c r="Z137" s="102">
        <f>IF(OR($D137=W,$D137=WS),'INPUT Reg'!AV121,IF($D137=RW,'INPUT Reg'!AV125,0))</f>
        <v>100.37357549548169</v>
      </c>
      <c r="AA137" s="102">
        <f>IF(OR($D137=W,$D137=WS),'INPUT Reg'!AW121,IF($D137=RW,'INPUT Reg'!AW125,0))</f>
        <v>100.37357549548169</v>
      </c>
    </row>
    <row r="138" spans="1:27" x14ac:dyDescent="0.25">
      <c r="B138" s="47" t="str">
        <f>B132</f>
        <v>Western</v>
      </c>
      <c r="C138" s="47" t="str">
        <f t="shared" ref="C138:D138" si="59">C132</f>
        <v>R</v>
      </c>
      <c r="D138" s="47" t="str">
        <f t="shared" si="59"/>
        <v>Recycled</v>
      </c>
      <c r="E138" s="47" t="s">
        <v>662</v>
      </c>
      <c r="F138" s="47" t="s">
        <v>661</v>
      </c>
      <c r="H138" s="102">
        <f>IF(OR($D138=W,$D138=WS),'INPUT Reg'!AD122,0)</f>
        <v>0</v>
      </c>
      <c r="I138" s="102">
        <f>IF(OR($D138=W,$D138=WS),'INPUT Reg'!AE122,0)</f>
        <v>0</v>
      </c>
      <c r="J138" s="102">
        <f>IF(OR($D138=W,$D138=WS),'INPUT Reg'!AF122,0)</f>
        <v>0</v>
      </c>
      <c r="K138" s="102">
        <f>IF(OR($D138=W,$D138=WS),'INPUT Reg'!AG122,0)</f>
        <v>0</v>
      </c>
      <c r="L138" s="102">
        <f>IF(OR($D138=W,$D138=WS),'INPUT Reg'!AH122,0)</f>
        <v>0</v>
      </c>
      <c r="M138" s="102">
        <f>IF(OR($D138=W,$D138=WS),'INPUT Reg'!AI122,0)</f>
        <v>0</v>
      </c>
      <c r="N138" s="102">
        <f>IF(OR($D138=W,$D138=WS),'INPUT Reg'!AJ122,0)</f>
        <v>0</v>
      </c>
      <c r="O138" s="102">
        <f>IF(OR($D138=W,$D138=WS),'INPUT Reg'!AK122,0)</f>
        <v>0</v>
      </c>
      <c r="P138" s="102">
        <f>IF(OR($D138=W,$D138=WS),'INPUT Reg'!AL122,0)</f>
        <v>0</v>
      </c>
      <c r="Q138" s="102">
        <f>IF(OR($D138=W,$D138=WS),'INPUT Reg'!AM122,0)</f>
        <v>0</v>
      </c>
      <c r="R138" s="102">
        <f>IF(OR($D138=W,$D138=WS),'INPUT Reg'!AN122,0)</f>
        <v>0</v>
      </c>
      <c r="S138" s="102">
        <f>IF(OR($D138=W,$D138=WS),'INPUT Reg'!AO122,0)</f>
        <v>0</v>
      </c>
      <c r="T138" s="102">
        <f>IF(OR($D138=W,$D138=WS),'INPUT Reg'!AP122,0)</f>
        <v>0</v>
      </c>
      <c r="U138" s="102">
        <f>IF(OR($D138=W,$D138=WS),'INPUT Reg'!AQ122,0)</f>
        <v>0</v>
      </c>
      <c r="V138" s="102">
        <f>IF(OR($D138=W,$D138=WS),'INPUT Reg'!AR122,0)</f>
        <v>0</v>
      </c>
      <c r="W138" s="102">
        <f>IF(OR($D138=W,$D138=WS),'INPUT Reg'!AS122,0)</f>
        <v>0</v>
      </c>
      <c r="X138" s="102">
        <f>IF(OR($D138=W,$D138=WS),'INPUT Reg'!AT122,0)</f>
        <v>0</v>
      </c>
      <c r="Y138" s="102">
        <f>IF(OR($D138=W,$D138=WS),'INPUT Reg'!AU122,0)</f>
        <v>0</v>
      </c>
      <c r="Z138" s="102">
        <f>IF(OR($D138=W,$D138=WS),'INPUT Reg'!AV122,0)</f>
        <v>0</v>
      </c>
      <c r="AA138" s="102">
        <f>IF(OR($D138=W,$D138=WS),'INPUT Reg'!AW122,0)</f>
        <v>0</v>
      </c>
    </row>
    <row r="139" spans="1:27" x14ac:dyDescent="0.25">
      <c r="A139" s="101">
        <v>28</v>
      </c>
      <c r="B139" s="47" t="str">
        <f>B132</f>
        <v>Western</v>
      </c>
      <c r="C139" s="47" t="str">
        <f t="shared" ref="C139:D139" si="60">C132</f>
        <v>R</v>
      </c>
      <c r="D139" s="47" t="str">
        <f t="shared" si="60"/>
        <v>Recycled</v>
      </c>
      <c r="E139" s="47" t="s">
        <v>663</v>
      </c>
      <c r="F139" s="47" t="s">
        <v>661</v>
      </c>
      <c r="H139" s="102">
        <f>IF(OR($D139=S,$D139=WS),'INPUT Reg'!AD124,0)</f>
        <v>0</v>
      </c>
      <c r="I139" s="102">
        <f>IF(OR($D139=S,$D139=WS),'INPUT Reg'!AE124,0)</f>
        <v>0</v>
      </c>
      <c r="J139" s="102">
        <f>IF(OR($D139=S,$D139=WS),'INPUT Reg'!AF124,0)</f>
        <v>0</v>
      </c>
      <c r="K139" s="102">
        <f>IF(OR($D139=S,$D139=WS),'INPUT Reg'!AG124,0)</f>
        <v>0</v>
      </c>
      <c r="L139" s="102">
        <f>IF(OR($D139=S,$D139=WS),'INPUT Reg'!AH124,0)</f>
        <v>0</v>
      </c>
      <c r="M139" s="102">
        <f>IF(OR($D139=S,$D139=WS),'INPUT Reg'!AI124,0)</f>
        <v>0</v>
      </c>
      <c r="N139" s="102">
        <f>IF(OR($D139=S,$D139=WS),'INPUT Reg'!AJ124,0)</f>
        <v>0</v>
      </c>
      <c r="O139" s="102">
        <f>IF(OR($D139=S,$D139=WS),'INPUT Reg'!AK124,0)</f>
        <v>0</v>
      </c>
      <c r="P139" s="102">
        <f>IF(OR($D139=S,$D139=WS),'INPUT Reg'!AL124,0)</f>
        <v>0</v>
      </c>
      <c r="Q139" s="102">
        <f>IF(OR($D139=S,$D139=WS),'INPUT Reg'!AM124,0)</f>
        <v>0</v>
      </c>
      <c r="R139" s="102">
        <f>IF(OR($D139=S,$D139=WS),'INPUT Reg'!AN124,0)</f>
        <v>0</v>
      </c>
      <c r="S139" s="102">
        <f>IF(OR($D139=S,$D139=WS),'INPUT Reg'!AO124,0)</f>
        <v>0</v>
      </c>
      <c r="T139" s="102">
        <f>IF(OR($D139=S,$D139=WS),'INPUT Reg'!AP124,0)</f>
        <v>0</v>
      </c>
      <c r="U139" s="102">
        <f>IF(OR($D139=S,$D139=WS),'INPUT Reg'!AQ124,0)</f>
        <v>0</v>
      </c>
      <c r="V139" s="102">
        <f>IF(OR($D139=S,$D139=WS),'INPUT Reg'!AR124,0)</f>
        <v>0</v>
      </c>
      <c r="W139" s="102">
        <f>IF(OR($D139=S,$D139=WS),'INPUT Reg'!AS124,0)</f>
        <v>0</v>
      </c>
      <c r="X139" s="102">
        <f>IF(OR($D139=S,$D139=WS),'INPUT Reg'!AT124,0)</f>
        <v>0</v>
      </c>
      <c r="Y139" s="102">
        <f>IF(OR($D139=S,$D139=WS),'INPUT Reg'!AU124,0)</f>
        <v>0</v>
      </c>
      <c r="Z139" s="102">
        <f>IF(OR($D139=S,$D139=WS),'INPUT Reg'!AV124,0)</f>
        <v>0</v>
      </c>
      <c r="AA139" s="102">
        <f>IF(OR($D139=S,$D139=WS),'INPUT Reg'!AW124,0)</f>
        <v>0</v>
      </c>
    </row>
    <row r="140" spans="1:27" x14ac:dyDescent="0.25">
      <c r="C140" s="100"/>
      <c r="D140" s="100"/>
      <c r="E140" s="47" t="s">
        <v>664</v>
      </c>
      <c r="F140" s="47" t="s">
        <v>665</v>
      </c>
      <c r="H140" s="106">
        <f>H133*H137</f>
        <v>70810.401575644093</v>
      </c>
      <c r="I140" s="106">
        <f t="shared" ref="I140:AA140" si="61">I133*I137</f>
        <v>137753.75963122997</v>
      </c>
      <c r="J140" s="106">
        <f t="shared" si="61"/>
        <v>181887.85354153052</v>
      </c>
      <c r="K140" s="106">
        <f t="shared" si="61"/>
        <v>219256.05247639102</v>
      </c>
      <c r="L140" s="106">
        <f t="shared" si="61"/>
        <v>250974.82323219278</v>
      </c>
      <c r="M140" s="106">
        <f t="shared" si="61"/>
        <v>276632.33598657226</v>
      </c>
      <c r="N140" s="106">
        <f t="shared" si="61"/>
        <v>301336.48187101085</v>
      </c>
      <c r="O140" s="106">
        <f t="shared" si="61"/>
        <v>331937.50255360955</v>
      </c>
      <c r="P140" s="106">
        <f t="shared" si="61"/>
        <v>361193.95213241456</v>
      </c>
      <c r="Q140" s="106">
        <f t="shared" si="61"/>
        <v>387323.91581980832</v>
      </c>
      <c r="R140" s="106">
        <f t="shared" si="61"/>
        <v>411038.15695472591</v>
      </c>
      <c r="S140" s="106">
        <f t="shared" si="61"/>
        <v>432177.95383632678</v>
      </c>
      <c r="T140" s="106">
        <f t="shared" si="61"/>
        <v>450851.28035141242</v>
      </c>
      <c r="U140" s="106">
        <f t="shared" si="61"/>
        <v>467566.32364675618</v>
      </c>
      <c r="V140" s="106">
        <f t="shared" si="61"/>
        <v>485027.25939790334</v>
      </c>
      <c r="W140" s="106">
        <f t="shared" si="61"/>
        <v>506760.96522870625</v>
      </c>
      <c r="X140" s="106">
        <f t="shared" si="61"/>
        <v>531606.41655277461</v>
      </c>
      <c r="Y140" s="106">
        <f t="shared" si="61"/>
        <v>554651.3108544437</v>
      </c>
      <c r="Z140" s="106">
        <f t="shared" si="61"/>
        <v>575543.15853218548</v>
      </c>
      <c r="AA140" s="106">
        <f t="shared" si="61"/>
        <v>596822.44790161145</v>
      </c>
    </row>
    <row r="141" spans="1:27" x14ac:dyDescent="0.25">
      <c r="C141" s="100"/>
      <c r="D141" s="100"/>
      <c r="E141" s="47" t="s">
        <v>666</v>
      </c>
      <c r="F141" s="47" t="s">
        <v>665</v>
      </c>
      <c r="H141" s="106">
        <f>H133*H138</f>
        <v>0</v>
      </c>
      <c r="I141" s="106">
        <f t="shared" ref="I141:AA141" si="62">I133*I138</f>
        <v>0</v>
      </c>
      <c r="J141" s="106">
        <f t="shared" si="62"/>
        <v>0</v>
      </c>
      <c r="K141" s="106">
        <f t="shared" si="62"/>
        <v>0</v>
      </c>
      <c r="L141" s="106">
        <f t="shared" si="62"/>
        <v>0</v>
      </c>
      <c r="M141" s="106">
        <f t="shared" si="62"/>
        <v>0</v>
      </c>
      <c r="N141" s="106">
        <f t="shared" si="62"/>
        <v>0</v>
      </c>
      <c r="O141" s="106">
        <f t="shared" si="62"/>
        <v>0</v>
      </c>
      <c r="P141" s="106">
        <f t="shared" si="62"/>
        <v>0</v>
      </c>
      <c r="Q141" s="106">
        <f t="shared" si="62"/>
        <v>0</v>
      </c>
      <c r="R141" s="106">
        <f t="shared" si="62"/>
        <v>0</v>
      </c>
      <c r="S141" s="106">
        <f t="shared" si="62"/>
        <v>0</v>
      </c>
      <c r="T141" s="106">
        <f t="shared" si="62"/>
        <v>0</v>
      </c>
      <c r="U141" s="106">
        <f t="shared" si="62"/>
        <v>0</v>
      </c>
      <c r="V141" s="106">
        <f t="shared" si="62"/>
        <v>0</v>
      </c>
      <c r="W141" s="106">
        <f t="shared" si="62"/>
        <v>0</v>
      </c>
      <c r="X141" s="106">
        <f t="shared" si="62"/>
        <v>0</v>
      </c>
      <c r="Y141" s="106">
        <f t="shared" si="62"/>
        <v>0</v>
      </c>
      <c r="Z141" s="106">
        <f t="shared" si="62"/>
        <v>0</v>
      </c>
      <c r="AA141" s="106">
        <f t="shared" si="62"/>
        <v>0</v>
      </c>
    </row>
    <row r="142" spans="1:27" x14ac:dyDescent="0.25">
      <c r="C142" s="100"/>
      <c r="D142" s="100"/>
      <c r="E142" s="47" t="s">
        <v>667</v>
      </c>
      <c r="F142" s="47" t="s">
        <v>665</v>
      </c>
      <c r="H142" s="106">
        <f>H133*H139</f>
        <v>0</v>
      </c>
      <c r="I142" s="106">
        <f t="shared" ref="I142:AA142" si="63">I133*I139</f>
        <v>0</v>
      </c>
      <c r="J142" s="106">
        <f t="shared" si="63"/>
        <v>0</v>
      </c>
      <c r="K142" s="106">
        <f t="shared" si="63"/>
        <v>0</v>
      </c>
      <c r="L142" s="106">
        <f t="shared" si="63"/>
        <v>0</v>
      </c>
      <c r="M142" s="106">
        <f t="shared" si="63"/>
        <v>0</v>
      </c>
      <c r="N142" s="106">
        <f t="shared" si="63"/>
        <v>0</v>
      </c>
      <c r="O142" s="106">
        <f t="shared" si="63"/>
        <v>0</v>
      </c>
      <c r="P142" s="106">
        <f t="shared" si="63"/>
        <v>0</v>
      </c>
      <c r="Q142" s="106">
        <f t="shared" si="63"/>
        <v>0</v>
      </c>
      <c r="R142" s="106">
        <f t="shared" si="63"/>
        <v>0</v>
      </c>
      <c r="S142" s="106">
        <f t="shared" si="63"/>
        <v>0</v>
      </c>
      <c r="T142" s="106">
        <f t="shared" si="63"/>
        <v>0</v>
      </c>
      <c r="U142" s="106">
        <f t="shared" si="63"/>
        <v>0</v>
      </c>
      <c r="V142" s="106">
        <f t="shared" si="63"/>
        <v>0</v>
      </c>
      <c r="W142" s="106">
        <f t="shared" si="63"/>
        <v>0</v>
      </c>
      <c r="X142" s="106">
        <f t="shared" si="63"/>
        <v>0</v>
      </c>
      <c r="Y142" s="106">
        <f t="shared" si="63"/>
        <v>0</v>
      </c>
      <c r="Z142" s="106">
        <f t="shared" si="63"/>
        <v>0</v>
      </c>
      <c r="AA142" s="106">
        <f t="shared" si="63"/>
        <v>0</v>
      </c>
    </row>
    <row r="143" spans="1:27" x14ac:dyDescent="0.25">
      <c r="A143" s="101">
        <v>29</v>
      </c>
      <c r="B143" s="47" t="str">
        <f>B137</f>
        <v>Western</v>
      </c>
      <c r="C143" s="47" t="str">
        <f t="shared" ref="C143:D143" si="64">C137</f>
        <v>R</v>
      </c>
      <c r="D143" s="47" t="str">
        <f t="shared" si="64"/>
        <v>Recycled</v>
      </c>
      <c r="E143" s="47" t="s">
        <v>668</v>
      </c>
      <c r="F143" s="47" t="s">
        <v>633</v>
      </c>
      <c r="H143" s="105">
        <f>SUMIFS('INPUT Reg'!AD$94:AD$109,'INPUT Reg'!$D$94:$D$109,$D143,'INPUT Reg'!$C$94:$C$109,$C143,'INPUT Reg'!$B$94:$B$109,$B143)</f>
        <v>-5.3518413678715904E-3</v>
      </c>
      <c r="I143" s="105">
        <f>SUMIFS('INPUT Reg'!AE$94:AE$109,'INPUT Reg'!$D$94:$D$109,$D143,'INPUT Reg'!$C$94:$C$109,$C143,'INPUT Reg'!$B$94:$B$109,$B143)</f>
        <v>-5.3806376872317374E-3</v>
      </c>
      <c r="J143" s="105">
        <f>SUMIFS('INPUT Reg'!AF$94:AF$109,'INPUT Reg'!$D$94:$D$109,$D143,'INPUT Reg'!$C$94:$C$109,$C143,'INPUT Reg'!$B$94:$B$109,$B143)</f>
        <v>-5.4097455681137996E-3</v>
      </c>
      <c r="K143" s="105">
        <f>SUMIFS('INPUT Reg'!AG$94:AG$109,'INPUT Reg'!$D$94:$D$109,$D143,'INPUT Reg'!$C$94:$C$109,$C143,'INPUT Reg'!$B$94:$B$109,$B143)</f>
        <v>-5.4391700944264043E-3</v>
      </c>
      <c r="L143" s="105">
        <f>SUMIFS('INPUT Reg'!AH$94:AH$109,'INPUT Reg'!$D$94:$D$109,$D143,'INPUT Reg'!$C$94:$C$109,$C143,'INPUT Reg'!$B$94:$B$109,$B143)</f>
        <v>-4.3590256656000914E-3</v>
      </c>
      <c r="M143" s="105">
        <f>SUMIFS('INPUT Reg'!AI$94:AI$109,'INPUT Reg'!$D$94:$D$109,$D143,'INPUT Reg'!$C$94:$C$109,$C143,'INPUT Reg'!$B$94:$B$109,$B143)</f>
        <v>-4.3781099592795636E-3</v>
      </c>
      <c r="N143" s="105">
        <f>SUMIFS('INPUT Reg'!AJ$94:AJ$109,'INPUT Reg'!$D$94:$D$109,$D143,'INPUT Reg'!$C$94:$C$109,$C143,'INPUT Reg'!$B$94:$B$109,$B143)</f>
        <v>-4.3973620940581659E-3</v>
      </c>
      <c r="O143" s="105">
        <f>SUMIFS('INPUT Reg'!AK$94:AK$109,'INPUT Reg'!$D$94:$D$109,$D143,'INPUT Reg'!$C$94:$C$109,$C143,'INPUT Reg'!$B$94:$B$109,$B143)</f>
        <v>-4.4167842938895863E-3</v>
      </c>
      <c r="P143" s="105">
        <f>SUMIFS('INPUT Reg'!AL$94:AL$109,'INPUT Reg'!$D$94:$D$109,$D143,'INPUT Reg'!$C$94:$C$109,$C143,'INPUT Reg'!$B$94:$B$109,$B143)</f>
        <v>8.1966696907187497E-5</v>
      </c>
      <c r="Q143" s="105">
        <f>SUMIFS('INPUT Reg'!AM$94:AM$109,'INPUT Reg'!$D$94:$D$109,$D143,'INPUT Reg'!$C$94:$C$109,$C143,'INPUT Reg'!$B$94:$B$109,$B143)</f>
        <v>-0.17522080028021458</v>
      </c>
      <c r="R143" s="105">
        <f>SUMIFS('INPUT Reg'!AN$94:AN$109,'INPUT Reg'!$D$94:$D$109,$D143,'INPUT Reg'!$C$94:$C$109,$C143,'INPUT Reg'!$B$94:$B$109,$B143)</f>
        <v>0</v>
      </c>
      <c r="S143" s="105">
        <f>SUMIFS('INPUT Reg'!AO$94:AO$109,'INPUT Reg'!$D$94:$D$109,$D143,'INPUT Reg'!$C$94:$C$109,$C143,'INPUT Reg'!$B$94:$B$109,$B143)</f>
        <v>0</v>
      </c>
      <c r="T143" s="105">
        <f>SUMIFS('INPUT Reg'!AP$94:AP$109,'INPUT Reg'!$D$94:$D$109,$D143,'INPUT Reg'!$C$94:$C$109,$C143,'INPUT Reg'!$B$94:$B$109,$B143)</f>
        <v>0</v>
      </c>
      <c r="U143" s="105">
        <f>SUMIFS('INPUT Reg'!AQ$94:AQ$109,'INPUT Reg'!$D$94:$D$109,$D143,'INPUT Reg'!$C$94:$C$109,$C143,'INPUT Reg'!$B$94:$B$109,$B143)</f>
        <v>0</v>
      </c>
      <c r="V143" s="105">
        <f>SUMIFS('INPUT Reg'!AR$94:AR$109,'INPUT Reg'!$D$94:$D$109,$D143,'INPUT Reg'!$C$94:$C$109,$C143,'INPUT Reg'!$B$94:$B$109,$B143)</f>
        <v>-0.10815922653429455</v>
      </c>
      <c r="W143" s="105">
        <f>SUMIFS('INPUT Reg'!AS$94:AS$109,'INPUT Reg'!$D$94:$D$109,$D143,'INPUT Reg'!$C$94:$C$109,$C143,'INPUT Reg'!$B$94:$B$109,$B143)</f>
        <v>0</v>
      </c>
      <c r="X143" s="105">
        <f>SUMIFS('INPUT Reg'!AT$94:AT$109,'INPUT Reg'!$D$94:$D$109,$D143,'INPUT Reg'!$C$94:$C$109,$C143,'INPUT Reg'!$B$94:$B$109,$B143)</f>
        <v>0</v>
      </c>
      <c r="Y143" s="105">
        <f>SUMIFS('INPUT Reg'!AU$94:AU$109,'INPUT Reg'!$D$94:$D$109,$D143,'INPUT Reg'!$C$94:$C$109,$C143,'INPUT Reg'!$B$94:$B$109,$B143)</f>
        <v>0</v>
      </c>
      <c r="Z143" s="105">
        <f>SUMIFS('INPUT Reg'!AV$94:AV$109,'INPUT Reg'!$D$94:$D$109,$D143,'INPUT Reg'!$C$94:$C$109,$C143,'INPUT Reg'!$B$94:$B$109,$B143)</f>
        <v>0</v>
      </c>
      <c r="AA143" s="105">
        <f>SUMIFS('INPUT Reg'!AW$94:AW$109,'INPUT Reg'!$D$94:$D$109,$D143,'INPUT Reg'!$C$94:$C$109,$C143,'INPUT Reg'!$B$94:$B$109,$B143)</f>
        <v>0</v>
      </c>
    </row>
    <row r="144" spans="1:27" x14ac:dyDescent="0.25">
      <c r="A144" s="101">
        <v>30</v>
      </c>
      <c r="B144" s="47" t="str">
        <f>B132</f>
        <v>Western</v>
      </c>
      <c r="C144" s="47" t="str">
        <f t="shared" ref="C144:D144" si="65">C132</f>
        <v>R</v>
      </c>
      <c r="D144" s="47" t="str">
        <f t="shared" si="65"/>
        <v>Recycled</v>
      </c>
      <c r="E144" s="47" t="s">
        <v>669</v>
      </c>
      <c r="F144" s="47" t="s">
        <v>670</v>
      </c>
      <c r="G144" s="108">
        <f>IF(D144=W,WW_R_W_N,IF(D144=S,WW_R_S_N,IF(D144=WS,WW_R_W_N+WW_R_S_N,WW_R_R_N)))</f>
        <v>131.4365</v>
      </c>
      <c r="H144" s="106">
        <f>G144*(1+$G$14)*(1+H143)</f>
        <v>130.73307270205174</v>
      </c>
      <c r="I144" s="106">
        <f t="shared" ref="I144:AA144" si="66">H144*(1+$G$14)*(1+I143)</f>
        <v>130.02964540410349</v>
      </c>
      <c r="J144" s="106">
        <f t="shared" si="66"/>
        <v>129.32621810615524</v>
      </c>
      <c r="K144" s="106">
        <f t="shared" si="66"/>
        <v>128.62279080820699</v>
      </c>
      <c r="L144" s="106">
        <f t="shared" si="66"/>
        <v>128.06212076189291</v>
      </c>
      <c r="M144" s="106">
        <f t="shared" si="66"/>
        <v>127.50145071557881</v>
      </c>
      <c r="N144" s="106">
        <f t="shared" si="66"/>
        <v>126.9407806692647</v>
      </c>
      <c r="O144" s="106">
        <f t="shared" si="66"/>
        <v>126.38011062295061</v>
      </c>
      <c r="P144" s="106">
        <f t="shared" si="66"/>
        <v>126.39046958317314</v>
      </c>
      <c r="Q144" s="106">
        <f t="shared" si="66"/>
        <v>104.24423035501742</v>
      </c>
      <c r="R144" s="106">
        <f t="shared" si="66"/>
        <v>104.24423035501742</v>
      </c>
      <c r="S144" s="106">
        <f t="shared" si="66"/>
        <v>104.24423035501742</v>
      </c>
      <c r="T144" s="106">
        <f t="shared" si="66"/>
        <v>104.24423035501742</v>
      </c>
      <c r="U144" s="106">
        <f t="shared" si="66"/>
        <v>104.24423035501742</v>
      </c>
      <c r="V144" s="106">
        <f t="shared" si="66"/>
        <v>92.969255029155903</v>
      </c>
      <c r="W144" s="106">
        <f t="shared" si="66"/>
        <v>92.969255029155903</v>
      </c>
      <c r="X144" s="106">
        <f t="shared" si="66"/>
        <v>92.969255029155903</v>
      </c>
      <c r="Y144" s="106">
        <f t="shared" si="66"/>
        <v>92.969255029155903</v>
      </c>
      <c r="Z144" s="106">
        <f t="shared" si="66"/>
        <v>92.969255029155903</v>
      </c>
      <c r="AA144" s="106">
        <f t="shared" si="66"/>
        <v>92.969255029155903</v>
      </c>
    </row>
    <row r="145" spans="1:27" x14ac:dyDescent="0.25">
      <c r="B145" s="47" t="str">
        <f>B132</f>
        <v>Western</v>
      </c>
      <c r="C145" s="47" t="str">
        <f t="shared" ref="C145:D145" si="67">C132</f>
        <v>R</v>
      </c>
      <c r="D145" s="47" t="str">
        <f t="shared" si="67"/>
        <v>Recycled</v>
      </c>
      <c r="E145" s="47" t="s">
        <v>671</v>
      </c>
      <c r="F145" s="47" t="s">
        <v>672</v>
      </c>
      <c r="G145" s="109">
        <f>IF(OR(D145=W,D145=WS),WW_T1,IF(D145=RW,WW_R_R_V,0))</f>
        <v>1.9605999999999999</v>
      </c>
      <c r="H145" s="110">
        <f>G145*(1+$G$14)*(1+H143)</f>
        <v>1.9501071798141509</v>
      </c>
      <c r="I145" s="110">
        <f t="shared" ref="I145:AA145" si="68">H145*(1+$G$14)*(1+I143)</f>
        <v>1.9396143596283018</v>
      </c>
      <c r="J145" s="110">
        <f t="shared" si="68"/>
        <v>1.9291215394424526</v>
      </c>
      <c r="K145" s="110">
        <f t="shared" si="68"/>
        <v>1.9186287192566034</v>
      </c>
      <c r="L145" s="110">
        <f t="shared" si="68"/>
        <v>1.9102653674266064</v>
      </c>
      <c r="M145" s="110">
        <f t="shared" si="68"/>
        <v>1.9019020155966091</v>
      </c>
      <c r="N145" s="110">
        <f t="shared" si="68"/>
        <v>1.8935386637666118</v>
      </c>
      <c r="O145" s="110">
        <f t="shared" si="68"/>
        <v>1.8851753119366148</v>
      </c>
      <c r="P145" s="110">
        <f t="shared" si="68"/>
        <v>1.8853298335300253</v>
      </c>
      <c r="Q145" s="110">
        <f t="shared" si="68"/>
        <v>1.5549808313067306</v>
      </c>
      <c r="R145" s="110">
        <f t="shared" si="68"/>
        <v>1.5549808313067306</v>
      </c>
      <c r="S145" s="110">
        <f t="shared" si="68"/>
        <v>1.5549808313067306</v>
      </c>
      <c r="T145" s="110">
        <f t="shared" si="68"/>
        <v>1.5549808313067306</v>
      </c>
      <c r="U145" s="110">
        <f t="shared" si="68"/>
        <v>1.5549808313067306</v>
      </c>
      <c r="V145" s="110">
        <f t="shared" si="68"/>
        <v>1.3867953073169403</v>
      </c>
      <c r="W145" s="110">
        <f t="shared" si="68"/>
        <v>1.3867953073169403</v>
      </c>
      <c r="X145" s="110">
        <f t="shared" si="68"/>
        <v>1.3867953073169403</v>
      </c>
      <c r="Y145" s="110">
        <f t="shared" si="68"/>
        <v>1.3867953073169403</v>
      </c>
      <c r="Z145" s="110">
        <f t="shared" si="68"/>
        <v>1.3867953073169403</v>
      </c>
      <c r="AA145" s="110">
        <f t="shared" si="68"/>
        <v>1.3867953073169403</v>
      </c>
    </row>
    <row r="146" spans="1:27" x14ac:dyDescent="0.25">
      <c r="B146" s="47" t="str">
        <f>B132</f>
        <v>Western</v>
      </c>
      <c r="C146" s="47" t="str">
        <f t="shared" ref="C146:D146" si="69">C132</f>
        <v>R</v>
      </c>
      <c r="D146" s="47" t="str">
        <f t="shared" si="69"/>
        <v>Recycled</v>
      </c>
      <c r="E146" s="47" t="s">
        <v>673</v>
      </c>
      <c r="F146" s="47" t="s">
        <v>672</v>
      </c>
      <c r="G146" s="109">
        <f>IF(OR(D146=W,D146=WS),WW_T2,0)</f>
        <v>0</v>
      </c>
      <c r="H146" s="110">
        <f>G146*(1+$G$14)*(1+H143)</f>
        <v>0</v>
      </c>
      <c r="I146" s="110">
        <f t="shared" ref="I146:AA146" si="70">H146*(1+$G$14)*(1+I143)</f>
        <v>0</v>
      </c>
      <c r="J146" s="110">
        <f t="shared" si="70"/>
        <v>0</v>
      </c>
      <c r="K146" s="110">
        <f t="shared" si="70"/>
        <v>0</v>
      </c>
      <c r="L146" s="110">
        <f t="shared" si="70"/>
        <v>0</v>
      </c>
      <c r="M146" s="110">
        <f t="shared" si="70"/>
        <v>0</v>
      </c>
      <c r="N146" s="110">
        <f t="shared" si="70"/>
        <v>0</v>
      </c>
      <c r="O146" s="110">
        <f t="shared" si="70"/>
        <v>0</v>
      </c>
      <c r="P146" s="110">
        <f t="shared" si="70"/>
        <v>0</v>
      </c>
      <c r="Q146" s="110">
        <f t="shared" si="70"/>
        <v>0</v>
      </c>
      <c r="R146" s="110">
        <f t="shared" si="70"/>
        <v>0</v>
      </c>
      <c r="S146" s="110">
        <f t="shared" si="70"/>
        <v>0</v>
      </c>
      <c r="T146" s="110">
        <f t="shared" si="70"/>
        <v>0</v>
      </c>
      <c r="U146" s="110">
        <f t="shared" si="70"/>
        <v>0</v>
      </c>
      <c r="V146" s="110">
        <f t="shared" si="70"/>
        <v>0</v>
      </c>
      <c r="W146" s="110">
        <f t="shared" si="70"/>
        <v>0</v>
      </c>
      <c r="X146" s="110">
        <f t="shared" si="70"/>
        <v>0</v>
      </c>
      <c r="Y146" s="110">
        <f t="shared" si="70"/>
        <v>0</v>
      </c>
      <c r="Z146" s="110">
        <f t="shared" si="70"/>
        <v>0</v>
      </c>
      <c r="AA146" s="110">
        <f t="shared" si="70"/>
        <v>0</v>
      </c>
    </row>
    <row r="147" spans="1:27" x14ac:dyDescent="0.25">
      <c r="B147" s="47" t="str">
        <f>B132</f>
        <v>Western</v>
      </c>
      <c r="C147" s="47" t="str">
        <f t="shared" ref="C147:D147" si="71">C132</f>
        <v>R</v>
      </c>
      <c r="D147" s="47" t="str">
        <f t="shared" si="71"/>
        <v>Recycled</v>
      </c>
      <c r="E147" s="47" t="s">
        <v>674</v>
      </c>
      <c r="F147" s="47" t="s">
        <v>672</v>
      </c>
      <c r="G147" s="109">
        <f>IF(OR(D147=S,D147=WS), WW_R_SDC,0)</f>
        <v>0</v>
      </c>
      <c r="H147" s="110">
        <f>G147*(1+$G$14)*(1+H143)</f>
        <v>0</v>
      </c>
      <c r="I147" s="110">
        <f t="shared" ref="I147:AA147" si="72">H147*(1+$G$14)*(1+I143)</f>
        <v>0</v>
      </c>
      <c r="J147" s="110">
        <f t="shared" si="72"/>
        <v>0</v>
      </c>
      <c r="K147" s="110">
        <f t="shared" si="72"/>
        <v>0</v>
      </c>
      <c r="L147" s="110">
        <f t="shared" si="72"/>
        <v>0</v>
      </c>
      <c r="M147" s="110">
        <f t="shared" si="72"/>
        <v>0</v>
      </c>
      <c r="N147" s="110">
        <f t="shared" si="72"/>
        <v>0</v>
      </c>
      <c r="O147" s="110">
        <f t="shared" si="72"/>
        <v>0</v>
      </c>
      <c r="P147" s="110">
        <f t="shared" si="72"/>
        <v>0</v>
      </c>
      <c r="Q147" s="110">
        <f t="shared" si="72"/>
        <v>0</v>
      </c>
      <c r="R147" s="110">
        <f t="shared" si="72"/>
        <v>0</v>
      </c>
      <c r="S147" s="110">
        <f t="shared" si="72"/>
        <v>0</v>
      </c>
      <c r="T147" s="110">
        <f t="shared" si="72"/>
        <v>0</v>
      </c>
      <c r="U147" s="110">
        <f t="shared" si="72"/>
        <v>0</v>
      </c>
      <c r="V147" s="110">
        <f t="shared" si="72"/>
        <v>0</v>
      </c>
      <c r="W147" s="110">
        <f t="shared" si="72"/>
        <v>0</v>
      </c>
      <c r="X147" s="110">
        <f t="shared" si="72"/>
        <v>0</v>
      </c>
      <c r="Y147" s="110">
        <f t="shared" si="72"/>
        <v>0</v>
      </c>
      <c r="Z147" s="110">
        <f t="shared" si="72"/>
        <v>0</v>
      </c>
      <c r="AA147" s="110">
        <f t="shared" si="72"/>
        <v>0</v>
      </c>
    </row>
    <row r="148" spans="1:27" x14ac:dyDescent="0.25">
      <c r="C148" s="100"/>
      <c r="D148" s="100"/>
    </row>
    <row r="149" spans="1:27" x14ac:dyDescent="0.25">
      <c r="C149" s="100"/>
      <c r="D149" s="100"/>
      <c r="E149" s="47" t="s">
        <v>682</v>
      </c>
      <c r="F149" s="47" t="s">
        <v>676</v>
      </c>
      <c r="H149" s="106">
        <f>SUM(H140:H142)/1000</f>
        <v>70.810401575644093</v>
      </c>
      <c r="I149" s="106">
        <f t="shared" ref="I149:AA149" si="73">SUM(I140:I142)/1000</f>
        <v>137.75375963122997</v>
      </c>
      <c r="J149" s="106">
        <f t="shared" si="73"/>
        <v>181.88785354153052</v>
      </c>
      <c r="K149" s="106">
        <f t="shared" si="73"/>
        <v>219.25605247639103</v>
      </c>
      <c r="L149" s="106">
        <f t="shared" si="73"/>
        <v>250.97482323219279</v>
      </c>
      <c r="M149" s="106">
        <f t="shared" si="73"/>
        <v>276.63233598657229</v>
      </c>
      <c r="N149" s="106">
        <f t="shared" si="73"/>
        <v>301.33648187101085</v>
      </c>
      <c r="O149" s="106">
        <f t="shared" si="73"/>
        <v>331.93750255360953</v>
      </c>
      <c r="P149" s="106">
        <f t="shared" si="73"/>
        <v>361.19395213241455</v>
      </c>
      <c r="Q149" s="106">
        <f t="shared" si="73"/>
        <v>387.32391581980829</v>
      </c>
      <c r="R149" s="106">
        <f t="shared" si="73"/>
        <v>411.03815695472593</v>
      </c>
      <c r="S149" s="106">
        <f t="shared" si="73"/>
        <v>432.17795383632676</v>
      </c>
      <c r="T149" s="106">
        <f t="shared" si="73"/>
        <v>450.85128035141241</v>
      </c>
      <c r="U149" s="106">
        <f t="shared" si="73"/>
        <v>467.56632364675619</v>
      </c>
      <c r="V149" s="106">
        <f t="shared" si="73"/>
        <v>485.02725939790332</v>
      </c>
      <c r="W149" s="106">
        <f t="shared" si="73"/>
        <v>506.76096522870625</v>
      </c>
      <c r="X149" s="106">
        <f t="shared" si="73"/>
        <v>531.60641655277459</v>
      </c>
      <c r="Y149" s="106">
        <f t="shared" si="73"/>
        <v>554.65131085444375</v>
      </c>
      <c r="Z149" s="106">
        <f t="shared" si="73"/>
        <v>575.54315853218543</v>
      </c>
      <c r="AA149" s="106">
        <f t="shared" si="73"/>
        <v>596.82244790161144</v>
      </c>
    </row>
    <row r="150" spans="1:27" x14ac:dyDescent="0.25">
      <c r="C150" s="100"/>
      <c r="D150" s="100"/>
      <c r="E150" s="47" t="s">
        <v>683</v>
      </c>
      <c r="F150" s="47" t="s">
        <v>639</v>
      </c>
      <c r="H150" s="106">
        <f>H133*H144+H140*H145+H141*H146+H142*H147</f>
        <v>215224.25864054894</v>
      </c>
      <c r="I150" s="106">
        <f t="shared" ref="I150:AA150" si="74">I133*I144+I140*I145+I141*I146+I142*I147</f>
        <v>420341.46989015926</v>
      </c>
      <c r="J150" s="106">
        <f t="shared" si="74"/>
        <v>556023.89207683119</v>
      </c>
      <c r="K150" s="106">
        <f t="shared" si="74"/>
        <v>670661.26844936307</v>
      </c>
      <c r="L150" s="106">
        <f t="shared" si="74"/>
        <v>768061.84717382398</v>
      </c>
      <c r="M150" s="106">
        <f t="shared" si="74"/>
        <v>845967.92382104485</v>
      </c>
      <c r="N150" s="106">
        <f t="shared" si="74"/>
        <v>920689.28212232387</v>
      </c>
      <c r="O150" s="106">
        <f t="shared" si="74"/>
        <v>1014465.3474064318</v>
      </c>
      <c r="P150" s="106">
        <f t="shared" si="74"/>
        <v>1108889.6384151613</v>
      </c>
      <c r="Q150" s="106">
        <f t="shared" si="74"/>
        <v>984471.65420683799</v>
      </c>
      <c r="R150" s="106">
        <f t="shared" si="74"/>
        <v>1048190.1670400412</v>
      </c>
      <c r="S150" s="106">
        <f t="shared" si="74"/>
        <v>1105132.7164410739</v>
      </c>
      <c r="T150" s="106">
        <f t="shared" si="74"/>
        <v>1155435.0858234868</v>
      </c>
      <c r="U150" s="106">
        <f t="shared" si="74"/>
        <v>1200430.0511229376</v>
      </c>
      <c r="V150" s="106">
        <f t="shared" si="74"/>
        <v>1112643.9210499942</v>
      </c>
      <c r="W150" s="106">
        <f t="shared" si="74"/>
        <v>1165204.8659542638</v>
      </c>
      <c r="X150" s="106">
        <f t="shared" si="74"/>
        <v>1225509.4784198171</v>
      </c>
      <c r="Y150" s="106">
        <f t="shared" si="74"/>
        <v>1281251.4710916388</v>
      </c>
      <c r="Z150" s="106">
        <f t="shared" si="74"/>
        <v>1331247.2569678195</v>
      </c>
      <c r="AA150" s="106">
        <f t="shared" si="74"/>
        <v>1380466.8422992099</v>
      </c>
    </row>
    <row r="151" spans="1:27" x14ac:dyDescent="0.25">
      <c r="C151" s="100"/>
      <c r="D151" s="100"/>
    </row>
    <row r="152" spans="1:27" x14ac:dyDescent="0.25">
      <c r="C152" s="100"/>
      <c r="D152" s="47" t="s">
        <v>684</v>
      </c>
    </row>
    <row r="153" spans="1:27" x14ac:dyDescent="0.25">
      <c r="A153" s="101">
        <v>31</v>
      </c>
      <c r="B153" s="47" t="s">
        <v>265</v>
      </c>
      <c r="C153" s="100" t="s">
        <v>407</v>
      </c>
      <c r="D153" s="100" t="str">
        <f>$G$4</f>
        <v>Recycled</v>
      </c>
      <c r="E153" s="47" t="s">
        <v>654</v>
      </c>
      <c r="F153" s="47" t="s">
        <v>655</v>
      </c>
      <c r="H153" s="102">
        <f>IF($G$4="Water and sewer",SUMIFS('INPUT Growth'!AD$64:AD$115,'INPUT Growth'!$B$64:$B$115,$A$1,'INPUT Growth'!$F$64:$F$115,$B153,'INPUT Growth'!$E$64:$E$115,$C153),SUMIFS('INPUT Growth'!AD$64:AD$115,'INPUT Growth'!$A$64:$A$115,$A$1,'INPUT Growth'!$F$64:$F$115,$B153,'INPUT Growth'!$E$64:$E$115,$C153))</f>
        <v>0</v>
      </c>
      <c r="I153" s="102">
        <f>IF($G$4="Water and sewer",SUMIFS('INPUT Growth'!AE$64:AE$115,'INPUT Growth'!$B$64:$B$115,$A$1,'INPUT Growth'!$F$64:$F$115,$B153,'INPUT Growth'!$E$64:$E$115,$C153),SUMIFS('INPUT Growth'!AE$64:AE$115,'INPUT Growth'!$A$64:$A$115,$A$1,'INPUT Growth'!$F$64:$F$115,$B153,'INPUT Growth'!$E$64:$E$115,$C153))</f>
        <v>0</v>
      </c>
      <c r="J153" s="102">
        <f>IF($G$4="Water and sewer",SUMIFS('INPUT Growth'!AF$64:AF$115,'INPUT Growth'!$B$64:$B$115,$A$1,'INPUT Growth'!$F$64:$F$115,$B153,'INPUT Growth'!$E$64:$E$115,$C153),SUMIFS('INPUT Growth'!AF$64:AF$115,'INPUT Growth'!$A$64:$A$115,$A$1,'INPUT Growth'!$F$64:$F$115,$B153,'INPUT Growth'!$E$64:$E$115,$C153))</f>
        <v>0</v>
      </c>
      <c r="K153" s="102">
        <f>IF($G$4="Water and sewer",SUMIFS('INPUT Growth'!AG$64:AG$115,'INPUT Growth'!$B$64:$B$115,$A$1,'INPUT Growth'!$F$64:$F$115,$B153,'INPUT Growth'!$E$64:$E$115,$C153),SUMIFS('INPUT Growth'!AG$64:AG$115,'INPUT Growth'!$A$64:$A$115,$A$1,'INPUT Growth'!$F$64:$F$115,$B153,'INPUT Growth'!$E$64:$E$115,$C153))</f>
        <v>0</v>
      </c>
      <c r="L153" s="102">
        <f>IF($G$4="Water and sewer",SUMIFS('INPUT Growth'!AH$64:AH$115,'INPUT Growth'!$B$64:$B$115,$A$1,'INPUT Growth'!$F$64:$F$115,$B153,'INPUT Growth'!$E$64:$E$115,$C153),SUMIFS('INPUT Growth'!AH$64:AH$115,'INPUT Growth'!$A$64:$A$115,$A$1,'INPUT Growth'!$F$64:$F$115,$B153,'INPUT Growth'!$E$64:$E$115,$C153))</f>
        <v>0</v>
      </c>
      <c r="M153" s="102">
        <f>IF($G$4="Water and sewer",SUMIFS('INPUT Growth'!AI$64:AI$115,'INPUT Growth'!$B$64:$B$115,$A$1,'INPUT Growth'!$F$64:$F$115,$B153,'INPUT Growth'!$E$64:$E$115,$C153),SUMIFS('INPUT Growth'!AI$64:AI$115,'INPUT Growth'!$A$64:$A$115,$A$1,'INPUT Growth'!$F$64:$F$115,$B153,'INPUT Growth'!$E$64:$E$115,$C153))</f>
        <v>0</v>
      </c>
      <c r="N153" s="102">
        <f>IF($G$4="Water and sewer",SUMIFS('INPUT Growth'!AJ$64:AJ$115,'INPUT Growth'!$B$64:$B$115,$A$1,'INPUT Growth'!$F$64:$F$115,$B153,'INPUT Growth'!$E$64:$E$115,$C153),SUMIFS('INPUT Growth'!AJ$64:AJ$115,'INPUT Growth'!$A$64:$A$115,$A$1,'INPUT Growth'!$F$64:$F$115,$B153,'INPUT Growth'!$E$64:$E$115,$C153))</f>
        <v>0</v>
      </c>
      <c r="O153" s="102">
        <f>IF($G$4="Water and sewer",SUMIFS('INPUT Growth'!AK$64:AK$115,'INPUT Growth'!$B$64:$B$115,$A$1,'INPUT Growth'!$F$64:$F$115,$B153,'INPUT Growth'!$E$64:$E$115,$C153),SUMIFS('INPUT Growth'!AK$64:AK$115,'INPUT Growth'!$A$64:$A$115,$A$1,'INPUT Growth'!$F$64:$F$115,$B153,'INPUT Growth'!$E$64:$E$115,$C153))</f>
        <v>0</v>
      </c>
      <c r="P153" s="102">
        <f>IF($G$4="Water and sewer",SUMIFS('INPUT Growth'!AL$64:AL$115,'INPUT Growth'!$B$64:$B$115,$A$1,'INPUT Growth'!$F$64:$F$115,$B153,'INPUT Growth'!$E$64:$E$115,$C153),SUMIFS('INPUT Growth'!AL$64:AL$115,'INPUT Growth'!$A$64:$A$115,$A$1,'INPUT Growth'!$F$64:$F$115,$B153,'INPUT Growth'!$E$64:$E$115,$C153))</f>
        <v>0</v>
      </c>
      <c r="Q153" s="102">
        <f>IF($G$4="Water and sewer",SUMIFS('INPUT Growth'!AM$64:AM$115,'INPUT Growth'!$B$64:$B$115,$A$1,'INPUT Growth'!$F$64:$F$115,$B153,'INPUT Growth'!$E$64:$E$115,$C153),SUMIFS('INPUT Growth'!AM$64:AM$115,'INPUT Growth'!$A$64:$A$115,$A$1,'INPUT Growth'!$F$64:$F$115,$B153,'INPUT Growth'!$E$64:$E$115,$C153))</f>
        <v>0</v>
      </c>
      <c r="R153" s="102">
        <f>IF($G$4="Water and sewer",SUMIFS('INPUT Growth'!AN$64:AN$115,'INPUT Growth'!$B$64:$B$115,$A$1,'INPUT Growth'!$F$64:$F$115,$B153,'INPUT Growth'!$E$64:$E$115,$C153),SUMIFS('INPUT Growth'!AN$64:AN$115,'INPUT Growth'!$A$64:$A$115,$A$1,'INPUT Growth'!$F$64:$F$115,$B153,'INPUT Growth'!$E$64:$E$115,$C153))</f>
        <v>0</v>
      </c>
      <c r="S153" s="102">
        <f>IF($G$4="Water and sewer",SUMIFS('INPUT Growth'!AO$64:AO$115,'INPUT Growth'!$B$64:$B$115,$A$1,'INPUT Growth'!$F$64:$F$115,$B153,'INPUT Growth'!$E$64:$E$115,$C153),SUMIFS('INPUT Growth'!AO$64:AO$115,'INPUT Growth'!$A$64:$A$115,$A$1,'INPUT Growth'!$F$64:$F$115,$B153,'INPUT Growth'!$E$64:$E$115,$C153))</f>
        <v>0</v>
      </c>
      <c r="T153" s="102">
        <f>IF($G$4="Water and sewer",SUMIFS('INPUT Growth'!AP$64:AP$115,'INPUT Growth'!$B$64:$B$115,$A$1,'INPUT Growth'!$F$64:$F$115,$B153,'INPUT Growth'!$E$64:$E$115,$C153),SUMIFS('INPUT Growth'!AP$64:AP$115,'INPUT Growth'!$A$64:$A$115,$A$1,'INPUT Growth'!$F$64:$F$115,$B153,'INPUT Growth'!$E$64:$E$115,$C153))</f>
        <v>0</v>
      </c>
      <c r="U153" s="102">
        <f>IF($G$4="Water and sewer",SUMIFS('INPUT Growth'!AQ$64:AQ$115,'INPUT Growth'!$B$64:$B$115,$A$1,'INPUT Growth'!$F$64:$F$115,$B153,'INPUT Growth'!$E$64:$E$115,$C153),SUMIFS('INPUT Growth'!AQ$64:AQ$115,'INPUT Growth'!$A$64:$A$115,$A$1,'INPUT Growth'!$F$64:$F$115,$B153,'INPUT Growth'!$E$64:$E$115,$C153))</f>
        <v>0</v>
      </c>
      <c r="V153" s="102">
        <f>IF($G$4="Water and sewer",SUMIFS('INPUT Growth'!AR$64:AR$115,'INPUT Growth'!$B$64:$B$115,$A$1,'INPUT Growth'!$F$64:$F$115,$B153,'INPUT Growth'!$E$64:$E$115,$C153),SUMIFS('INPUT Growth'!AR$64:AR$115,'INPUT Growth'!$A$64:$A$115,$A$1,'INPUT Growth'!$F$64:$F$115,$B153,'INPUT Growth'!$E$64:$E$115,$C153))</f>
        <v>0</v>
      </c>
      <c r="W153" s="102">
        <f>IF($G$4="Water and sewer",SUMIFS('INPUT Growth'!AS$64:AS$115,'INPUT Growth'!$B$64:$B$115,$A$1,'INPUT Growth'!$F$64:$F$115,$B153,'INPUT Growth'!$E$64:$E$115,$C153),SUMIFS('INPUT Growth'!AS$64:AS$115,'INPUT Growth'!$A$64:$A$115,$A$1,'INPUT Growth'!$F$64:$F$115,$B153,'INPUT Growth'!$E$64:$E$115,$C153))</f>
        <v>0</v>
      </c>
      <c r="X153" s="102">
        <f>IF($G$4="Water and sewer",SUMIFS('INPUT Growth'!AT$64:AT$115,'INPUT Growth'!$B$64:$B$115,$A$1,'INPUT Growth'!$F$64:$F$115,$B153,'INPUT Growth'!$E$64:$E$115,$C153),SUMIFS('INPUT Growth'!AT$64:AT$115,'INPUT Growth'!$A$64:$A$115,$A$1,'INPUT Growth'!$F$64:$F$115,$B153,'INPUT Growth'!$E$64:$E$115,$C153))</f>
        <v>0</v>
      </c>
      <c r="Y153" s="102">
        <f>IF($G$4="Water and sewer",SUMIFS('INPUT Growth'!AU$64:AU$115,'INPUT Growth'!$B$64:$B$115,$A$1,'INPUT Growth'!$F$64:$F$115,$B153,'INPUT Growth'!$E$64:$E$115,$C153),SUMIFS('INPUT Growth'!AU$64:AU$115,'INPUT Growth'!$A$64:$A$115,$A$1,'INPUT Growth'!$F$64:$F$115,$B153,'INPUT Growth'!$E$64:$E$115,$C153))</f>
        <v>0</v>
      </c>
      <c r="Z153" s="102">
        <f>IF($G$4="Water and sewer",SUMIFS('INPUT Growth'!AV$64:AV$115,'INPUT Growth'!$B$64:$B$115,$A$1,'INPUT Growth'!$F$64:$F$115,$B153,'INPUT Growth'!$E$64:$E$115,$C153),SUMIFS('INPUT Growth'!AV$64:AV$115,'INPUT Growth'!$A$64:$A$115,$A$1,'INPUT Growth'!$F$64:$F$115,$B153,'INPUT Growth'!$E$64:$E$115,$C153))</f>
        <v>0</v>
      </c>
      <c r="AA153" s="102">
        <f>IF($G$4="Water and sewer",SUMIFS('INPUT Growth'!AW$64:AW$115,'INPUT Growth'!$B$64:$B$115,$A$1,'INPUT Growth'!$F$64:$F$115,$B153,'INPUT Growth'!$E$64:$E$115,$C153),SUMIFS('INPUT Growth'!AW$64:AW$115,'INPUT Growth'!$A$64:$A$115,$A$1,'INPUT Growth'!$F$64:$F$115,$B153,'INPUT Growth'!$E$64:$E$115,$C153))</f>
        <v>0</v>
      </c>
    </row>
    <row r="154" spans="1:27" x14ac:dyDescent="0.25">
      <c r="C154" s="100"/>
      <c r="D154" s="100"/>
      <c r="E154" s="47" t="s">
        <v>656</v>
      </c>
      <c r="F154" s="47" t="s">
        <v>655</v>
      </c>
      <c r="H154" s="106">
        <f>G154+H153</f>
        <v>0</v>
      </c>
      <c r="I154" s="106">
        <f t="shared" ref="I154:AA154" si="75">H154+I153</f>
        <v>0</v>
      </c>
      <c r="J154" s="106">
        <f t="shared" si="75"/>
        <v>0</v>
      </c>
      <c r="K154" s="106">
        <f t="shared" si="75"/>
        <v>0</v>
      </c>
      <c r="L154" s="106">
        <f t="shared" si="75"/>
        <v>0</v>
      </c>
      <c r="M154" s="106">
        <f t="shared" si="75"/>
        <v>0</v>
      </c>
      <c r="N154" s="106">
        <f t="shared" si="75"/>
        <v>0</v>
      </c>
      <c r="O154" s="106">
        <f t="shared" si="75"/>
        <v>0</v>
      </c>
      <c r="P154" s="106">
        <f t="shared" si="75"/>
        <v>0</v>
      </c>
      <c r="Q154" s="106">
        <f t="shared" si="75"/>
        <v>0</v>
      </c>
      <c r="R154" s="106">
        <f t="shared" si="75"/>
        <v>0</v>
      </c>
      <c r="S154" s="106">
        <f t="shared" si="75"/>
        <v>0</v>
      </c>
      <c r="T154" s="106">
        <f t="shared" si="75"/>
        <v>0</v>
      </c>
      <c r="U154" s="106">
        <f t="shared" si="75"/>
        <v>0</v>
      </c>
      <c r="V154" s="106">
        <f t="shared" si="75"/>
        <v>0</v>
      </c>
      <c r="W154" s="106">
        <f t="shared" si="75"/>
        <v>0</v>
      </c>
      <c r="X154" s="106">
        <f t="shared" si="75"/>
        <v>0</v>
      </c>
      <c r="Y154" s="106">
        <f t="shared" si="75"/>
        <v>0</v>
      </c>
      <c r="Z154" s="106">
        <f t="shared" si="75"/>
        <v>0</v>
      </c>
      <c r="AA154" s="106">
        <f t="shared" si="75"/>
        <v>0</v>
      </c>
    </row>
    <row r="155" spans="1:27" x14ac:dyDescent="0.25">
      <c r="A155" s="101">
        <v>32</v>
      </c>
      <c r="C155" s="100"/>
      <c r="D155" s="100"/>
      <c r="E155" s="47" t="s">
        <v>657</v>
      </c>
      <c r="F155" s="47" t="s">
        <v>655</v>
      </c>
      <c r="G155" s="102">
        <v>2</v>
      </c>
    </row>
    <row r="156" spans="1:27" x14ac:dyDescent="0.25">
      <c r="C156" s="100"/>
      <c r="D156" s="100"/>
      <c r="E156" s="47" t="s">
        <v>658</v>
      </c>
      <c r="F156" s="47" t="s">
        <v>655</v>
      </c>
      <c r="H156" s="47">
        <f>H153*$G155</f>
        <v>0</v>
      </c>
      <c r="I156" s="47">
        <f t="shared" ref="I156:AA156" si="76">I153*$G155</f>
        <v>0</v>
      </c>
      <c r="J156" s="47">
        <f t="shared" si="76"/>
        <v>0</v>
      </c>
      <c r="K156" s="47">
        <f t="shared" si="76"/>
        <v>0</v>
      </c>
      <c r="L156" s="47">
        <f t="shared" si="76"/>
        <v>0</v>
      </c>
      <c r="M156" s="47">
        <f t="shared" si="76"/>
        <v>0</v>
      </c>
      <c r="N156" s="47">
        <f t="shared" si="76"/>
        <v>0</v>
      </c>
      <c r="O156" s="47">
        <f t="shared" si="76"/>
        <v>0</v>
      </c>
      <c r="P156" s="47">
        <f t="shared" si="76"/>
        <v>0</v>
      </c>
      <c r="Q156" s="47">
        <f t="shared" si="76"/>
        <v>0</v>
      </c>
      <c r="R156" s="47">
        <f t="shared" si="76"/>
        <v>0</v>
      </c>
      <c r="S156" s="47">
        <f t="shared" si="76"/>
        <v>0</v>
      </c>
      <c r="T156" s="47">
        <f t="shared" si="76"/>
        <v>0</v>
      </c>
      <c r="U156" s="47">
        <f t="shared" si="76"/>
        <v>0</v>
      </c>
      <c r="V156" s="47">
        <f t="shared" si="76"/>
        <v>0</v>
      </c>
      <c r="W156" s="47">
        <f t="shared" si="76"/>
        <v>0</v>
      </c>
      <c r="X156" s="47">
        <f t="shared" si="76"/>
        <v>0</v>
      </c>
      <c r="Y156" s="47">
        <f t="shared" si="76"/>
        <v>0</v>
      </c>
      <c r="Z156" s="47">
        <f t="shared" si="76"/>
        <v>0</v>
      </c>
      <c r="AA156" s="47">
        <f t="shared" si="76"/>
        <v>0</v>
      </c>
    </row>
    <row r="157" spans="1:27" x14ac:dyDescent="0.25">
      <c r="C157" s="100"/>
      <c r="D157" s="100"/>
      <c r="E157" s="47" t="s">
        <v>659</v>
      </c>
      <c r="F157" s="47" t="s">
        <v>655</v>
      </c>
      <c r="H157" s="47">
        <f>H154*$G155</f>
        <v>0</v>
      </c>
      <c r="I157" s="47">
        <f t="shared" ref="I157:AA157" si="77">I154*$G155</f>
        <v>0</v>
      </c>
      <c r="J157" s="47">
        <f t="shared" si="77"/>
        <v>0</v>
      </c>
      <c r="K157" s="47">
        <f t="shared" si="77"/>
        <v>0</v>
      </c>
      <c r="L157" s="47">
        <f t="shared" si="77"/>
        <v>0</v>
      </c>
      <c r="M157" s="47">
        <f t="shared" si="77"/>
        <v>0</v>
      </c>
      <c r="N157" s="47">
        <f t="shared" si="77"/>
        <v>0</v>
      </c>
      <c r="O157" s="47">
        <f t="shared" si="77"/>
        <v>0</v>
      </c>
      <c r="P157" s="47">
        <f t="shared" si="77"/>
        <v>0</v>
      </c>
      <c r="Q157" s="47">
        <f t="shared" si="77"/>
        <v>0</v>
      </c>
      <c r="R157" s="47">
        <f t="shared" si="77"/>
        <v>0</v>
      </c>
      <c r="S157" s="47">
        <f t="shared" si="77"/>
        <v>0</v>
      </c>
      <c r="T157" s="47">
        <f t="shared" si="77"/>
        <v>0</v>
      </c>
      <c r="U157" s="47">
        <f t="shared" si="77"/>
        <v>0</v>
      </c>
      <c r="V157" s="47">
        <f t="shared" si="77"/>
        <v>0</v>
      </c>
      <c r="W157" s="47">
        <f t="shared" si="77"/>
        <v>0</v>
      </c>
      <c r="X157" s="47">
        <f t="shared" si="77"/>
        <v>0</v>
      </c>
      <c r="Y157" s="47">
        <f t="shared" si="77"/>
        <v>0</v>
      </c>
      <c r="Z157" s="47">
        <f t="shared" si="77"/>
        <v>0</v>
      </c>
      <c r="AA157" s="47">
        <f t="shared" si="77"/>
        <v>0</v>
      </c>
    </row>
    <row r="158" spans="1:27" x14ac:dyDescent="0.25">
      <c r="A158" s="101">
        <v>33</v>
      </c>
      <c r="B158" s="47" t="str">
        <f>B153</f>
        <v>Western</v>
      </c>
      <c r="C158" s="47" t="str">
        <f>C153</f>
        <v>N</v>
      </c>
      <c r="D158" s="47" t="str">
        <f>D153</f>
        <v>Recycled</v>
      </c>
      <c r="E158" s="47" t="s">
        <v>660</v>
      </c>
      <c r="F158" s="47" t="s">
        <v>661</v>
      </c>
      <c r="H158" s="102">
        <f>IF(OR($D158=W,$D158=WS),'INPUT Reg'!AD126,IF($D158=RW,'INPUT Reg'!AD128,0))</f>
        <v>0</v>
      </c>
      <c r="I158" s="102">
        <f>IF(OR($D158=W,$D158=WS),'INPUT Reg'!AE126,IF($D158=RW,'INPUT Reg'!AE128,0))</f>
        <v>0</v>
      </c>
      <c r="J158" s="102">
        <f>IF(OR($D158=W,$D158=WS),'INPUT Reg'!AF126,IF($D158=RW,'INPUT Reg'!AF128,0))</f>
        <v>0</v>
      </c>
      <c r="K158" s="102">
        <f>IF(OR($D158=W,$D158=WS),'INPUT Reg'!AG126,IF($D158=RW,'INPUT Reg'!AG128,0))</f>
        <v>0</v>
      </c>
      <c r="L158" s="102">
        <f>IF(OR($D158=W,$D158=WS),'INPUT Reg'!AH126,IF($D158=RW,'INPUT Reg'!AH128,0))</f>
        <v>0</v>
      </c>
      <c r="M158" s="102">
        <f>IF(OR($D158=W,$D158=WS),'INPUT Reg'!AI126,IF($D158=RW,'INPUT Reg'!AI128,0))</f>
        <v>0</v>
      </c>
      <c r="N158" s="102">
        <f>IF(OR($D158=W,$D158=WS),'INPUT Reg'!AJ126,IF($D158=RW,'INPUT Reg'!AJ128,0))</f>
        <v>0</v>
      </c>
      <c r="O158" s="102">
        <f>IF(OR($D158=W,$D158=WS),'INPUT Reg'!AK126,IF($D158=RW,'INPUT Reg'!AK128,0))</f>
        <v>0</v>
      </c>
      <c r="P158" s="102">
        <f>IF(OR($D158=W,$D158=WS),'INPUT Reg'!AL126,IF($D158=RW,'INPUT Reg'!AL128,0))</f>
        <v>0</v>
      </c>
      <c r="Q158" s="102">
        <f>IF(OR($D158=W,$D158=WS),'INPUT Reg'!AM126,IF($D158=RW,'INPUT Reg'!AM128,0))</f>
        <v>0</v>
      </c>
      <c r="R158" s="102">
        <f>IF(OR($D158=W,$D158=WS),'INPUT Reg'!AN126,IF($D158=RW,'INPUT Reg'!AN128,0))</f>
        <v>0</v>
      </c>
      <c r="S158" s="102">
        <f>IF(OR($D158=W,$D158=WS),'INPUT Reg'!AO126,IF($D158=RW,'INPUT Reg'!AO128,0))</f>
        <v>0</v>
      </c>
      <c r="T158" s="102">
        <f>IF(OR($D158=W,$D158=WS),'INPUT Reg'!AP126,IF($D158=RW,'INPUT Reg'!AP128,0))</f>
        <v>0</v>
      </c>
      <c r="U158" s="102">
        <f>IF(OR($D158=W,$D158=WS),'INPUT Reg'!AQ126,IF($D158=RW,'INPUT Reg'!AQ128,0))</f>
        <v>0</v>
      </c>
      <c r="V158" s="102">
        <f>IF(OR($D158=W,$D158=WS),'INPUT Reg'!AR126,IF($D158=RW,'INPUT Reg'!AR128,0))</f>
        <v>0</v>
      </c>
      <c r="W158" s="102">
        <f>IF(OR($D158=W,$D158=WS),'INPUT Reg'!AS126,IF($D158=RW,'INPUT Reg'!AS128,0))</f>
        <v>0</v>
      </c>
      <c r="X158" s="102">
        <f>IF(OR($D158=W,$D158=WS),'INPUT Reg'!AT126,IF($D158=RW,'INPUT Reg'!AT128,0))</f>
        <v>0</v>
      </c>
      <c r="Y158" s="102">
        <f>IF(OR($D158=W,$D158=WS),'INPUT Reg'!AU126,IF($D158=RW,'INPUT Reg'!AU128,0))</f>
        <v>0</v>
      </c>
      <c r="Z158" s="102">
        <f>IF(OR($D158=W,$D158=WS),'INPUT Reg'!AV126,IF($D158=RW,'INPUT Reg'!AV128,0))</f>
        <v>0</v>
      </c>
      <c r="AA158" s="102">
        <f>IF(OR($D158=W,$D158=WS),'INPUT Reg'!AW126,IF($D158=RW,'INPUT Reg'!AW128,0))</f>
        <v>0</v>
      </c>
    </row>
    <row r="159" spans="1:27" x14ac:dyDescent="0.25">
      <c r="B159" s="47" t="str">
        <f>B153</f>
        <v>Western</v>
      </c>
      <c r="C159" s="47" t="str">
        <f t="shared" ref="C159:D159" si="78">C153</f>
        <v>N</v>
      </c>
      <c r="D159" s="47" t="str">
        <f t="shared" si="78"/>
        <v>Recycled</v>
      </c>
      <c r="E159" s="47" t="s">
        <v>662</v>
      </c>
      <c r="F159" s="47" t="s">
        <v>661</v>
      </c>
      <c r="H159" s="102"/>
      <c r="I159" s="102"/>
      <c r="J159" s="102"/>
      <c r="K159" s="102"/>
      <c r="L159" s="102"/>
      <c r="M159" s="102"/>
      <c r="N159" s="102"/>
      <c r="O159" s="102"/>
      <c r="P159" s="102"/>
      <c r="Q159" s="102"/>
      <c r="R159" s="102"/>
      <c r="S159" s="102"/>
      <c r="T159" s="102"/>
      <c r="U159" s="102"/>
      <c r="V159" s="102"/>
      <c r="W159" s="102"/>
      <c r="X159" s="102"/>
      <c r="Y159" s="102"/>
      <c r="Z159" s="102"/>
      <c r="AA159" s="102"/>
    </row>
    <row r="160" spans="1:27" x14ac:dyDescent="0.25">
      <c r="A160" s="101">
        <v>34</v>
      </c>
      <c r="B160" s="47" t="str">
        <f>B153</f>
        <v>Western</v>
      </c>
      <c r="C160" s="47" t="str">
        <f t="shared" ref="C160:D160" si="79">C153</f>
        <v>N</v>
      </c>
      <c r="D160" s="47" t="str">
        <f t="shared" si="79"/>
        <v>Recycled</v>
      </c>
      <c r="E160" s="47" t="s">
        <v>663</v>
      </c>
      <c r="F160" s="47" t="s">
        <v>661</v>
      </c>
      <c r="H160" s="102">
        <f>IF(OR($D160=S,$D160=WS),'INPUT Reg'!AD127,0)</f>
        <v>0</v>
      </c>
      <c r="I160" s="102">
        <f>IF(OR($D160=S,$D160=WS),'INPUT Reg'!AE127,0)</f>
        <v>0</v>
      </c>
      <c r="J160" s="102">
        <f>IF(OR($D160=S,$D160=WS),'INPUT Reg'!AF127,0)</f>
        <v>0</v>
      </c>
      <c r="K160" s="102">
        <f>IF(OR($D160=S,$D160=WS),'INPUT Reg'!AG127,0)</f>
        <v>0</v>
      </c>
      <c r="L160" s="102">
        <f>IF(OR($D160=S,$D160=WS),'INPUT Reg'!AH127,0)</f>
        <v>0</v>
      </c>
      <c r="M160" s="102">
        <f>IF(OR($D160=S,$D160=WS),'INPUT Reg'!AI127,0)</f>
        <v>0</v>
      </c>
      <c r="N160" s="102">
        <f>IF(OR($D160=S,$D160=WS),'INPUT Reg'!AJ127,0)</f>
        <v>0</v>
      </c>
      <c r="O160" s="102">
        <f>IF(OR($D160=S,$D160=WS),'INPUT Reg'!AK127,0)</f>
        <v>0</v>
      </c>
      <c r="P160" s="102">
        <f>IF(OR($D160=S,$D160=WS),'INPUT Reg'!AL127,0)</f>
        <v>0</v>
      </c>
      <c r="Q160" s="102">
        <f>IF(OR($D160=S,$D160=WS),'INPUT Reg'!AM127,0)</f>
        <v>0</v>
      </c>
      <c r="R160" s="102">
        <f>IF(OR($D160=S,$D160=WS),'INPUT Reg'!AN127,0)</f>
        <v>0</v>
      </c>
      <c r="S160" s="102">
        <f>IF(OR($D160=S,$D160=WS),'INPUT Reg'!AO127,0)</f>
        <v>0</v>
      </c>
      <c r="T160" s="102">
        <f>IF(OR($D160=S,$D160=WS),'INPUT Reg'!AP127,0)</f>
        <v>0</v>
      </c>
      <c r="U160" s="102">
        <f>IF(OR($D160=S,$D160=WS),'INPUT Reg'!AQ127,0)</f>
        <v>0</v>
      </c>
      <c r="V160" s="102">
        <f>IF(OR($D160=S,$D160=WS),'INPUT Reg'!AR127,0)</f>
        <v>0</v>
      </c>
      <c r="W160" s="102">
        <f>IF(OR($D160=S,$D160=WS),'INPUT Reg'!AS127,0)</f>
        <v>0</v>
      </c>
      <c r="X160" s="102">
        <f>IF(OR($D160=S,$D160=WS),'INPUT Reg'!AT127,0)</f>
        <v>0</v>
      </c>
      <c r="Y160" s="102">
        <f>IF(OR($D160=S,$D160=WS),'INPUT Reg'!AU127,0)</f>
        <v>0</v>
      </c>
      <c r="Z160" s="102">
        <f>IF(OR($D160=S,$D160=WS),'INPUT Reg'!AV127,0)</f>
        <v>0</v>
      </c>
      <c r="AA160" s="102">
        <f>IF(OR($D160=S,$D160=WS),'INPUT Reg'!AW127,0)</f>
        <v>0</v>
      </c>
    </row>
    <row r="161" spans="1:27" x14ac:dyDescent="0.25">
      <c r="C161" s="100"/>
      <c r="D161" s="100"/>
      <c r="E161" s="47" t="s">
        <v>664</v>
      </c>
      <c r="F161" s="47" t="s">
        <v>665</v>
      </c>
      <c r="H161" s="106">
        <f>H154*H158</f>
        <v>0</v>
      </c>
      <c r="I161" s="106">
        <f t="shared" ref="I161:AA161" si="80">I154*I158</f>
        <v>0</v>
      </c>
      <c r="J161" s="106">
        <f t="shared" si="80"/>
        <v>0</v>
      </c>
      <c r="K161" s="106">
        <f t="shared" si="80"/>
        <v>0</v>
      </c>
      <c r="L161" s="106">
        <f t="shared" si="80"/>
        <v>0</v>
      </c>
      <c r="M161" s="106">
        <f t="shared" si="80"/>
        <v>0</v>
      </c>
      <c r="N161" s="106">
        <f t="shared" si="80"/>
        <v>0</v>
      </c>
      <c r="O161" s="106">
        <f t="shared" si="80"/>
        <v>0</v>
      </c>
      <c r="P161" s="106">
        <f t="shared" si="80"/>
        <v>0</v>
      </c>
      <c r="Q161" s="106">
        <f t="shared" si="80"/>
        <v>0</v>
      </c>
      <c r="R161" s="106">
        <f t="shared" si="80"/>
        <v>0</v>
      </c>
      <c r="S161" s="106">
        <f t="shared" si="80"/>
        <v>0</v>
      </c>
      <c r="T161" s="106">
        <f t="shared" si="80"/>
        <v>0</v>
      </c>
      <c r="U161" s="106">
        <f t="shared" si="80"/>
        <v>0</v>
      </c>
      <c r="V161" s="106">
        <f t="shared" si="80"/>
        <v>0</v>
      </c>
      <c r="W161" s="106">
        <f t="shared" si="80"/>
        <v>0</v>
      </c>
      <c r="X161" s="106">
        <f t="shared" si="80"/>
        <v>0</v>
      </c>
      <c r="Y161" s="106">
        <f t="shared" si="80"/>
        <v>0</v>
      </c>
      <c r="Z161" s="106">
        <f t="shared" si="80"/>
        <v>0</v>
      </c>
      <c r="AA161" s="106">
        <f t="shared" si="80"/>
        <v>0</v>
      </c>
    </row>
    <row r="162" spans="1:27" x14ac:dyDescent="0.25">
      <c r="C162" s="100"/>
      <c r="D162" s="100"/>
      <c r="E162" s="47" t="s">
        <v>666</v>
      </c>
      <c r="F162" s="47" t="s">
        <v>665</v>
      </c>
      <c r="H162" s="106">
        <f>H154*H159</f>
        <v>0</v>
      </c>
      <c r="I162" s="106">
        <f t="shared" ref="I162:AA162" si="81">I154*I159</f>
        <v>0</v>
      </c>
      <c r="J162" s="106">
        <f t="shared" si="81"/>
        <v>0</v>
      </c>
      <c r="K162" s="106">
        <f t="shared" si="81"/>
        <v>0</v>
      </c>
      <c r="L162" s="106">
        <f t="shared" si="81"/>
        <v>0</v>
      </c>
      <c r="M162" s="106">
        <f t="shared" si="81"/>
        <v>0</v>
      </c>
      <c r="N162" s="106">
        <f t="shared" si="81"/>
        <v>0</v>
      </c>
      <c r="O162" s="106">
        <f t="shared" si="81"/>
        <v>0</v>
      </c>
      <c r="P162" s="106">
        <f t="shared" si="81"/>
        <v>0</v>
      </c>
      <c r="Q162" s="106">
        <f t="shared" si="81"/>
        <v>0</v>
      </c>
      <c r="R162" s="106">
        <f t="shared" si="81"/>
        <v>0</v>
      </c>
      <c r="S162" s="106">
        <f t="shared" si="81"/>
        <v>0</v>
      </c>
      <c r="T162" s="106">
        <f t="shared" si="81"/>
        <v>0</v>
      </c>
      <c r="U162" s="106">
        <f t="shared" si="81"/>
        <v>0</v>
      </c>
      <c r="V162" s="106">
        <f t="shared" si="81"/>
        <v>0</v>
      </c>
      <c r="W162" s="106">
        <f t="shared" si="81"/>
        <v>0</v>
      </c>
      <c r="X162" s="106">
        <f t="shared" si="81"/>
        <v>0</v>
      </c>
      <c r="Y162" s="106">
        <f t="shared" si="81"/>
        <v>0</v>
      </c>
      <c r="Z162" s="106">
        <f t="shared" si="81"/>
        <v>0</v>
      </c>
      <c r="AA162" s="106">
        <f t="shared" si="81"/>
        <v>0</v>
      </c>
    </row>
    <row r="163" spans="1:27" x14ac:dyDescent="0.25">
      <c r="C163" s="100"/>
      <c r="D163" s="100"/>
      <c r="E163" s="47" t="s">
        <v>667</v>
      </c>
      <c r="F163" s="47" t="s">
        <v>665</v>
      </c>
      <c r="H163" s="106">
        <f>H154*H160</f>
        <v>0</v>
      </c>
      <c r="I163" s="106">
        <f t="shared" ref="I163:AA163" si="82">I154*I160</f>
        <v>0</v>
      </c>
      <c r="J163" s="106">
        <f t="shared" si="82"/>
        <v>0</v>
      </c>
      <c r="K163" s="106">
        <f t="shared" si="82"/>
        <v>0</v>
      </c>
      <c r="L163" s="106">
        <f t="shared" si="82"/>
        <v>0</v>
      </c>
      <c r="M163" s="106">
        <f t="shared" si="82"/>
        <v>0</v>
      </c>
      <c r="N163" s="106">
        <f t="shared" si="82"/>
        <v>0</v>
      </c>
      <c r="O163" s="106">
        <f t="shared" si="82"/>
        <v>0</v>
      </c>
      <c r="P163" s="106">
        <f t="shared" si="82"/>
        <v>0</v>
      </c>
      <c r="Q163" s="106">
        <f t="shared" si="82"/>
        <v>0</v>
      </c>
      <c r="R163" s="106">
        <f t="shared" si="82"/>
        <v>0</v>
      </c>
      <c r="S163" s="106">
        <f t="shared" si="82"/>
        <v>0</v>
      </c>
      <c r="T163" s="106">
        <f t="shared" si="82"/>
        <v>0</v>
      </c>
      <c r="U163" s="106">
        <f t="shared" si="82"/>
        <v>0</v>
      </c>
      <c r="V163" s="106">
        <f t="shared" si="82"/>
        <v>0</v>
      </c>
      <c r="W163" s="106">
        <f t="shared" si="82"/>
        <v>0</v>
      </c>
      <c r="X163" s="106">
        <f t="shared" si="82"/>
        <v>0</v>
      </c>
      <c r="Y163" s="106">
        <f t="shared" si="82"/>
        <v>0</v>
      </c>
      <c r="Z163" s="106">
        <f t="shared" si="82"/>
        <v>0</v>
      </c>
      <c r="AA163" s="106">
        <f t="shared" si="82"/>
        <v>0</v>
      </c>
    </row>
    <row r="164" spans="1:27" x14ac:dyDescent="0.25">
      <c r="A164" s="101">
        <v>35</v>
      </c>
      <c r="B164" s="47" t="str">
        <f>B158</f>
        <v>Western</v>
      </c>
      <c r="C164" s="47" t="str">
        <f t="shared" ref="C164:D164" si="83">C158</f>
        <v>N</v>
      </c>
      <c r="D164" s="47" t="str">
        <f t="shared" si="83"/>
        <v>Recycled</v>
      </c>
      <c r="E164" s="47" t="s">
        <v>668</v>
      </c>
      <c r="F164" s="47" t="s">
        <v>633</v>
      </c>
      <c r="H164" s="105">
        <f>SUMIFS('INPUT Reg'!AD$94:AD$109,'INPUT Reg'!$D$94:$D$109,$D164,'INPUT Reg'!$C$94:$C$109,$C164,'INPUT Reg'!$B$94:$B$109,$B164)</f>
        <v>-6.4003316121881149E-2</v>
      </c>
      <c r="I164" s="105">
        <f>SUMIFS('INPUT Reg'!AE$94:AE$109,'INPUT Reg'!$D$94:$D$109,$D164,'INPUT Reg'!$C$94:$C$109,$C164,'INPUT Reg'!$B$94:$B$109,$B164)</f>
        <v>-6.8379853501933319E-2</v>
      </c>
      <c r="J164" s="105">
        <f>SUMIFS('INPUT Reg'!AF$94:AF$109,'INPUT Reg'!$D$94:$D$109,$D164,'INPUT Reg'!$C$94:$C$109,$C164,'INPUT Reg'!$B$94:$B$109,$B164)</f>
        <v>-7.3398856560768055E-2</v>
      </c>
      <c r="K164" s="105">
        <f>SUMIFS('INPUT Reg'!AG$94:AG$109,'INPUT Reg'!$D$94:$D$109,$D164,'INPUT Reg'!$C$94:$C$109,$C164,'INPUT Reg'!$B$94:$B$109,$B164)</f>
        <v>-7.9213000200211381E-2</v>
      </c>
      <c r="L164" s="105">
        <f>SUMIFS('INPUT Reg'!AH$94:AH$109,'INPUT Reg'!$D$94:$D$109,$D164,'INPUT Reg'!$C$94:$C$109,$C164,'INPUT Reg'!$B$94:$B$109,$B164)</f>
        <v>-8.539059552732664E-2</v>
      </c>
      <c r="M164" s="105">
        <f>SUMIFS('INPUT Reg'!AI$94:AI$109,'INPUT Reg'!$D$94:$D$109,$D164,'INPUT Reg'!$C$94:$C$109,$C164,'INPUT Reg'!$B$94:$B$109,$B164)</f>
        <v>-9.3362910013547684E-2</v>
      </c>
      <c r="N164" s="105">
        <f>SUMIFS('INPUT Reg'!AJ$94:AJ$109,'INPUT Reg'!$D$94:$D$109,$D164,'INPUT Reg'!$C$94:$C$109,$C164,'INPUT Reg'!$B$94:$B$109,$B164)</f>
        <v>-0.10297715706175525</v>
      </c>
      <c r="O164" s="105">
        <f>SUMIFS('INPUT Reg'!AK$94:AK$109,'INPUT Reg'!$D$94:$D$109,$D164,'INPUT Reg'!$C$94:$C$109,$C164,'INPUT Reg'!$B$94:$B$109,$B164)</f>
        <v>-0.11479881239640266</v>
      </c>
      <c r="P164" s="105">
        <f>SUMIFS('INPUT Reg'!AL$94:AL$109,'INPUT Reg'!$D$94:$D$109,$D164,'INPUT Reg'!$C$94:$C$109,$C164,'INPUT Reg'!$B$94:$B$109,$B164)</f>
        <v>-0.12581752661835954</v>
      </c>
      <c r="Q164" s="105">
        <f>SUMIFS('INPUT Reg'!AM$94:AM$109,'INPUT Reg'!$D$94:$D$109,$D164,'INPUT Reg'!$C$94:$C$109,$C164,'INPUT Reg'!$B$94:$B$109,$B164)</f>
        <v>-0.19054015994846896</v>
      </c>
      <c r="R164" s="105">
        <f>SUMIFS('INPUT Reg'!AN$94:AN$109,'INPUT Reg'!$D$94:$D$109,$D164,'INPUT Reg'!$C$94:$C$109,$C164,'INPUT Reg'!$B$94:$B$109,$B164)</f>
        <v>0</v>
      </c>
      <c r="S164" s="105">
        <f>SUMIFS('INPUT Reg'!AO$94:AO$109,'INPUT Reg'!$D$94:$D$109,$D164,'INPUT Reg'!$C$94:$C$109,$C164,'INPUT Reg'!$B$94:$B$109,$B164)</f>
        <v>0</v>
      </c>
      <c r="T164" s="105">
        <f>SUMIFS('INPUT Reg'!AP$94:AP$109,'INPUT Reg'!$D$94:$D$109,$D164,'INPUT Reg'!$C$94:$C$109,$C164,'INPUT Reg'!$B$94:$B$109,$B164)</f>
        <v>0</v>
      </c>
      <c r="U164" s="105">
        <f>SUMIFS('INPUT Reg'!AQ$94:AQ$109,'INPUT Reg'!$D$94:$D$109,$D164,'INPUT Reg'!$C$94:$C$109,$C164,'INPUT Reg'!$B$94:$B$109,$B164)</f>
        <v>0</v>
      </c>
      <c r="V164" s="105">
        <f>SUMIFS('INPUT Reg'!AR$94:AR$109,'INPUT Reg'!$D$94:$D$109,$D164,'INPUT Reg'!$C$94:$C$109,$C164,'INPUT Reg'!$B$94:$B$109,$B164)</f>
        <v>-0.10957535811740571</v>
      </c>
      <c r="W164" s="105">
        <f>SUMIFS('INPUT Reg'!AS$94:AS$109,'INPUT Reg'!$D$94:$D$109,$D164,'INPUT Reg'!$C$94:$C$109,$C164,'INPUT Reg'!$B$94:$B$109,$B164)</f>
        <v>0</v>
      </c>
      <c r="X164" s="105">
        <f>SUMIFS('INPUT Reg'!AT$94:AT$109,'INPUT Reg'!$D$94:$D$109,$D164,'INPUT Reg'!$C$94:$C$109,$C164,'INPUT Reg'!$B$94:$B$109,$B164)</f>
        <v>0</v>
      </c>
      <c r="Y164" s="105">
        <f>SUMIFS('INPUT Reg'!AU$94:AU$109,'INPUT Reg'!$D$94:$D$109,$D164,'INPUT Reg'!$C$94:$C$109,$C164,'INPUT Reg'!$B$94:$B$109,$B164)</f>
        <v>0</v>
      </c>
      <c r="Z164" s="105">
        <f>SUMIFS('INPUT Reg'!AV$94:AV$109,'INPUT Reg'!$D$94:$D$109,$D164,'INPUT Reg'!$C$94:$C$109,$C164,'INPUT Reg'!$B$94:$B$109,$B164)</f>
        <v>0</v>
      </c>
      <c r="AA164" s="105">
        <f>SUMIFS('INPUT Reg'!AW$94:AW$109,'INPUT Reg'!$D$94:$D$109,$D164,'INPUT Reg'!$C$94:$C$109,$C164,'INPUT Reg'!$B$94:$B$109,$B164)</f>
        <v>0</v>
      </c>
    </row>
    <row r="165" spans="1:27" x14ac:dyDescent="0.25">
      <c r="A165" s="101">
        <v>36</v>
      </c>
      <c r="B165" s="47" t="str">
        <f>B153</f>
        <v>Western</v>
      </c>
      <c r="C165" s="47" t="str">
        <f t="shared" ref="C165:D165" si="84">C153</f>
        <v>N</v>
      </c>
      <c r="D165" s="47" t="str">
        <f t="shared" si="84"/>
        <v>Recycled</v>
      </c>
      <c r="E165" s="47" t="s">
        <v>669</v>
      </c>
      <c r="F165" s="47" t="s">
        <v>670</v>
      </c>
      <c r="G165" s="108">
        <f>IF(D165=W,WW_N_W_N,IF(D165=S,WW_N_S_N,IF(D165=WS,WW_N_W_N+WW_N_S_N,WW_N_R_N)))</f>
        <v>131.4365</v>
      </c>
      <c r="H165" s="106">
        <f>G165*(1+$G$14)*(1+H164)</f>
        <v>123.02412814054637</v>
      </c>
      <c r="I165" s="106">
        <f t="shared" ref="I165:AA165" si="85">H165*(1+$G$14)*(1+I164)</f>
        <v>114.61175628109274</v>
      </c>
      <c r="J165" s="106">
        <f t="shared" si="85"/>
        <v>106.19938442163911</v>
      </c>
      <c r="K165" s="106">
        <f t="shared" si="85"/>
        <v>97.787012562185481</v>
      </c>
      <c r="L165" s="106">
        <f t="shared" si="85"/>
        <v>89.436921324662293</v>
      </c>
      <c r="M165" s="106">
        <f t="shared" si="85"/>
        <v>81.086830087139106</v>
      </c>
      <c r="N165" s="106">
        <f t="shared" si="85"/>
        <v>72.736738849615918</v>
      </c>
      <c r="O165" s="106">
        <f t="shared" si="85"/>
        <v>64.38664761209273</v>
      </c>
      <c r="P165" s="106">
        <f t="shared" si="85"/>
        <v>56.28567886229132</v>
      </c>
      <c r="Q165" s="106">
        <f t="shared" si="85"/>
        <v>45.560996609062173</v>
      </c>
      <c r="R165" s="106">
        <f t="shared" si="85"/>
        <v>45.560996609062173</v>
      </c>
      <c r="S165" s="106">
        <f t="shared" si="85"/>
        <v>45.560996609062173</v>
      </c>
      <c r="T165" s="106">
        <f t="shared" si="85"/>
        <v>45.560996609062173</v>
      </c>
      <c r="U165" s="106">
        <f t="shared" si="85"/>
        <v>45.560996609062173</v>
      </c>
      <c r="V165" s="106">
        <f t="shared" si="85"/>
        <v>40.568634089438277</v>
      </c>
      <c r="W165" s="106">
        <f t="shared" si="85"/>
        <v>40.568634089438277</v>
      </c>
      <c r="X165" s="106">
        <f t="shared" si="85"/>
        <v>40.568634089438277</v>
      </c>
      <c r="Y165" s="106">
        <f t="shared" si="85"/>
        <v>40.568634089438277</v>
      </c>
      <c r="Z165" s="106">
        <f t="shared" si="85"/>
        <v>40.568634089438277</v>
      </c>
      <c r="AA165" s="106">
        <f t="shared" si="85"/>
        <v>40.568634089438277</v>
      </c>
    </row>
    <row r="166" spans="1:27" x14ac:dyDescent="0.25">
      <c r="B166" s="47" t="str">
        <f>B153</f>
        <v>Western</v>
      </c>
      <c r="C166" s="47" t="str">
        <f t="shared" ref="C166:D166" si="86">C153</f>
        <v>N</v>
      </c>
      <c r="D166" s="47" t="str">
        <f t="shared" si="86"/>
        <v>Recycled</v>
      </c>
      <c r="E166" s="47" t="s">
        <v>671</v>
      </c>
      <c r="F166" s="47" t="s">
        <v>672</v>
      </c>
      <c r="G166" s="109">
        <f>IF(OR(D166=W,D166=WS),WW_N_W_V,IF(D166=RW,WW_N_R_V,0))</f>
        <v>0</v>
      </c>
      <c r="H166" s="110">
        <f>G166*(1+$G$14)*(1+H164)</f>
        <v>0</v>
      </c>
      <c r="I166" s="110">
        <f t="shared" ref="I166:AA166" si="87">H166*(1+$G$14)*(1+I164)</f>
        <v>0</v>
      </c>
      <c r="J166" s="110">
        <f t="shared" si="87"/>
        <v>0</v>
      </c>
      <c r="K166" s="110">
        <f t="shared" si="87"/>
        <v>0</v>
      </c>
      <c r="L166" s="110">
        <f t="shared" si="87"/>
        <v>0</v>
      </c>
      <c r="M166" s="110">
        <f t="shared" si="87"/>
        <v>0</v>
      </c>
      <c r="N166" s="110">
        <f t="shared" si="87"/>
        <v>0</v>
      </c>
      <c r="O166" s="110">
        <f t="shared" si="87"/>
        <v>0</v>
      </c>
      <c r="P166" s="110">
        <f t="shared" si="87"/>
        <v>0</v>
      </c>
      <c r="Q166" s="110">
        <f t="shared" si="87"/>
        <v>0</v>
      </c>
      <c r="R166" s="110">
        <f t="shared" si="87"/>
        <v>0</v>
      </c>
      <c r="S166" s="110">
        <f t="shared" si="87"/>
        <v>0</v>
      </c>
      <c r="T166" s="110">
        <f t="shared" si="87"/>
        <v>0</v>
      </c>
      <c r="U166" s="110">
        <f t="shared" si="87"/>
        <v>0</v>
      </c>
      <c r="V166" s="110">
        <f t="shared" si="87"/>
        <v>0</v>
      </c>
      <c r="W166" s="110">
        <f t="shared" si="87"/>
        <v>0</v>
      </c>
      <c r="X166" s="110">
        <f t="shared" si="87"/>
        <v>0</v>
      </c>
      <c r="Y166" s="110">
        <f t="shared" si="87"/>
        <v>0</v>
      </c>
      <c r="Z166" s="110">
        <f t="shared" si="87"/>
        <v>0</v>
      </c>
      <c r="AA166" s="110">
        <f t="shared" si="87"/>
        <v>0</v>
      </c>
    </row>
    <row r="167" spans="1:27" x14ac:dyDescent="0.25">
      <c r="B167" s="47" t="str">
        <f>B153</f>
        <v>Western</v>
      </c>
      <c r="C167" s="47" t="str">
        <f t="shared" ref="C167:D167" si="88">C153</f>
        <v>N</v>
      </c>
      <c r="D167" s="47" t="str">
        <f t="shared" si="88"/>
        <v>Recycled</v>
      </c>
      <c r="E167" s="47" t="s">
        <v>673</v>
      </c>
      <c r="F167" s="47" t="s">
        <v>672</v>
      </c>
      <c r="G167" s="109"/>
      <c r="H167" s="110">
        <f>G167*(1+$G$14)*(1+H164)</f>
        <v>0</v>
      </c>
      <c r="I167" s="110">
        <f t="shared" ref="I167:AA167" si="89">H167*(1+$G$14)*(1+I164)</f>
        <v>0</v>
      </c>
      <c r="J167" s="110">
        <f t="shared" si="89"/>
        <v>0</v>
      </c>
      <c r="K167" s="110">
        <f t="shared" si="89"/>
        <v>0</v>
      </c>
      <c r="L167" s="110">
        <f t="shared" si="89"/>
        <v>0</v>
      </c>
      <c r="M167" s="110">
        <f t="shared" si="89"/>
        <v>0</v>
      </c>
      <c r="N167" s="110">
        <f t="shared" si="89"/>
        <v>0</v>
      </c>
      <c r="O167" s="110">
        <f t="shared" si="89"/>
        <v>0</v>
      </c>
      <c r="P167" s="110">
        <f t="shared" si="89"/>
        <v>0</v>
      </c>
      <c r="Q167" s="110">
        <f t="shared" si="89"/>
        <v>0</v>
      </c>
      <c r="R167" s="110">
        <f t="shared" si="89"/>
        <v>0</v>
      </c>
      <c r="S167" s="110">
        <f t="shared" si="89"/>
        <v>0</v>
      </c>
      <c r="T167" s="110">
        <f t="shared" si="89"/>
        <v>0</v>
      </c>
      <c r="U167" s="110">
        <f t="shared" si="89"/>
        <v>0</v>
      </c>
      <c r="V167" s="110">
        <f t="shared" si="89"/>
        <v>0</v>
      </c>
      <c r="W167" s="110">
        <f t="shared" si="89"/>
        <v>0</v>
      </c>
      <c r="X167" s="110">
        <f t="shared" si="89"/>
        <v>0</v>
      </c>
      <c r="Y167" s="110">
        <f t="shared" si="89"/>
        <v>0</v>
      </c>
      <c r="Z167" s="110">
        <f t="shared" si="89"/>
        <v>0</v>
      </c>
      <c r="AA167" s="110">
        <f t="shared" si="89"/>
        <v>0</v>
      </c>
    </row>
    <row r="168" spans="1:27" x14ac:dyDescent="0.25">
      <c r="B168" s="47" t="str">
        <f>B153</f>
        <v>Western</v>
      </c>
      <c r="C168" s="47" t="str">
        <f t="shared" ref="C168:D168" si="90">C153</f>
        <v>N</v>
      </c>
      <c r="D168" s="47" t="str">
        <f t="shared" si="90"/>
        <v>Recycled</v>
      </c>
      <c r="E168" s="47" t="s">
        <v>674</v>
      </c>
      <c r="F168" s="47" t="s">
        <v>672</v>
      </c>
      <c r="G168" s="109">
        <f>IF(OR(D168=S,D168=WS),WW_N_SDC,0)</f>
        <v>0</v>
      </c>
      <c r="H168" s="110">
        <f>G168*(1+$G$14)*(1+H164)</f>
        <v>0</v>
      </c>
      <c r="I168" s="110">
        <f t="shared" ref="I168:AA168" si="91">H168*(1+$G$14)*(1+I164)</f>
        <v>0</v>
      </c>
      <c r="J168" s="110">
        <f t="shared" si="91"/>
        <v>0</v>
      </c>
      <c r="K168" s="110">
        <f t="shared" si="91"/>
        <v>0</v>
      </c>
      <c r="L168" s="110">
        <f t="shared" si="91"/>
        <v>0</v>
      </c>
      <c r="M168" s="110">
        <f t="shared" si="91"/>
        <v>0</v>
      </c>
      <c r="N168" s="110">
        <f t="shared" si="91"/>
        <v>0</v>
      </c>
      <c r="O168" s="110">
        <f t="shared" si="91"/>
        <v>0</v>
      </c>
      <c r="P168" s="110">
        <f t="shared" si="91"/>
        <v>0</v>
      </c>
      <c r="Q168" s="110">
        <f t="shared" si="91"/>
        <v>0</v>
      </c>
      <c r="R168" s="110">
        <f t="shared" si="91"/>
        <v>0</v>
      </c>
      <c r="S168" s="110">
        <f t="shared" si="91"/>
        <v>0</v>
      </c>
      <c r="T168" s="110">
        <f t="shared" si="91"/>
        <v>0</v>
      </c>
      <c r="U168" s="110">
        <f t="shared" si="91"/>
        <v>0</v>
      </c>
      <c r="V168" s="110">
        <f t="shared" si="91"/>
        <v>0</v>
      </c>
      <c r="W168" s="110">
        <f t="shared" si="91"/>
        <v>0</v>
      </c>
      <c r="X168" s="110">
        <f t="shared" si="91"/>
        <v>0</v>
      </c>
      <c r="Y168" s="110">
        <f t="shared" si="91"/>
        <v>0</v>
      </c>
      <c r="Z168" s="110">
        <f t="shared" si="91"/>
        <v>0</v>
      </c>
      <c r="AA168" s="110">
        <f t="shared" si="91"/>
        <v>0</v>
      </c>
    </row>
    <row r="169" spans="1:27" x14ac:dyDescent="0.25">
      <c r="C169" s="100"/>
      <c r="D169" s="100"/>
    </row>
    <row r="170" spans="1:27" x14ac:dyDescent="0.25">
      <c r="C170" s="100"/>
      <c r="D170" s="100"/>
      <c r="E170" s="47" t="s">
        <v>685</v>
      </c>
      <c r="F170" s="47" t="s">
        <v>676</v>
      </c>
      <c r="H170" s="106">
        <f>SUM(H161:H163)/1000</f>
        <v>0</v>
      </c>
      <c r="I170" s="106">
        <f t="shared" ref="I170:AA170" si="92">SUM(I161:I163)/1000</f>
        <v>0</v>
      </c>
      <c r="J170" s="106">
        <f t="shared" si="92"/>
        <v>0</v>
      </c>
      <c r="K170" s="106">
        <f t="shared" si="92"/>
        <v>0</v>
      </c>
      <c r="L170" s="106">
        <f t="shared" si="92"/>
        <v>0</v>
      </c>
      <c r="M170" s="106">
        <f t="shared" si="92"/>
        <v>0</v>
      </c>
      <c r="N170" s="106">
        <f t="shared" si="92"/>
        <v>0</v>
      </c>
      <c r="O170" s="106">
        <f t="shared" si="92"/>
        <v>0</v>
      </c>
      <c r="P170" s="106">
        <f t="shared" si="92"/>
        <v>0</v>
      </c>
      <c r="Q170" s="106">
        <f t="shared" si="92"/>
        <v>0</v>
      </c>
      <c r="R170" s="106">
        <f t="shared" si="92"/>
        <v>0</v>
      </c>
      <c r="S170" s="106">
        <f t="shared" si="92"/>
        <v>0</v>
      </c>
      <c r="T170" s="106">
        <f t="shared" si="92"/>
        <v>0</v>
      </c>
      <c r="U170" s="106">
        <f t="shared" si="92"/>
        <v>0</v>
      </c>
      <c r="V170" s="106">
        <f t="shared" si="92"/>
        <v>0</v>
      </c>
      <c r="W170" s="106">
        <f t="shared" si="92"/>
        <v>0</v>
      </c>
      <c r="X170" s="106">
        <f t="shared" si="92"/>
        <v>0</v>
      </c>
      <c r="Y170" s="106">
        <f t="shared" si="92"/>
        <v>0</v>
      </c>
      <c r="Z170" s="106">
        <f t="shared" si="92"/>
        <v>0</v>
      </c>
      <c r="AA170" s="106">
        <f t="shared" si="92"/>
        <v>0</v>
      </c>
    </row>
    <row r="171" spans="1:27" x14ac:dyDescent="0.25">
      <c r="C171" s="100"/>
      <c r="D171" s="100"/>
      <c r="E171" s="47" t="s">
        <v>686</v>
      </c>
      <c r="F171" s="47" t="s">
        <v>639</v>
      </c>
      <c r="H171" s="106">
        <f>H154*H165+H161*H166+H162*H167+H163*H168</f>
        <v>0</v>
      </c>
      <c r="I171" s="106">
        <f t="shared" ref="I171:AA171" si="93">I154*I165+I161*I166+I162*I167+I163*I168</f>
        <v>0</v>
      </c>
      <c r="J171" s="106">
        <f t="shared" si="93"/>
        <v>0</v>
      </c>
      <c r="K171" s="106">
        <f t="shared" si="93"/>
        <v>0</v>
      </c>
      <c r="L171" s="106">
        <f t="shared" si="93"/>
        <v>0</v>
      </c>
      <c r="M171" s="106">
        <f t="shared" si="93"/>
        <v>0</v>
      </c>
      <c r="N171" s="106">
        <f t="shared" si="93"/>
        <v>0</v>
      </c>
      <c r="O171" s="106">
        <f t="shared" si="93"/>
        <v>0</v>
      </c>
      <c r="P171" s="106">
        <f t="shared" si="93"/>
        <v>0</v>
      </c>
      <c r="Q171" s="106">
        <f t="shared" si="93"/>
        <v>0</v>
      </c>
      <c r="R171" s="106">
        <f t="shared" si="93"/>
        <v>0</v>
      </c>
      <c r="S171" s="106">
        <f t="shared" si="93"/>
        <v>0</v>
      </c>
      <c r="T171" s="106">
        <f t="shared" si="93"/>
        <v>0</v>
      </c>
      <c r="U171" s="106">
        <f t="shared" si="93"/>
        <v>0</v>
      </c>
      <c r="V171" s="106">
        <f t="shared" si="93"/>
        <v>0</v>
      </c>
      <c r="W171" s="106">
        <f t="shared" si="93"/>
        <v>0</v>
      </c>
      <c r="X171" s="106">
        <f t="shared" si="93"/>
        <v>0</v>
      </c>
      <c r="Y171" s="106">
        <f t="shared" si="93"/>
        <v>0</v>
      </c>
      <c r="Z171" s="106">
        <f t="shared" si="93"/>
        <v>0</v>
      </c>
      <c r="AA171" s="106">
        <f t="shared" si="93"/>
        <v>0</v>
      </c>
    </row>
    <row r="172" spans="1:27" x14ac:dyDescent="0.25">
      <c r="C172" s="100"/>
      <c r="D172" s="100"/>
    </row>
    <row r="173" spans="1:27" x14ac:dyDescent="0.25">
      <c r="C173" s="100"/>
      <c r="D173" s="47" t="s">
        <v>687</v>
      </c>
    </row>
    <row r="174" spans="1:27" x14ac:dyDescent="0.25">
      <c r="C174" s="100"/>
      <c r="E174" s="47" t="s">
        <v>688</v>
      </c>
      <c r="F174" s="47" t="s">
        <v>655</v>
      </c>
      <c r="H174" s="47">
        <f t="shared" ref="H174:AA175" si="94">SUM(H93,H114,H135,H156)</f>
        <v>590.02962699546151</v>
      </c>
      <c r="I174" s="47">
        <f t="shared" si="94"/>
        <v>587.79639214560848</v>
      </c>
      <c r="J174" s="47">
        <f t="shared" si="94"/>
        <v>408.39616419475351</v>
      </c>
      <c r="K174" s="47">
        <f t="shared" si="94"/>
        <v>357.37045469124132</v>
      </c>
      <c r="L174" s="47">
        <f t="shared" si="94"/>
        <v>310.26144888135241</v>
      </c>
      <c r="M174" s="47">
        <f t="shared" si="94"/>
        <v>254.66895054675479</v>
      </c>
      <c r="N174" s="47">
        <f t="shared" si="94"/>
        <v>249.4322945536278</v>
      </c>
      <c r="O174" s="47">
        <f t="shared" si="94"/>
        <v>317.72612269536512</v>
      </c>
      <c r="P174" s="47">
        <f t="shared" si="94"/>
        <v>310.01610762433847</v>
      </c>
      <c r="Q174" s="47">
        <f t="shared" si="94"/>
        <v>280.60021068756396</v>
      </c>
      <c r="R174" s="47">
        <f t="shared" si="94"/>
        <v>257.5041548870613</v>
      </c>
      <c r="S174" s="47">
        <f t="shared" si="94"/>
        <v>230.90554163477464</v>
      </c>
      <c r="T174" s="47">
        <f t="shared" si="94"/>
        <v>203.99886422778218</v>
      </c>
      <c r="U174" s="47">
        <f t="shared" si="94"/>
        <v>182.29683615113026</v>
      </c>
      <c r="V174" s="47">
        <f t="shared" si="94"/>
        <v>191.8560280857364</v>
      </c>
      <c r="W174" s="47">
        <f t="shared" si="94"/>
        <v>241.16299136175621</v>
      </c>
      <c r="X174" s="47">
        <f t="shared" si="94"/>
        <v>278.03876833322283</v>
      </c>
      <c r="Y174" s="47">
        <f t="shared" si="94"/>
        <v>255.82050097307547</v>
      </c>
      <c r="Z174" s="47">
        <f t="shared" si="94"/>
        <v>226.12926766935016</v>
      </c>
      <c r="AA174" s="47">
        <f t="shared" si="94"/>
        <v>212.00091024339235</v>
      </c>
    </row>
    <row r="175" spans="1:27" x14ac:dyDescent="0.25">
      <c r="C175" s="100"/>
      <c r="D175" s="100"/>
      <c r="E175" s="47" t="s">
        <v>689</v>
      </c>
      <c r="F175" s="47" t="s">
        <v>655</v>
      </c>
      <c r="H175" s="47">
        <f t="shared" si="94"/>
        <v>590.02962699546151</v>
      </c>
      <c r="I175" s="47">
        <f t="shared" si="94"/>
        <v>1177.82601914107</v>
      </c>
      <c r="J175" s="47">
        <f t="shared" si="94"/>
        <v>1586.2221833358235</v>
      </c>
      <c r="K175" s="47">
        <f t="shared" si="94"/>
        <v>1943.5926380270648</v>
      </c>
      <c r="L175" s="47">
        <f t="shared" si="94"/>
        <v>2253.8540869084172</v>
      </c>
      <c r="M175" s="47">
        <f t="shared" si="94"/>
        <v>2508.523037455172</v>
      </c>
      <c r="N175" s="47">
        <f t="shared" si="94"/>
        <v>2757.9553320087998</v>
      </c>
      <c r="O175" s="47">
        <f t="shared" si="94"/>
        <v>3075.6814547041649</v>
      </c>
      <c r="P175" s="47">
        <f t="shared" si="94"/>
        <v>3385.6975623285034</v>
      </c>
      <c r="Q175" s="47">
        <f t="shared" si="94"/>
        <v>3666.2977730160674</v>
      </c>
      <c r="R175" s="47">
        <f t="shared" si="94"/>
        <v>3923.8019279031287</v>
      </c>
      <c r="S175" s="47">
        <f t="shared" si="94"/>
        <v>4154.7074695379033</v>
      </c>
      <c r="T175" s="47">
        <f t="shared" si="94"/>
        <v>4358.7063337656855</v>
      </c>
      <c r="U175" s="47">
        <f t="shared" si="94"/>
        <v>4541.0031699168158</v>
      </c>
      <c r="V175" s="47">
        <f t="shared" si="94"/>
        <v>4732.8591980025521</v>
      </c>
      <c r="W175" s="47">
        <f t="shared" si="94"/>
        <v>4974.0221893643084</v>
      </c>
      <c r="X175" s="47">
        <f t="shared" si="94"/>
        <v>5252.0609576975312</v>
      </c>
      <c r="Y175" s="47">
        <f t="shared" si="94"/>
        <v>5507.8814586706067</v>
      </c>
      <c r="Z175" s="47">
        <f t="shared" si="94"/>
        <v>5734.0107263399568</v>
      </c>
      <c r="AA175" s="47">
        <f t="shared" si="94"/>
        <v>5946.0116365833492</v>
      </c>
    </row>
    <row r="176" spans="1:27" x14ac:dyDescent="0.25">
      <c r="C176" s="100"/>
      <c r="D176" s="100"/>
      <c r="E176" s="47" t="s">
        <v>690</v>
      </c>
      <c r="F176" s="47" t="s">
        <v>676</v>
      </c>
      <c r="H176" s="106">
        <f t="shared" ref="H176:AA177" si="95">SUM(H107,H128,H149,H170)</f>
        <v>70.810401575644093</v>
      </c>
      <c r="I176" s="106">
        <f t="shared" si="95"/>
        <v>137.75375963122997</v>
      </c>
      <c r="J176" s="106">
        <f t="shared" si="95"/>
        <v>181.88785354153052</v>
      </c>
      <c r="K176" s="106">
        <f t="shared" si="95"/>
        <v>219.25605247639103</v>
      </c>
      <c r="L176" s="106">
        <f t="shared" si="95"/>
        <v>250.97482323219279</v>
      </c>
      <c r="M176" s="106">
        <f t="shared" si="95"/>
        <v>276.63233598657229</v>
      </c>
      <c r="N176" s="106">
        <f t="shared" si="95"/>
        <v>301.33648187101085</v>
      </c>
      <c r="O176" s="106">
        <f t="shared" si="95"/>
        <v>331.93750255360953</v>
      </c>
      <c r="P176" s="106">
        <f t="shared" si="95"/>
        <v>361.19395213241455</v>
      </c>
      <c r="Q176" s="106">
        <f t="shared" si="95"/>
        <v>387.32391581980829</v>
      </c>
      <c r="R176" s="106">
        <f t="shared" si="95"/>
        <v>411.03815695472593</v>
      </c>
      <c r="S176" s="106">
        <f t="shared" si="95"/>
        <v>432.17795383632676</v>
      </c>
      <c r="T176" s="106">
        <f t="shared" si="95"/>
        <v>450.85128035141241</v>
      </c>
      <c r="U176" s="106">
        <f t="shared" si="95"/>
        <v>467.56632364675619</v>
      </c>
      <c r="V176" s="106">
        <f t="shared" si="95"/>
        <v>485.02725939790332</v>
      </c>
      <c r="W176" s="106">
        <f t="shared" si="95"/>
        <v>506.76096522870625</v>
      </c>
      <c r="X176" s="106">
        <f t="shared" si="95"/>
        <v>531.60641655277459</v>
      </c>
      <c r="Y176" s="106">
        <f t="shared" si="95"/>
        <v>554.65131085444375</v>
      </c>
      <c r="Z176" s="106">
        <f t="shared" si="95"/>
        <v>575.54315853218543</v>
      </c>
      <c r="AA176" s="106">
        <f t="shared" si="95"/>
        <v>596.82244790161144</v>
      </c>
    </row>
    <row r="177" spans="1:27" x14ac:dyDescent="0.25">
      <c r="C177" s="100"/>
      <c r="D177" s="100"/>
      <c r="E177" s="47" t="s">
        <v>691</v>
      </c>
      <c r="F177" s="47" t="s">
        <v>639</v>
      </c>
      <c r="H177" s="106">
        <f t="shared" si="95"/>
        <v>215224.25864054894</v>
      </c>
      <c r="I177" s="106">
        <f t="shared" si="95"/>
        <v>420341.46989015926</v>
      </c>
      <c r="J177" s="106">
        <f t="shared" si="95"/>
        <v>556023.89207683119</v>
      </c>
      <c r="K177" s="106">
        <f t="shared" si="95"/>
        <v>670661.26844936307</v>
      </c>
      <c r="L177" s="106">
        <f t="shared" si="95"/>
        <v>768061.84717382398</v>
      </c>
      <c r="M177" s="106">
        <f t="shared" si="95"/>
        <v>845967.92382104485</v>
      </c>
      <c r="N177" s="106">
        <f t="shared" si="95"/>
        <v>920689.28212232387</v>
      </c>
      <c r="O177" s="106">
        <f t="shared" si="95"/>
        <v>1014465.3474064318</v>
      </c>
      <c r="P177" s="106">
        <f t="shared" si="95"/>
        <v>1108889.6384151613</v>
      </c>
      <c r="Q177" s="106">
        <f t="shared" si="95"/>
        <v>984471.65420683799</v>
      </c>
      <c r="R177" s="106">
        <f t="shared" si="95"/>
        <v>1048190.1670400412</v>
      </c>
      <c r="S177" s="106">
        <f t="shared" si="95"/>
        <v>1105132.7164410739</v>
      </c>
      <c r="T177" s="106">
        <f t="shared" si="95"/>
        <v>1155435.0858234868</v>
      </c>
      <c r="U177" s="106">
        <f t="shared" si="95"/>
        <v>1200430.0511229376</v>
      </c>
      <c r="V177" s="106">
        <f t="shared" si="95"/>
        <v>1112643.9210499942</v>
      </c>
      <c r="W177" s="106">
        <f t="shared" si="95"/>
        <v>1165204.8659542638</v>
      </c>
      <c r="X177" s="106">
        <f t="shared" si="95"/>
        <v>1225509.4784198171</v>
      </c>
      <c r="Y177" s="106">
        <f t="shared" si="95"/>
        <v>1281251.4710916388</v>
      </c>
      <c r="Z177" s="106">
        <f t="shared" si="95"/>
        <v>1331247.2569678195</v>
      </c>
      <c r="AA177" s="106">
        <f t="shared" si="95"/>
        <v>1380466.8422992099</v>
      </c>
    </row>
    <row r="178" spans="1:27" x14ac:dyDescent="0.25">
      <c r="C178" s="100"/>
      <c r="D178" s="100"/>
    </row>
    <row r="179" spans="1:27" x14ac:dyDescent="0.25">
      <c r="C179" s="100"/>
      <c r="D179" s="100"/>
      <c r="E179" s="111" t="s">
        <v>692</v>
      </c>
      <c r="F179" s="111" t="s">
        <v>693</v>
      </c>
      <c r="G179" s="111"/>
      <c r="H179" s="112">
        <f>H176*1000/H175</f>
        <v>120.01160337697544</v>
      </c>
      <c r="I179" s="112">
        <f t="shared" ref="I179:AA179" si="96">I176*1000/I175</f>
        <v>116.95594883502993</v>
      </c>
      <c r="J179" s="112">
        <f t="shared" si="96"/>
        <v>114.66732432087198</v>
      </c>
      <c r="K179" s="112">
        <f t="shared" si="96"/>
        <v>112.80967430446599</v>
      </c>
      <c r="L179" s="112">
        <f t="shared" si="96"/>
        <v>111.3536251925038</v>
      </c>
      <c r="M179" s="112">
        <f t="shared" si="96"/>
        <v>110.27697647425562</v>
      </c>
      <c r="N179" s="112">
        <f t="shared" si="96"/>
        <v>109.26082753179607</v>
      </c>
      <c r="O179" s="112">
        <f t="shared" si="96"/>
        <v>107.92323829436916</v>
      </c>
      <c r="P179" s="112">
        <f t="shared" si="96"/>
        <v>106.6822849599137</v>
      </c>
      <c r="Q179" s="112">
        <f t="shared" si="96"/>
        <v>105.64442383008559</v>
      </c>
      <c r="R179" s="112">
        <f t="shared" si="96"/>
        <v>104.7550728877856</v>
      </c>
      <c r="S179" s="112">
        <f t="shared" si="96"/>
        <v>104.02127153476697</v>
      </c>
      <c r="T179" s="112">
        <f t="shared" si="96"/>
        <v>103.43694799046061</v>
      </c>
      <c r="U179" s="112">
        <f t="shared" si="96"/>
        <v>102.96542551308575</v>
      </c>
      <c r="V179" s="112">
        <f t="shared" si="96"/>
        <v>102.48081320538829</v>
      </c>
      <c r="W179" s="112">
        <f t="shared" si="96"/>
        <v>101.88152483764281</v>
      </c>
      <c r="X179" s="112">
        <f t="shared" si="96"/>
        <v>101.21863033094485</v>
      </c>
      <c r="Y179" s="112">
        <f t="shared" si="96"/>
        <v>100.70138854954868</v>
      </c>
      <c r="Z179" s="112">
        <f t="shared" si="96"/>
        <v>100.37357549548169</v>
      </c>
      <c r="AA179" s="112">
        <f t="shared" si="96"/>
        <v>100.37357549548169</v>
      </c>
    </row>
    <row r="180" spans="1:27" x14ac:dyDescent="0.25">
      <c r="C180" s="100"/>
      <c r="D180" s="100"/>
      <c r="E180" s="111" t="s">
        <v>694</v>
      </c>
      <c r="F180" s="111" t="s">
        <v>695</v>
      </c>
      <c r="G180" s="111"/>
      <c r="H180" s="112">
        <f>H177/H175</f>
        <v>364.76856210849974</v>
      </c>
      <c r="I180" s="112">
        <f t="shared" ref="I180:AA180" si="97">I177/I175</f>
        <v>356.87908320848049</v>
      </c>
      <c r="J180" s="112">
        <f t="shared" si="97"/>
        <v>350.53342332378276</v>
      </c>
      <c r="K180" s="112">
        <f t="shared" si="97"/>
        <v>345.06267173873914</v>
      </c>
      <c r="L180" s="112">
        <f t="shared" si="97"/>
        <v>340.7770945045358</v>
      </c>
      <c r="M180" s="112">
        <f t="shared" si="97"/>
        <v>337.23745454586543</v>
      </c>
      <c r="N180" s="112">
        <f t="shared" si="97"/>
        <v>333.83038203585608</v>
      </c>
      <c r="O180" s="112">
        <f t="shared" si="97"/>
        <v>329.8343350397476</v>
      </c>
      <c r="P180" s="112">
        <f t="shared" si="97"/>
        <v>327.52176412724998</v>
      </c>
      <c r="Q180" s="112">
        <f t="shared" si="97"/>
        <v>268.5192843452445</v>
      </c>
      <c r="R180" s="112">
        <f t="shared" si="97"/>
        <v>267.13636067766339</v>
      </c>
      <c r="S180" s="112">
        <f t="shared" si="97"/>
        <v>265.9953136397325</v>
      </c>
      <c r="T180" s="112">
        <f t="shared" si="97"/>
        <v>265.08670172905494</v>
      </c>
      <c r="U180" s="112">
        <f t="shared" si="97"/>
        <v>264.35349331520672</v>
      </c>
      <c r="V180" s="112">
        <f t="shared" si="97"/>
        <v>235.08916587241228</v>
      </c>
      <c r="W180" s="112">
        <f t="shared" si="97"/>
        <v>234.25807557629327</v>
      </c>
      <c r="X180" s="112">
        <f t="shared" si="97"/>
        <v>233.33877658515834</v>
      </c>
      <c r="Y180" s="112">
        <f t="shared" si="97"/>
        <v>232.62146810996987</v>
      </c>
      <c r="Z180" s="112">
        <f t="shared" si="97"/>
        <v>232.16685850491254</v>
      </c>
      <c r="AA180" s="112">
        <f t="shared" si="97"/>
        <v>232.16685850491254</v>
      </c>
    </row>
    <row r="181" spans="1:27" x14ac:dyDescent="0.25">
      <c r="C181" s="100"/>
      <c r="D181" s="100"/>
      <c r="E181" s="111" t="s">
        <v>696</v>
      </c>
      <c r="F181" s="111" t="s">
        <v>697</v>
      </c>
      <c r="G181" s="111"/>
      <c r="H181" s="112">
        <f>H177/H176</f>
        <v>3039.4441191049164</v>
      </c>
      <c r="I181" s="112">
        <f t="shared" ref="I181:AA181" si="98">I177/I176</f>
        <v>3051.3974429113455</v>
      </c>
      <c r="J181" s="112">
        <f t="shared" si="98"/>
        <v>3056.9599962312714</v>
      </c>
      <c r="K181" s="112">
        <f t="shared" si="98"/>
        <v>3058.8039001640709</v>
      </c>
      <c r="L181" s="112">
        <f t="shared" si="98"/>
        <v>3060.31432668145</v>
      </c>
      <c r="M181" s="112">
        <f t="shared" si="98"/>
        <v>3058.0948564961259</v>
      </c>
      <c r="N181" s="112">
        <f t="shared" si="98"/>
        <v>3055.3528613785011</v>
      </c>
      <c r="O181" s="112">
        <f t="shared" si="98"/>
        <v>3056.1938304714172</v>
      </c>
      <c r="P181" s="112">
        <f t="shared" si="98"/>
        <v>3070.0670148780337</v>
      </c>
      <c r="Q181" s="112">
        <f t="shared" si="98"/>
        <v>2541.7269990238251</v>
      </c>
      <c r="R181" s="112">
        <f t="shared" si="98"/>
        <v>2550.1042891146835</v>
      </c>
      <c r="S181" s="112">
        <f t="shared" si="98"/>
        <v>2557.1242277194146</v>
      </c>
      <c r="T181" s="112">
        <f t="shared" si="98"/>
        <v>2562.7854154542761</v>
      </c>
      <c r="U181" s="112">
        <f t="shared" si="98"/>
        <v>2567.400581291342</v>
      </c>
      <c r="V181" s="112">
        <f t="shared" si="98"/>
        <v>2293.9822442787922</v>
      </c>
      <c r="W181" s="112">
        <f t="shared" si="98"/>
        <v>2299.3185069579999</v>
      </c>
      <c r="X181" s="112">
        <f t="shared" si="98"/>
        <v>2305.2947448728851</v>
      </c>
      <c r="Y181" s="112">
        <f t="shared" si="98"/>
        <v>2310.0125178066614</v>
      </c>
      <c r="Z181" s="112">
        <f t="shared" si="98"/>
        <v>2313.0276804313257</v>
      </c>
      <c r="AA181" s="112">
        <f t="shared" si="98"/>
        <v>2313.0276804313253</v>
      </c>
    </row>
    <row r="182" spans="1:27" x14ac:dyDescent="0.25">
      <c r="C182" s="100"/>
      <c r="D182" s="100"/>
    </row>
    <row r="183" spans="1:27" x14ac:dyDescent="0.25">
      <c r="C183" s="100" t="str">
        <f>"Incremental "&amp;VLOOKUP(G4,E320:F323,2,FALSE)&amp;" Charges"</f>
        <v>Incremental Bulk Recycled Water Processing Charges</v>
      </c>
      <c r="H183" s="106"/>
      <c r="I183" s="106"/>
      <c r="J183" s="106"/>
      <c r="K183" s="106"/>
      <c r="L183" s="106"/>
      <c r="M183" s="106"/>
      <c r="N183" s="106"/>
      <c r="O183" s="106"/>
      <c r="P183" s="106"/>
      <c r="Q183" s="106"/>
      <c r="R183" s="106"/>
      <c r="S183" s="106"/>
      <c r="T183" s="106"/>
      <c r="U183" s="106"/>
      <c r="V183" s="106"/>
      <c r="W183" s="106"/>
      <c r="X183" s="106"/>
      <c r="Y183" s="106"/>
      <c r="Z183" s="106"/>
      <c r="AA183" s="106"/>
    </row>
    <row r="184" spans="1:27" x14ac:dyDescent="0.25">
      <c r="A184" s="101">
        <v>37</v>
      </c>
      <c r="E184" s="47" t="s">
        <v>698</v>
      </c>
      <c r="F184" s="47" t="s">
        <v>633</v>
      </c>
      <c r="H184" s="113">
        <f>IFERROR(SUMIFS('INPUT Opex'!AD$63:AD$72,'INPUT Opex'!$A$63:$A$72,$A$1)/SUMIFS('INPUT Opex'!AC$63:AC$72,'INPUT Opex'!$A$63:$A$72,$A$1)-1,0)</f>
        <v>0</v>
      </c>
      <c r="I184" s="113">
        <f>IFERROR(SUMIFS('INPUT Opex'!AE$63:AE$72,'INPUT Opex'!$A$63:$A$72,$A$1)/SUMIFS('INPUT Opex'!AD$63:AD$72,'INPUT Opex'!$A$63:$A$72,$A$1)-1,0)</f>
        <v>0</v>
      </c>
      <c r="J184" s="113">
        <f>IFERROR(SUMIFS('INPUT Opex'!AF$63:AF$72,'INPUT Opex'!$A$63:$A$72,$A$1)/SUMIFS('INPUT Opex'!AE$63:AE$72,'INPUT Opex'!$A$63:$A$72,$A$1)-1,0)</f>
        <v>0</v>
      </c>
      <c r="K184" s="113">
        <f>IFERROR(SUMIFS('INPUT Opex'!AG$63:AG$72,'INPUT Opex'!$A$63:$A$72,$A$1)/SUMIFS('INPUT Opex'!AF$63:AF$72,'INPUT Opex'!$A$63:$A$72,$A$1)-1,0)</f>
        <v>0</v>
      </c>
      <c r="L184" s="113">
        <f>IFERROR(SUMIFS('INPUT Opex'!AH$63:AH$72,'INPUT Opex'!$A$63:$A$72,$A$1)/SUMIFS('INPUT Opex'!AG$63:AG$72,'INPUT Opex'!$A$63:$A$72,$A$1)-1,0)</f>
        <v>0</v>
      </c>
      <c r="M184" s="113">
        <f>IFERROR(SUMIFS('INPUT Opex'!AI$63:AI$72,'INPUT Opex'!$A$63:$A$72,$A$1)/SUMIFS('INPUT Opex'!AH$63:AH$72,'INPUT Opex'!$A$63:$A$72,$A$1)-1,0)</f>
        <v>0</v>
      </c>
      <c r="N184" s="113">
        <f>IFERROR(SUMIFS('INPUT Opex'!AJ$63:AJ$72,'INPUT Opex'!$A$63:$A$72,$A$1)/SUMIFS('INPUT Opex'!AI$63:AI$72,'INPUT Opex'!$A$63:$A$72,$A$1)-1,0)</f>
        <v>0</v>
      </c>
      <c r="O184" s="113">
        <f>IFERROR(SUMIFS('INPUT Opex'!AK$63:AK$72,'INPUT Opex'!$A$63:$A$72,$A$1)/SUMIFS('INPUT Opex'!AJ$63:AJ$72,'INPUT Opex'!$A$63:$A$72,$A$1)-1,0)</f>
        <v>0</v>
      </c>
      <c r="P184" s="113">
        <f>IFERROR(SUMIFS('INPUT Opex'!AL$63:AL$72,'INPUT Opex'!$A$63:$A$72,$A$1)/SUMIFS('INPUT Opex'!AK$63:AK$72,'INPUT Opex'!$A$63:$A$72,$A$1)-1,0)</f>
        <v>0</v>
      </c>
      <c r="Q184" s="113">
        <f>IFERROR(SUMIFS('INPUT Opex'!AM$63:AM$72,'INPUT Opex'!$A$63:$A$72,$A$1)/SUMIFS('INPUT Opex'!AL$63:AL$72,'INPUT Opex'!$A$63:$A$72,$A$1)-1,0)</f>
        <v>0</v>
      </c>
      <c r="R184" s="113">
        <f>IFERROR(SUMIFS('INPUT Opex'!AN$63:AN$72,'INPUT Opex'!$A$63:$A$72,$A$1)/SUMIFS('INPUT Opex'!AM$63:AM$72,'INPUT Opex'!$A$63:$A$72,$A$1)-1,0)</f>
        <v>0</v>
      </c>
      <c r="S184" s="113">
        <f>IFERROR(SUMIFS('INPUT Opex'!AO$63:AO$72,'INPUT Opex'!$A$63:$A$72,$A$1)/SUMIFS('INPUT Opex'!AN$63:AN$72,'INPUT Opex'!$A$63:$A$72,$A$1)-1,0)</f>
        <v>0</v>
      </c>
      <c r="T184" s="113">
        <f>IFERROR(SUMIFS('INPUT Opex'!AP$63:AP$72,'INPUT Opex'!$A$63:$A$72,$A$1)/SUMIFS('INPUT Opex'!AO$63:AO$72,'INPUT Opex'!$A$63:$A$72,$A$1)-1,0)</f>
        <v>0</v>
      </c>
      <c r="U184" s="113">
        <f>IFERROR(SUMIFS('INPUT Opex'!AQ$63:AQ$72,'INPUT Opex'!$A$63:$A$72,$A$1)/SUMIFS('INPUT Opex'!AP$63:AP$72,'INPUT Opex'!$A$63:$A$72,$A$1)-1,0)</f>
        <v>0</v>
      </c>
      <c r="V184" s="113">
        <f>IFERROR(SUMIFS('INPUT Opex'!AR$63:AR$72,'INPUT Opex'!$A$63:$A$72,$A$1)/SUMIFS('INPUT Opex'!AQ$63:AQ$72,'INPUT Opex'!$A$63:$A$72,$A$1)-1,0)</f>
        <v>0</v>
      </c>
      <c r="W184" s="113">
        <f>IFERROR(SUMIFS('INPUT Opex'!AS$63:AS$72,'INPUT Opex'!$A$63:$A$72,$A$1)/SUMIFS('INPUT Opex'!AR$63:AR$72,'INPUT Opex'!$A$63:$A$72,$A$1)-1,0)</f>
        <v>0</v>
      </c>
      <c r="X184" s="113">
        <f>IFERROR(SUMIFS('INPUT Opex'!AT$63:AT$72,'INPUT Opex'!$A$63:$A$72,$A$1)/SUMIFS('INPUT Opex'!AS$63:AS$72,'INPUT Opex'!$A$63:$A$72,$A$1)-1,0)</f>
        <v>0</v>
      </c>
      <c r="Y184" s="113">
        <f>IFERROR(SUMIFS('INPUT Opex'!AU$63:AU$72,'INPUT Opex'!$A$63:$A$72,$A$1)/SUMIFS('INPUT Opex'!AT$63:AT$72,'INPUT Opex'!$A$63:$A$72,$A$1)-1,0)</f>
        <v>0</v>
      </c>
      <c r="Z184" s="113">
        <f>IFERROR(SUMIFS('INPUT Opex'!AV$63:AV$72,'INPUT Opex'!$A$63:$A$72,$A$1)/SUMIFS('INPUT Opex'!AU$63:AU$72,'INPUT Opex'!$A$63:$A$72,$A$1)-1,0)</f>
        <v>0</v>
      </c>
      <c r="AA184" s="113">
        <f>IFERROR(SUMIFS('INPUT Opex'!AW$63:AW$72,'INPUT Opex'!$A$63:$A$72,$A$1)/SUMIFS('INPUT Opex'!AV$63:AV$72,'INPUT Opex'!$A$63:$A$72,$A$1)-1,0)</f>
        <v>0</v>
      </c>
    </row>
    <row r="185" spans="1:27" x14ac:dyDescent="0.25">
      <c r="A185" s="101">
        <v>38</v>
      </c>
      <c r="E185" s="47" t="s">
        <v>699</v>
      </c>
      <c r="F185" s="47" t="s">
        <v>697</v>
      </c>
      <c r="G185" s="102">
        <f>SUMIFS('INPUT Opex'!AC$75:AC$80,'INPUT Opex'!$A$75:$A$80,$A$1)</f>
        <v>0</v>
      </c>
      <c r="H185" s="106">
        <f t="shared" ref="H185:AA185" si="99">G185*(1+$G$14)*(1+H184)</f>
        <v>0</v>
      </c>
      <c r="I185" s="106">
        <f t="shared" si="99"/>
        <v>0</v>
      </c>
      <c r="J185" s="106">
        <f t="shared" si="99"/>
        <v>0</v>
      </c>
      <c r="K185" s="106">
        <f t="shared" si="99"/>
        <v>0</v>
      </c>
      <c r="L185" s="106">
        <f t="shared" si="99"/>
        <v>0</v>
      </c>
      <c r="M185" s="106">
        <f t="shared" si="99"/>
        <v>0</v>
      </c>
      <c r="N185" s="106">
        <f t="shared" si="99"/>
        <v>0</v>
      </c>
      <c r="O185" s="106">
        <f t="shared" si="99"/>
        <v>0</v>
      </c>
      <c r="P185" s="106">
        <f t="shared" si="99"/>
        <v>0</v>
      </c>
      <c r="Q185" s="106">
        <f t="shared" si="99"/>
        <v>0</v>
      </c>
      <c r="R185" s="106">
        <f t="shared" si="99"/>
        <v>0</v>
      </c>
      <c r="S185" s="106">
        <f t="shared" si="99"/>
        <v>0</v>
      </c>
      <c r="T185" s="106">
        <f t="shared" si="99"/>
        <v>0</v>
      </c>
      <c r="U185" s="106">
        <f t="shared" si="99"/>
        <v>0</v>
      </c>
      <c r="V185" s="106">
        <f t="shared" si="99"/>
        <v>0</v>
      </c>
      <c r="W185" s="106">
        <f t="shared" si="99"/>
        <v>0</v>
      </c>
      <c r="X185" s="106">
        <f t="shared" si="99"/>
        <v>0</v>
      </c>
      <c r="Y185" s="106">
        <f t="shared" si="99"/>
        <v>0</v>
      </c>
      <c r="Z185" s="106">
        <f t="shared" si="99"/>
        <v>0</v>
      </c>
      <c r="AA185" s="106">
        <f t="shared" si="99"/>
        <v>0</v>
      </c>
    </row>
    <row r="186" spans="1:27" x14ac:dyDescent="0.25">
      <c r="A186" s="101">
        <v>39</v>
      </c>
      <c r="E186" s="47" t="s">
        <v>700</v>
      </c>
      <c r="F186" s="47" t="s">
        <v>639</v>
      </c>
      <c r="G186" s="106"/>
      <c r="H186" s="102">
        <f>SUMIFS('INPUT Opex'!AD$44:AD$53,'INPUT Opex'!$A$44:$A$53,$A$1)</f>
        <v>0</v>
      </c>
      <c r="I186" s="102">
        <f>SUMIFS('INPUT Opex'!AE$44:AE$53,'INPUT Opex'!$A$44:$A$53,$A$1)</f>
        <v>0</v>
      </c>
      <c r="J186" s="102">
        <f>SUMIFS('INPUT Opex'!AF$44:AF$53,'INPUT Opex'!$A$44:$A$53,$A$1)</f>
        <v>0</v>
      </c>
      <c r="K186" s="102">
        <f>SUMIFS('INPUT Opex'!AG$44:AG$53,'INPUT Opex'!$A$44:$A$53,$A$1)</f>
        <v>0</v>
      </c>
      <c r="L186" s="102">
        <f>SUMIFS('INPUT Opex'!AH$44:AH$53,'INPUT Opex'!$A$44:$A$53,$A$1)</f>
        <v>0</v>
      </c>
      <c r="M186" s="102">
        <f>SUMIFS('INPUT Opex'!AI$44:AI$53,'INPUT Opex'!$A$44:$A$53,$A$1)</f>
        <v>0</v>
      </c>
      <c r="N186" s="102">
        <f>SUMIFS('INPUT Opex'!AJ$44:AJ$53,'INPUT Opex'!$A$44:$A$53,$A$1)</f>
        <v>0</v>
      </c>
      <c r="O186" s="102">
        <f>SUMIFS('INPUT Opex'!AK$44:AK$53,'INPUT Opex'!$A$44:$A$53,$A$1)</f>
        <v>0</v>
      </c>
      <c r="P186" s="102">
        <f>SUMIFS('INPUT Opex'!AL$44:AL$53,'INPUT Opex'!$A$44:$A$53,$A$1)</f>
        <v>0</v>
      </c>
      <c r="Q186" s="102">
        <f>SUMIFS('INPUT Opex'!AM$44:AM$53,'INPUT Opex'!$A$44:$A$53,$A$1)</f>
        <v>0</v>
      </c>
      <c r="R186" s="102">
        <f>SUMIFS('INPUT Opex'!AN$44:AN$53,'INPUT Opex'!$A$44:$A$53,$A$1)</f>
        <v>0</v>
      </c>
      <c r="S186" s="102">
        <f>SUMIFS('INPUT Opex'!AO$44:AO$53,'INPUT Opex'!$A$44:$A$53,$A$1)</f>
        <v>0</v>
      </c>
      <c r="T186" s="102">
        <f>SUMIFS('INPUT Opex'!AP$44:AP$53,'INPUT Opex'!$A$44:$A$53,$A$1)</f>
        <v>0</v>
      </c>
      <c r="U186" s="102">
        <f>SUMIFS('INPUT Opex'!AQ$44:AQ$53,'INPUT Opex'!$A$44:$A$53,$A$1)</f>
        <v>0</v>
      </c>
      <c r="V186" s="102">
        <f>SUMIFS('INPUT Opex'!AR$44:AR$53,'INPUT Opex'!$A$44:$A$53,$A$1)</f>
        <v>0</v>
      </c>
      <c r="W186" s="102">
        <f>SUMIFS('INPUT Opex'!AS$44:AS$53,'INPUT Opex'!$A$44:$A$53,$A$1)</f>
        <v>0</v>
      </c>
      <c r="X186" s="102">
        <f>SUMIFS('INPUT Opex'!AT$44:AT$53,'INPUT Opex'!$A$44:$A$53,$A$1)</f>
        <v>0</v>
      </c>
      <c r="Y186" s="102">
        <f>SUMIFS('INPUT Opex'!AU$44:AU$53,'INPUT Opex'!$A$44:$A$53,$A$1)</f>
        <v>0</v>
      </c>
      <c r="Z186" s="102">
        <f>SUMIFS('INPUT Opex'!AV$44:AV$53,'INPUT Opex'!$A$44:$A$53,$A$1)</f>
        <v>0</v>
      </c>
      <c r="AA186" s="102">
        <f>SUMIFS('INPUT Opex'!AW$44:AW$53,'INPUT Opex'!$A$44:$A$53,$A$1)</f>
        <v>0</v>
      </c>
    </row>
    <row r="187" spans="1:27" x14ac:dyDescent="0.25">
      <c r="E187" s="47" t="s">
        <v>701</v>
      </c>
      <c r="F187" s="47" t="s">
        <v>639</v>
      </c>
      <c r="H187" s="106">
        <f>H185*H176+H186</f>
        <v>0</v>
      </c>
      <c r="I187" s="106">
        <f t="shared" ref="I187:AA187" si="100">I185*I176+I186</f>
        <v>0</v>
      </c>
      <c r="J187" s="106">
        <f t="shared" si="100"/>
        <v>0</v>
      </c>
      <c r="K187" s="106">
        <f t="shared" si="100"/>
        <v>0</v>
      </c>
      <c r="L187" s="106">
        <f t="shared" si="100"/>
        <v>0</v>
      </c>
      <c r="M187" s="106">
        <f t="shared" si="100"/>
        <v>0</v>
      </c>
      <c r="N187" s="106">
        <f t="shared" si="100"/>
        <v>0</v>
      </c>
      <c r="O187" s="106">
        <f t="shared" si="100"/>
        <v>0</v>
      </c>
      <c r="P187" s="106">
        <f t="shared" si="100"/>
        <v>0</v>
      </c>
      <c r="Q187" s="106">
        <f t="shared" si="100"/>
        <v>0</v>
      </c>
      <c r="R187" s="106">
        <f t="shared" si="100"/>
        <v>0</v>
      </c>
      <c r="S187" s="106">
        <f t="shared" si="100"/>
        <v>0</v>
      </c>
      <c r="T187" s="106">
        <f t="shared" si="100"/>
        <v>0</v>
      </c>
      <c r="U187" s="106">
        <f t="shared" si="100"/>
        <v>0</v>
      </c>
      <c r="V187" s="106">
        <f t="shared" si="100"/>
        <v>0</v>
      </c>
      <c r="W187" s="106">
        <f t="shared" si="100"/>
        <v>0</v>
      </c>
      <c r="X187" s="106">
        <f t="shared" si="100"/>
        <v>0</v>
      </c>
      <c r="Y187" s="106">
        <f t="shared" si="100"/>
        <v>0</v>
      </c>
      <c r="Z187" s="106">
        <f t="shared" si="100"/>
        <v>0</v>
      </c>
      <c r="AA187" s="106">
        <f t="shared" si="100"/>
        <v>0</v>
      </c>
    </row>
    <row r="188" spans="1:27" x14ac:dyDescent="0.25">
      <c r="H188" s="106"/>
      <c r="I188" s="106"/>
      <c r="J188" s="106"/>
      <c r="K188" s="106"/>
      <c r="L188" s="106"/>
      <c r="M188" s="106"/>
      <c r="N188" s="106"/>
      <c r="O188" s="106"/>
      <c r="P188" s="106"/>
      <c r="Q188" s="106"/>
      <c r="R188" s="106"/>
      <c r="S188" s="106"/>
      <c r="T188" s="106"/>
      <c r="U188" s="106"/>
      <c r="V188" s="106"/>
      <c r="W188" s="106"/>
      <c r="X188" s="106"/>
      <c r="Y188" s="106"/>
      <c r="Z188" s="106"/>
      <c r="AA188" s="106"/>
    </row>
    <row r="189" spans="1:27" x14ac:dyDescent="0.25">
      <c r="C189" s="100" t="s">
        <v>702</v>
      </c>
      <c r="G189" s="106"/>
    </row>
    <row r="190" spans="1:27" x14ac:dyDescent="0.25">
      <c r="C190" s="100"/>
      <c r="D190" s="47" t="s">
        <v>703</v>
      </c>
      <c r="G190" s="106"/>
    </row>
    <row r="191" spans="1:27" x14ac:dyDescent="0.25">
      <c r="A191" s="101">
        <v>40</v>
      </c>
      <c r="C191" s="100"/>
      <c r="E191" s="47" t="s">
        <v>704</v>
      </c>
      <c r="G191" s="106"/>
      <c r="H191" s="105">
        <f>SUMIFS('INPUT Opex'!AD$97:AD$100,'INPUT Opex'!$C$97:$C$100,$G$4)</f>
        <v>-6.2967408279062109E-2</v>
      </c>
      <c r="I191" s="105">
        <f>SUMIFS('INPUT Opex'!AE$97:AE$100,'INPUT Opex'!$C$97:$C$100,$G$4)</f>
        <v>-7.3467158475328698E-2</v>
      </c>
      <c r="J191" s="105">
        <f>SUMIFS('INPUT Opex'!AF$97:AF$100,'INPUT Opex'!$C$97:$C$100,$G$4)</f>
        <v>-5.9045984980915844E-2</v>
      </c>
      <c r="K191" s="105">
        <f>SUMIFS('INPUT Opex'!AG$97:AG$100,'INPUT Opex'!$C$97:$C$100,$G$4)</f>
        <v>-4.6882051433786653E-2</v>
      </c>
      <c r="L191" s="105">
        <f>SUMIFS('INPUT Opex'!AH$97:AH$100,'INPUT Opex'!$C$97:$C$100,$G$4)</f>
        <v>-3.9284492781669345E-2</v>
      </c>
      <c r="M191" s="105">
        <f>SUMIFS('INPUT Opex'!AI$97:AI$100,'INPUT Opex'!$C$97:$C$100,$G$4)</f>
        <v>-3.668391604004495E-2</v>
      </c>
      <c r="N191" s="105">
        <f>SUMIFS('INPUT Opex'!AJ$97:AJ$100,'INPUT Opex'!$C$97:$C$100,$G$4)</f>
        <v>-3.5073797140055651E-2</v>
      </c>
      <c r="O191" s="105">
        <f>SUMIFS('INPUT Opex'!AK$97:AK$100,'INPUT Opex'!$C$97:$C$100,$G$4)</f>
        <v>-3.4471980164637595E-2</v>
      </c>
      <c r="P191" s="105">
        <f>SUMIFS('INPUT Opex'!AL$97:AL$100,'INPUT Opex'!$C$97:$C$100,$G$4)</f>
        <v>-3.3077167664426144E-2</v>
      </c>
      <c r="Q191" s="105">
        <f>SUMIFS('INPUT Opex'!AM$97:AM$100,'INPUT Opex'!$C$97:$C$100,$G$4)</f>
        <v>0</v>
      </c>
      <c r="R191" s="105">
        <f>SUMIFS('INPUT Opex'!AN$97:AN$100,'INPUT Opex'!$C$97:$C$100,$G$4)</f>
        <v>0</v>
      </c>
      <c r="S191" s="105">
        <f>SUMIFS('INPUT Opex'!AO$97:AO$100,'INPUT Opex'!$C$97:$C$100,$G$4)</f>
        <v>0</v>
      </c>
      <c r="T191" s="105">
        <f>SUMIFS('INPUT Opex'!AP$97:AP$100,'INPUT Opex'!$C$97:$C$100,$G$4)</f>
        <v>0</v>
      </c>
      <c r="U191" s="105">
        <f>SUMIFS('INPUT Opex'!AQ$97:AQ$100,'INPUT Opex'!$C$97:$C$100,$G$4)</f>
        <v>0</v>
      </c>
      <c r="V191" s="105">
        <f>SUMIFS('INPUT Opex'!AR$97:AR$100,'INPUT Opex'!$C$97:$C$100,$G$4)</f>
        <v>0</v>
      </c>
      <c r="W191" s="105">
        <f>SUMIFS('INPUT Opex'!AS$97:AS$100,'INPUT Opex'!$C$97:$C$100,$G$4)</f>
        <v>0</v>
      </c>
      <c r="X191" s="105">
        <f>SUMIFS('INPUT Opex'!AT$97:AT$100,'INPUT Opex'!$C$97:$C$100,$G$4)</f>
        <v>0</v>
      </c>
      <c r="Y191" s="105">
        <f>SUMIFS('INPUT Opex'!AU$97:AU$100,'INPUT Opex'!$C$97:$C$100,$G$4)</f>
        <v>0</v>
      </c>
      <c r="Z191" s="105">
        <f>SUMIFS('INPUT Opex'!AV$97:AV$100,'INPUT Opex'!$C$97:$C$100,$G$4)</f>
        <v>0</v>
      </c>
      <c r="AA191" s="105">
        <f>SUMIFS('INPUT Opex'!AW$97:AW$100,'INPUT Opex'!$C$97:$C$100,$G$4)</f>
        <v>0</v>
      </c>
    </row>
    <row r="192" spans="1:27" x14ac:dyDescent="0.25">
      <c r="A192" s="101">
        <v>41</v>
      </c>
      <c r="E192" s="47" t="s">
        <v>705</v>
      </c>
      <c r="F192" s="47" t="s">
        <v>695</v>
      </c>
      <c r="G192" s="114">
        <f>SUMIFS('INPUT Opex'!AC$97:AC$100,'INPUT Opex'!$C$97:$C$100,$G$4)</f>
        <v>727.00607002287609</v>
      </c>
      <c r="H192" s="106">
        <f t="shared" ref="H192:W193" si="101">G192*(1+$G$14)*(1+H$191)</f>
        <v>681.22838199038927</v>
      </c>
      <c r="I192" s="106">
        <f t="shared" si="101"/>
        <v>631.18046849280961</v>
      </c>
      <c r="J192" s="106">
        <f t="shared" si="101"/>
        <v>593.91179602993577</v>
      </c>
      <c r="K192" s="106">
        <f t="shared" si="101"/>
        <v>566.06799266132771</v>
      </c>
      <c r="L192" s="106">
        <f t="shared" si="101"/>
        <v>543.8302986896897</v>
      </c>
      <c r="M192" s="106">
        <f t="shared" si="101"/>
        <v>523.88047367252454</v>
      </c>
      <c r="N192" s="106">
        <f t="shared" si="101"/>
        <v>505.50599621329815</v>
      </c>
      <c r="O192" s="106">
        <f t="shared" si="101"/>
        <v>488.08020353872797</v>
      </c>
      <c r="P192" s="106">
        <f t="shared" si="101"/>
        <v>471.93589281259023</v>
      </c>
      <c r="Q192" s="106">
        <f t="shared" si="101"/>
        <v>471.93589281259023</v>
      </c>
      <c r="R192" s="106">
        <f t="shared" si="101"/>
        <v>471.93589281259023</v>
      </c>
      <c r="S192" s="106">
        <f t="shared" si="101"/>
        <v>471.93589281259023</v>
      </c>
      <c r="T192" s="106">
        <f t="shared" si="101"/>
        <v>471.93589281259023</v>
      </c>
      <c r="U192" s="106">
        <f t="shared" si="101"/>
        <v>471.93589281259023</v>
      </c>
      <c r="V192" s="106">
        <f t="shared" si="101"/>
        <v>471.93589281259023</v>
      </c>
      <c r="W192" s="106">
        <f t="shared" si="101"/>
        <v>471.93589281259023</v>
      </c>
      <c r="X192" s="106">
        <f t="shared" ref="X192:AA193" si="102">W192*(1+$G$14)*(1+X$191)</f>
        <v>471.93589281259023</v>
      </c>
      <c r="Y192" s="106">
        <f t="shared" si="102"/>
        <v>471.93589281259023</v>
      </c>
      <c r="Z192" s="106">
        <f t="shared" si="102"/>
        <v>471.93589281259023</v>
      </c>
      <c r="AA192" s="106">
        <f t="shared" si="102"/>
        <v>471.93589281259023</v>
      </c>
    </row>
    <row r="193" spans="1:29" x14ac:dyDescent="0.25">
      <c r="A193" s="101">
        <v>42</v>
      </c>
      <c r="E193" s="47" t="s">
        <v>706</v>
      </c>
      <c r="F193" s="47" t="s">
        <v>697</v>
      </c>
      <c r="G193" s="102"/>
      <c r="H193" s="106">
        <f>G193*(1+$G$14)*(1+H$191)</f>
        <v>0</v>
      </c>
      <c r="I193" s="106">
        <f t="shared" si="101"/>
        <v>0</v>
      </c>
      <c r="J193" s="106">
        <f t="shared" si="101"/>
        <v>0</v>
      </c>
      <c r="K193" s="106">
        <f t="shared" si="101"/>
        <v>0</v>
      </c>
      <c r="L193" s="106">
        <f t="shared" si="101"/>
        <v>0</v>
      </c>
      <c r="M193" s="106">
        <f t="shared" si="101"/>
        <v>0</v>
      </c>
      <c r="N193" s="106">
        <f t="shared" si="101"/>
        <v>0</v>
      </c>
      <c r="O193" s="106">
        <f t="shared" si="101"/>
        <v>0</v>
      </c>
      <c r="P193" s="106">
        <f t="shared" si="101"/>
        <v>0</v>
      </c>
      <c r="Q193" s="106">
        <f t="shared" si="101"/>
        <v>0</v>
      </c>
      <c r="R193" s="106">
        <f t="shared" si="101"/>
        <v>0</v>
      </c>
      <c r="S193" s="106">
        <f t="shared" si="101"/>
        <v>0</v>
      </c>
      <c r="T193" s="106">
        <f t="shared" si="101"/>
        <v>0</v>
      </c>
      <c r="U193" s="106">
        <f t="shared" si="101"/>
        <v>0</v>
      </c>
      <c r="V193" s="106">
        <f t="shared" si="101"/>
        <v>0</v>
      </c>
      <c r="W193" s="106">
        <f t="shared" si="101"/>
        <v>0</v>
      </c>
      <c r="X193" s="106">
        <f t="shared" si="102"/>
        <v>0</v>
      </c>
      <c r="Y193" s="106">
        <f t="shared" si="102"/>
        <v>0</v>
      </c>
      <c r="Z193" s="106">
        <f t="shared" si="102"/>
        <v>0</v>
      </c>
      <c r="AA193" s="106">
        <f t="shared" si="102"/>
        <v>0</v>
      </c>
    </row>
    <row r="194" spans="1:29" x14ac:dyDescent="0.25">
      <c r="A194" s="101">
        <v>43</v>
      </c>
      <c r="E194" s="47" t="s">
        <v>707</v>
      </c>
      <c r="F194" s="47" t="s">
        <v>639</v>
      </c>
      <c r="G194" s="106"/>
      <c r="H194" s="102"/>
      <c r="I194" s="102"/>
      <c r="J194" s="102"/>
      <c r="K194" s="102"/>
      <c r="L194" s="102"/>
      <c r="M194" s="102"/>
      <c r="N194" s="102"/>
      <c r="O194" s="102"/>
      <c r="P194" s="102"/>
      <c r="Q194" s="102"/>
      <c r="R194" s="102"/>
      <c r="S194" s="102"/>
      <c r="T194" s="102"/>
      <c r="U194" s="102"/>
      <c r="V194" s="102"/>
      <c r="W194" s="102"/>
      <c r="X194" s="102"/>
      <c r="Y194" s="102"/>
      <c r="Z194" s="102"/>
      <c r="AA194" s="102"/>
    </row>
    <row r="195" spans="1:29" x14ac:dyDescent="0.25">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row>
    <row r="196" spans="1:29" x14ac:dyDescent="0.25">
      <c r="D196" s="47" t="s">
        <v>708</v>
      </c>
      <c r="G196" s="101"/>
      <c r="H196" s="101"/>
      <c r="I196" s="101"/>
      <c r="J196" s="101"/>
      <c r="K196" s="101"/>
      <c r="L196" s="101"/>
      <c r="M196" s="101"/>
      <c r="N196" s="101"/>
      <c r="O196" s="101"/>
      <c r="P196" s="101"/>
      <c r="Q196" s="101"/>
      <c r="R196" s="101"/>
      <c r="S196" s="101"/>
      <c r="T196" s="101"/>
      <c r="U196" s="101"/>
      <c r="V196" s="101"/>
      <c r="W196" s="101"/>
      <c r="X196" s="101"/>
      <c r="Y196" s="101"/>
      <c r="Z196" s="101"/>
      <c r="AA196" s="101"/>
    </row>
    <row r="197" spans="1:29" x14ac:dyDescent="0.25">
      <c r="A197" s="101">
        <v>44</v>
      </c>
      <c r="E197" s="47" t="s">
        <v>706</v>
      </c>
      <c r="F197" s="47" t="s">
        <v>697</v>
      </c>
      <c r="G197" s="101"/>
      <c r="H197" s="102"/>
      <c r="I197" s="102"/>
      <c r="J197" s="102"/>
      <c r="K197" s="102"/>
      <c r="L197" s="102"/>
      <c r="M197" s="102"/>
      <c r="N197" s="102"/>
      <c r="O197" s="102"/>
      <c r="P197" s="102"/>
      <c r="Q197" s="102"/>
      <c r="R197" s="102"/>
      <c r="S197" s="102"/>
      <c r="T197" s="102"/>
      <c r="U197" s="102"/>
      <c r="V197" s="102"/>
      <c r="W197" s="102"/>
      <c r="X197" s="102"/>
      <c r="Y197" s="102"/>
      <c r="Z197" s="102"/>
      <c r="AA197" s="102"/>
    </row>
    <row r="198" spans="1:29" x14ac:dyDescent="0.25">
      <c r="A198" s="101">
        <v>45</v>
      </c>
      <c r="E198" s="47" t="s">
        <v>707</v>
      </c>
      <c r="F198" s="47" t="s">
        <v>639</v>
      </c>
      <c r="G198" s="106"/>
      <c r="H198" s="102"/>
      <c r="I198" s="102"/>
      <c r="J198" s="102"/>
      <c r="K198" s="102"/>
      <c r="L198" s="102"/>
      <c r="M198" s="102"/>
      <c r="N198" s="102"/>
      <c r="O198" s="102"/>
      <c r="P198" s="102"/>
      <c r="Q198" s="102"/>
      <c r="R198" s="102"/>
      <c r="S198" s="102"/>
      <c r="T198" s="102"/>
      <c r="U198" s="102"/>
      <c r="V198" s="102"/>
      <c r="W198" s="102"/>
      <c r="X198" s="102"/>
      <c r="Y198" s="102"/>
      <c r="Z198" s="102"/>
      <c r="AA198" s="102"/>
    </row>
    <row r="199" spans="1:29" x14ac:dyDescent="0.25">
      <c r="G199" s="106"/>
    </row>
    <row r="200" spans="1:29" x14ac:dyDescent="0.25">
      <c r="E200" s="47" t="s">
        <v>702</v>
      </c>
      <c r="F200" s="47" t="s">
        <v>639</v>
      </c>
      <c r="G200" s="106"/>
      <c r="H200" s="106">
        <f>H192*H175+(H193+H197)*H176+H194+H198</f>
        <v>401944.92812451115</v>
      </c>
      <c r="I200" s="106">
        <f t="shared" ref="I200:AA200" si="103">I192*I175+(I193+I197)*I176+I194+I198</f>
        <v>743420.77856448153</v>
      </c>
      <c r="J200" s="106">
        <f t="shared" si="103"/>
        <v>942076.06580750505</v>
      </c>
      <c r="K200" s="106">
        <f t="shared" si="103"/>
        <v>1100205.5831593152</v>
      </c>
      <c r="L200" s="106">
        <f t="shared" si="103"/>
        <v>1225714.1412863825</v>
      </c>
      <c r="M200" s="106">
        <f t="shared" si="103"/>
        <v>1314166.2370804555</v>
      </c>
      <c r="N200" s="106">
        <f t="shared" si="103"/>
        <v>1394162.9576188859</v>
      </c>
      <c r="O200" s="106">
        <f t="shared" si="103"/>
        <v>1501179.2304322997</v>
      </c>
      <c r="P200" s="106">
        <f t="shared" si="103"/>
        <v>1597832.2018709127</v>
      </c>
      <c r="Q200" s="106">
        <f t="shared" si="103"/>
        <v>1730257.5128251491</v>
      </c>
      <c r="R200" s="106">
        <f t="shared" si="103"/>
        <v>1851782.9660647258</v>
      </c>
      <c r="S200" s="106">
        <f t="shared" si="103"/>
        <v>1960755.5790115078</v>
      </c>
      <c r="T200" s="106">
        <f t="shared" si="103"/>
        <v>2057029.9651336006</v>
      </c>
      <c r="U200" s="106">
        <f t="shared" si="103"/>
        <v>2143062.3852594947</v>
      </c>
      <c r="V200" s="106">
        <f t="shared" si="103"/>
        <v>2233606.1311656144</v>
      </c>
      <c r="W200" s="106">
        <f t="shared" si="103"/>
        <v>2347419.6028072797</v>
      </c>
      <c r="X200" s="106">
        <f t="shared" si="103"/>
        <v>2478636.077177132</v>
      </c>
      <c r="Y200" s="106">
        <f t="shared" si="103"/>
        <v>2599366.9537036247</v>
      </c>
      <c r="Z200" s="106">
        <f t="shared" si="103"/>
        <v>2706085.4715322163</v>
      </c>
      <c r="AA200" s="106">
        <f t="shared" si="103"/>
        <v>2806136.3103850135</v>
      </c>
    </row>
    <row r="201" spans="1:29" x14ac:dyDescent="0.25">
      <c r="G201" s="106"/>
      <c r="H201" s="106"/>
      <c r="I201" s="106"/>
      <c r="J201" s="106"/>
      <c r="K201" s="106"/>
      <c r="L201" s="106"/>
      <c r="M201" s="106"/>
      <c r="N201" s="106"/>
      <c r="O201" s="106"/>
      <c r="P201" s="106"/>
      <c r="Q201" s="106"/>
      <c r="R201" s="106"/>
      <c r="S201" s="106"/>
      <c r="T201" s="106"/>
      <c r="U201" s="106"/>
      <c r="V201" s="106"/>
      <c r="W201" s="106"/>
      <c r="X201" s="106"/>
      <c r="Y201" s="106"/>
      <c r="Z201" s="106"/>
      <c r="AA201" s="106"/>
    </row>
    <row r="202" spans="1:29" x14ac:dyDescent="0.25">
      <c r="C202" s="100" t="s">
        <v>709</v>
      </c>
      <c r="G202" s="106"/>
      <c r="H202" s="106"/>
      <c r="I202" s="106"/>
      <c r="J202" s="106"/>
      <c r="K202" s="106"/>
      <c r="L202" s="106"/>
      <c r="M202" s="106"/>
      <c r="N202" s="106"/>
      <c r="O202" s="106"/>
      <c r="P202" s="106"/>
      <c r="Q202" s="106"/>
      <c r="R202" s="106"/>
      <c r="S202" s="106"/>
      <c r="T202" s="106"/>
      <c r="U202" s="106"/>
      <c r="V202" s="106"/>
      <c r="W202" s="106"/>
      <c r="X202" s="106"/>
      <c r="Y202" s="106"/>
      <c r="Z202" s="106"/>
      <c r="AA202" s="106"/>
    </row>
    <row r="203" spans="1:29" x14ac:dyDescent="0.25">
      <c r="A203" s="101">
        <v>46</v>
      </c>
      <c r="E203" s="102" t="s">
        <v>710</v>
      </c>
      <c r="F203" s="47" t="s">
        <v>639</v>
      </c>
      <c r="G203" s="106"/>
      <c r="H203" s="102"/>
      <c r="I203" s="102"/>
      <c r="J203" s="102"/>
      <c r="K203" s="102"/>
      <c r="L203" s="102"/>
      <c r="M203" s="102"/>
      <c r="N203" s="102"/>
      <c r="O203" s="102"/>
      <c r="P203" s="102"/>
      <c r="Q203" s="102"/>
      <c r="R203" s="102"/>
      <c r="S203" s="102"/>
      <c r="T203" s="102"/>
      <c r="U203" s="102"/>
      <c r="V203" s="102"/>
      <c r="W203" s="102"/>
      <c r="X203" s="102"/>
      <c r="Y203" s="102"/>
      <c r="Z203" s="102"/>
      <c r="AA203" s="102"/>
    </row>
    <row r="204" spans="1:29" x14ac:dyDescent="0.25">
      <c r="A204" s="101">
        <v>47</v>
      </c>
      <c r="E204" s="102" t="s">
        <v>711</v>
      </c>
      <c r="F204" s="47" t="s">
        <v>639</v>
      </c>
      <c r="G204" s="106"/>
      <c r="H204" s="102"/>
      <c r="I204" s="102"/>
      <c r="J204" s="102"/>
      <c r="K204" s="102"/>
      <c r="L204" s="102"/>
      <c r="M204" s="102"/>
      <c r="N204" s="102"/>
      <c r="O204" s="102"/>
      <c r="P204" s="102"/>
      <c r="Q204" s="102"/>
      <c r="R204" s="102"/>
      <c r="S204" s="102"/>
      <c r="T204" s="102"/>
      <c r="U204" s="102"/>
      <c r="V204" s="102"/>
      <c r="W204" s="102"/>
      <c r="X204" s="102"/>
      <c r="Y204" s="102"/>
      <c r="Z204" s="102"/>
      <c r="AA204" s="102"/>
    </row>
    <row r="205" spans="1:29" x14ac:dyDescent="0.25">
      <c r="A205" s="101">
        <v>48</v>
      </c>
      <c r="E205" s="102" t="s">
        <v>712</v>
      </c>
      <c r="F205" s="47" t="s">
        <v>639</v>
      </c>
      <c r="G205" s="106"/>
      <c r="H205" s="102"/>
      <c r="I205" s="102"/>
      <c r="J205" s="102"/>
      <c r="K205" s="102"/>
      <c r="L205" s="102"/>
      <c r="M205" s="102"/>
      <c r="N205" s="102"/>
      <c r="O205" s="102"/>
      <c r="P205" s="102"/>
      <c r="Q205" s="102"/>
      <c r="R205" s="102"/>
      <c r="S205" s="102"/>
      <c r="T205" s="102"/>
      <c r="U205" s="102"/>
      <c r="V205" s="102"/>
      <c r="W205" s="102"/>
      <c r="X205" s="102"/>
      <c r="Y205" s="102"/>
      <c r="Z205" s="102"/>
      <c r="AA205" s="102"/>
    </row>
    <row r="206" spans="1:29" x14ac:dyDescent="0.25">
      <c r="A206" s="101">
        <v>49</v>
      </c>
      <c r="E206" s="102" t="s">
        <v>713</v>
      </c>
      <c r="F206" s="47" t="s">
        <v>639</v>
      </c>
      <c r="G206" s="106"/>
      <c r="H206" s="102"/>
      <c r="I206" s="102"/>
      <c r="J206" s="102"/>
      <c r="K206" s="102"/>
      <c r="L206" s="102"/>
      <c r="M206" s="102"/>
      <c r="N206" s="102"/>
      <c r="O206" s="102"/>
      <c r="P206" s="102"/>
      <c r="Q206" s="102"/>
      <c r="R206" s="102"/>
      <c r="S206" s="102"/>
      <c r="T206" s="102"/>
      <c r="U206" s="102"/>
      <c r="V206" s="102"/>
      <c r="W206" s="102"/>
      <c r="X206" s="102"/>
      <c r="Y206" s="102"/>
      <c r="Z206" s="102"/>
      <c r="AA206" s="102"/>
    </row>
    <row r="207" spans="1:29" x14ac:dyDescent="0.25">
      <c r="E207" s="47" t="s">
        <v>44</v>
      </c>
      <c r="G207" s="106"/>
      <c r="H207" s="106">
        <f>SUM(H203:H206)</f>
        <v>0</v>
      </c>
      <c r="I207" s="106">
        <f t="shared" ref="I207:AA207" si="104">SUM(I203:I206)</f>
        <v>0</v>
      </c>
      <c r="J207" s="106">
        <f t="shared" si="104"/>
        <v>0</v>
      </c>
      <c r="K207" s="106">
        <f t="shared" si="104"/>
        <v>0</v>
      </c>
      <c r="L207" s="106">
        <f t="shared" si="104"/>
        <v>0</v>
      </c>
      <c r="M207" s="106">
        <f t="shared" si="104"/>
        <v>0</v>
      </c>
      <c r="N207" s="106">
        <f t="shared" si="104"/>
        <v>0</v>
      </c>
      <c r="O207" s="106">
        <f t="shared" si="104"/>
        <v>0</v>
      </c>
      <c r="P207" s="106">
        <f t="shared" si="104"/>
        <v>0</v>
      </c>
      <c r="Q207" s="106">
        <f t="shared" si="104"/>
        <v>0</v>
      </c>
      <c r="R207" s="106">
        <f t="shared" si="104"/>
        <v>0</v>
      </c>
      <c r="S207" s="106">
        <f t="shared" si="104"/>
        <v>0</v>
      </c>
      <c r="T207" s="106">
        <f t="shared" si="104"/>
        <v>0</v>
      </c>
      <c r="U207" s="106">
        <f t="shared" si="104"/>
        <v>0</v>
      </c>
      <c r="V207" s="106">
        <f t="shared" si="104"/>
        <v>0</v>
      </c>
      <c r="W207" s="106">
        <f t="shared" si="104"/>
        <v>0</v>
      </c>
      <c r="X207" s="106">
        <f t="shared" si="104"/>
        <v>0</v>
      </c>
      <c r="Y207" s="106">
        <f t="shared" si="104"/>
        <v>0</v>
      </c>
      <c r="Z207" s="106">
        <f t="shared" si="104"/>
        <v>0</v>
      </c>
      <c r="AA207" s="106">
        <f t="shared" si="104"/>
        <v>0</v>
      </c>
    </row>
    <row r="208" spans="1:29" x14ac:dyDescent="0.25">
      <c r="G208" s="106"/>
      <c r="H208" s="106"/>
      <c r="I208" s="106"/>
      <c r="J208" s="106"/>
      <c r="K208" s="106"/>
      <c r="L208" s="106"/>
      <c r="M208" s="106"/>
      <c r="N208" s="106"/>
      <c r="O208" s="106"/>
      <c r="P208" s="106"/>
      <c r="Q208" s="106"/>
      <c r="R208" s="106"/>
      <c r="S208" s="106"/>
      <c r="T208" s="106"/>
      <c r="U208" s="106"/>
      <c r="V208" s="106"/>
      <c r="W208" s="106"/>
      <c r="X208" s="106"/>
      <c r="Y208" s="106"/>
      <c r="Z208" s="106"/>
      <c r="AA208" s="106"/>
    </row>
    <row r="209" spans="1:27" x14ac:dyDescent="0.25">
      <c r="C209" s="100" t="s">
        <v>714</v>
      </c>
      <c r="G209" s="106"/>
      <c r="H209" s="106"/>
      <c r="I209" s="106"/>
      <c r="J209" s="106"/>
      <c r="K209" s="106"/>
      <c r="L209" s="106"/>
      <c r="M209" s="106"/>
      <c r="N209" s="106"/>
      <c r="O209" s="106"/>
      <c r="P209" s="106"/>
      <c r="Q209" s="106"/>
      <c r="R209" s="106"/>
      <c r="S209" s="106"/>
      <c r="T209" s="106"/>
      <c r="U209" s="106"/>
      <c r="V209" s="106"/>
      <c r="W209" s="106"/>
      <c r="X209" s="106"/>
      <c r="Y209" s="106"/>
      <c r="Z209" s="106"/>
      <c r="AA209" s="106"/>
    </row>
    <row r="210" spans="1:27" x14ac:dyDescent="0.25">
      <c r="A210" s="101">
        <v>50</v>
      </c>
      <c r="E210" s="102" t="s">
        <v>715</v>
      </c>
      <c r="F210" s="47" t="s">
        <v>639</v>
      </c>
      <c r="G210" s="106"/>
      <c r="H210" s="102"/>
      <c r="I210" s="102"/>
      <c r="J210" s="102"/>
      <c r="K210" s="102"/>
      <c r="L210" s="102"/>
      <c r="M210" s="102"/>
      <c r="N210" s="102"/>
      <c r="O210" s="102"/>
      <c r="P210" s="102"/>
      <c r="Q210" s="102"/>
      <c r="R210" s="102"/>
      <c r="S210" s="102"/>
      <c r="T210" s="102"/>
      <c r="U210" s="102"/>
      <c r="V210" s="102"/>
      <c r="W210" s="102"/>
      <c r="X210" s="102"/>
      <c r="Y210" s="102"/>
      <c r="Z210" s="102"/>
      <c r="AA210" s="102"/>
    </row>
    <row r="211" spans="1:27" x14ac:dyDescent="0.25">
      <c r="A211" s="101">
        <v>51</v>
      </c>
      <c r="E211" s="102" t="s">
        <v>716</v>
      </c>
      <c r="F211" s="47" t="s">
        <v>639</v>
      </c>
      <c r="G211" s="106"/>
      <c r="H211" s="102"/>
      <c r="I211" s="102"/>
      <c r="J211" s="102"/>
      <c r="K211" s="102"/>
      <c r="L211" s="102"/>
      <c r="M211" s="102"/>
      <c r="N211" s="102"/>
      <c r="O211" s="102"/>
      <c r="P211" s="102"/>
      <c r="Q211" s="102"/>
      <c r="R211" s="102"/>
      <c r="S211" s="102"/>
      <c r="T211" s="102"/>
      <c r="U211" s="102"/>
      <c r="V211" s="102"/>
      <c r="W211" s="102"/>
      <c r="X211" s="102"/>
      <c r="Y211" s="102"/>
      <c r="Z211" s="102"/>
      <c r="AA211" s="102"/>
    </row>
    <row r="212" spans="1:27" x14ac:dyDescent="0.25">
      <c r="A212" s="101">
        <v>52</v>
      </c>
      <c r="E212" s="102" t="s">
        <v>717</v>
      </c>
      <c r="F212" s="47" t="s">
        <v>639</v>
      </c>
      <c r="G212" s="106"/>
      <c r="H212" s="102"/>
      <c r="I212" s="102"/>
      <c r="J212" s="102"/>
      <c r="K212" s="102"/>
      <c r="L212" s="102"/>
      <c r="M212" s="102"/>
      <c r="N212" s="102"/>
      <c r="O212" s="102"/>
      <c r="P212" s="102"/>
      <c r="Q212" s="102"/>
      <c r="R212" s="102"/>
      <c r="S212" s="102"/>
      <c r="T212" s="102"/>
      <c r="U212" s="102"/>
      <c r="V212" s="102"/>
      <c r="W212" s="102"/>
      <c r="X212" s="102"/>
      <c r="Y212" s="102"/>
      <c r="Z212" s="102"/>
      <c r="AA212" s="102"/>
    </row>
    <row r="213" spans="1:27" x14ac:dyDescent="0.25">
      <c r="A213" s="101">
        <v>53</v>
      </c>
      <c r="E213" s="102" t="s">
        <v>718</v>
      </c>
      <c r="F213" s="47" t="s">
        <v>639</v>
      </c>
      <c r="G213" s="106"/>
      <c r="H213" s="102"/>
      <c r="I213" s="102"/>
      <c r="J213" s="102"/>
      <c r="K213" s="102"/>
      <c r="L213" s="102"/>
      <c r="M213" s="102"/>
      <c r="N213" s="102"/>
      <c r="O213" s="102"/>
      <c r="P213" s="102"/>
      <c r="Q213" s="102"/>
      <c r="R213" s="102"/>
      <c r="S213" s="102"/>
      <c r="T213" s="102"/>
      <c r="U213" s="102"/>
      <c r="V213" s="102"/>
      <c r="W213" s="102"/>
      <c r="X213" s="102"/>
      <c r="Y213" s="102"/>
      <c r="Z213" s="102"/>
      <c r="AA213" s="102"/>
    </row>
    <row r="214" spans="1:27" x14ac:dyDescent="0.25">
      <c r="E214" s="47" t="s">
        <v>44</v>
      </c>
      <c r="G214" s="106"/>
      <c r="H214" s="106">
        <f>SUM(H210:H213)</f>
        <v>0</v>
      </c>
      <c r="I214" s="106">
        <f t="shared" ref="I214:AA214" si="105">SUM(I210:I213)</f>
        <v>0</v>
      </c>
      <c r="J214" s="106">
        <f t="shared" si="105"/>
        <v>0</v>
      </c>
      <c r="K214" s="106">
        <f t="shared" si="105"/>
        <v>0</v>
      </c>
      <c r="L214" s="106">
        <f t="shared" si="105"/>
        <v>0</v>
      </c>
      <c r="M214" s="106">
        <f t="shared" si="105"/>
        <v>0</v>
      </c>
      <c r="N214" s="106">
        <f t="shared" si="105"/>
        <v>0</v>
      </c>
      <c r="O214" s="106">
        <f t="shared" si="105"/>
        <v>0</v>
      </c>
      <c r="P214" s="106">
        <f t="shared" si="105"/>
        <v>0</v>
      </c>
      <c r="Q214" s="106">
        <f t="shared" si="105"/>
        <v>0</v>
      </c>
      <c r="R214" s="106">
        <f t="shared" si="105"/>
        <v>0</v>
      </c>
      <c r="S214" s="106">
        <f t="shared" si="105"/>
        <v>0</v>
      </c>
      <c r="T214" s="106">
        <f t="shared" si="105"/>
        <v>0</v>
      </c>
      <c r="U214" s="106">
        <f t="shared" si="105"/>
        <v>0</v>
      </c>
      <c r="V214" s="106">
        <f t="shared" si="105"/>
        <v>0</v>
      </c>
      <c r="W214" s="106">
        <f t="shared" si="105"/>
        <v>0</v>
      </c>
      <c r="X214" s="106">
        <f t="shared" si="105"/>
        <v>0</v>
      </c>
      <c r="Y214" s="106">
        <f t="shared" si="105"/>
        <v>0</v>
      </c>
      <c r="Z214" s="106">
        <f t="shared" si="105"/>
        <v>0</v>
      </c>
      <c r="AA214" s="106">
        <f t="shared" si="105"/>
        <v>0</v>
      </c>
    </row>
    <row r="215" spans="1:27" x14ac:dyDescent="0.25">
      <c r="G215" s="106"/>
      <c r="H215" s="106"/>
      <c r="I215" s="106"/>
      <c r="J215" s="106"/>
      <c r="K215" s="106"/>
      <c r="L215" s="106"/>
      <c r="M215" s="106"/>
      <c r="N215" s="106"/>
      <c r="O215" s="106"/>
      <c r="P215" s="106"/>
      <c r="Q215" s="106"/>
      <c r="R215" s="106"/>
      <c r="S215" s="106"/>
      <c r="T215" s="106"/>
      <c r="U215" s="106"/>
      <c r="V215" s="106"/>
      <c r="W215" s="106"/>
      <c r="X215" s="106"/>
      <c r="Y215" s="106"/>
      <c r="Z215" s="106"/>
      <c r="AA215" s="106"/>
    </row>
    <row r="216" spans="1:27" x14ac:dyDescent="0.25">
      <c r="C216" s="100" t="s">
        <v>719</v>
      </c>
      <c r="G216" s="106"/>
      <c r="H216" s="106"/>
      <c r="I216" s="106"/>
      <c r="J216" s="106"/>
      <c r="K216" s="106"/>
      <c r="L216" s="106"/>
      <c r="M216" s="106"/>
      <c r="N216" s="106"/>
      <c r="O216" s="106"/>
      <c r="P216" s="106"/>
      <c r="Q216" s="106"/>
      <c r="R216" s="106"/>
      <c r="S216" s="106"/>
      <c r="T216" s="106"/>
      <c r="U216" s="106"/>
      <c r="V216" s="106"/>
      <c r="W216" s="106"/>
      <c r="X216" s="106"/>
      <c r="Y216" s="106"/>
      <c r="Z216" s="106"/>
      <c r="AA216" s="106"/>
    </row>
    <row r="217" spans="1:27" x14ac:dyDescent="0.25">
      <c r="C217" s="100"/>
      <c r="D217" s="100"/>
      <c r="E217" s="47" t="s">
        <v>404</v>
      </c>
      <c r="F217" s="47" t="s">
        <v>655</v>
      </c>
      <c r="G217" s="106"/>
      <c r="H217" s="106">
        <f t="shared" ref="H217:AA217" si="106">H174</f>
        <v>590.02962699546151</v>
      </c>
      <c r="I217" s="106">
        <f t="shared" si="106"/>
        <v>587.79639214560848</v>
      </c>
      <c r="J217" s="106">
        <f t="shared" si="106"/>
        <v>408.39616419475351</v>
      </c>
      <c r="K217" s="106">
        <f t="shared" si="106"/>
        <v>357.37045469124132</v>
      </c>
      <c r="L217" s="106">
        <f t="shared" si="106"/>
        <v>310.26144888135241</v>
      </c>
      <c r="M217" s="106">
        <f t="shared" si="106"/>
        <v>254.66895054675479</v>
      </c>
      <c r="N217" s="106">
        <f t="shared" si="106"/>
        <v>249.4322945536278</v>
      </c>
      <c r="O217" s="106">
        <f t="shared" si="106"/>
        <v>317.72612269536512</v>
      </c>
      <c r="P217" s="106">
        <f t="shared" si="106"/>
        <v>310.01610762433847</v>
      </c>
      <c r="Q217" s="106">
        <f t="shared" si="106"/>
        <v>280.60021068756396</v>
      </c>
      <c r="R217" s="106">
        <f t="shared" si="106"/>
        <v>257.5041548870613</v>
      </c>
      <c r="S217" s="106">
        <f t="shared" si="106"/>
        <v>230.90554163477464</v>
      </c>
      <c r="T217" s="106">
        <f t="shared" si="106"/>
        <v>203.99886422778218</v>
      </c>
      <c r="U217" s="106">
        <f t="shared" si="106"/>
        <v>182.29683615113026</v>
      </c>
      <c r="V217" s="106">
        <f t="shared" si="106"/>
        <v>191.8560280857364</v>
      </c>
      <c r="W217" s="106">
        <f t="shared" si="106"/>
        <v>241.16299136175621</v>
      </c>
      <c r="X217" s="106">
        <f t="shared" si="106"/>
        <v>278.03876833322283</v>
      </c>
      <c r="Y217" s="106">
        <f t="shared" si="106"/>
        <v>255.82050097307547</v>
      </c>
      <c r="Z217" s="106">
        <f t="shared" si="106"/>
        <v>226.12926766935016</v>
      </c>
      <c r="AA217" s="106">
        <f t="shared" si="106"/>
        <v>212.00091024339235</v>
      </c>
    </row>
    <row r="218" spans="1:27" x14ac:dyDescent="0.25">
      <c r="E218" s="47" t="s">
        <v>720</v>
      </c>
      <c r="F218" s="47" t="s">
        <v>695</v>
      </c>
      <c r="G218" s="115">
        <f>MAX(0,-G245/(NPV($G$16,H217:AP217)))</f>
        <v>7362.9179518184774</v>
      </c>
      <c r="H218" s="106">
        <f t="shared" ref="H218:AA218" si="107">G218*(1+$G$14)</f>
        <v>7362.9179518184774</v>
      </c>
      <c r="I218" s="106">
        <f t="shared" si="107"/>
        <v>7362.9179518184774</v>
      </c>
      <c r="J218" s="106">
        <f t="shared" si="107"/>
        <v>7362.9179518184774</v>
      </c>
      <c r="K218" s="106">
        <f t="shared" si="107"/>
        <v>7362.9179518184774</v>
      </c>
      <c r="L218" s="106">
        <f t="shared" si="107"/>
        <v>7362.9179518184774</v>
      </c>
      <c r="M218" s="106">
        <f t="shared" si="107"/>
        <v>7362.9179518184774</v>
      </c>
      <c r="N218" s="106">
        <f t="shared" si="107"/>
        <v>7362.9179518184774</v>
      </c>
      <c r="O218" s="106">
        <f t="shared" si="107"/>
        <v>7362.9179518184774</v>
      </c>
      <c r="P218" s="106">
        <f t="shared" si="107"/>
        <v>7362.9179518184774</v>
      </c>
      <c r="Q218" s="106">
        <f t="shared" si="107"/>
        <v>7362.9179518184774</v>
      </c>
      <c r="R218" s="106">
        <f t="shared" si="107"/>
        <v>7362.9179518184774</v>
      </c>
      <c r="S218" s="106">
        <f t="shared" si="107"/>
        <v>7362.9179518184774</v>
      </c>
      <c r="T218" s="106">
        <f t="shared" si="107"/>
        <v>7362.9179518184774</v>
      </c>
      <c r="U218" s="106">
        <f t="shared" si="107"/>
        <v>7362.9179518184774</v>
      </c>
      <c r="V218" s="106">
        <f t="shared" si="107"/>
        <v>7362.9179518184774</v>
      </c>
      <c r="W218" s="106">
        <f t="shared" si="107"/>
        <v>7362.9179518184774</v>
      </c>
      <c r="X218" s="106">
        <f t="shared" si="107"/>
        <v>7362.9179518184774</v>
      </c>
      <c r="Y218" s="106">
        <f t="shared" si="107"/>
        <v>7362.9179518184774</v>
      </c>
      <c r="Z218" s="106">
        <f t="shared" si="107"/>
        <v>7362.9179518184774</v>
      </c>
      <c r="AA218" s="106">
        <f t="shared" si="107"/>
        <v>7362.9179518184774</v>
      </c>
    </row>
    <row r="219" spans="1:27" x14ac:dyDescent="0.25">
      <c r="E219" s="47" t="s">
        <v>721</v>
      </c>
      <c r="F219" s="47" t="s">
        <v>639</v>
      </c>
      <c r="H219" s="106">
        <f>H218*H217</f>
        <v>4344339.7327096434</v>
      </c>
      <c r="I219" s="106">
        <f t="shared" ref="I219:AA219" si="108">I218*I217</f>
        <v>4327896.6077430341</v>
      </c>
      <c r="J219" s="106">
        <f t="shared" si="108"/>
        <v>3006987.4488033573</v>
      </c>
      <c r="K219" s="106">
        <f t="shared" si="108"/>
        <v>2631289.3362956727</v>
      </c>
      <c r="L219" s="106">
        <f t="shared" si="108"/>
        <v>2284429.5917257206</v>
      </c>
      <c r="M219" s="106">
        <f t="shared" si="108"/>
        <v>1875106.5877514728</v>
      </c>
      <c r="N219" s="106">
        <f t="shared" si="108"/>
        <v>1836549.5193321803</v>
      </c>
      <c r="O219" s="106">
        <f t="shared" si="108"/>
        <v>2339391.3725553839</v>
      </c>
      <c r="P219" s="106">
        <f t="shared" si="108"/>
        <v>2282623.1641801307</v>
      </c>
      <c r="Q219" s="106">
        <f t="shared" si="108"/>
        <v>2066036.3285555115</v>
      </c>
      <c r="R219" s="106">
        <f t="shared" si="108"/>
        <v>1895981.9646857893</v>
      </c>
      <c r="S219" s="106">
        <f t="shared" si="108"/>
        <v>1700138.5576770511</v>
      </c>
      <c r="T219" s="106">
        <f t="shared" si="108"/>
        <v>1502026.8995733175</v>
      </c>
      <c r="U219" s="106">
        <f t="shared" si="108"/>
        <v>1342236.6474568686</v>
      </c>
      <c r="V219" s="106">
        <f t="shared" si="108"/>
        <v>1412620.1933570586</v>
      </c>
      <c r="W219" s="106">
        <f t="shared" si="108"/>
        <v>1775663.3184117193</v>
      </c>
      <c r="X219" s="106">
        <f t="shared" si="108"/>
        <v>2047176.6386621853</v>
      </c>
      <c r="Y219" s="106">
        <f t="shared" si="108"/>
        <v>1883585.3590578537</v>
      </c>
      <c r="Z219" s="106">
        <f t="shared" si="108"/>
        <v>1664971.2443542238</v>
      </c>
      <c r="AA219" s="106">
        <f t="shared" si="108"/>
        <v>1560945.3078329314</v>
      </c>
    </row>
    <row r="221" spans="1:27" x14ac:dyDescent="0.25">
      <c r="D221" s="47" t="s">
        <v>722</v>
      </c>
    </row>
    <row r="222" spans="1:27" x14ac:dyDescent="0.25">
      <c r="E222" s="47" t="s">
        <v>573</v>
      </c>
      <c r="F222" s="47" t="s">
        <v>639</v>
      </c>
      <c r="G222" s="106">
        <f t="shared" ref="G222:AA222" si="109">G42</f>
        <v>0</v>
      </c>
      <c r="H222" s="106">
        <f t="shared" si="109"/>
        <v>1234166.8109491884</v>
      </c>
      <c r="I222" s="106">
        <f t="shared" si="109"/>
        <v>1244387.0219450446</v>
      </c>
      <c r="J222" s="106">
        <f t="shared" si="109"/>
        <v>1060916.3266165103</v>
      </c>
      <c r="K222" s="106">
        <f t="shared" si="109"/>
        <v>988189.52997885097</v>
      </c>
      <c r="L222" s="106">
        <f t="shared" si="109"/>
        <v>734550.19938942033</v>
      </c>
      <c r="M222" s="106">
        <f t="shared" si="109"/>
        <v>602933.84523563483</v>
      </c>
      <c r="N222" s="106">
        <f t="shared" si="109"/>
        <v>590535.95720360859</v>
      </c>
      <c r="O222" s="106">
        <f t="shared" si="109"/>
        <v>752222.96427281026</v>
      </c>
      <c r="P222" s="106">
        <f t="shared" si="109"/>
        <v>733969.34904559643</v>
      </c>
      <c r="Q222" s="106">
        <f t="shared" si="109"/>
        <v>664326.62340877624</v>
      </c>
      <c r="R222" s="106">
        <f t="shared" si="109"/>
        <v>609646.24834272638</v>
      </c>
      <c r="S222" s="106">
        <f t="shared" si="109"/>
        <v>546673.49830112897</v>
      </c>
      <c r="T222" s="106">
        <f t="shared" si="109"/>
        <v>482971.40019814734</v>
      </c>
      <c r="U222" s="106">
        <f t="shared" si="109"/>
        <v>431591.41371147439</v>
      </c>
      <c r="V222" s="106">
        <f t="shared" si="109"/>
        <v>454222.99222979636</v>
      </c>
      <c r="W222" s="106">
        <f t="shared" si="109"/>
        <v>570958.21613941446</v>
      </c>
      <c r="X222" s="106">
        <f t="shared" si="109"/>
        <v>658262.35729099216</v>
      </c>
      <c r="Y222" s="106">
        <f t="shared" si="109"/>
        <v>605660.16395267367</v>
      </c>
      <c r="Z222" s="106">
        <f t="shared" si="109"/>
        <v>535365.57394800475</v>
      </c>
      <c r="AA222" s="106">
        <f t="shared" si="109"/>
        <v>501916.40454039664</v>
      </c>
    </row>
    <row r="223" spans="1:27" x14ac:dyDescent="0.25">
      <c r="E223" s="47" t="s">
        <v>723</v>
      </c>
      <c r="F223" s="47" t="s">
        <v>639</v>
      </c>
      <c r="G223" s="106">
        <f t="shared" ref="G223:AA223" si="110">G177</f>
        <v>0</v>
      </c>
      <c r="H223" s="106">
        <f t="shared" si="110"/>
        <v>215224.25864054894</v>
      </c>
      <c r="I223" s="106">
        <f t="shared" si="110"/>
        <v>420341.46989015926</v>
      </c>
      <c r="J223" s="106">
        <f t="shared" si="110"/>
        <v>556023.89207683119</v>
      </c>
      <c r="K223" s="106">
        <f t="shared" si="110"/>
        <v>670661.26844936307</v>
      </c>
      <c r="L223" s="106">
        <f t="shared" si="110"/>
        <v>768061.84717382398</v>
      </c>
      <c r="M223" s="106">
        <f t="shared" si="110"/>
        <v>845967.92382104485</v>
      </c>
      <c r="N223" s="106">
        <f t="shared" si="110"/>
        <v>920689.28212232387</v>
      </c>
      <c r="O223" s="106">
        <f t="shared" si="110"/>
        <v>1014465.3474064318</v>
      </c>
      <c r="P223" s="106">
        <f t="shared" si="110"/>
        <v>1108889.6384151613</v>
      </c>
      <c r="Q223" s="106">
        <f t="shared" si="110"/>
        <v>984471.65420683799</v>
      </c>
      <c r="R223" s="106">
        <f t="shared" si="110"/>
        <v>1048190.1670400412</v>
      </c>
      <c r="S223" s="106">
        <f t="shared" si="110"/>
        <v>1105132.7164410739</v>
      </c>
      <c r="T223" s="106">
        <f t="shared" si="110"/>
        <v>1155435.0858234868</v>
      </c>
      <c r="U223" s="106">
        <f t="shared" si="110"/>
        <v>1200430.0511229376</v>
      </c>
      <c r="V223" s="106">
        <f t="shared" si="110"/>
        <v>1112643.9210499942</v>
      </c>
      <c r="W223" s="106">
        <f t="shared" si="110"/>
        <v>1165204.8659542638</v>
      </c>
      <c r="X223" s="106">
        <f t="shared" si="110"/>
        <v>1225509.4784198171</v>
      </c>
      <c r="Y223" s="106">
        <f t="shared" si="110"/>
        <v>1281251.4710916388</v>
      </c>
      <c r="Z223" s="106">
        <f t="shared" si="110"/>
        <v>1331247.2569678195</v>
      </c>
      <c r="AA223" s="106">
        <f t="shared" si="110"/>
        <v>1380466.8422992099</v>
      </c>
    </row>
    <row r="224" spans="1:27" x14ac:dyDescent="0.25">
      <c r="E224" s="47" t="s">
        <v>701</v>
      </c>
      <c r="F224" s="47" t="s">
        <v>639</v>
      </c>
      <c r="G224" s="106">
        <f t="shared" ref="G224:AA224" si="111">-G187</f>
        <v>0</v>
      </c>
      <c r="H224" s="106">
        <f t="shared" si="111"/>
        <v>0</v>
      </c>
      <c r="I224" s="106">
        <f t="shared" si="111"/>
        <v>0</v>
      </c>
      <c r="J224" s="106">
        <f t="shared" si="111"/>
        <v>0</v>
      </c>
      <c r="K224" s="106">
        <f t="shared" si="111"/>
        <v>0</v>
      </c>
      <c r="L224" s="106">
        <f t="shared" si="111"/>
        <v>0</v>
      </c>
      <c r="M224" s="106">
        <f t="shared" si="111"/>
        <v>0</v>
      </c>
      <c r="N224" s="106">
        <f t="shared" si="111"/>
        <v>0</v>
      </c>
      <c r="O224" s="106">
        <f t="shared" si="111"/>
        <v>0</v>
      </c>
      <c r="P224" s="106">
        <f t="shared" si="111"/>
        <v>0</v>
      </c>
      <c r="Q224" s="106">
        <f t="shared" si="111"/>
        <v>0</v>
      </c>
      <c r="R224" s="106">
        <f t="shared" si="111"/>
        <v>0</v>
      </c>
      <c r="S224" s="106">
        <f t="shared" si="111"/>
        <v>0</v>
      </c>
      <c r="T224" s="106">
        <f t="shared" si="111"/>
        <v>0</v>
      </c>
      <c r="U224" s="106">
        <f t="shared" si="111"/>
        <v>0</v>
      </c>
      <c r="V224" s="106">
        <f t="shared" si="111"/>
        <v>0</v>
      </c>
      <c r="W224" s="106">
        <f t="shared" si="111"/>
        <v>0</v>
      </c>
      <c r="X224" s="106">
        <f t="shared" si="111"/>
        <v>0</v>
      </c>
      <c r="Y224" s="106">
        <f t="shared" si="111"/>
        <v>0</v>
      </c>
      <c r="Z224" s="106">
        <f t="shared" si="111"/>
        <v>0</v>
      </c>
      <c r="AA224" s="106">
        <f t="shared" si="111"/>
        <v>0</v>
      </c>
    </row>
    <row r="225" spans="4:28" x14ac:dyDescent="0.25">
      <c r="E225" s="47" t="s">
        <v>702</v>
      </c>
      <c r="F225" s="47" t="s">
        <v>639</v>
      </c>
      <c r="G225" s="106">
        <f t="shared" ref="G225:AA225" si="112">-G200</f>
        <v>0</v>
      </c>
      <c r="H225" s="106">
        <f t="shared" si="112"/>
        <v>-401944.92812451115</v>
      </c>
      <c r="I225" s="106">
        <f t="shared" si="112"/>
        <v>-743420.77856448153</v>
      </c>
      <c r="J225" s="106">
        <f t="shared" si="112"/>
        <v>-942076.06580750505</v>
      </c>
      <c r="K225" s="106">
        <f t="shared" si="112"/>
        <v>-1100205.5831593152</v>
      </c>
      <c r="L225" s="106">
        <f t="shared" si="112"/>
        <v>-1225714.1412863825</v>
      </c>
      <c r="M225" s="106">
        <f t="shared" si="112"/>
        <v>-1314166.2370804555</v>
      </c>
      <c r="N225" s="106">
        <f t="shared" si="112"/>
        <v>-1394162.9576188859</v>
      </c>
      <c r="O225" s="106">
        <f t="shared" si="112"/>
        <v>-1501179.2304322997</v>
      </c>
      <c r="P225" s="106">
        <f t="shared" si="112"/>
        <v>-1597832.2018709127</v>
      </c>
      <c r="Q225" s="106">
        <f t="shared" si="112"/>
        <v>-1730257.5128251491</v>
      </c>
      <c r="R225" s="106">
        <f t="shared" si="112"/>
        <v>-1851782.9660647258</v>
      </c>
      <c r="S225" s="106">
        <f t="shared" si="112"/>
        <v>-1960755.5790115078</v>
      </c>
      <c r="T225" s="106">
        <f t="shared" si="112"/>
        <v>-2057029.9651336006</v>
      </c>
      <c r="U225" s="106">
        <f t="shared" si="112"/>
        <v>-2143062.3852594947</v>
      </c>
      <c r="V225" s="106">
        <f t="shared" si="112"/>
        <v>-2233606.1311656144</v>
      </c>
      <c r="W225" s="106">
        <f t="shared" si="112"/>
        <v>-2347419.6028072797</v>
      </c>
      <c r="X225" s="106">
        <f t="shared" si="112"/>
        <v>-2478636.077177132</v>
      </c>
      <c r="Y225" s="106">
        <f t="shared" si="112"/>
        <v>-2599366.9537036247</v>
      </c>
      <c r="Z225" s="106">
        <f t="shared" si="112"/>
        <v>-2706085.4715322163</v>
      </c>
      <c r="AA225" s="106">
        <f t="shared" si="112"/>
        <v>-2806136.3103850135</v>
      </c>
    </row>
    <row r="226" spans="4:28" x14ac:dyDescent="0.25">
      <c r="E226" s="47" t="s">
        <v>724</v>
      </c>
      <c r="F226" s="47" t="s">
        <v>639</v>
      </c>
      <c r="G226" s="106">
        <f t="shared" ref="G226:AA226" si="113">-G34-G50-G85</f>
        <v>0</v>
      </c>
      <c r="H226" s="106">
        <f t="shared" si="113"/>
        <v>-14664.269381813685</v>
      </c>
      <c r="I226" s="106">
        <f t="shared" si="113"/>
        <v>-31344.706295004507</v>
      </c>
      <c r="J226" s="106">
        <f t="shared" si="113"/>
        <v>-45986.579926767168</v>
      </c>
      <c r="K226" s="106">
        <f t="shared" si="113"/>
        <v>-59820.37804033362</v>
      </c>
      <c r="L226" s="106">
        <f t="shared" si="113"/>
        <v>-70954.874471537012</v>
      </c>
      <c r="M226" s="106">
        <f t="shared" si="113"/>
        <v>-119273.72510598172</v>
      </c>
      <c r="N226" s="106">
        <f t="shared" si="113"/>
        <v>-167454.82142895949</v>
      </c>
      <c r="O226" s="106">
        <f t="shared" si="113"/>
        <v>-175812.85436532402</v>
      </c>
      <c r="P226" s="106">
        <f t="shared" si="113"/>
        <v>-183968.06935471954</v>
      </c>
      <c r="Q226" s="106">
        <f t="shared" si="113"/>
        <v>-208591.87606625631</v>
      </c>
      <c r="R226" s="106">
        <f t="shared" si="113"/>
        <v>-232608.12305483696</v>
      </c>
      <c r="S226" s="106">
        <f t="shared" si="113"/>
        <v>-255924.67282073322</v>
      </c>
      <c r="T226" s="106">
        <f t="shared" si="113"/>
        <v>-278533.42149659636</v>
      </c>
      <c r="U226" s="106">
        <f t="shared" si="113"/>
        <v>-300571.28143371863</v>
      </c>
      <c r="V226" s="106">
        <f t="shared" si="113"/>
        <v>-322860.6033543779</v>
      </c>
      <c r="W226" s="106">
        <f t="shared" si="113"/>
        <v>-346446.98331847729</v>
      </c>
      <c r="X226" s="106">
        <f t="shared" si="113"/>
        <v>-371003.40929537202</v>
      </c>
      <c r="Y226" s="106">
        <f t="shared" si="113"/>
        <v>-394975.36645739654</v>
      </c>
      <c r="Z226" s="106">
        <f t="shared" si="113"/>
        <v>-418166.27261936921</v>
      </c>
      <c r="AA226" s="106">
        <f t="shared" si="113"/>
        <v>-440985.52134347952</v>
      </c>
    </row>
    <row r="227" spans="4:28" x14ac:dyDescent="0.25">
      <c r="E227" s="47" t="s">
        <v>709</v>
      </c>
      <c r="F227" s="47" t="s">
        <v>639</v>
      </c>
      <c r="G227" s="106">
        <f t="shared" ref="G227:AA227" si="114">G207</f>
        <v>0</v>
      </c>
      <c r="H227" s="106">
        <f t="shared" si="114"/>
        <v>0</v>
      </c>
      <c r="I227" s="106">
        <f t="shared" si="114"/>
        <v>0</v>
      </c>
      <c r="J227" s="106">
        <f t="shared" si="114"/>
        <v>0</v>
      </c>
      <c r="K227" s="106">
        <f t="shared" si="114"/>
        <v>0</v>
      </c>
      <c r="L227" s="106">
        <f t="shared" si="114"/>
        <v>0</v>
      </c>
      <c r="M227" s="106">
        <f t="shared" si="114"/>
        <v>0</v>
      </c>
      <c r="N227" s="106">
        <f t="shared" si="114"/>
        <v>0</v>
      </c>
      <c r="O227" s="106">
        <f t="shared" si="114"/>
        <v>0</v>
      </c>
      <c r="P227" s="106">
        <f t="shared" si="114"/>
        <v>0</v>
      </c>
      <c r="Q227" s="106">
        <f t="shared" si="114"/>
        <v>0</v>
      </c>
      <c r="R227" s="106">
        <f t="shared" si="114"/>
        <v>0</v>
      </c>
      <c r="S227" s="106">
        <f t="shared" si="114"/>
        <v>0</v>
      </c>
      <c r="T227" s="106">
        <f t="shared" si="114"/>
        <v>0</v>
      </c>
      <c r="U227" s="106">
        <f t="shared" si="114"/>
        <v>0</v>
      </c>
      <c r="V227" s="106">
        <f t="shared" si="114"/>
        <v>0</v>
      </c>
      <c r="W227" s="106">
        <f t="shared" si="114"/>
        <v>0</v>
      </c>
      <c r="X227" s="106">
        <f t="shared" si="114"/>
        <v>0</v>
      </c>
      <c r="Y227" s="106">
        <f t="shared" si="114"/>
        <v>0</v>
      </c>
      <c r="Z227" s="106">
        <f t="shared" si="114"/>
        <v>0</v>
      </c>
      <c r="AA227" s="106">
        <f t="shared" si="114"/>
        <v>0</v>
      </c>
    </row>
    <row r="228" spans="4:28" x14ac:dyDescent="0.25">
      <c r="E228" s="47" t="s">
        <v>725</v>
      </c>
      <c r="F228" s="47" t="s">
        <v>639</v>
      </c>
      <c r="H228" s="106">
        <f t="shared" ref="H228:AA228" si="115">H219</f>
        <v>4344339.7327096434</v>
      </c>
      <c r="I228" s="106">
        <f>I219</f>
        <v>4327896.6077430341</v>
      </c>
      <c r="J228" s="106">
        <f t="shared" si="115"/>
        <v>3006987.4488033573</v>
      </c>
      <c r="K228" s="106">
        <f t="shared" si="115"/>
        <v>2631289.3362956727</v>
      </c>
      <c r="L228" s="106">
        <f t="shared" si="115"/>
        <v>2284429.5917257206</v>
      </c>
      <c r="M228" s="106">
        <f t="shared" si="115"/>
        <v>1875106.5877514728</v>
      </c>
      <c r="N228" s="106">
        <f t="shared" si="115"/>
        <v>1836549.5193321803</v>
      </c>
      <c r="O228" s="106">
        <f t="shared" si="115"/>
        <v>2339391.3725553839</v>
      </c>
      <c r="P228" s="106">
        <f t="shared" si="115"/>
        <v>2282623.1641801307</v>
      </c>
      <c r="Q228" s="106">
        <f t="shared" si="115"/>
        <v>2066036.3285555115</v>
      </c>
      <c r="R228" s="106">
        <f t="shared" si="115"/>
        <v>1895981.9646857893</v>
      </c>
      <c r="S228" s="106">
        <f t="shared" si="115"/>
        <v>1700138.5576770511</v>
      </c>
      <c r="T228" s="106">
        <f t="shared" si="115"/>
        <v>1502026.8995733175</v>
      </c>
      <c r="U228" s="106">
        <f t="shared" si="115"/>
        <v>1342236.6474568686</v>
      </c>
      <c r="V228" s="106">
        <f t="shared" si="115"/>
        <v>1412620.1933570586</v>
      </c>
      <c r="W228" s="106">
        <f t="shared" si="115"/>
        <v>1775663.3184117193</v>
      </c>
      <c r="X228" s="106">
        <f t="shared" si="115"/>
        <v>2047176.6386621853</v>
      </c>
      <c r="Y228" s="106">
        <f t="shared" si="115"/>
        <v>1883585.3590578537</v>
      </c>
      <c r="Z228" s="106">
        <f t="shared" si="115"/>
        <v>1664971.2443542238</v>
      </c>
      <c r="AA228" s="106">
        <f t="shared" si="115"/>
        <v>1560945.3078329314</v>
      </c>
    </row>
    <row r="230" spans="4:28" x14ac:dyDescent="0.25">
      <c r="E230" s="47" t="s">
        <v>726</v>
      </c>
      <c r="F230" s="47" t="s">
        <v>639</v>
      </c>
      <c r="G230" s="106">
        <f t="shared" ref="G230:AA230" si="116">SUM(G222:G228)</f>
        <v>0</v>
      </c>
      <c r="H230" s="106">
        <f t="shared" si="116"/>
        <v>5377121.6047930559</v>
      </c>
      <c r="I230" s="106">
        <f t="shared" si="116"/>
        <v>5217859.614718752</v>
      </c>
      <c r="J230" s="106">
        <f t="shared" si="116"/>
        <v>3635865.0217624269</v>
      </c>
      <c r="K230" s="106">
        <f t="shared" si="116"/>
        <v>3130114.1735242382</v>
      </c>
      <c r="L230" s="106">
        <f t="shared" si="116"/>
        <v>2490372.6225310457</v>
      </c>
      <c r="M230" s="106">
        <f t="shared" si="116"/>
        <v>1890568.3946217152</v>
      </c>
      <c r="N230" s="106">
        <f t="shared" si="116"/>
        <v>1786156.9796102673</v>
      </c>
      <c r="O230" s="106">
        <f t="shared" si="116"/>
        <v>2429087.5994370026</v>
      </c>
      <c r="P230" s="106">
        <f t="shared" si="116"/>
        <v>2343681.8804152561</v>
      </c>
      <c r="Q230" s="106">
        <f t="shared" si="116"/>
        <v>1775985.2172797204</v>
      </c>
      <c r="R230" s="106">
        <f t="shared" si="116"/>
        <v>1469427.290948994</v>
      </c>
      <c r="S230" s="106">
        <f t="shared" si="116"/>
        <v>1135264.5205870129</v>
      </c>
      <c r="T230" s="106">
        <f t="shared" si="116"/>
        <v>804869.99896475463</v>
      </c>
      <c r="U230" s="106">
        <f t="shared" si="116"/>
        <v>530624.44559806737</v>
      </c>
      <c r="V230" s="106">
        <f t="shared" si="116"/>
        <v>423020.37211685674</v>
      </c>
      <c r="W230" s="106">
        <f t="shared" si="116"/>
        <v>817959.81437964074</v>
      </c>
      <c r="X230" s="106">
        <f t="shared" si="116"/>
        <v>1081308.9879004904</v>
      </c>
      <c r="Y230" s="106">
        <f t="shared" si="116"/>
        <v>776154.67394114495</v>
      </c>
      <c r="Z230" s="106">
        <f t="shared" si="116"/>
        <v>407332.33111846261</v>
      </c>
      <c r="AA230" s="106">
        <f t="shared" si="116"/>
        <v>196206.72294404521</v>
      </c>
    </row>
    <row r="231" spans="4:28" x14ac:dyDescent="0.25">
      <c r="E231" s="47" t="s">
        <v>727</v>
      </c>
      <c r="F231" s="47" t="s">
        <v>639</v>
      </c>
      <c r="G231" s="106">
        <f>-G230*G$18</f>
        <v>0</v>
      </c>
      <c r="H231" s="106">
        <f t="shared" ref="H231:AA231" si="117">-H230*H$18</f>
        <v>-1613136.4814379166</v>
      </c>
      <c r="I231" s="106">
        <f t="shared" si="117"/>
        <v>-1565357.8844156256</v>
      </c>
      <c r="J231" s="106">
        <f t="shared" si="117"/>
        <v>-1090759.5065287279</v>
      </c>
      <c r="K231" s="106">
        <f t="shared" si="117"/>
        <v>-939034.25205727143</v>
      </c>
      <c r="L231" s="106">
        <f t="shared" si="117"/>
        <v>-747111.78675931366</v>
      </c>
      <c r="M231" s="106">
        <f t="shared" si="117"/>
        <v>-567170.51838651451</v>
      </c>
      <c r="N231" s="106">
        <f t="shared" si="117"/>
        <v>-535847.09388308018</v>
      </c>
      <c r="O231" s="106">
        <f t="shared" si="117"/>
        <v>-728726.27983110072</v>
      </c>
      <c r="P231" s="106">
        <f t="shared" si="117"/>
        <v>-703104.56412457686</v>
      </c>
      <c r="Q231" s="106">
        <f t="shared" si="117"/>
        <v>-532795.56518391613</v>
      </c>
      <c r="R231" s="106">
        <f t="shared" si="117"/>
        <v>-440828.18728469819</v>
      </c>
      <c r="S231" s="106">
        <f t="shared" si="117"/>
        <v>-340579.35617610387</v>
      </c>
      <c r="T231" s="106">
        <f t="shared" si="117"/>
        <v>-241460.99968942639</v>
      </c>
      <c r="U231" s="106">
        <f t="shared" si="117"/>
        <v>-159187.3336794202</v>
      </c>
      <c r="V231" s="106">
        <f t="shared" si="117"/>
        <v>-126906.11163505702</v>
      </c>
      <c r="W231" s="106">
        <f t="shared" si="117"/>
        <v>-245387.94431389222</v>
      </c>
      <c r="X231" s="106">
        <f t="shared" si="117"/>
        <v>-324392.69637014711</v>
      </c>
      <c r="Y231" s="106">
        <f t="shared" si="117"/>
        <v>-232846.40218234347</v>
      </c>
      <c r="Z231" s="106">
        <f t="shared" si="117"/>
        <v>-122199.69933553878</v>
      </c>
      <c r="AA231" s="106">
        <f t="shared" si="117"/>
        <v>-58862.016883213561</v>
      </c>
    </row>
    <row r="233" spans="4:28" x14ac:dyDescent="0.25">
      <c r="D233" s="47" t="s">
        <v>728</v>
      </c>
    </row>
    <row r="234" spans="4:28" x14ac:dyDescent="0.25">
      <c r="E234" s="47" t="s">
        <v>638</v>
      </c>
      <c r="F234" s="47" t="s">
        <v>639</v>
      </c>
      <c r="G234" s="106">
        <f t="shared" ref="G234:AA234" si="118">-G26</f>
        <v>0</v>
      </c>
      <c r="H234" s="106">
        <f t="shared" si="118"/>
        <v>-85617.433414043204</v>
      </c>
      <c r="I234" s="106">
        <f t="shared" si="118"/>
        <v>-256852.3002421296</v>
      </c>
      <c r="J234" s="106">
        <f t="shared" si="118"/>
        <v>-256852.3002421296</v>
      </c>
      <c r="K234" s="106">
        <f t="shared" si="118"/>
        <v>-256852.3002421296</v>
      </c>
      <c r="L234" s="106">
        <f t="shared" si="118"/>
        <v>-267554.47941888502</v>
      </c>
      <c r="M234" s="106">
        <f t="shared" si="118"/>
        <v>-3745762.7118643895</v>
      </c>
      <c r="N234" s="106">
        <f t="shared" si="118"/>
        <v>-3745762.7118643895</v>
      </c>
      <c r="O234" s="106">
        <f t="shared" si="118"/>
        <v>0</v>
      </c>
      <c r="P234" s="106">
        <f t="shared" si="118"/>
        <v>0</v>
      </c>
      <c r="Q234" s="106">
        <f t="shared" si="118"/>
        <v>-1551815.9806295328</v>
      </c>
      <c r="R234" s="106">
        <f>-R26</f>
        <v>-1551815.9806295328</v>
      </c>
      <c r="S234" s="106">
        <f t="shared" si="118"/>
        <v>-1551815.9806295328</v>
      </c>
      <c r="T234" s="106">
        <f t="shared" si="118"/>
        <v>-1551815.9806295328</v>
      </c>
      <c r="U234" s="106">
        <f t="shared" si="118"/>
        <v>-1551815.9806295328</v>
      </c>
      <c r="V234" s="106">
        <f t="shared" si="118"/>
        <v>-1551815.9806295328</v>
      </c>
      <c r="W234" s="106">
        <f t="shared" si="118"/>
        <v>-1551815.9806295328</v>
      </c>
      <c r="X234" s="106">
        <f t="shared" si="118"/>
        <v>-1551815.9806295328</v>
      </c>
      <c r="Y234" s="106">
        <f t="shared" si="118"/>
        <v>-1551815.9806295328</v>
      </c>
      <c r="Z234" s="106">
        <f t="shared" si="118"/>
        <v>-1551815.9806295328</v>
      </c>
      <c r="AA234" s="106">
        <f t="shared" si="118"/>
        <v>-1551815.9806295328</v>
      </c>
    </row>
    <row r="235" spans="4:28" x14ac:dyDescent="0.25">
      <c r="E235" s="47" t="s">
        <v>729</v>
      </c>
      <c r="F235" s="47" t="s">
        <v>639</v>
      </c>
      <c r="G235" s="106">
        <f t="shared" ref="G235:AA235" si="119">G84</f>
        <v>0</v>
      </c>
      <c r="H235" s="106">
        <f t="shared" si="119"/>
        <v>0</v>
      </c>
      <c r="I235" s="106">
        <f t="shared" si="119"/>
        <v>0</v>
      </c>
      <c r="J235" s="106">
        <f t="shared" si="119"/>
        <v>0</v>
      </c>
      <c r="K235" s="106">
        <f t="shared" si="119"/>
        <v>0</v>
      </c>
      <c r="L235" s="106">
        <f t="shared" si="119"/>
        <v>0</v>
      </c>
      <c r="M235" s="106">
        <f t="shared" si="119"/>
        <v>0</v>
      </c>
      <c r="N235" s="106">
        <f t="shared" si="119"/>
        <v>0</v>
      </c>
      <c r="O235" s="106">
        <f t="shared" si="119"/>
        <v>0</v>
      </c>
      <c r="P235" s="106">
        <f t="shared" si="119"/>
        <v>0</v>
      </c>
      <c r="Q235" s="106">
        <f t="shared" si="119"/>
        <v>0</v>
      </c>
      <c r="R235" s="106">
        <f t="shared" si="119"/>
        <v>0</v>
      </c>
      <c r="S235" s="106">
        <f t="shared" si="119"/>
        <v>0</v>
      </c>
      <c r="T235" s="106">
        <f t="shared" si="119"/>
        <v>0</v>
      </c>
      <c r="U235" s="106">
        <f t="shared" si="119"/>
        <v>0</v>
      </c>
      <c r="V235" s="106">
        <f t="shared" si="119"/>
        <v>0</v>
      </c>
      <c r="W235" s="106">
        <f t="shared" si="119"/>
        <v>0</v>
      </c>
      <c r="X235" s="106">
        <f t="shared" si="119"/>
        <v>0</v>
      </c>
      <c r="Y235" s="106">
        <f t="shared" si="119"/>
        <v>0</v>
      </c>
      <c r="Z235" s="106">
        <f t="shared" si="119"/>
        <v>0</v>
      </c>
      <c r="AA235" s="106">
        <f t="shared" si="119"/>
        <v>0</v>
      </c>
    </row>
    <row r="236" spans="4:28" x14ac:dyDescent="0.25">
      <c r="E236" s="47" t="s">
        <v>645</v>
      </c>
      <c r="F236" s="47" t="s">
        <v>639</v>
      </c>
      <c r="G236" s="106">
        <f t="shared" ref="G236:AA236" si="120">G53</f>
        <v>0</v>
      </c>
      <c r="H236" s="106">
        <f t="shared" si="120"/>
        <v>0</v>
      </c>
      <c r="I236" s="106">
        <f t="shared" si="120"/>
        <v>0</v>
      </c>
      <c r="J236" s="106">
        <f t="shared" si="120"/>
        <v>0</v>
      </c>
      <c r="K236" s="106">
        <f t="shared" si="120"/>
        <v>0</v>
      </c>
      <c r="L236" s="106">
        <f t="shared" si="120"/>
        <v>0</v>
      </c>
      <c r="M236" s="106">
        <f t="shared" si="120"/>
        <v>0</v>
      </c>
      <c r="N236" s="106">
        <f t="shared" si="120"/>
        <v>0</v>
      </c>
      <c r="O236" s="106">
        <f t="shared" si="120"/>
        <v>0</v>
      </c>
      <c r="P236" s="106">
        <f t="shared" si="120"/>
        <v>0</v>
      </c>
      <c r="Q236" s="106">
        <f t="shared" si="120"/>
        <v>0</v>
      </c>
      <c r="R236" s="106">
        <f t="shared" si="120"/>
        <v>0</v>
      </c>
      <c r="S236" s="106">
        <f t="shared" si="120"/>
        <v>0</v>
      </c>
      <c r="T236" s="106">
        <f t="shared" si="120"/>
        <v>0</v>
      </c>
      <c r="U236" s="106">
        <f t="shared" si="120"/>
        <v>0</v>
      </c>
      <c r="V236" s="106">
        <f t="shared" si="120"/>
        <v>0</v>
      </c>
      <c r="W236" s="106">
        <f t="shared" si="120"/>
        <v>0</v>
      </c>
      <c r="X236" s="106">
        <f t="shared" si="120"/>
        <v>0</v>
      </c>
      <c r="Y236" s="106">
        <f t="shared" si="120"/>
        <v>0</v>
      </c>
      <c r="Z236" s="106">
        <f t="shared" si="120"/>
        <v>0</v>
      </c>
      <c r="AA236" s="106">
        <f t="shared" si="120"/>
        <v>0</v>
      </c>
    </row>
    <row r="237" spans="4:28" x14ac:dyDescent="0.25">
      <c r="E237" s="47" t="s">
        <v>723</v>
      </c>
      <c r="F237" s="47" t="s">
        <v>639</v>
      </c>
      <c r="G237" s="106">
        <f t="shared" ref="G237:AA237" si="121">G177</f>
        <v>0</v>
      </c>
      <c r="H237" s="106">
        <f t="shared" si="121"/>
        <v>215224.25864054894</v>
      </c>
      <c r="I237" s="106">
        <f t="shared" si="121"/>
        <v>420341.46989015926</v>
      </c>
      <c r="J237" s="106">
        <f t="shared" si="121"/>
        <v>556023.89207683119</v>
      </c>
      <c r="K237" s="106">
        <f t="shared" si="121"/>
        <v>670661.26844936307</v>
      </c>
      <c r="L237" s="106">
        <f t="shared" si="121"/>
        <v>768061.84717382398</v>
      </c>
      <c r="M237" s="106">
        <f t="shared" si="121"/>
        <v>845967.92382104485</v>
      </c>
      <c r="N237" s="106">
        <f t="shared" si="121"/>
        <v>920689.28212232387</v>
      </c>
      <c r="O237" s="106">
        <f t="shared" si="121"/>
        <v>1014465.3474064318</v>
      </c>
      <c r="P237" s="106">
        <f t="shared" si="121"/>
        <v>1108889.6384151613</v>
      </c>
      <c r="Q237" s="106">
        <f t="shared" si="121"/>
        <v>984471.65420683799</v>
      </c>
      <c r="R237" s="106">
        <f t="shared" si="121"/>
        <v>1048190.1670400412</v>
      </c>
      <c r="S237" s="106">
        <f t="shared" si="121"/>
        <v>1105132.7164410739</v>
      </c>
      <c r="T237" s="106">
        <f t="shared" si="121"/>
        <v>1155435.0858234868</v>
      </c>
      <c r="U237" s="106">
        <f t="shared" si="121"/>
        <v>1200430.0511229376</v>
      </c>
      <c r="V237" s="106">
        <f t="shared" si="121"/>
        <v>1112643.9210499942</v>
      </c>
      <c r="W237" s="106">
        <f t="shared" si="121"/>
        <v>1165204.8659542638</v>
      </c>
      <c r="X237" s="106">
        <f t="shared" si="121"/>
        <v>1225509.4784198171</v>
      </c>
      <c r="Y237" s="106">
        <f t="shared" si="121"/>
        <v>1281251.4710916388</v>
      </c>
      <c r="Z237" s="106">
        <f t="shared" si="121"/>
        <v>1331247.2569678195</v>
      </c>
      <c r="AA237" s="106">
        <f t="shared" si="121"/>
        <v>1380466.8422992099</v>
      </c>
      <c r="AB237" s="106">
        <f t="shared" ref="AB237:AB241" si="122">IF(V237=0,0,IF($G$15&gt;(AA237/V237)^(1/5)-1+2%,AA237*(AA237/V237)^(1/5)/($G$15-((AA237/V237)^(1/5)-1)),AA237*(1+$G$14)/$G$16))</f>
        <v>57280781.838141464</v>
      </c>
    </row>
    <row r="238" spans="4:28" x14ac:dyDescent="0.25">
      <c r="E238" s="47" t="s">
        <v>701</v>
      </c>
      <c r="F238" s="47" t="s">
        <v>639</v>
      </c>
      <c r="G238" s="106">
        <f t="shared" ref="G238:AA238" si="123">G224</f>
        <v>0</v>
      </c>
      <c r="H238" s="106">
        <f t="shared" si="123"/>
        <v>0</v>
      </c>
      <c r="I238" s="106">
        <f t="shared" si="123"/>
        <v>0</v>
      </c>
      <c r="J238" s="106">
        <f t="shared" si="123"/>
        <v>0</v>
      </c>
      <c r="K238" s="106">
        <f t="shared" si="123"/>
        <v>0</v>
      </c>
      <c r="L238" s="106">
        <f t="shared" si="123"/>
        <v>0</v>
      </c>
      <c r="M238" s="106">
        <f t="shared" si="123"/>
        <v>0</v>
      </c>
      <c r="N238" s="106">
        <f t="shared" si="123"/>
        <v>0</v>
      </c>
      <c r="O238" s="106">
        <f t="shared" si="123"/>
        <v>0</v>
      </c>
      <c r="P238" s="106">
        <f t="shared" si="123"/>
        <v>0</v>
      </c>
      <c r="Q238" s="106">
        <f t="shared" si="123"/>
        <v>0</v>
      </c>
      <c r="R238" s="106">
        <f t="shared" si="123"/>
        <v>0</v>
      </c>
      <c r="S238" s="106">
        <f t="shared" si="123"/>
        <v>0</v>
      </c>
      <c r="T238" s="106">
        <f t="shared" si="123"/>
        <v>0</v>
      </c>
      <c r="U238" s="106">
        <f t="shared" si="123"/>
        <v>0</v>
      </c>
      <c r="V238" s="106">
        <f t="shared" si="123"/>
        <v>0</v>
      </c>
      <c r="W238" s="106">
        <f t="shared" si="123"/>
        <v>0</v>
      </c>
      <c r="X238" s="106">
        <f t="shared" si="123"/>
        <v>0</v>
      </c>
      <c r="Y238" s="106">
        <f t="shared" si="123"/>
        <v>0</v>
      </c>
      <c r="Z238" s="106">
        <f t="shared" si="123"/>
        <v>0</v>
      </c>
      <c r="AA238" s="106">
        <f t="shared" si="123"/>
        <v>0</v>
      </c>
      <c r="AB238" s="106">
        <f t="shared" si="122"/>
        <v>0</v>
      </c>
    </row>
    <row r="239" spans="4:28" x14ac:dyDescent="0.25">
      <c r="E239" s="47" t="s">
        <v>702</v>
      </c>
      <c r="F239" s="47" t="s">
        <v>639</v>
      </c>
      <c r="G239" s="106">
        <f t="shared" ref="G239:AA239" si="124">-G200</f>
        <v>0</v>
      </c>
      <c r="H239" s="106">
        <f t="shared" si="124"/>
        <v>-401944.92812451115</v>
      </c>
      <c r="I239" s="106">
        <f t="shared" si="124"/>
        <v>-743420.77856448153</v>
      </c>
      <c r="J239" s="106">
        <f t="shared" si="124"/>
        <v>-942076.06580750505</v>
      </c>
      <c r="K239" s="106">
        <f t="shared" si="124"/>
        <v>-1100205.5831593152</v>
      </c>
      <c r="L239" s="106">
        <f t="shared" si="124"/>
        <v>-1225714.1412863825</v>
      </c>
      <c r="M239" s="106">
        <f t="shared" si="124"/>
        <v>-1314166.2370804555</v>
      </c>
      <c r="N239" s="106">
        <f t="shared" si="124"/>
        <v>-1394162.9576188859</v>
      </c>
      <c r="O239" s="106">
        <f t="shared" si="124"/>
        <v>-1501179.2304322997</v>
      </c>
      <c r="P239" s="106">
        <f t="shared" si="124"/>
        <v>-1597832.2018709127</v>
      </c>
      <c r="Q239" s="106">
        <f t="shared" si="124"/>
        <v>-1730257.5128251491</v>
      </c>
      <c r="R239" s="106">
        <f t="shared" si="124"/>
        <v>-1851782.9660647258</v>
      </c>
      <c r="S239" s="106">
        <f t="shared" si="124"/>
        <v>-1960755.5790115078</v>
      </c>
      <c r="T239" s="106">
        <f t="shared" si="124"/>
        <v>-2057029.9651336006</v>
      </c>
      <c r="U239" s="106">
        <f t="shared" si="124"/>
        <v>-2143062.3852594947</v>
      </c>
      <c r="V239" s="106">
        <f t="shared" si="124"/>
        <v>-2233606.1311656144</v>
      </c>
      <c r="W239" s="106">
        <f t="shared" si="124"/>
        <v>-2347419.6028072797</v>
      </c>
      <c r="X239" s="106">
        <f t="shared" si="124"/>
        <v>-2478636.077177132</v>
      </c>
      <c r="Y239" s="106">
        <f t="shared" si="124"/>
        <v>-2599366.9537036247</v>
      </c>
      <c r="Z239" s="106">
        <f t="shared" si="124"/>
        <v>-2706085.4715322163</v>
      </c>
      <c r="AA239" s="106">
        <f t="shared" si="124"/>
        <v>-2806136.3103850135</v>
      </c>
      <c r="AB239" s="106">
        <f t="shared" si="122"/>
        <v>-116437191.30228266</v>
      </c>
    </row>
    <row r="240" spans="4:28" x14ac:dyDescent="0.25">
      <c r="E240" s="47" t="s">
        <v>709</v>
      </c>
      <c r="F240" s="47" t="s">
        <v>639</v>
      </c>
      <c r="G240" s="106">
        <f t="shared" ref="G240:AA240" si="125">G207</f>
        <v>0</v>
      </c>
      <c r="H240" s="106">
        <f t="shared" si="125"/>
        <v>0</v>
      </c>
      <c r="I240" s="106">
        <f t="shared" si="125"/>
        <v>0</v>
      </c>
      <c r="J240" s="106">
        <f t="shared" si="125"/>
        <v>0</v>
      </c>
      <c r="K240" s="106">
        <f t="shared" si="125"/>
        <v>0</v>
      </c>
      <c r="L240" s="106">
        <f t="shared" si="125"/>
        <v>0</v>
      </c>
      <c r="M240" s="106">
        <f t="shared" si="125"/>
        <v>0</v>
      </c>
      <c r="N240" s="106">
        <f t="shared" si="125"/>
        <v>0</v>
      </c>
      <c r="O240" s="106">
        <f t="shared" si="125"/>
        <v>0</v>
      </c>
      <c r="P240" s="106">
        <f t="shared" si="125"/>
        <v>0</v>
      </c>
      <c r="Q240" s="106">
        <f t="shared" si="125"/>
        <v>0</v>
      </c>
      <c r="R240" s="106">
        <f t="shared" si="125"/>
        <v>0</v>
      </c>
      <c r="S240" s="106">
        <f t="shared" si="125"/>
        <v>0</v>
      </c>
      <c r="T240" s="106">
        <f t="shared" si="125"/>
        <v>0</v>
      </c>
      <c r="U240" s="106">
        <f t="shared" si="125"/>
        <v>0</v>
      </c>
      <c r="V240" s="106">
        <f t="shared" si="125"/>
        <v>0</v>
      </c>
      <c r="W240" s="106">
        <f t="shared" si="125"/>
        <v>0</v>
      </c>
      <c r="X240" s="106">
        <f t="shared" si="125"/>
        <v>0</v>
      </c>
      <c r="Y240" s="106">
        <f t="shared" si="125"/>
        <v>0</v>
      </c>
      <c r="Z240" s="106">
        <f t="shared" si="125"/>
        <v>0</v>
      </c>
      <c r="AA240" s="106">
        <f t="shared" si="125"/>
        <v>0</v>
      </c>
      <c r="AB240" s="106">
        <f t="shared" si="122"/>
        <v>0</v>
      </c>
    </row>
    <row r="241" spans="3:40" x14ac:dyDescent="0.25">
      <c r="E241" s="47" t="s">
        <v>714</v>
      </c>
      <c r="F241" s="47" t="s">
        <v>639</v>
      </c>
      <c r="G241" s="106">
        <f t="shared" ref="G241:AA241" si="126">G214</f>
        <v>0</v>
      </c>
      <c r="H241" s="106">
        <f t="shared" si="126"/>
        <v>0</v>
      </c>
      <c r="I241" s="106">
        <f t="shared" si="126"/>
        <v>0</v>
      </c>
      <c r="J241" s="106">
        <f t="shared" si="126"/>
        <v>0</v>
      </c>
      <c r="K241" s="106">
        <f t="shared" si="126"/>
        <v>0</v>
      </c>
      <c r="L241" s="106">
        <f t="shared" si="126"/>
        <v>0</v>
      </c>
      <c r="M241" s="106">
        <f t="shared" si="126"/>
        <v>0</v>
      </c>
      <c r="N241" s="106">
        <f t="shared" si="126"/>
        <v>0</v>
      </c>
      <c r="O241" s="106">
        <f t="shared" si="126"/>
        <v>0</v>
      </c>
      <c r="P241" s="106">
        <f t="shared" si="126"/>
        <v>0</v>
      </c>
      <c r="Q241" s="106">
        <f t="shared" si="126"/>
        <v>0</v>
      </c>
      <c r="R241" s="106">
        <f t="shared" si="126"/>
        <v>0</v>
      </c>
      <c r="S241" s="106">
        <f t="shared" si="126"/>
        <v>0</v>
      </c>
      <c r="T241" s="106">
        <f t="shared" si="126"/>
        <v>0</v>
      </c>
      <c r="U241" s="106">
        <f t="shared" si="126"/>
        <v>0</v>
      </c>
      <c r="V241" s="106">
        <f t="shared" si="126"/>
        <v>0</v>
      </c>
      <c r="W241" s="106">
        <f t="shared" si="126"/>
        <v>0</v>
      </c>
      <c r="X241" s="106">
        <f t="shared" si="126"/>
        <v>0</v>
      </c>
      <c r="Y241" s="106">
        <f t="shared" si="126"/>
        <v>0</v>
      </c>
      <c r="Z241" s="106">
        <f t="shared" si="126"/>
        <v>0</v>
      </c>
      <c r="AA241" s="106">
        <f t="shared" si="126"/>
        <v>0</v>
      </c>
      <c r="AB241" s="106">
        <f t="shared" si="122"/>
        <v>0</v>
      </c>
    </row>
    <row r="242" spans="3:40" x14ac:dyDescent="0.25">
      <c r="E242" s="47" t="s">
        <v>458</v>
      </c>
      <c r="F242" s="47" t="s">
        <v>639</v>
      </c>
      <c r="G242" s="106">
        <f t="shared" ref="G242:AA242" si="127">G231</f>
        <v>0</v>
      </c>
      <c r="H242" s="106">
        <f t="shared" si="127"/>
        <v>-1613136.4814379166</v>
      </c>
      <c r="I242" s="106">
        <f t="shared" si="127"/>
        <v>-1565357.8844156256</v>
      </c>
      <c r="J242" s="106">
        <f t="shared" si="127"/>
        <v>-1090759.5065287279</v>
      </c>
      <c r="K242" s="106">
        <f t="shared" si="127"/>
        <v>-939034.25205727143</v>
      </c>
      <c r="L242" s="106">
        <f t="shared" si="127"/>
        <v>-747111.78675931366</v>
      </c>
      <c r="M242" s="106">
        <f t="shared" si="127"/>
        <v>-567170.51838651451</v>
      </c>
      <c r="N242" s="106">
        <f t="shared" si="127"/>
        <v>-535847.09388308018</v>
      </c>
      <c r="O242" s="106">
        <f t="shared" si="127"/>
        <v>-728726.27983110072</v>
      </c>
      <c r="P242" s="106">
        <f t="shared" si="127"/>
        <v>-703104.56412457686</v>
      </c>
      <c r="Q242" s="106">
        <f t="shared" si="127"/>
        <v>-532795.56518391613</v>
      </c>
      <c r="R242" s="106">
        <f t="shared" si="127"/>
        <v>-440828.18728469819</v>
      </c>
      <c r="S242" s="106">
        <f t="shared" si="127"/>
        <v>-340579.35617610387</v>
      </c>
      <c r="T242" s="106">
        <f t="shared" si="127"/>
        <v>-241460.99968942639</v>
      </c>
      <c r="U242" s="106">
        <f t="shared" si="127"/>
        <v>-159187.3336794202</v>
      </c>
      <c r="V242" s="106">
        <f t="shared" si="127"/>
        <v>-126906.11163505702</v>
      </c>
      <c r="W242" s="106">
        <f t="shared" si="127"/>
        <v>-245387.94431389222</v>
      </c>
      <c r="X242" s="106">
        <f t="shared" si="127"/>
        <v>-324392.69637014711</v>
      </c>
      <c r="Y242" s="106">
        <f t="shared" si="127"/>
        <v>-232846.40218234347</v>
      </c>
      <c r="Z242" s="106">
        <f t="shared" si="127"/>
        <v>-122199.69933553878</v>
      </c>
      <c r="AA242" s="106">
        <f t="shared" si="127"/>
        <v>-58862.016883213561</v>
      </c>
      <c r="AB242" s="106">
        <f>IF(V242=0,0,IF($G$15&gt;(AA242/V242)^(1/5)-1+2%,AA242*(AA242/V242)^(1/5)/($G$15-((AA242/V242)^(1/5)-1)),AA242*(1+$G$14)/$G$16))</f>
        <v>-303122.39228179044</v>
      </c>
      <c r="AN242" s="104"/>
    </row>
    <row r="243" spans="3:40" x14ac:dyDescent="0.25">
      <c r="E243" s="47" t="s">
        <v>730</v>
      </c>
      <c r="F243" s="47" t="s">
        <v>639</v>
      </c>
      <c r="G243" s="106">
        <f>-$G$17*G242</f>
        <v>0</v>
      </c>
      <c r="H243" s="106">
        <f t="shared" ref="H243:AA243" si="128">-$G$17*H242</f>
        <v>806568.24071895832</v>
      </c>
      <c r="I243" s="106">
        <f t="shared" si="128"/>
        <v>782678.9422078128</v>
      </c>
      <c r="J243" s="106">
        <f t="shared" si="128"/>
        <v>545379.75326436397</v>
      </c>
      <c r="K243" s="106">
        <f t="shared" si="128"/>
        <v>469517.12602863571</v>
      </c>
      <c r="L243" s="106">
        <f t="shared" si="128"/>
        <v>373555.89337965683</v>
      </c>
      <c r="M243" s="106">
        <f t="shared" si="128"/>
        <v>283585.25919325725</v>
      </c>
      <c r="N243" s="106">
        <f t="shared" si="128"/>
        <v>267923.54694154009</v>
      </c>
      <c r="O243" s="106">
        <f t="shared" si="128"/>
        <v>364363.13991555036</v>
      </c>
      <c r="P243" s="106">
        <f t="shared" si="128"/>
        <v>351552.28206228843</v>
      </c>
      <c r="Q243" s="106">
        <f t="shared" si="128"/>
        <v>266397.78259195806</v>
      </c>
      <c r="R243" s="106">
        <f t="shared" si="128"/>
        <v>220414.09364234909</v>
      </c>
      <c r="S243" s="106">
        <f t="shared" si="128"/>
        <v>170289.67808805194</v>
      </c>
      <c r="T243" s="106">
        <f t="shared" si="128"/>
        <v>120730.49984471319</v>
      </c>
      <c r="U243" s="106">
        <f t="shared" si="128"/>
        <v>79593.666839710102</v>
      </c>
      <c r="V243" s="106">
        <f t="shared" si="128"/>
        <v>63453.055817528511</v>
      </c>
      <c r="W243" s="106">
        <f t="shared" si="128"/>
        <v>122693.97215694611</v>
      </c>
      <c r="X243" s="106">
        <f t="shared" si="128"/>
        <v>162196.34818507356</v>
      </c>
      <c r="Y243" s="106">
        <f t="shared" si="128"/>
        <v>116423.20109117174</v>
      </c>
      <c r="Z243" s="106">
        <f t="shared" si="128"/>
        <v>61099.849667769391</v>
      </c>
      <c r="AA243" s="106">
        <f t="shared" si="128"/>
        <v>29431.00844160678</v>
      </c>
      <c r="AB243" s="106">
        <f t="shared" ref="AB243" si="129">IF(V243=0,0,IF($G$15&gt;(AA243/V243)^(1/5)-1+2%,AA243*(AA243/V243)^(1/5)/($G$15-((AA243/V243)^(1/5)-1)),AA243*(1+$G$14)/$G$16))</f>
        <v>151561.19614089522</v>
      </c>
    </row>
    <row r="244" spans="3:40" x14ac:dyDescent="0.25">
      <c r="E244" s="47" t="s">
        <v>731</v>
      </c>
      <c r="F244" s="47" t="s">
        <v>639</v>
      </c>
      <c r="G244" s="116">
        <f>SUM(G234:G243)</f>
        <v>0</v>
      </c>
      <c r="H244" s="116">
        <f t="shared" ref="H244:AA244" si="130">SUM(H234:H243)</f>
        <v>-1078906.3436169638</v>
      </c>
      <c r="I244" s="116">
        <f t="shared" si="130"/>
        <v>-1362610.551124265</v>
      </c>
      <c r="J244" s="116">
        <f t="shared" si="130"/>
        <v>-1188284.2272371673</v>
      </c>
      <c r="K244" s="116">
        <f t="shared" si="130"/>
        <v>-1155913.7409807174</v>
      </c>
      <c r="L244" s="116">
        <f t="shared" si="130"/>
        <v>-1098762.6669111003</v>
      </c>
      <c r="M244" s="116">
        <f t="shared" si="130"/>
        <v>-4497546.2843170576</v>
      </c>
      <c r="N244" s="116">
        <f t="shared" si="130"/>
        <v>-4487159.9343024921</v>
      </c>
      <c r="O244" s="116">
        <f t="shared" si="130"/>
        <v>-851077.02294141822</v>
      </c>
      <c r="P244" s="116">
        <f t="shared" si="130"/>
        <v>-840494.84551804001</v>
      </c>
      <c r="Q244" s="116">
        <f t="shared" si="130"/>
        <v>-2563999.6218398022</v>
      </c>
      <c r="R244" s="116">
        <f t="shared" si="130"/>
        <v>-2575822.8732965668</v>
      </c>
      <c r="S244" s="116">
        <f t="shared" si="130"/>
        <v>-2577728.5212880187</v>
      </c>
      <c r="T244" s="116">
        <f t="shared" si="130"/>
        <v>-2574141.35978436</v>
      </c>
      <c r="U244" s="116">
        <f t="shared" si="130"/>
        <v>-2574041.9816058003</v>
      </c>
      <c r="V244" s="116">
        <f t="shared" si="130"/>
        <v>-2736231.2465626812</v>
      </c>
      <c r="W244" s="116">
        <f t="shared" si="130"/>
        <v>-2856724.6896394948</v>
      </c>
      <c r="X244" s="116">
        <f t="shared" si="130"/>
        <v>-2967138.9275719216</v>
      </c>
      <c r="Y244" s="116">
        <f t="shared" si="130"/>
        <v>-2986354.6643326902</v>
      </c>
      <c r="Z244" s="116">
        <f t="shared" si="130"/>
        <v>-2987754.044861699</v>
      </c>
      <c r="AA244" s="116">
        <f t="shared" si="130"/>
        <v>-3006916.4571569432</v>
      </c>
      <c r="AB244" s="116">
        <f>SUM(AB234:AB243)</f>
        <v>-59307970.660282098</v>
      </c>
    </row>
    <row r="245" spans="3:40" x14ac:dyDescent="0.25">
      <c r="E245" s="47" t="s">
        <v>732</v>
      </c>
      <c r="F245" s="47" t="s">
        <v>639</v>
      </c>
      <c r="G245" s="116">
        <f>NPV($G$15,H244:AA244)+G244</f>
        <v>-35795467.31451454</v>
      </c>
      <c r="H245" s="48"/>
      <c r="I245" s="48"/>
      <c r="J245" s="48"/>
      <c r="K245" s="48"/>
      <c r="L245" s="48"/>
      <c r="M245" s="48"/>
      <c r="N245" s="48"/>
      <c r="O245" s="48"/>
      <c r="P245" s="48"/>
      <c r="Q245" s="48"/>
      <c r="R245" s="48"/>
      <c r="S245" s="48"/>
      <c r="T245" s="48"/>
      <c r="U245" s="48"/>
      <c r="V245" s="48"/>
      <c r="W245" s="48"/>
      <c r="X245" s="48"/>
      <c r="Y245" s="48"/>
      <c r="Z245" s="48"/>
      <c r="AA245" s="48"/>
      <c r="AB245" s="48"/>
    </row>
    <row r="246" spans="3:40" x14ac:dyDescent="0.25">
      <c r="G246" s="48"/>
      <c r="H246" s="48"/>
      <c r="I246" s="48"/>
      <c r="J246" s="48"/>
      <c r="K246" s="48"/>
      <c r="L246" s="48"/>
      <c r="M246" s="48"/>
      <c r="N246" s="48"/>
      <c r="O246" s="48"/>
      <c r="P246" s="48"/>
      <c r="Q246" s="48"/>
      <c r="R246" s="48"/>
      <c r="S246" s="48"/>
      <c r="T246" s="48"/>
      <c r="U246" s="48"/>
      <c r="V246" s="48"/>
      <c r="W246" s="48"/>
      <c r="X246" s="48"/>
      <c r="Y246" s="48"/>
      <c r="Z246" s="48"/>
      <c r="AA246" s="48"/>
      <c r="AB246" s="48"/>
    </row>
    <row r="247" spans="3:40" x14ac:dyDescent="0.25">
      <c r="E247" s="47" t="s">
        <v>725</v>
      </c>
      <c r="F247" s="47" t="s">
        <v>639</v>
      </c>
      <c r="G247" s="48"/>
      <c r="H247" s="116">
        <f t="shared" ref="H247:AA247" si="131">H219</f>
        <v>4344339.7327096434</v>
      </c>
      <c r="I247" s="116">
        <f t="shared" si="131"/>
        <v>4327896.6077430341</v>
      </c>
      <c r="J247" s="116">
        <f t="shared" si="131"/>
        <v>3006987.4488033573</v>
      </c>
      <c r="K247" s="116">
        <f t="shared" si="131"/>
        <v>2631289.3362956727</v>
      </c>
      <c r="L247" s="116">
        <f t="shared" si="131"/>
        <v>2284429.5917257206</v>
      </c>
      <c r="M247" s="116">
        <f t="shared" si="131"/>
        <v>1875106.5877514728</v>
      </c>
      <c r="N247" s="116">
        <f t="shared" si="131"/>
        <v>1836549.5193321803</v>
      </c>
      <c r="O247" s="116">
        <f t="shared" si="131"/>
        <v>2339391.3725553839</v>
      </c>
      <c r="P247" s="116">
        <f t="shared" si="131"/>
        <v>2282623.1641801307</v>
      </c>
      <c r="Q247" s="116">
        <f t="shared" si="131"/>
        <v>2066036.3285555115</v>
      </c>
      <c r="R247" s="116">
        <f t="shared" si="131"/>
        <v>1895981.9646857893</v>
      </c>
      <c r="S247" s="116">
        <f t="shared" si="131"/>
        <v>1700138.5576770511</v>
      </c>
      <c r="T247" s="116">
        <f t="shared" si="131"/>
        <v>1502026.8995733175</v>
      </c>
      <c r="U247" s="116">
        <f t="shared" si="131"/>
        <v>1342236.6474568686</v>
      </c>
      <c r="V247" s="116">
        <f t="shared" si="131"/>
        <v>1412620.1933570586</v>
      </c>
      <c r="W247" s="116">
        <f t="shared" si="131"/>
        <v>1775663.3184117193</v>
      </c>
      <c r="X247" s="116">
        <f t="shared" si="131"/>
        <v>2047176.6386621853</v>
      </c>
      <c r="Y247" s="116">
        <f t="shared" si="131"/>
        <v>1883585.3590578537</v>
      </c>
      <c r="Z247" s="116">
        <f t="shared" si="131"/>
        <v>1664971.2443542238</v>
      </c>
      <c r="AA247" s="116">
        <f t="shared" si="131"/>
        <v>1560945.3078329314</v>
      </c>
      <c r="AB247" s="48"/>
    </row>
    <row r="248" spans="3:40" x14ac:dyDescent="0.25">
      <c r="E248" s="47" t="s">
        <v>733</v>
      </c>
      <c r="F248" s="47" t="s">
        <v>639</v>
      </c>
      <c r="G248" s="117">
        <f>NPV($G$15,H247:AA247)+G247</f>
        <v>35795467.314514548</v>
      </c>
      <c r="H248" s="48"/>
      <c r="I248" s="48"/>
      <c r="J248" s="48"/>
      <c r="K248" s="48"/>
      <c r="L248" s="48"/>
      <c r="M248" s="48"/>
      <c r="N248" s="48"/>
      <c r="O248" s="48"/>
      <c r="P248" s="48"/>
      <c r="Q248" s="48"/>
      <c r="R248" s="48"/>
      <c r="S248" s="48"/>
      <c r="T248" s="48"/>
      <c r="U248" s="48"/>
      <c r="V248" s="48"/>
      <c r="W248" s="48"/>
      <c r="X248" s="48"/>
      <c r="Y248" s="48"/>
      <c r="Z248" s="48"/>
      <c r="AA248" s="48"/>
      <c r="AB248" s="48"/>
    </row>
    <row r="249" spans="3:40" x14ac:dyDescent="0.25">
      <c r="E249" s="111" t="s">
        <v>734</v>
      </c>
      <c r="F249" s="111"/>
      <c r="G249" s="118" t="str">
        <f>IF(G245&gt;0,"N/A",IF(ABS(G245+G248)&gt;1,"Error","OK"))</f>
        <v>OK</v>
      </c>
    </row>
    <row r="251" spans="3:40" hidden="1" x14ac:dyDescent="0.25">
      <c r="C251" s="100" t="s">
        <v>735</v>
      </c>
      <c r="D251" s="100"/>
    </row>
    <row r="252" spans="3:40" hidden="1" x14ac:dyDescent="0.25">
      <c r="C252" s="100"/>
      <c r="D252" s="100"/>
    </row>
    <row r="253" spans="3:40" hidden="1" x14ac:dyDescent="0.25">
      <c r="C253" s="100"/>
      <c r="D253" s="47" t="s">
        <v>735</v>
      </c>
      <c r="F253" s="47" t="s">
        <v>639</v>
      </c>
      <c r="G253" s="115" t="e">
        <f>MAX(0,-G279)</f>
        <v>#REF!</v>
      </c>
    </row>
    <row r="254" spans="3:40" hidden="1" x14ac:dyDescent="0.25"/>
    <row r="255" spans="3:40" hidden="1" x14ac:dyDescent="0.25">
      <c r="D255" s="47" t="s">
        <v>722</v>
      </c>
    </row>
    <row r="256" spans="3:40" hidden="1" x14ac:dyDescent="0.25">
      <c r="E256" s="47" t="s">
        <v>573</v>
      </c>
      <c r="F256" s="47" t="s">
        <v>639</v>
      </c>
      <c r="G256" s="106">
        <f t="shared" ref="G256:AA261" si="132">G222</f>
        <v>0</v>
      </c>
      <c r="H256" s="106">
        <f t="shared" si="132"/>
        <v>1234166.8109491884</v>
      </c>
      <c r="I256" s="106">
        <f t="shared" si="132"/>
        <v>1244387.0219450446</v>
      </c>
      <c r="J256" s="106">
        <f t="shared" si="132"/>
        <v>1060916.3266165103</v>
      </c>
      <c r="K256" s="106">
        <f t="shared" si="132"/>
        <v>988189.52997885097</v>
      </c>
      <c r="L256" s="106">
        <f t="shared" si="132"/>
        <v>734550.19938942033</v>
      </c>
      <c r="M256" s="106">
        <f t="shared" si="132"/>
        <v>602933.84523563483</v>
      </c>
      <c r="N256" s="106">
        <f t="shared" si="132"/>
        <v>590535.95720360859</v>
      </c>
      <c r="O256" s="106">
        <f t="shared" si="132"/>
        <v>752222.96427281026</v>
      </c>
      <c r="P256" s="106">
        <f t="shared" si="132"/>
        <v>733969.34904559643</v>
      </c>
      <c r="Q256" s="106">
        <f t="shared" si="132"/>
        <v>664326.62340877624</v>
      </c>
      <c r="R256" s="106">
        <f t="shared" si="132"/>
        <v>609646.24834272638</v>
      </c>
      <c r="S256" s="106">
        <f t="shared" si="132"/>
        <v>546673.49830112897</v>
      </c>
      <c r="T256" s="106">
        <f t="shared" si="132"/>
        <v>482971.40019814734</v>
      </c>
      <c r="U256" s="106">
        <f t="shared" si="132"/>
        <v>431591.41371147439</v>
      </c>
      <c r="V256" s="106">
        <f t="shared" si="132"/>
        <v>454222.99222979636</v>
      </c>
      <c r="W256" s="106">
        <f t="shared" si="132"/>
        <v>570958.21613941446</v>
      </c>
      <c r="X256" s="106">
        <f t="shared" si="132"/>
        <v>658262.35729099216</v>
      </c>
      <c r="Y256" s="106">
        <f t="shared" si="132"/>
        <v>605660.16395267367</v>
      </c>
      <c r="Z256" s="106">
        <f t="shared" si="132"/>
        <v>535365.57394800475</v>
      </c>
      <c r="AA256" s="106">
        <f t="shared" si="132"/>
        <v>501916.40454039664</v>
      </c>
    </row>
    <row r="257" spans="4:28" hidden="1" x14ac:dyDescent="0.25">
      <c r="E257" s="47" t="s">
        <v>723</v>
      </c>
      <c r="F257" s="47" t="s">
        <v>639</v>
      </c>
      <c r="G257" s="106">
        <f t="shared" si="132"/>
        <v>0</v>
      </c>
      <c r="H257" s="106">
        <f t="shared" si="132"/>
        <v>215224.25864054894</v>
      </c>
      <c r="I257" s="106">
        <f t="shared" si="132"/>
        <v>420341.46989015926</v>
      </c>
      <c r="J257" s="106">
        <f t="shared" si="132"/>
        <v>556023.89207683119</v>
      </c>
      <c r="K257" s="106">
        <f t="shared" si="132"/>
        <v>670661.26844936307</v>
      </c>
      <c r="L257" s="106">
        <f t="shared" si="132"/>
        <v>768061.84717382398</v>
      </c>
      <c r="M257" s="106">
        <f t="shared" si="132"/>
        <v>845967.92382104485</v>
      </c>
      <c r="N257" s="106">
        <f t="shared" si="132"/>
        <v>920689.28212232387</v>
      </c>
      <c r="O257" s="106">
        <f t="shared" si="132"/>
        <v>1014465.3474064318</v>
      </c>
      <c r="P257" s="106">
        <f t="shared" si="132"/>
        <v>1108889.6384151613</v>
      </c>
      <c r="Q257" s="106">
        <f t="shared" si="132"/>
        <v>984471.65420683799</v>
      </c>
      <c r="R257" s="106">
        <f t="shared" si="132"/>
        <v>1048190.1670400412</v>
      </c>
      <c r="S257" s="106">
        <f t="shared" si="132"/>
        <v>1105132.7164410739</v>
      </c>
      <c r="T257" s="106">
        <f t="shared" si="132"/>
        <v>1155435.0858234868</v>
      </c>
      <c r="U257" s="106">
        <f t="shared" si="132"/>
        <v>1200430.0511229376</v>
      </c>
      <c r="V257" s="106">
        <f t="shared" si="132"/>
        <v>1112643.9210499942</v>
      </c>
      <c r="W257" s="106">
        <f t="shared" si="132"/>
        <v>1165204.8659542638</v>
      </c>
      <c r="X257" s="106">
        <f t="shared" si="132"/>
        <v>1225509.4784198171</v>
      </c>
      <c r="Y257" s="106">
        <f t="shared" si="132"/>
        <v>1281251.4710916388</v>
      </c>
      <c r="Z257" s="106">
        <f t="shared" si="132"/>
        <v>1331247.2569678195</v>
      </c>
      <c r="AA257" s="106">
        <f t="shared" si="132"/>
        <v>1380466.8422992099</v>
      </c>
    </row>
    <row r="258" spans="4:28" hidden="1" x14ac:dyDescent="0.25">
      <c r="E258" s="47" t="s">
        <v>701</v>
      </c>
      <c r="F258" s="47" t="s">
        <v>639</v>
      </c>
      <c r="G258" s="106">
        <f t="shared" si="132"/>
        <v>0</v>
      </c>
      <c r="H258" s="106">
        <f t="shared" si="132"/>
        <v>0</v>
      </c>
      <c r="I258" s="106">
        <f t="shared" si="132"/>
        <v>0</v>
      </c>
      <c r="J258" s="106">
        <f t="shared" si="132"/>
        <v>0</v>
      </c>
      <c r="K258" s="106">
        <f t="shared" si="132"/>
        <v>0</v>
      </c>
      <c r="L258" s="106">
        <f t="shared" si="132"/>
        <v>0</v>
      </c>
      <c r="M258" s="106">
        <f t="shared" si="132"/>
        <v>0</v>
      </c>
      <c r="N258" s="106">
        <f t="shared" si="132"/>
        <v>0</v>
      </c>
      <c r="O258" s="106">
        <f t="shared" si="132"/>
        <v>0</v>
      </c>
      <c r="P258" s="106">
        <f t="shared" si="132"/>
        <v>0</v>
      </c>
      <c r="Q258" s="106">
        <f t="shared" si="132"/>
        <v>0</v>
      </c>
      <c r="R258" s="106">
        <f t="shared" si="132"/>
        <v>0</v>
      </c>
      <c r="S258" s="106">
        <f t="shared" si="132"/>
        <v>0</v>
      </c>
      <c r="T258" s="106">
        <f t="shared" si="132"/>
        <v>0</v>
      </c>
      <c r="U258" s="106">
        <f t="shared" si="132"/>
        <v>0</v>
      </c>
      <c r="V258" s="106">
        <f t="shared" si="132"/>
        <v>0</v>
      </c>
      <c r="W258" s="106">
        <f t="shared" si="132"/>
        <v>0</v>
      </c>
      <c r="X258" s="106">
        <f t="shared" si="132"/>
        <v>0</v>
      </c>
      <c r="Y258" s="106">
        <f t="shared" si="132"/>
        <v>0</v>
      </c>
      <c r="Z258" s="106">
        <f t="shared" si="132"/>
        <v>0</v>
      </c>
      <c r="AA258" s="106">
        <f t="shared" si="132"/>
        <v>0</v>
      </c>
    </row>
    <row r="259" spans="4:28" hidden="1" x14ac:dyDescent="0.25">
      <c r="E259" s="47" t="s">
        <v>702</v>
      </c>
      <c r="F259" s="47" t="s">
        <v>639</v>
      </c>
      <c r="G259" s="106">
        <f t="shared" si="132"/>
        <v>0</v>
      </c>
      <c r="H259" s="106">
        <f t="shared" si="132"/>
        <v>-401944.92812451115</v>
      </c>
      <c r="I259" s="106">
        <f t="shared" si="132"/>
        <v>-743420.77856448153</v>
      </c>
      <c r="J259" s="106">
        <f t="shared" si="132"/>
        <v>-942076.06580750505</v>
      </c>
      <c r="K259" s="106">
        <f t="shared" si="132"/>
        <v>-1100205.5831593152</v>
      </c>
      <c r="L259" s="106">
        <f t="shared" si="132"/>
        <v>-1225714.1412863825</v>
      </c>
      <c r="M259" s="106">
        <f t="shared" si="132"/>
        <v>-1314166.2370804555</v>
      </c>
      <c r="N259" s="106">
        <f t="shared" si="132"/>
        <v>-1394162.9576188859</v>
      </c>
      <c r="O259" s="106">
        <f t="shared" si="132"/>
        <v>-1501179.2304322997</v>
      </c>
      <c r="P259" s="106">
        <f t="shared" si="132"/>
        <v>-1597832.2018709127</v>
      </c>
      <c r="Q259" s="106">
        <f t="shared" si="132"/>
        <v>-1730257.5128251491</v>
      </c>
      <c r="R259" s="106">
        <f t="shared" si="132"/>
        <v>-1851782.9660647258</v>
      </c>
      <c r="S259" s="106">
        <f t="shared" si="132"/>
        <v>-1960755.5790115078</v>
      </c>
      <c r="T259" s="106">
        <f t="shared" si="132"/>
        <v>-2057029.9651336006</v>
      </c>
      <c r="U259" s="106">
        <f t="shared" si="132"/>
        <v>-2143062.3852594947</v>
      </c>
      <c r="V259" s="106">
        <f t="shared" si="132"/>
        <v>-2233606.1311656144</v>
      </c>
      <c r="W259" s="106">
        <f t="shared" si="132"/>
        <v>-2347419.6028072797</v>
      </c>
      <c r="X259" s="106">
        <f t="shared" si="132"/>
        <v>-2478636.077177132</v>
      </c>
      <c r="Y259" s="106">
        <f t="shared" si="132"/>
        <v>-2599366.9537036247</v>
      </c>
      <c r="Z259" s="106">
        <f t="shared" si="132"/>
        <v>-2706085.4715322163</v>
      </c>
      <c r="AA259" s="106">
        <f t="shared" si="132"/>
        <v>-2806136.3103850135</v>
      </c>
    </row>
    <row r="260" spans="4:28" hidden="1" x14ac:dyDescent="0.25">
      <c r="E260" s="47" t="s">
        <v>724</v>
      </c>
      <c r="F260" s="47" t="s">
        <v>639</v>
      </c>
      <c r="G260" s="106">
        <f t="shared" si="132"/>
        <v>0</v>
      </c>
      <c r="H260" s="106">
        <f t="shared" si="132"/>
        <v>-14664.269381813685</v>
      </c>
      <c r="I260" s="106">
        <f t="shared" si="132"/>
        <v>-31344.706295004507</v>
      </c>
      <c r="J260" s="106">
        <f t="shared" si="132"/>
        <v>-45986.579926767168</v>
      </c>
      <c r="K260" s="106">
        <f t="shared" si="132"/>
        <v>-59820.37804033362</v>
      </c>
      <c r="L260" s="106">
        <f t="shared" si="132"/>
        <v>-70954.874471537012</v>
      </c>
      <c r="M260" s="106">
        <f t="shared" si="132"/>
        <v>-119273.72510598172</v>
      </c>
      <c r="N260" s="106">
        <f t="shared" si="132"/>
        <v>-167454.82142895949</v>
      </c>
      <c r="O260" s="106">
        <f t="shared" si="132"/>
        <v>-175812.85436532402</v>
      </c>
      <c r="P260" s="106">
        <f t="shared" si="132"/>
        <v>-183968.06935471954</v>
      </c>
      <c r="Q260" s="106">
        <f t="shared" si="132"/>
        <v>-208591.87606625631</v>
      </c>
      <c r="R260" s="106">
        <f t="shared" si="132"/>
        <v>-232608.12305483696</v>
      </c>
      <c r="S260" s="106">
        <f t="shared" si="132"/>
        <v>-255924.67282073322</v>
      </c>
      <c r="T260" s="106">
        <f t="shared" si="132"/>
        <v>-278533.42149659636</v>
      </c>
      <c r="U260" s="106">
        <f t="shared" si="132"/>
        <v>-300571.28143371863</v>
      </c>
      <c r="V260" s="106">
        <f t="shared" si="132"/>
        <v>-322860.6033543779</v>
      </c>
      <c r="W260" s="106">
        <f t="shared" si="132"/>
        <v>-346446.98331847729</v>
      </c>
      <c r="X260" s="106">
        <f t="shared" si="132"/>
        <v>-371003.40929537202</v>
      </c>
      <c r="Y260" s="106">
        <f t="shared" si="132"/>
        <v>-394975.36645739654</v>
      </c>
      <c r="Z260" s="106">
        <f t="shared" si="132"/>
        <v>-418166.27261936921</v>
      </c>
      <c r="AA260" s="106">
        <f t="shared" si="132"/>
        <v>-440985.52134347952</v>
      </c>
    </row>
    <row r="261" spans="4:28" hidden="1" x14ac:dyDescent="0.25">
      <c r="E261" s="47" t="s">
        <v>709</v>
      </c>
      <c r="F261" s="47" t="s">
        <v>639</v>
      </c>
      <c r="G261" s="106">
        <f t="shared" si="132"/>
        <v>0</v>
      </c>
      <c r="H261" s="106">
        <f t="shared" si="132"/>
        <v>0</v>
      </c>
      <c r="I261" s="106">
        <f t="shared" si="132"/>
        <v>0</v>
      </c>
      <c r="J261" s="106">
        <f t="shared" si="132"/>
        <v>0</v>
      </c>
      <c r="K261" s="106">
        <f t="shared" si="132"/>
        <v>0</v>
      </c>
      <c r="L261" s="106">
        <f t="shared" si="132"/>
        <v>0</v>
      </c>
      <c r="M261" s="106">
        <f t="shared" si="132"/>
        <v>0</v>
      </c>
      <c r="N261" s="106">
        <f t="shared" si="132"/>
        <v>0</v>
      </c>
      <c r="O261" s="106">
        <f t="shared" si="132"/>
        <v>0</v>
      </c>
      <c r="P261" s="106">
        <f t="shared" si="132"/>
        <v>0</v>
      </c>
      <c r="Q261" s="106">
        <f t="shared" si="132"/>
        <v>0</v>
      </c>
      <c r="R261" s="106">
        <f t="shared" si="132"/>
        <v>0</v>
      </c>
      <c r="S261" s="106">
        <f t="shared" si="132"/>
        <v>0</v>
      </c>
      <c r="T261" s="106">
        <f t="shared" si="132"/>
        <v>0</v>
      </c>
      <c r="U261" s="106">
        <f t="shared" si="132"/>
        <v>0</v>
      </c>
      <c r="V261" s="106">
        <f t="shared" si="132"/>
        <v>0</v>
      </c>
      <c r="W261" s="106">
        <f t="shared" si="132"/>
        <v>0</v>
      </c>
      <c r="X261" s="106">
        <f t="shared" si="132"/>
        <v>0</v>
      </c>
      <c r="Y261" s="106">
        <f t="shared" si="132"/>
        <v>0</v>
      </c>
      <c r="Z261" s="106">
        <f t="shared" si="132"/>
        <v>0</v>
      </c>
      <c r="AA261" s="106">
        <f t="shared" si="132"/>
        <v>0</v>
      </c>
    </row>
    <row r="262" spans="4:28" hidden="1" x14ac:dyDescent="0.25">
      <c r="E262" s="47" t="s">
        <v>725</v>
      </c>
      <c r="F262" s="47" t="s">
        <v>639</v>
      </c>
      <c r="G262" s="106" t="e">
        <f>G253</f>
        <v>#REF!</v>
      </c>
      <c r="H262" s="106"/>
      <c r="I262" s="106"/>
      <c r="J262" s="106"/>
      <c r="K262" s="106"/>
      <c r="L262" s="106"/>
      <c r="M262" s="106"/>
      <c r="N262" s="106"/>
      <c r="O262" s="106"/>
      <c r="P262" s="106"/>
      <c r="Q262" s="106"/>
      <c r="R262" s="106"/>
      <c r="S262" s="106"/>
      <c r="T262" s="106"/>
      <c r="U262" s="106"/>
      <c r="V262" s="106"/>
      <c r="W262" s="106"/>
      <c r="X262" s="106"/>
      <c r="Y262" s="106"/>
      <c r="Z262" s="106"/>
      <c r="AA262" s="106"/>
    </row>
    <row r="263" spans="4:28" hidden="1" x14ac:dyDescent="0.25"/>
    <row r="264" spans="4:28" hidden="1" x14ac:dyDescent="0.25">
      <c r="E264" s="47" t="s">
        <v>726</v>
      </c>
      <c r="F264" s="47" t="s">
        <v>639</v>
      </c>
      <c r="G264" s="106" t="e">
        <f t="shared" ref="G264:AA264" si="133">SUM(G256:G262)</f>
        <v>#REF!</v>
      </c>
      <c r="H264" s="106">
        <f t="shared" si="133"/>
        <v>1032781.8720834125</v>
      </c>
      <c r="I264" s="106">
        <f t="shared" si="133"/>
        <v>889963.00697571796</v>
      </c>
      <c r="J264" s="106">
        <f t="shared" si="133"/>
        <v>628877.5729590694</v>
      </c>
      <c r="K264" s="106">
        <f t="shared" si="133"/>
        <v>498824.83722856536</v>
      </c>
      <c r="L264" s="106">
        <f t="shared" si="133"/>
        <v>205943.03080532496</v>
      </c>
      <c r="M264" s="106">
        <f t="shared" si="133"/>
        <v>15461.806870242435</v>
      </c>
      <c r="N264" s="106">
        <f t="shared" si="133"/>
        <v>-50392.539721912937</v>
      </c>
      <c r="O264" s="106">
        <f t="shared" si="133"/>
        <v>89696.226881618495</v>
      </c>
      <c r="P264" s="106">
        <f t="shared" si="133"/>
        <v>61058.716235125379</v>
      </c>
      <c r="Q264" s="106">
        <f t="shared" si="133"/>
        <v>-290051.11127579119</v>
      </c>
      <c r="R264" s="106">
        <f t="shared" si="133"/>
        <v>-426554.6737367952</v>
      </c>
      <c r="S264" s="106">
        <f t="shared" si="133"/>
        <v>-564874.03709003818</v>
      </c>
      <c r="T264" s="106">
        <f t="shared" si="133"/>
        <v>-697156.90060856286</v>
      </c>
      <c r="U264" s="106">
        <f t="shared" si="133"/>
        <v>-811612.20185880119</v>
      </c>
      <c r="V264" s="106">
        <f t="shared" si="133"/>
        <v>-989599.82124020183</v>
      </c>
      <c r="W264" s="106">
        <f t="shared" si="133"/>
        <v>-957703.50403207855</v>
      </c>
      <c r="X264" s="106">
        <f t="shared" si="133"/>
        <v>-965867.65076169488</v>
      </c>
      <c r="Y264" s="106">
        <f t="shared" si="133"/>
        <v>-1107430.6851167087</v>
      </c>
      <c r="Z264" s="106">
        <f t="shared" si="133"/>
        <v>-1257638.9132357612</v>
      </c>
      <c r="AA264" s="106">
        <f t="shared" si="133"/>
        <v>-1364738.5848888862</v>
      </c>
    </row>
    <row r="265" spans="4:28" hidden="1" x14ac:dyDescent="0.25">
      <c r="E265" s="47" t="s">
        <v>727</v>
      </c>
      <c r="F265" s="47" t="s">
        <v>639</v>
      </c>
      <c r="G265" s="106" t="e">
        <f>-G264*G$18</f>
        <v>#REF!</v>
      </c>
      <c r="H265" s="106">
        <f t="shared" ref="H265:AA265" si="134">-H264*H$18</f>
        <v>-309834.56162502372</v>
      </c>
      <c r="I265" s="106">
        <f t="shared" si="134"/>
        <v>-266988.90209271538</v>
      </c>
      <c r="J265" s="106">
        <f t="shared" si="134"/>
        <v>-188663.27188772082</v>
      </c>
      <c r="K265" s="106">
        <f t="shared" si="134"/>
        <v>-149647.45116856959</v>
      </c>
      <c r="L265" s="106">
        <f t="shared" si="134"/>
        <v>-61782.909241597488</v>
      </c>
      <c r="M265" s="106">
        <f t="shared" si="134"/>
        <v>-4638.5420610727306</v>
      </c>
      <c r="N265" s="106">
        <f t="shared" si="134"/>
        <v>15117.76191657388</v>
      </c>
      <c r="O265" s="106">
        <f t="shared" si="134"/>
        <v>-26908.868064485549</v>
      </c>
      <c r="P265" s="106">
        <f t="shared" si="134"/>
        <v>-18317.614870537614</v>
      </c>
      <c r="Q265" s="106">
        <f t="shared" si="134"/>
        <v>87015.333382737357</v>
      </c>
      <c r="R265" s="106">
        <f t="shared" si="134"/>
        <v>127966.40212103855</v>
      </c>
      <c r="S265" s="106">
        <f t="shared" si="134"/>
        <v>169462.21112701145</v>
      </c>
      <c r="T265" s="106">
        <f t="shared" si="134"/>
        <v>209147.07018256886</v>
      </c>
      <c r="U265" s="106">
        <f t="shared" si="134"/>
        <v>243483.66055764034</v>
      </c>
      <c r="V265" s="106">
        <f t="shared" si="134"/>
        <v>296879.94637206051</v>
      </c>
      <c r="W265" s="106">
        <f t="shared" si="134"/>
        <v>287311.05120962358</v>
      </c>
      <c r="X265" s="106">
        <f t="shared" si="134"/>
        <v>289760.29522850848</v>
      </c>
      <c r="Y265" s="106">
        <f t="shared" si="134"/>
        <v>332229.20553501259</v>
      </c>
      <c r="Z265" s="106">
        <f t="shared" si="134"/>
        <v>377291.67397072836</v>
      </c>
      <c r="AA265" s="106">
        <f t="shared" si="134"/>
        <v>409421.57546666585</v>
      </c>
    </row>
    <row r="266" spans="4:28" hidden="1" x14ac:dyDescent="0.25"/>
    <row r="267" spans="4:28" hidden="1" x14ac:dyDescent="0.25">
      <c r="D267" s="47" t="s">
        <v>728</v>
      </c>
    </row>
    <row r="268" spans="4:28" hidden="1" x14ac:dyDescent="0.25">
      <c r="E268" s="47" t="s">
        <v>638</v>
      </c>
      <c r="F268" s="47" t="s">
        <v>639</v>
      </c>
      <c r="G268" s="106">
        <f t="shared" ref="G268:AA275" si="135">G234</f>
        <v>0</v>
      </c>
      <c r="H268" s="106">
        <f t="shared" si="135"/>
        <v>-85617.433414043204</v>
      </c>
      <c r="I268" s="106">
        <f t="shared" si="135"/>
        <v>-256852.3002421296</v>
      </c>
      <c r="J268" s="106">
        <f t="shared" si="135"/>
        <v>-256852.3002421296</v>
      </c>
      <c r="K268" s="106">
        <f t="shared" si="135"/>
        <v>-256852.3002421296</v>
      </c>
      <c r="L268" s="106">
        <f t="shared" si="135"/>
        <v>-267554.47941888502</v>
      </c>
      <c r="M268" s="106">
        <f t="shared" si="135"/>
        <v>-3745762.7118643895</v>
      </c>
      <c r="N268" s="106">
        <f t="shared" si="135"/>
        <v>-3745762.7118643895</v>
      </c>
      <c r="O268" s="106">
        <f t="shared" si="135"/>
        <v>0</v>
      </c>
      <c r="P268" s="106">
        <f t="shared" si="135"/>
        <v>0</v>
      </c>
      <c r="Q268" s="106">
        <f t="shared" si="135"/>
        <v>-1551815.9806295328</v>
      </c>
      <c r="R268" s="106">
        <f t="shared" si="135"/>
        <v>-1551815.9806295328</v>
      </c>
      <c r="S268" s="106">
        <f t="shared" si="135"/>
        <v>-1551815.9806295328</v>
      </c>
      <c r="T268" s="106">
        <f t="shared" si="135"/>
        <v>-1551815.9806295328</v>
      </c>
      <c r="U268" s="106">
        <f t="shared" si="135"/>
        <v>-1551815.9806295328</v>
      </c>
      <c r="V268" s="106">
        <f t="shared" si="135"/>
        <v>-1551815.9806295328</v>
      </c>
      <c r="W268" s="106">
        <f t="shared" si="135"/>
        <v>-1551815.9806295328</v>
      </c>
      <c r="X268" s="106">
        <f t="shared" si="135"/>
        <v>-1551815.9806295328</v>
      </c>
      <c r="Y268" s="106">
        <f t="shared" si="135"/>
        <v>-1551815.9806295328</v>
      </c>
      <c r="Z268" s="106">
        <f t="shared" si="135"/>
        <v>-1551815.9806295328</v>
      </c>
      <c r="AA268" s="106">
        <f t="shared" si="135"/>
        <v>-1551815.9806295328</v>
      </c>
    </row>
    <row r="269" spans="4:28" hidden="1" x14ac:dyDescent="0.25">
      <c r="E269" s="47" t="s">
        <v>729</v>
      </c>
      <c r="F269" s="47" t="s">
        <v>639</v>
      </c>
      <c r="G269" s="106">
        <f t="shared" si="135"/>
        <v>0</v>
      </c>
      <c r="H269" s="106">
        <f t="shared" si="135"/>
        <v>0</v>
      </c>
      <c r="I269" s="106">
        <f t="shared" si="135"/>
        <v>0</v>
      </c>
      <c r="J269" s="106">
        <f t="shared" si="135"/>
        <v>0</v>
      </c>
      <c r="K269" s="106">
        <f t="shared" si="135"/>
        <v>0</v>
      </c>
      <c r="L269" s="106">
        <f t="shared" si="135"/>
        <v>0</v>
      </c>
      <c r="M269" s="106">
        <f t="shared" si="135"/>
        <v>0</v>
      </c>
      <c r="N269" s="106">
        <f t="shared" si="135"/>
        <v>0</v>
      </c>
      <c r="O269" s="106">
        <f t="shared" si="135"/>
        <v>0</v>
      </c>
      <c r="P269" s="106">
        <f t="shared" si="135"/>
        <v>0</v>
      </c>
      <c r="Q269" s="106">
        <f t="shared" si="135"/>
        <v>0</v>
      </c>
      <c r="R269" s="106">
        <f t="shared" si="135"/>
        <v>0</v>
      </c>
      <c r="S269" s="106">
        <f t="shared" si="135"/>
        <v>0</v>
      </c>
      <c r="T269" s="106">
        <f t="shared" si="135"/>
        <v>0</v>
      </c>
      <c r="U269" s="106">
        <f t="shared" si="135"/>
        <v>0</v>
      </c>
      <c r="V269" s="106">
        <f t="shared" si="135"/>
        <v>0</v>
      </c>
      <c r="W269" s="106">
        <f t="shared" si="135"/>
        <v>0</v>
      </c>
      <c r="X269" s="106">
        <f t="shared" si="135"/>
        <v>0</v>
      </c>
      <c r="Y269" s="106">
        <f t="shared" si="135"/>
        <v>0</v>
      </c>
      <c r="Z269" s="106">
        <f t="shared" si="135"/>
        <v>0</v>
      </c>
      <c r="AA269" s="106">
        <f t="shared" si="135"/>
        <v>0</v>
      </c>
    </row>
    <row r="270" spans="4:28" hidden="1" x14ac:dyDescent="0.25">
      <c r="E270" s="47" t="s">
        <v>645</v>
      </c>
      <c r="F270" s="47" t="s">
        <v>639</v>
      </c>
      <c r="G270" s="106">
        <f t="shared" si="135"/>
        <v>0</v>
      </c>
      <c r="H270" s="106">
        <f t="shared" si="135"/>
        <v>0</v>
      </c>
      <c r="I270" s="106">
        <f t="shared" si="135"/>
        <v>0</v>
      </c>
      <c r="J270" s="106">
        <f t="shared" si="135"/>
        <v>0</v>
      </c>
      <c r="K270" s="106">
        <f t="shared" si="135"/>
        <v>0</v>
      </c>
      <c r="L270" s="106">
        <f t="shared" si="135"/>
        <v>0</v>
      </c>
      <c r="M270" s="106">
        <f t="shared" si="135"/>
        <v>0</v>
      </c>
      <c r="N270" s="106">
        <f t="shared" si="135"/>
        <v>0</v>
      </c>
      <c r="O270" s="106">
        <f t="shared" si="135"/>
        <v>0</v>
      </c>
      <c r="P270" s="106">
        <f t="shared" si="135"/>
        <v>0</v>
      </c>
      <c r="Q270" s="106">
        <f t="shared" si="135"/>
        <v>0</v>
      </c>
      <c r="R270" s="106">
        <f t="shared" si="135"/>
        <v>0</v>
      </c>
      <c r="S270" s="106">
        <f t="shared" si="135"/>
        <v>0</v>
      </c>
      <c r="T270" s="106">
        <f t="shared" si="135"/>
        <v>0</v>
      </c>
      <c r="U270" s="106">
        <f t="shared" si="135"/>
        <v>0</v>
      </c>
      <c r="V270" s="106">
        <f t="shared" si="135"/>
        <v>0</v>
      </c>
      <c r="W270" s="106">
        <f t="shared" si="135"/>
        <v>0</v>
      </c>
      <c r="X270" s="106">
        <f t="shared" si="135"/>
        <v>0</v>
      </c>
      <c r="Y270" s="106">
        <f t="shared" si="135"/>
        <v>0</v>
      </c>
      <c r="Z270" s="106">
        <f t="shared" si="135"/>
        <v>0</v>
      </c>
      <c r="AA270" s="106">
        <f t="shared" si="135"/>
        <v>0</v>
      </c>
    </row>
    <row r="271" spans="4:28" hidden="1" x14ac:dyDescent="0.25">
      <c r="E271" s="47" t="s">
        <v>723</v>
      </c>
      <c r="F271" s="47" t="s">
        <v>639</v>
      </c>
      <c r="G271" s="106">
        <f t="shared" si="135"/>
        <v>0</v>
      </c>
      <c r="H271" s="106">
        <f t="shared" si="135"/>
        <v>215224.25864054894</v>
      </c>
      <c r="I271" s="106">
        <f t="shared" si="135"/>
        <v>420341.46989015926</v>
      </c>
      <c r="J271" s="106">
        <f t="shared" si="135"/>
        <v>556023.89207683119</v>
      </c>
      <c r="K271" s="106">
        <f t="shared" si="135"/>
        <v>670661.26844936307</v>
      </c>
      <c r="L271" s="106">
        <f t="shared" si="135"/>
        <v>768061.84717382398</v>
      </c>
      <c r="M271" s="106">
        <f t="shared" si="135"/>
        <v>845967.92382104485</v>
      </c>
      <c r="N271" s="106">
        <f t="shared" si="135"/>
        <v>920689.28212232387</v>
      </c>
      <c r="O271" s="106">
        <f t="shared" si="135"/>
        <v>1014465.3474064318</v>
      </c>
      <c r="P271" s="106">
        <f t="shared" si="135"/>
        <v>1108889.6384151613</v>
      </c>
      <c r="Q271" s="106">
        <f t="shared" si="135"/>
        <v>984471.65420683799</v>
      </c>
      <c r="R271" s="106">
        <f t="shared" si="135"/>
        <v>1048190.1670400412</v>
      </c>
      <c r="S271" s="106">
        <f t="shared" si="135"/>
        <v>1105132.7164410739</v>
      </c>
      <c r="T271" s="106">
        <f t="shared" si="135"/>
        <v>1155435.0858234868</v>
      </c>
      <c r="U271" s="106">
        <f t="shared" si="135"/>
        <v>1200430.0511229376</v>
      </c>
      <c r="V271" s="106">
        <f t="shared" si="135"/>
        <v>1112643.9210499942</v>
      </c>
      <c r="W271" s="106">
        <f t="shared" si="135"/>
        <v>1165204.8659542638</v>
      </c>
      <c r="X271" s="106">
        <f t="shared" si="135"/>
        <v>1225509.4784198171</v>
      </c>
      <c r="Y271" s="106">
        <f t="shared" si="135"/>
        <v>1281251.4710916388</v>
      </c>
      <c r="Z271" s="106">
        <f t="shared" si="135"/>
        <v>1331247.2569678195</v>
      </c>
      <c r="AA271" s="106">
        <f t="shared" si="135"/>
        <v>1380466.8422992099</v>
      </c>
      <c r="AB271" s="106">
        <f t="shared" ref="AB271:AB275" si="136">IF(V271=0,0,IF($G$15&gt;(AA271/V271)^(1/5)-1+2%,AA271*(AA271/V271)^(1/5)/($G$15-((AA271/V271)^(1/5)-1)),AA271*(1+$G$14)/$G$16))</f>
        <v>57280781.838141464</v>
      </c>
    </row>
    <row r="272" spans="4:28" hidden="1" x14ac:dyDescent="0.25">
      <c r="E272" s="47" t="s">
        <v>701</v>
      </c>
      <c r="F272" s="47" t="s">
        <v>639</v>
      </c>
      <c r="G272" s="106">
        <f t="shared" si="135"/>
        <v>0</v>
      </c>
      <c r="H272" s="106">
        <f t="shared" si="135"/>
        <v>0</v>
      </c>
      <c r="I272" s="106">
        <f t="shared" si="135"/>
        <v>0</v>
      </c>
      <c r="J272" s="106">
        <f t="shared" si="135"/>
        <v>0</v>
      </c>
      <c r="K272" s="106">
        <f t="shared" si="135"/>
        <v>0</v>
      </c>
      <c r="L272" s="106">
        <f t="shared" si="135"/>
        <v>0</v>
      </c>
      <c r="M272" s="106">
        <f t="shared" si="135"/>
        <v>0</v>
      </c>
      <c r="N272" s="106">
        <f t="shared" si="135"/>
        <v>0</v>
      </c>
      <c r="O272" s="106">
        <f t="shared" si="135"/>
        <v>0</v>
      </c>
      <c r="P272" s="106">
        <f t="shared" si="135"/>
        <v>0</v>
      </c>
      <c r="Q272" s="106">
        <f t="shared" si="135"/>
        <v>0</v>
      </c>
      <c r="R272" s="106">
        <f t="shared" si="135"/>
        <v>0</v>
      </c>
      <c r="S272" s="106">
        <f t="shared" si="135"/>
        <v>0</v>
      </c>
      <c r="T272" s="106">
        <f t="shared" si="135"/>
        <v>0</v>
      </c>
      <c r="U272" s="106">
        <f t="shared" si="135"/>
        <v>0</v>
      </c>
      <c r="V272" s="106">
        <f t="shared" si="135"/>
        <v>0</v>
      </c>
      <c r="W272" s="106">
        <f t="shared" si="135"/>
        <v>0</v>
      </c>
      <c r="X272" s="106">
        <f t="shared" si="135"/>
        <v>0</v>
      </c>
      <c r="Y272" s="106">
        <f t="shared" si="135"/>
        <v>0</v>
      </c>
      <c r="Z272" s="106">
        <f t="shared" si="135"/>
        <v>0</v>
      </c>
      <c r="AA272" s="106">
        <f t="shared" si="135"/>
        <v>0</v>
      </c>
      <c r="AB272" s="106">
        <f t="shared" si="136"/>
        <v>0</v>
      </c>
    </row>
    <row r="273" spans="1:28" hidden="1" x14ac:dyDescent="0.25">
      <c r="E273" s="47" t="s">
        <v>702</v>
      </c>
      <c r="F273" s="47" t="s">
        <v>639</v>
      </c>
      <c r="G273" s="106">
        <f t="shared" si="135"/>
        <v>0</v>
      </c>
      <c r="H273" s="106">
        <f t="shared" si="135"/>
        <v>-401944.92812451115</v>
      </c>
      <c r="I273" s="106">
        <f t="shared" si="135"/>
        <v>-743420.77856448153</v>
      </c>
      <c r="J273" s="106">
        <f t="shared" si="135"/>
        <v>-942076.06580750505</v>
      </c>
      <c r="K273" s="106">
        <f t="shared" si="135"/>
        <v>-1100205.5831593152</v>
      </c>
      <c r="L273" s="106">
        <f t="shared" si="135"/>
        <v>-1225714.1412863825</v>
      </c>
      <c r="M273" s="106">
        <f t="shared" si="135"/>
        <v>-1314166.2370804555</v>
      </c>
      <c r="N273" s="106">
        <f t="shared" si="135"/>
        <v>-1394162.9576188859</v>
      </c>
      <c r="O273" s="106">
        <f t="shared" si="135"/>
        <v>-1501179.2304322997</v>
      </c>
      <c r="P273" s="106">
        <f t="shared" si="135"/>
        <v>-1597832.2018709127</v>
      </c>
      <c r="Q273" s="106">
        <f t="shared" si="135"/>
        <v>-1730257.5128251491</v>
      </c>
      <c r="R273" s="106">
        <f t="shared" si="135"/>
        <v>-1851782.9660647258</v>
      </c>
      <c r="S273" s="106">
        <f t="shared" si="135"/>
        <v>-1960755.5790115078</v>
      </c>
      <c r="T273" s="106">
        <f t="shared" si="135"/>
        <v>-2057029.9651336006</v>
      </c>
      <c r="U273" s="106">
        <f t="shared" si="135"/>
        <v>-2143062.3852594947</v>
      </c>
      <c r="V273" s="106">
        <f t="shared" si="135"/>
        <v>-2233606.1311656144</v>
      </c>
      <c r="W273" s="106">
        <f t="shared" si="135"/>
        <v>-2347419.6028072797</v>
      </c>
      <c r="X273" s="106">
        <f t="shared" si="135"/>
        <v>-2478636.077177132</v>
      </c>
      <c r="Y273" s="106">
        <f t="shared" si="135"/>
        <v>-2599366.9537036247</v>
      </c>
      <c r="Z273" s="106">
        <f t="shared" si="135"/>
        <v>-2706085.4715322163</v>
      </c>
      <c r="AA273" s="106">
        <f t="shared" si="135"/>
        <v>-2806136.3103850135</v>
      </c>
      <c r="AB273" s="106">
        <f t="shared" si="136"/>
        <v>-116437191.30228266</v>
      </c>
    </row>
    <row r="274" spans="1:28" hidden="1" x14ac:dyDescent="0.25">
      <c r="E274" s="47" t="s">
        <v>709</v>
      </c>
      <c r="F274" s="47" t="s">
        <v>639</v>
      </c>
      <c r="G274" s="106">
        <f t="shared" si="135"/>
        <v>0</v>
      </c>
      <c r="H274" s="106">
        <f t="shared" si="135"/>
        <v>0</v>
      </c>
      <c r="I274" s="106">
        <f t="shared" si="135"/>
        <v>0</v>
      </c>
      <c r="J274" s="106">
        <f t="shared" si="135"/>
        <v>0</v>
      </c>
      <c r="K274" s="106">
        <f t="shared" si="135"/>
        <v>0</v>
      </c>
      <c r="L274" s="106">
        <f t="shared" si="135"/>
        <v>0</v>
      </c>
      <c r="M274" s="106">
        <f t="shared" si="135"/>
        <v>0</v>
      </c>
      <c r="N274" s="106">
        <f t="shared" si="135"/>
        <v>0</v>
      </c>
      <c r="O274" s="106">
        <f t="shared" si="135"/>
        <v>0</v>
      </c>
      <c r="P274" s="106">
        <f t="shared" si="135"/>
        <v>0</v>
      </c>
      <c r="Q274" s="106">
        <f t="shared" si="135"/>
        <v>0</v>
      </c>
      <c r="R274" s="106">
        <f t="shared" si="135"/>
        <v>0</v>
      </c>
      <c r="S274" s="106">
        <f t="shared" si="135"/>
        <v>0</v>
      </c>
      <c r="T274" s="106">
        <f t="shared" si="135"/>
        <v>0</v>
      </c>
      <c r="U274" s="106">
        <f t="shared" si="135"/>
        <v>0</v>
      </c>
      <c r="V274" s="106">
        <f t="shared" si="135"/>
        <v>0</v>
      </c>
      <c r="W274" s="106">
        <f t="shared" si="135"/>
        <v>0</v>
      </c>
      <c r="X274" s="106">
        <f t="shared" si="135"/>
        <v>0</v>
      </c>
      <c r="Y274" s="106">
        <f t="shared" si="135"/>
        <v>0</v>
      </c>
      <c r="Z274" s="106">
        <f t="shared" si="135"/>
        <v>0</v>
      </c>
      <c r="AA274" s="106">
        <f t="shared" si="135"/>
        <v>0</v>
      </c>
      <c r="AB274" s="106">
        <f t="shared" si="136"/>
        <v>0</v>
      </c>
    </row>
    <row r="275" spans="1:28" hidden="1" x14ac:dyDescent="0.25">
      <c r="E275" s="47" t="s">
        <v>714</v>
      </c>
      <c r="F275" s="47" t="s">
        <v>639</v>
      </c>
      <c r="G275" s="106">
        <f t="shared" si="135"/>
        <v>0</v>
      </c>
      <c r="H275" s="106">
        <f t="shared" si="135"/>
        <v>0</v>
      </c>
      <c r="I275" s="106">
        <f t="shared" si="135"/>
        <v>0</v>
      </c>
      <c r="J275" s="106">
        <f t="shared" si="135"/>
        <v>0</v>
      </c>
      <c r="K275" s="106">
        <f t="shared" si="135"/>
        <v>0</v>
      </c>
      <c r="L275" s="106">
        <f t="shared" si="135"/>
        <v>0</v>
      </c>
      <c r="M275" s="106">
        <f t="shared" si="135"/>
        <v>0</v>
      </c>
      <c r="N275" s="106">
        <f t="shared" si="135"/>
        <v>0</v>
      </c>
      <c r="O275" s="106">
        <f t="shared" si="135"/>
        <v>0</v>
      </c>
      <c r="P275" s="106">
        <f t="shared" si="135"/>
        <v>0</v>
      </c>
      <c r="Q275" s="106">
        <f t="shared" si="135"/>
        <v>0</v>
      </c>
      <c r="R275" s="106">
        <f t="shared" si="135"/>
        <v>0</v>
      </c>
      <c r="S275" s="106">
        <f t="shared" si="135"/>
        <v>0</v>
      </c>
      <c r="T275" s="106">
        <f t="shared" si="135"/>
        <v>0</v>
      </c>
      <c r="U275" s="106">
        <f t="shared" si="135"/>
        <v>0</v>
      </c>
      <c r="V275" s="106">
        <f t="shared" si="135"/>
        <v>0</v>
      </c>
      <c r="W275" s="106">
        <f t="shared" si="135"/>
        <v>0</v>
      </c>
      <c r="X275" s="106">
        <f t="shared" si="135"/>
        <v>0</v>
      </c>
      <c r="Y275" s="106">
        <f t="shared" si="135"/>
        <v>0</v>
      </c>
      <c r="Z275" s="106">
        <f t="shared" si="135"/>
        <v>0</v>
      </c>
      <c r="AA275" s="106">
        <f t="shared" si="135"/>
        <v>0</v>
      </c>
      <c r="AB275" s="106">
        <f t="shared" si="136"/>
        <v>0</v>
      </c>
    </row>
    <row r="276" spans="1:28" hidden="1" x14ac:dyDescent="0.25">
      <c r="E276" s="47" t="s">
        <v>458</v>
      </c>
      <c r="F276" s="47" t="s">
        <v>639</v>
      </c>
      <c r="G276" s="106" t="e">
        <f t="shared" ref="G276:AA276" si="137">G265</f>
        <v>#REF!</v>
      </c>
      <c r="H276" s="106">
        <f t="shared" si="137"/>
        <v>-309834.56162502372</v>
      </c>
      <c r="I276" s="106">
        <f t="shared" si="137"/>
        <v>-266988.90209271538</v>
      </c>
      <c r="J276" s="106">
        <f t="shared" si="137"/>
        <v>-188663.27188772082</v>
      </c>
      <c r="K276" s="106">
        <f t="shared" si="137"/>
        <v>-149647.45116856959</v>
      </c>
      <c r="L276" s="106">
        <f t="shared" si="137"/>
        <v>-61782.909241597488</v>
      </c>
      <c r="M276" s="106">
        <f t="shared" si="137"/>
        <v>-4638.5420610727306</v>
      </c>
      <c r="N276" s="106">
        <f t="shared" si="137"/>
        <v>15117.76191657388</v>
      </c>
      <c r="O276" s="106">
        <f t="shared" si="137"/>
        <v>-26908.868064485549</v>
      </c>
      <c r="P276" s="106">
        <f t="shared" si="137"/>
        <v>-18317.614870537614</v>
      </c>
      <c r="Q276" s="106">
        <f t="shared" si="137"/>
        <v>87015.333382737357</v>
      </c>
      <c r="R276" s="106">
        <f t="shared" si="137"/>
        <v>127966.40212103855</v>
      </c>
      <c r="S276" s="106">
        <f t="shared" si="137"/>
        <v>169462.21112701145</v>
      </c>
      <c r="T276" s="106">
        <f t="shared" si="137"/>
        <v>209147.07018256886</v>
      </c>
      <c r="U276" s="106">
        <f t="shared" si="137"/>
        <v>243483.66055764034</v>
      </c>
      <c r="V276" s="106">
        <f t="shared" si="137"/>
        <v>296879.94637206051</v>
      </c>
      <c r="W276" s="106">
        <f t="shared" si="137"/>
        <v>287311.05120962358</v>
      </c>
      <c r="X276" s="106">
        <f t="shared" si="137"/>
        <v>289760.29522850848</v>
      </c>
      <c r="Y276" s="106">
        <f t="shared" si="137"/>
        <v>332229.20553501259</v>
      </c>
      <c r="Z276" s="106">
        <f t="shared" si="137"/>
        <v>377291.67397072836</v>
      </c>
      <c r="AA276" s="106">
        <f t="shared" si="137"/>
        <v>409421.57546666585</v>
      </c>
      <c r="AB276" s="106">
        <f>IF(V276=0,0,IF($G$15&gt;(AA276/V276)^(1/5)-1+2%,AA276*(AA276/V276)^(1/5)/($G$15-((AA276/V276)^(1/5)-1)),AA276*(1+$G$14)/$G$16))</f>
        <v>16988447.114799406</v>
      </c>
    </row>
    <row r="277" spans="1:28" hidden="1" x14ac:dyDescent="0.25">
      <c r="E277" s="47" t="s">
        <v>730</v>
      </c>
      <c r="F277" s="47" t="s">
        <v>639</v>
      </c>
      <c r="G277" s="106" t="e">
        <f>-$G$17*G276</f>
        <v>#REF!</v>
      </c>
      <c r="H277" s="106">
        <f t="shared" ref="H277:AA277" si="138">-$G$17*H276</f>
        <v>154917.28081251186</v>
      </c>
      <c r="I277" s="106">
        <f t="shared" si="138"/>
        <v>133494.45104635769</v>
      </c>
      <c r="J277" s="106">
        <f t="shared" si="138"/>
        <v>94331.635943860412</v>
      </c>
      <c r="K277" s="106">
        <f t="shared" si="138"/>
        <v>74823.725584284795</v>
      </c>
      <c r="L277" s="106">
        <f t="shared" si="138"/>
        <v>30891.454620798744</v>
      </c>
      <c r="M277" s="106">
        <f t="shared" si="138"/>
        <v>2319.2710305363653</v>
      </c>
      <c r="N277" s="106">
        <f t="shared" si="138"/>
        <v>-7558.8809582869399</v>
      </c>
      <c r="O277" s="106">
        <f t="shared" si="138"/>
        <v>13454.434032242774</v>
      </c>
      <c r="P277" s="106">
        <f t="shared" si="138"/>
        <v>9158.8074352688072</v>
      </c>
      <c r="Q277" s="106">
        <f t="shared" si="138"/>
        <v>-43507.666691368679</v>
      </c>
      <c r="R277" s="106">
        <f t="shared" si="138"/>
        <v>-63983.201060519277</v>
      </c>
      <c r="S277" s="106">
        <f t="shared" si="138"/>
        <v>-84731.105563505727</v>
      </c>
      <c r="T277" s="106">
        <f t="shared" si="138"/>
        <v>-104573.53509128443</v>
      </c>
      <c r="U277" s="106">
        <f t="shared" si="138"/>
        <v>-121741.83027882017</v>
      </c>
      <c r="V277" s="106">
        <f t="shared" si="138"/>
        <v>-148439.97318603026</v>
      </c>
      <c r="W277" s="106">
        <f t="shared" si="138"/>
        <v>-143655.52560481179</v>
      </c>
      <c r="X277" s="106">
        <f t="shared" si="138"/>
        <v>-144880.14761425424</v>
      </c>
      <c r="Y277" s="106">
        <f t="shared" si="138"/>
        <v>-166114.60276750629</v>
      </c>
      <c r="Z277" s="106">
        <f t="shared" si="138"/>
        <v>-188645.83698536418</v>
      </c>
      <c r="AA277" s="106">
        <f t="shared" si="138"/>
        <v>-204710.78773333292</v>
      </c>
      <c r="AB277" s="106">
        <f t="shared" ref="AB277" si="139">IF(V277=0,0,IF($G$15&gt;(AA277/V277)^(1/5)-1+2%,AA277*(AA277/V277)^(1/5)/($G$15-((AA277/V277)^(1/5)-1)),AA277*(1+$G$14)/$G$16))</f>
        <v>-8494223.5573997032</v>
      </c>
    </row>
    <row r="278" spans="1:28" hidden="1" x14ac:dyDescent="0.25">
      <c r="E278" s="47" t="s">
        <v>731</v>
      </c>
      <c r="F278" s="47" t="s">
        <v>639</v>
      </c>
      <c r="G278" s="106" t="e">
        <f t="shared" ref="G278:AA278" si="140">SUM(G268:G277)</f>
        <v>#REF!</v>
      </c>
      <c r="H278" s="106">
        <f t="shared" si="140"/>
        <v>-427255.38371051726</v>
      </c>
      <c r="I278" s="106">
        <f t="shared" si="140"/>
        <v>-713426.05996280955</v>
      </c>
      <c r="J278" s="106">
        <f t="shared" si="140"/>
        <v>-737236.10991666385</v>
      </c>
      <c r="K278" s="106">
        <f t="shared" si="140"/>
        <v>-761220.34053636657</v>
      </c>
      <c r="L278" s="106">
        <f t="shared" si="140"/>
        <v>-756098.22815224226</v>
      </c>
      <c r="M278" s="106">
        <f t="shared" si="140"/>
        <v>-4216280.296154337</v>
      </c>
      <c r="N278" s="106">
        <f t="shared" si="140"/>
        <v>-4211677.5064026648</v>
      </c>
      <c r="O278" s="106">
        <f t="shared" si="140"/>
        <v>-500168.31705811061</v>
      </c>
      <c r="P278" s="106">
        <f t="shared" si="140"/>
        <v>-498101.37089102017</v>
      </c>
      <c r="Q278" s="106">
        <f t="shared" si="140"/>
        <v>-2254094.1725564757</v>
      </c>
      <c r="R278" s="106">
        <f t="shared" si="140"/>
        <v>-2291425.5785936979</v>
      </c>
      <c r="S278" s="106">
        <f t="shared" si="140"/>
        <v>-2322707.7376364605</v>
      </c>
      <c r="T278" s="106">
        <f t="shared" si="140"/>
        <v>-2348837.3248483622</v>
      </c>
      <c r="U278" s="106">
        <f t="shared" si="140"/>
        <v>-2372706.48448727</v>
      </c>
      <c r="V278" s="106">
        <f t="shared" si="140"/>
        <v>-2524338.2175591225</v>
      </c>
      <c r="W278" s="106">
        <f t="shared" si="140"/>
        <v>-2590375.1918777372</v>
      </c>
      <c r="X278" s="106">
        <f t="shared" si="140"/>
        <v>-2660062.4317725939</v>
      </c>
      <c r="Y278" s="106">
        <f t="shared" si="140"/>
        <v>-2703816.8604740119</v>
      </c>
      <c r="Z278" s="106">
        <f t="shared" si="140"/>
        <v>-2738008.3582085655</v>
      </c>
      <c r="AA278" s="106">
        <f t="shared" si="140"/>
        <v>-2772774.6609820034</v>
      </c>
      <c r="AB278" s="106" t="e">
        <f>SUM(AB268:AB277)*IF(DASH!#REF!="yes",1,0)</f>
        <v>#REF!</v>
      </c>
    </row>
    <row r="279" spans="1:28" hidden="1" x14ac:dyDescent="0.25">
      <c r="E279" s="47" t="s">
        <v>732</v>
      </c>
      <c r="F279" s="47" t="s">
        <v>639</v>
      </c>
      <c r="G279" s="106" t="e">
        <f>NPV($G$15,H278:AQ278)+G278</f>
        <v>#REF!</v>
      </c>
    </row>
    <row r="280" spans="1:28" hidden="1" x14ac:dyDescent="0.25">
      <c r="E280" s="111" t="s">
        <v>734</v>
      </c>
      <c r="F280" s="111"/>
      <c r="G280" s="118" t="e">
        <f>IF(G279&gt;0,"N/A",IF(ABS(G279+G253)&gt;1,"Error","OK"))</f>
        <v>#REF!</v>
      </c>
    </row>
    <row r="281" spans="1:28" hidden="1" x14ac:dyDescent="0.25"/>
    <row r="282" spans="1:28" hidden="1" x14ac:dyDescent="0.25">
      <c r="C282" s="100" t="s">
        <v>736</v>
      </c>
      <c r="D282" s="100"/>
    </row>
    <row r="283" spans="1:28" hidden="1" x14ac:dyDescent="0.25">
      <c r="A283" s="101">
        <v>54</v>
      </c>
      <c r="C283" s="100"/>
      <c r="D283" s="100"/>
      <c r="E283" s="47" t="s">
        <v>737</v>
      </c>
      <c r="F283" s="47" t="s">
        <v>655</v>
      </c>
      <c r="G283" s="102">
        <v>1</v>
      </c>
      <c r="H283" s="102">
        <v>1</v>
      </c>
      <c r="I283" s="102">
        <v>1</v>
      </c>
      <c r="J283" s="102">
        <v>1</v>
      </c>
      <c r="K283" s="102">
        <v>1</v>
      </c>
      <c r="L283" s="102">
        <v>1</v>
      </c>
      <c r="M283" s="102">
        <v>0</v>
      </c>
      <c r="N283" s="102">
        <v>0</v>
      </c>
      <c r="O283" s="102">
        <v>0</v>
      </c>
      <c r="P283" s="102">
        <v>0</v>
      </c>
      <c r="Q283" s="102">
        <v>0</v>
      </c>
      <c r="R283" s="102">
        <v>0</v>
      </c>
      <c r="S283" s="102">
        <v>0</v>
      </c>
      <c r="T283" s="102">
        <v>0</v>
      </c>
      <c r="U283" s="102">
        <v>0</v>
      </c>
      <c r="V283" s="102">
        <v>0</v>
      </c>
      <c r="W283" s="102">
        <v>0</v>
      </c>
      <c r="X283" s="102">
        <v>0</v>
      </c>
      <c r="Y283" s="102">
        <v>0</v>
      </c>
      <c r="Z283" s="102">
        <v>0</v>
      </c>
      <c r="AA283" s="102">
        <v>0</v>
      </c>
    </row>
    <row r="284" spans="1:28" hidden="1" x14ac:dyDescent="0.25">
      <c r="E284" s="47" t="s">
        <v>738</v>
      </c>
      <c r="F284" s="47" t="s">
        <v>739</v>
      </c>
      <c r="G284" s="115" t="e">
        <f>MAX(0,-G311/(NPV($G$16,H283:AA283)+G283))</f>
        <v>#VALUE!</v>
      </c>
      <c r="H284" s="106" t="e">
        <f t="shared" ref="H284:AA284" si="141">G284*(1+$G$14)</f>
        <v>#VALUE!</v>
      </c>
      <c r="I284" s="106" t="e">
        <f t="shared" si="141"/>
        <v>#VALUE!</v>
      </c>
      <c r="J284" s="106" t="e">
        <f t="shared" si="141"/>
        <v>#VALUE!</v>
      </c>
      <c r="K284" s="106" t="e">
        <f t="shared" si="141"/>
        <v>#VALUE!</v>
      </c>
      <c r="L284" s="106" t="e">
        <f t="shared" si="141"/>
        <v>#VALUE!</v>
      </c>
      <c r="M284" s="106" t="e">
        <f t="shared" si="141"/>
        <v>#VALUE!</v>
      </c>
      <c r="N284" s="106" t="e">
        <f t="shared" si="141"/>
        <v>#VALUE!</v>
      </c>
      <c r="O284" s="106" t="e">
        <f t="shared" si="141"/>
        <v>#VALUE!</v>
      </c>
      <c r="P284" s="106" t="e">
        <f t="shared" si="141"/>
        <v>#VALUE!</v>
      </c>
      <c r="Q284" s="106" t="e">
        <f t="shared" si="141"/>
        <v>#VALUE!</v>
      </c>
      <c r="R284" s="106" t="e">
        <f t="shared" si="141"/>
        <v>#VALUE!</v>
      </c>
      <c r="S284" s="106" t="e">
        <f t="shared" si="141"/>
        <v>#VALUE!</v>
      </c>
      <c r="T284" s="106" t="e">
        <f t="shared" si="141"/>
        <v>#VALUE!</v>
      </c>
      <c r="U284" s="106" t="e">
        <f t="shared" si="141"/>
        <v>#VALUE!</v>
      </c>
      <c r="V284" s="106" t="e">
        <f t="shared" si="141"/>
        <v>#VALUE!</v>
      </c>
      <c r="W284" s="106" t="e">
        <f t="shared" si="141"/>
        <v>#VALUE!</v>
      </c>
      <c r="X284" s="106" t="e">
        <f t="shared" si="141"/>
        <v>#VALUE!</v>
      </c>
      <c r="Y284" s="106" t="e">
        <f t="shared" si="141"/>
        <v>#VALUE!</v>
      </c>
      <c r="Z284" s="106" t="e">
        <f t="shared" si="141"/>
        <v>#VALUE!</v>
      </c>
      <c r="AA284" s="106" t="e">
        <f t="shared" si="141"/>
        <v>#VALUE!</v>
      </c>
    </row>
    <row r="285" spans="1:28" hidden="1" x14ac:dyDescent="0.25">
      <c r="E285" s="47" t="s">
        <v>721</v>
      </c>
      <c r="F285" s="47" t="s">
        <v>639</v>
      </c>
      <c r="G285" s="106" t="e">
        <f>G283*G284</f>
        <v>#VALUE!</v>
      </c>
      <c r="H285" s="106" t="e">
        <f t="shared" ref="H285:AA285" si="142">H283*H284</f>
        <v>#VALUE!</v>
      </c>
      <c r="I285" s="106" t="e">
        <f t="shared" si="142"/>
        <v>#VALUE!</v>
      </c>
      <c r="J285" s="106" t="e">
        <f t="shared" si="142"/>
        <v>#VALUE!</v>
      </c>
      <c r="K285" s="106" t="e">
        <f t="shared" si="142"/>
        <v>#VALUE!</v>
      </c>
      <c r="L285" s="106" t="e">
        <f t="shared" si="142"/>
        <v>#VALUE!</v>
      </c>
      <c r="M285" s="106" t="e">
        <f t="shared" si="142"/>
        <v>#VALUE!</v>
      </c>
      <c r="N285" s="106" t="e">
        <f t="shared" si="142"/>
        <v>#VALUE!</v>
      </c>
      <c r="O285" s="106" t="e">
        <f t="shared" si="142"/>
        <v>#VALUE!</v>
      </c>
      <c r="P285" s="106" t="e">
        <f t="shared" si="142"/>
        <v>#VALUE!</v>
      </c>
      <c r="Q285" s="106" t="e">
        <f t="shared" si="142"/>
        <v>#VALUE!</v>
      </c>
      <c r="R285" s="106" t="e">
        <f t="shared" si="142"/>
        <v>#VALUE!</v>
      </c>
      <c r="S285" s="106" t="e">
        <f t="shared" si="142"/>
        <v>#VALUE!</v>
      </c>
      <c r="T285" s="106" t="e">
        <f t="shared" si="142"/>
        <v>#VALUE!</v>
      </c>
      <c r="U285" s="106" t="e">
        <f t="shared" si="142"/>
        <v>#VALUE!</v>
      </c>
      <c r="V285" s="106" t="e">
        <f t="shared" si="142"/>
        <v>#VALUE!</v>
      </c>
      <c r="W285" s="106" t="e">
        <f t="shared" si="142"/>
        <v>#VALUE!</v>
      </c>
      <c r="X285" s="106" t="e">
        <f t="shared" si="142"/>
        <v>#VALUE!</v>
      </c>
      <c r="Y285" s="106" t="e">
        <f t="shared" si="142"/>
        <v>#VALUE!</v>
      </c>
      <c r="Z285" s="106" t="e">
        <f t="shared" si="142"/>
        <v>#VALUE!</v>
      </c>
      <c r="AA285" s="106" t="e">
        <f t="shared" si="142"/>
        <v>#VALUE!</v>
      </c>
    </row>
    <row r="286" spans="1:28" hidden="1" x14ac:dyDescent="0.25"/>
    <row r="287" spans="1:28" hidden="1" x14ac:dyDescent="0.25">
      <c r="D287" s="47" t="s">
        <v>722</v>
      </c>
    </row>
    <row r="288" spans="1:28" hidden="1" x14ac:dyDescent="0.25">
      <c r="E288" s="47" t="s">
        <v>573</v>
      </c>
      <c r="F288" s="47" t="s">
        <v>639</v>
      </c>
      <c r="G288" s="106">
        <f t="shared" ref="G288:AA293" si="143">G222</f>
        <v>0</v>
      </c>
      <c r="H288" s="106">
        <f t="shared" si="143"/>
        <v>1234166.8109491884</v>
      </c>
      <c r="I288" s="106">
        <f t="shared" si="143"/>
        <v>1244387.0219450446</v>
      </c>
      <c r="J288" s="106">
        <f t="shared" si="143"/>
        <v>1060916.3266165103</v>
      </c>
      <c r="K288" s="106">
        <f t="shared" si="143"/>
        <v>988189.52997885097</v>
      </c>
      <c r="L288" s="106">
        <f t="shared" si="143"/>
        <v>734550.19938942033</v>
      </c>
      <c r="M288" s="106">
        <f t="shared" si="143"/>
        <v>602933.84523563483</v>
      </c>
      <c r="N288" s="106">
        <f t="shared" si="143"/>
        <v>590535.95720360859</v>
      </c>
      <c r="O288" s="106">
        <f t="shared" si="143"/>
        <v>752222.96427281026</v>
      </c>
      <c r="P288" s="106">
        <f t="shared" si="143"/>
        <v>733969.34904559643</v>
      </c>
      <c r="Q288" s="106">
        <f t="shared" si="143"/>
        <v>664326.62340877624</v>
      </c>
      <c r="R288" s="106">
        <f t="shared" si="143"/>
        <v>609646.24834272638</v>
      </c>
      <c r="S288" s="106">
        <f t="shared" si="143"/>
        <v>546673.49830112897</v>
      </c>
      <c r="T288" s="106">
        <f t="shared" si="143"/>
        <v>482971.40019814734</v>
      </c>
      <c r="U288" s="106">
        <f t="shared" si="143"/>
        <v>431591.41371147439</v>
      </c>
      <c r="V288" s="106">
        <f t="shared" si="143"/>
        <v>454222.99222979636</v>
      </c>
      <c r="W288" s="106">
        <f t="shared" si="143"/>
        <v>570958.21613941446</v>
      </c>
      <c r="X288" s="106">
        <f t="shared" si="143"/>
        <v>658262.35729099216</v>
      </c>
      <c r="Y288" s="106">
        <f t="shared" si="143"/>
        <v>605660.16395267367</v>
      </c>
      <c r="Z288" s="106">
        <f t="shared" si="143"/>
        <v>535365.57394800475</v>
      </c>
      <c r="AA288" s="106">
        <f t="shared" si="143"/>
        <v>501916.40454039664</v>
      </c>
    </row>
    <row r="289" spans="4:28" hidden="1" x14ac:dyDescent="0.25">
      <c r="E289" s="47" t="s">
        <v>723</v>
      </c>
      <c r="F289" s="47" t="s">
        <v>639</v>
      </c>
      <c r="G289" s="106">
        <f t="shared" si="143"/>
        <v>0</v>
      </c>
      <c r="H289" s="106">
        <f t="shared" si="143"/>
        <v>215224.25864054894</v>
      </c>
      <c r="I289" s="106">
        <f t="shared" si="143"/>
        <v>420341.46989015926</v>
      </c>
      <c r="J289" s="106">
        <f t="shared" si="143"/>
        <v>556023.89207683119</v>
      </c>
      <c r="K289" s="106">
        <f t="shared" si="143"/>
        <v>670661.26844936307</v>
      </c>
      <c r="L289" s="106">
        <f t="shared" si="143"/>
        <v>768061.84717382398</v>
      </c>
      <c r="M289" s="106">
        <f t="shared" si="143"/>
        <v>845967.92382104485</v>
      </c>
      <c r="N289" s="106">
        <f t="shared" si="143"/>
        <v>920689.28212232387</v>
      </c>
      <c r="O289" s="106">
        <f t="shared" si="143"/>
        <v>1014465.3474064318</v>
      </c>
      <c r="P289" s="106">
        <f t="shared" si="143"/>
        <v>1108889.6384151613</v>
      </c>
      <c r="Q289" s="106">
        <f t="shared" si="143"/>
        <v>984471.65420683799</v>
      </c>
      <c r="R289" s="106">
        <f t="shared" si="143"/>
        <v>1048190.1670400412</v>
      </c>
      <c r="S289" s="106">
        <f t="shared" si="143"/>
        <v>1105132.7164410739</v>
      </c>
      <c r="T289" s="106">
        <f t="shared" si="143"/>
        <v>1155435.0858234868</v>
      </c>
      <c r="U289" s="106">
        <f t="shared" si="143"/>
        <v>1200430.0511229376</v>
      </c>
      <c r="V289" s="106">
        <f t="shared" si="143"/>
        <v>1112643.9210499942</v>
      </c>
      <c r="W289" s="106">
        <f t="shared" si="143"/>
        <v>1165204.8659542638</v>
      </c>
      <c r="X289" s="106">
        <f t="shared" si="143"/>
        <v>1225509.4784198171</v>
      </c>
      <c r="Y289" s="106">
        <f t="shared" si="143"/>
        <v>1281251.4710916388</v>
      </c>
      <c r="Z289" s="106">
        <f t="shared" si="143"/>
        <v>1331247.2569678195</v>
      </c>
      <c r="AA289" s="106">
        <f t="shared" si="143"/>
        <v>1380466.8422992099</v>
      </c>
    </row>
    <row r="290" spans="4:28" hidden="1" x14ac:dyDescent="0.25">
      <c r="E290" s="47" t="s">
        <v>701</v>
      </c>
      <c r="F290" s="47" t="s">
        <v>639</v>
      </c>
      <c r="G290" s="106">
        <f t="shared" si="143"/>
        <v>0</v>
      </c>
      <c r="H290" s="106">
        <f t="shared" si="143"/>
        <v>0</v>
      </c>
      <c r="I290" s="106">
        <f t="shared" si="143"/>
        <v>0</v>
      </c>
      <c r="J290" s="106">
        <f t="shared" si="143"/>
        <v>0</v>
      </c>
      <c r="K290" s="106">
        <f t="shared" si="143"/>
        <v>0</v>
      </c>
      <c r="L290" s="106">
        <f t="shared" si="143"/>
        <v>0</v>
      </c>
      <c r="M290" s="106">
        <f t="shared" si="143"/>
        <v>0</v>
      </c>
      <c r="N290" s="106">
        <f t="shared" si="143"/>
        <v>0</v>
      </c>
      <c r="O290" s="106">
        <f t="shared" si="143"/>
        <v>0</v>
      </c>
      <c r="P290" s="106">
        <f t="shared" si="143"/>
        <v>0</v>
      </c>
      <c r="Q290" s="106">
        <f t="shared" si="143"/>
        <v>0</v>
      </c>
      <c r="R290" s="106">
        <f t="shared" si="143"/>
        <v>0</v>
      </c>
      <c r="S290" s="106">
        <f t="shared" si="143"/>
        <v>0</v>
      </c>
      <c r="T290" s="106">
        <f t="shared" si="143"/>
        <v>0</v>
      </c>
      <c r="U290" s="106">
        <f t="shared" si="143"/>
        <v>0</v>
      </c>
      <c r="V290" s="106">
        <f t="shared" si="143"/>
        <v>0</v>
      </c>
      <c r="W290" s="106">
        <f t="shared" si="143"/>
        <v>0</v>
      </c>
      <c r="X290" s="106">
        <f t="shared" si="143"/>
        <v>0</v>
      </c>
      <c r="Y290" s="106">
        <f t="shared" si="143"/>
        <v>0</v>
      </c>
      <c r="Z290" s="106">
        <f t="shared" si="143"/>
        <v>0</v>
      </c>
      <c r="AA290" s="106">
        <f t="shared" si="143"/>
        <v>0</v>
      </c>
    </row>
    <row r="291" spans="4:28" hidden="1" x14ac:dyDescent="0.25">
      <c r="E291" s="47" t="s">
        <v>702</v>
      </c>
      <c r="F291" s="47" t="s">
        <v>639</v>
      </c>
      <c r="G291" s="106">
        <f t="shared" si="143"/>
        <v>0</v>
      </c>
      <c r="H291" s="106">
        <f t="shared" si="143"/>
        <v>-401944.92812451115</v>
      </c>
      <c r="I291" s="106">
        <f t="shared" si="143"/>
        <v>-743420.77856448153</v>
      </c>
      <c r="J291" s="106">
        <f t="shared" si="143"/>
        <v>-942076.06580750505</v>
      </c>
      <c r="K291" s="106">
        <f t="shared" si="143"/>
        <v>-1100205.5831593152</v>
      </c>
      <c r="L291" s="106">
        <f t="shared" si="143"/>
        <v>-1225714.1412863825</v>
      </c>
      <c r="M291" s="106">
        <f t="shared" si="143"/>
        <v>-1314166.2370804555</v>
      </c>
      <c r="N291" s="106">
        <f t="shared" si="143"/>
        <v>-1394162.9576188859</v>
      </c>
      <c r="O291" s="106">
        <f t="shared" si="143"/>
        <v>-1501179.2304322997</v>
      </c>
      <c r="P291" s="106">
        <f t="shared" si="143"/>
        <v>-1597832.2018709127</v>
      </c>
      <c r="Q291" s="106">
        <f t="shared" si="143"/>
        <v>-1730257.5128251491</v>
      </c>
      <c r="R291" s="106">
        <f t="shared" si="143"/>
        <v>-1851782.9660647258</v>
      </c>
      <c r="S291" s="106">
        <f t="shared" si="143"/>
        <v>-1960755.5790115078</v>
      </c>
      <c r="T291" s="106">
        <f t="shared" si="143"/>
        <v>-2057029.9651336006</v>
      </c>
      <c r="U291" s="106">
        <f t="shared" si="143"/>
        <v>-2143062.3852594947</v>
      </c>
      <c r="V291" s="106">
        <f t="shared" si="143"/>
        <v>-2233606.1311656144</v>
      </c>
      <c r="W291" s="106">
        <f t="shared" si="143"/>
        <v>-2347419.6028072797</v>
      </c>
      <c r="X291" s="106">
        <f t="shared" si="143"/>
        <v>-2478636.077177132</v>
      </c>
      <c r="Y291" s="106">
        <f t="shared" si="143"/>
        <v>-2599366.9537036247</v>
      </c>
      <c r="Z291" s="106">
        <f t="shared" si="143"/>
        <v>-2706085.4715322163</v>
      </c>
      <c r="AA291" s="106">
        <f t="shared" si="143"/>
        <v>-2806136.3103850135</v>
      </c>
    </row>
    <row r="292" spans="4:28" hidden="1" x14ac:dyDescent="0.25">
      <c r="E292" s="47" t="s">
        <v>724</v>
      </c>
      <c r="F292" s="47" t="s">
        <v>639</v>
      </c>
      <c r="G292" s="106">
        <f t="shared" si="143"/>
        <v>0</v>
      </c>
      <c r="H292" s="106">
        <f t="shared" si="143"/>
        <v>-14664.269381813685</v>
      </c>
      <c r="I292" s="106">
        <f t="shared" si="143"/>
        <v>-31344.706295004507</v>
      </c>
      <c r="J292" s="106">
        <f t="shared" si="143"/>
        <v>-45986.579926767168</v>
      </c>
      <c r="K292" s="106">
        <f t="shared" si="143"/>
        <v>-59820.37804033362</v>
      </c>
      <c r="L292" s="106">
        <f t="shared" si="143"/>
        <v>-70954.874471537012</v>
      </c>
      <c r="M292" s="106">
        <f t="shared" si="143"/>
        <v>-119273.72510598172</v>
      </c>
      <c r="N292" s="106">
        <f t="shared" si="143"/>
        <v>-167454.82142895949</v>
      </c>
      <c r="O292" s="106">
        <f t="shared" si="143"/>
        <v>-175812.85436532402</v>
      </c>
      <c r="P292" s="106">
        <f t="shared" si="143"/>
        <v>-183968.06935471954</v>
      </c>
      <c r="Q292" s="106">
        <f t="shared" si="143"/>
        <v>-208591.87606625631</v>
      </c>
      <c r="R292" s="106">
        <f t="shared" si="143"/>
        <v>-232608.12305483696</v>
      </c>
      <c r="S292" s="106">
        <f t="shared" si="143"/>
        <v>-255924.67282073322</v>
      </c>
      <c r="T292" s="106">
        <f t="shared" si="143"/>
        <v>-278533.42149659636</v>
      </c>
      <c r="U292" s="106">
        <f t="shared" si="143"/>
        <v>-300571.28143371863</v>
      </c>
      <c r="V292" s="106">
        <f t="shared" si="143"/>
        <v>-322860.6033543779</v>
      </c>
      <c r="W292" s="106">
        <f t="shared" si="143"/>
        <v>-346446.98331847729</v>
      </c>
      <c r="X292" s="106">
        <f t="shared" si="143"/>
        <v>-371003.40929537202</v>
      </c>
      <c r="Y292" s="106">
        <f t="shared" si="143"/>
        <v>-394975.36645739654</v>
      </c>
      <c r="Z292" s="106">
        <f t="shared" si="143"/>
        <v>-418166.27261936921</v>
      </c>
      <c r="AA292" s="106">
        <f t="shared" si="143"/>
        <v>-440985.52134347952</v>
      </c>
    </row>
    <row r="293" spans="4:28" hidden="1" x14ac:dyDescent="0.25">
      <c r="E293" s="47" t="s">
        <v>709</v>
      </c>
      <c r="F293" s="47" t="s">
        <v>639</v>
      </c>
      <c r="G293" s="106">
        <f t="shared" si="143"/>
        <v>0</v>
      </c>
      <c r="H293" s="106">
        <f t="shared" si="143"/>
        <v>0</v>
      </c>
      <c r="I293" s="106">
        <f t="shared" si="143"/>
        <v>0</v>
      </c>
      <c r="J293" s="106">
        <f t="shared" si="143"/>
        <v>0</v>
      </c>
      <c r="K293" s="106">
        <f t="shared" si="143"/>
        <v>0</v>
      </c>
      <c r="L293" s="106">
        <f t="shared" si="143"/>
        <v>0</v>
      </c>
      <c r="M293" s="106">
        <f t="shared" si="143"/>
        <v>0</v>
      </c>
      <c r="N293" s="106">
        <f t="shared" si="143"/>
        <v>0</v>
      </c>
      <c r="O293" s="106">
        <f t="shared" si="143"/>
        <v>0</v>
      </c>
      <c r="P293" s="106">
        <f t="shared" si="143"/>
        <v>0</v>
      </c>
      <c r="Q293" s="106">
        <f t="shared" si="143"/>
        <v>0</v>
      </c>
      <c r="R293" s="106">
        <f t="shared" si="143"/>
        <v>0</v>
      </c>
      <c r="S293" s="106">
        <f t="shared" si="143"/>
        <v>0</v>
      </c>
      <c r="T293" s="106">
        <f t="shared" si="143"/>
        <v>0</v>
      </c>
      <c r="U293" s="106">
        <f t="shared" si="143"/>
        <v>0</v>
      </c>
      <c r="V293" s="106">
        <f t="shared" si="143"/>
        <v>0</v>
      </c>
      <c r="W293" s="106">
        <f t="shared" si="143"/>
        <v>0</v>
      </c>
      <c r="X293" s="106">
        <f t="shared" si="143"/>
        <v>0</v>
      </c>
      <c r="Y293" s="106">
        <f t="shared" si="143"/>
        <v>0</v>
      </c>
      <c r="Z293" s="106">
        <f t="shared" si="143"/>
        <v>0</v>
      </c>
      <c r="AA293" s="106">
        <f t="shared" si="143"/>
        <v>0</v>
      </c>
    </row>
    <row r="294" spans="4:28" hidden="1" x14ac:dyDescent="0.25">
      <c r="E294" s="47" t="s">
        <v>725</v>
      </c>
      <c r="F294" s="47" t="s">
        <v>639</v>
      </c>
      <c r="G294" s="106" t="e">
        <f t="shared" ref="G294:AA294" si="144">G285</f>
        <v>#VALUE!</v>
      </c>
      <c r="H294" s="106" t="e">
        <f t="shared" si="144"/>
        <v>#VALUE!</v>
      </c>
      <c r="I294" s="106" t="e">
        <f t="shared" si="144"/>
        <v>#VALUE!</v>
      </c>
      <c r="J294" s="106" t="e">
        <f t="shared" si="144"/>
        <v>#VALUE!</v>
      </c>
      <c r="K294" s="106" t="e">
        <f t="shared" si="144"/>
        <v>#VALUE!</v>
      </c>
      <c r="L294" s="106" t="e">
        <f t="shared" si="144"/>
        <v>#VALUE!</v>
      </c>
      <c r="M294" s="106" t="e">
        <f t="shared" si="144"/>
        <v>#VALUE!</v>
      </c>
      <c r="N294" s="106" t="e">
        <f t="shared" si="144"/>
        <v>#VALUE!</v>
      </c>
      <c r="O294" s="106" t="e">
        <f t="shared" si="144"/>
        <v>#VALUE!</v>
      </c>
      <c r="P294" s="106" t="e">
        <f t="shared" si="144"/>
        <v>#VALUE!</v>
      </c>
      <c r="Q294" s="106" t="e">
        <f t="shared" si="144"/>
        <v>#VALUE!</v>
      </c>
      <c r="R294" s="106" t="e">
        <f t="shared" si="144"/>
        <v>#VALUE!</v>
      </c>
      <c r="S294" s="106" t="e">
        <f t="shared" si="144"/>
        <v>#VALUE!</v>
      </c>
      <c r="T294" s="106" t="e">
        <f t="shared" si="144"/>
        <v>#VALUE!</v>
      </c>
      <c r="U294" s="106" t="e">
        <f t="shared" si="144"/>
        <v>#VALUE!</v>
      </c>
      <c r="V294" s="106" t="e">
        <f t="shared" si="144"/>
        <v>#VALUE!</v>
      </c>
      <c r="W294" s="106" t="e">
        <f t="shared" si="144"/>
        <v>#VALUE!</v>
      </c>
      <c r="X294" s="106" t="e">
        <f t="shared" si="144"/>
        <v>#VALUE!</v>
      </c>
      <c r="Y294" s="106" t="e">
        <f t="shared" si="144"/>
        <v>#VALUE!</v>
      </c>
      <c r="Z294" s="106" t="e">
        <f t="shared" si="144"/>
        <v>#VALUE!</v>
      </c>
      <c r="AA294" s="106" t="e">
        <f t="shared" si="144"/>
        <v>#VALUE!</v>
      </c>
    </row>
    <row r="295" spans="4:28" hidden="1" x14ac:dyDescent="0.25"/>
    <row r="296" spans="4:28" hidden="1" x14ac:dyDescent="0.25">
      <c r="E296" s="47" t="s">
        <v>726</v>
      </c>
      <c r="F296" s="47" t="s">
        <v>639</v>
      </c>
      <c r="G296" s="106" t="e">
        <f t="shared" ref="G296:AA296" si="145">SUM(G288:G294)</f>
        <v>#VALUE!</v>
      </c>
      <c r="H296" s="106" t="e">
        <f t="shared" si="145"/>
        <v>#VALUE!</v>
      </c>
      <c r="I296" s="106" t="e">
        <f t="shared" si="145"/>
        <v>#VALUE!</v>
      </c>
      <c r="J296" s="106" t="e">
        <f t="shared" si="145"/>
        <v>#VALUE!</v>
      </c>
      <c r="K296" s="106" t="e">
        <f t="shared" si="145"/>
        <v>#VALUE!</v>
      </c>
      <c r="L296" s="106" t="e">
        <f t="shared" si="145"/>
        <v>#VALUE!</v>
      </c>
      <c r="M296" s="106" t="e">
        <f t="shared" si="145"/>
        <v>#VALUE!</v>
      </c>
      <c r="N296" s="106" t="e">
        <f t="shared" si="145"/>
        <v>#VALUE!</v>
      </c>
      <c r="O296" s="106" t="e">
        <f t="shared" si="145"/>
        <v>#VALUE!</v>
      </c>
      <c r="P296" s="106" t="e">
        <f t="shared" si="145"/>
        <v>#VALUE!</v>
      </c>
      <c r="Q296" s="106" t="e">
        <f t="shared" si="145"/>
        <v>#VALUE!</v>
      </c>
      <c r="R296" s="106" t="e">
        <f t="shared" si="145"/>
        <v>#VALUE!</v>
      </c>
      <c r="S296" s="106" t="e">
        <f t="shared" si="145"/>
        <v>#VALUE!</v>
      </c>
      <c r="T296" s="106" t="e">
        <f t="shared" si="145"/>
        <v>#VALUE!</v>
      </c>
      <c r="U296" s="106" t="e">
        <f t="shared" si="145"/>
        <v>#VALUE!</v>
      </c>
      <c r="V296" s="106" t="e">
        <f t="shared" si="145"/>
        <v>#VALUE!</v>
      </c>
      <c r="W296" s="106" t="e">
        <f t="shared" si="145"/>
        <v>#VALUE!</v>
      </c>
      <c r="X296" s="106" t="e">
        <f t="shared" si="145"/>
        <v>#VALUE!</v>
      </c>
      <c r="Y296" s="106" t="e">
        <f t="shared" si="145"/>
        <v>#VALUE!</v>
      </c>
      <c r="Z296" s="106" t="e">
        <f t="shared" si="145"/>
        <v>#VALUE!</v>
      </c>
      <c r="AA296" s="106" t="e">
        <f t="shared" si="145"/>
        <v>#VALUE!</v>
      </c>
    </row>
    <row r="297" spans="4:28" hidden="1" x14ac:dyDescent="0.25">
      <c r="E297" s="47" t="s">
        <v>727</v>
      </c>
      <c r="F297" s="47" t="s">
        <v>639</v>
      </c>
      <c r="G297" s="106" t="e">
        <f t="shared" ref="G297:AA297" si="146">-G296*G$18</f>
        <v>#VALUE!</v>
      </c>
      <c r="H297" s="106" t="e">
        <f t="shared" si="146"/>
        <v>#VALUE!</v>
      </c>
      <c r="I297" s="106" t="e">
        <f t="shared" si="146"/>
        <v>#VALUE!</v>
      </c>
      <c r="J297" s="106" t="e">
        <f t="shared" si="146"/>
        <v>#VALUE!</v>
      </c>
      <c r="K297" s="106" t="e">
        <f t="shared" si="146"/>
        <v>#VALUE!</v>
      </c>
      <c r="L297" s="106" t="e">
        <f t="shared" si="146"/>
        <v>#VALUE!</v>
      </c>
      <c r="M297" s="106" t="e">
        <f t="shared" si="146"/>
        <v>#VALUE!</v>
      </c>
      <c r="N297" s="106" t="e">
        <f t="shared" si="146"/>
        <v>#VALUE!</v>
      </c>
      <c r="O297" s="106" t="e">
        <f t="shared" si="146"/>
        <v>#VALUE!</v>
      </c>
      <c r="P297" s="106" t="e">
        <f t="shared" si="146"/>
        <v>#VALUE!</v>
      </c>
      <c r="Q297" s="106" t="e">
        <f t="shared" si="146"/>
        <v>#VALUE!</v>
      </c>
      <c r="R297" s="106" t="e">
        <f t="shared" si="146"/>
        <v>#VALUE!</v>
      </c>
      <c r="S297" s="106" t="e">
        <f t="shared" si="146"/>
        <v>#VALUE!</v>
      </c>
      <c r="T297" s="106" t="e">
        <f t="shared" si="146"/>
        <v>#VALUE!</v>
      </c>
      <c r="U297" s="106" t="e">
        <f t="shared" si="146"/>
        <v>#VALUE!</v>
      </c>
      <c r="V297" s="106" t="e">
        <f t="shared" si="146"/>
        <v>#VALUE!</v>
      </c>
      <c r="W297" s="106" t="e">
        <f t="shared" si="146"/>
        <v>#VALUE!</v>
      </c>
      <c r="X297" s="106" t="e">
        <f t="shared" si="146"/>
        <v>#VALUE!</v>
      </c>
      <c r="Y297" s="106" t="e">
        <f t="shared" si="146"/>
        <v>#VALUE!</v>
      </c>
      <c r="Z297" s="106" t="e">
        <f t="shared" si="146"/>
        <v>#VALUE!</v>
      </c>
      <c r="AA297" s="106" t="e">
        <f t="shared" si="146"/>
        <v>#VALUE!</v>
      </c>
    </row>
    <row r="298" spans="4:28" hidden="1" x14ac:dyDescent="0.25"/>
    <row r="299" spans="4:28" hidden="1" x14ac:dyDescent="0.25">
      <c r="D299" s="47" t="s">
        <v>728</v>
      </c>
    </row>
    <row r="300" spans="4:28" hidden="1" x14ac:dyDescent="0.25">
      <c r="E300" s="47" t="s">
        <v>638</v>
      </c>
      <c r="F300" s="47" t="s">
        <v>639</v>
      </c>
      <c r="G300" s="106">
        <f t="shared" ref="G300:AA307" si="147">G234</f>
        <v>0</v>
      </c>
      <c r="H300" s="106">
        <f t="shared" si="147"/>
        <v>-85617.433414043204</v>
      </c>
      <c r="I300" s="106">
        <f t="shared" si="147"/>
        <v>-256852.3002421296</v>
      </c>
      <c r="J300" s="106">
        <f t="shared" si="147"/>
        <v>-256852.3002421296</v>
      </c>
      <c r="K300" s="106">
        <f t="shared" si="147"/>
        <v>-256852.3002421296</v>
      </c>
      <c r="L300" s="106">
        <f t="shared" si="147"/>
        <v>-267554.47941888502</v>
      </c>
      <c r="M300" s="106">
        <f t="shared" si="147"/>
        <v>-3745762.7118643895</v>
      </c>
      <c r="N300" s="106">
        <f t="shared" si="147"/>
        <v>-3745762.7118643895</v>
      </c>
      <c r="O300" s="106">
        <f t="shared" si="147"/>
        <v>0</v>
      </c>
      <c r="P300" s="106">
        <f t="shared" si="147"/>
        <v>0</v>
      </c>
      <c r="Q300" s="106">
        <f t="shared" si="147"/>
        <v>-1551815.9806295328</v>
      </c>
      <c r="R300" s="106">
        <f t="shared" si="147"/>
        <v>-1551815.9806295328</v>
      </c>
      <c r="S300" s="106">
        <f t="shared" si="147"/>
        <v>-1551815.9806295328</v>
      </c>
      <c r="T300" s="106">
        <f t="shared" si="147"/>
        <v>-1551815.9806295328</v>
      </c>
      <c r="U300" s="106">
        <f t="shared" si="147"/>
        <v>-1551815.9806295328</v>
      </c>
      <c r="V300" s="106">
        <f t="shared" si="147"/>
        <v>-1551815.9806295328</v>
      </c>
      <c r="W300" s="106">
        <f t="shared" si="147"/>
        <v>-1551815.9806295328</v>
      </c>
      <c r="X300" s="106">
        <f t="shared" si="147"/>
        <v>-1551815.9806295328</v>
      </c>
      <c r="Y300" s="106">
        <f t="shared" si="147"/>
        <v>-1551815.9806295328</v>
      </c>
      <c r="Z300" s="106">
        <f t="shared" si="147"/>
        <v>-1551815.9806295328</v>
      </c>
      <c r="AA300" s="106">
        <f t="shared" si="147"/>
        <v>-1551815.9806295328</v>
      </c>
    </row>
    <row r="301" spans="4:28" hidden="1" x14ac:dyDescent="0.25">
      <c r="E301" s="47" t="s">
        <v>729</v>
      </c>
      <c r="F301" s="47" t="s">
        <v>639</v>
      </c>
      <c r="G301" s="106">
        <f t="shared" si="147"/>
        <v>0</v>
      </c>
      <c r="H301" s="106">
        <f t="shared" si="147"/>
        <v>0</v>
      </c>
      <c r="I301" s="106">
        <f t="shared" si="147"/>
        <v>0</v>
      </c>
      <c r="J301" s="106">
        <f t="shared" si="147"/>
        <v>0</v>
      </c>
      <c r="K301" s="106">
        <f t="shared" si="147"/>
        <v>0</v>
      </c>
      <c r="L301" s="106">
        <f t="shared" si="147"/>
        <v>0</v>
      </c>
      <c r="M301" s="106">
        <f t="shared" si="147"/>
        <v>0</v>
      </c>
      <c r="N301" s="106">
        <f t="shared" si="147"/>
        <v>0</v>
      </c>
      <c r="O301" s="106">
        <f t="shared" si="147"/>
        <v>0</v>
      </c>
      <c r="P301" s="106">
        <f t="shared" si="147"/>
        <v>0</v>
      </c>
      <c r="Q301" s="106">
        <f t="shared" si="147"/>
        <v>0</v>
      </c>
      <c r="R301" s="106">
        <f t="shared" si="147"/>
        <v>0</v>
      </c>
      <c r="S301" s="106">
        <f t="shared" si="147"/>
        <v>0</v>
      </c>
      <c r="T301" s="106">
        <f t="shared" si="147"/>
        <v>0</v>
      </c>
      <c r="U301" s="106">
        <f t="shared" si="147"/>
        <v>0</v>
      </c>
      <c r="V301" s="106">
        <f t="shared" si="147"/>
        <v>0</v>
      </c>
      <c r="W301" s="106">
        <f t="shared" si="147"/>
        <v>0</v>
      </c>
      <c r="X301" s="106">
        <f t="shared" si="147"/>
        <v>0</v>
      </c>
      <c r="Y301" s="106">
        <f t="shared" si="147"/>
        <v>0</v>
      </c>
      <c r="Z301" s="106">
        <f t="shared" si="147"/>
        <v>0</v>
      </c>
      <c r="AA301" s="106">
        <f t="shared" si="147"/>
        <v>0</v>
      </c>
    </row>
    <row r="302" spans="4:28" hidden="1" x14ac:dyDescent="0.25">
      <c r="E302" s="47" t="s">
        <v>645</v>
      </c>
      <c r="F302" s="47" t="s">
        <v>639</v>
      </c>
      <c r="G302" s="106">
        <f t="shared" si="147"/>
        <v>0</v>
      </c>
      <c r="H302" s="106">
        <f t="shared" si="147"/>
        <v>0</v>
      </c>
      <c r="I302" s="106">
        <f t="shared" si="147"/>
        <v>0</v>
      </c>
      <c r="J302" s="106">
        <f t="shared" si="147"/>
        <v>0</v>
      </c>
      <c r="K302" s="106">
        <f t="shared" si="147"/>
        <v>0</v>
      </c>
      <c r="L302" s="106">
        <f t="shared" si="147"/>
        <v>0</v>
      </c>
      <c r="M302" s="106">
        <f t="shared" si="147"/>
        <v>0</v>
      </c>
      <c r="N302" s="106">
        <f t="shared" si="147"/>
        <v>0</v>
      </c>
      <c r="O302" s="106">
        <f t="shared" si="147"/>
        <v>0</v>
      </c>
      <c r="P302" s="106">
        <f t="shared" si="147"/>
        <v>0</v>
      </c>
      <c r="Q302" s="106">
        <f t="shared" si="147"/>
        <v>0</v>
      </c>
      <c r="R302" s="106">
        <f t="shared" si="147"/>
        <v>0</v>
      </c>
      <c r="S302" s="106">
        <f t="shared" si="147"/>
        <v>0</v>
      </c>
      <c r="T302" s="106">
        <f t="shared" si="147"/>
        <v>0</v>
      </c>
      <c r="U302" s="106">
        <f t="shared" si="147"/>
        <v>0</v>
      </c>
      <c r="V302" s="106">
        <f t="shared" si="147"/>
        <v>0</v>
      </c>
      <c r="W302" s="106">
        <f t="shared" si="147"/>
        <v>0</v>
      </c>
      <c r="X302" s="106">
        <f t="shared" si="147"/>
        <v>0</v>
      </c>
      <c r="Y302" s="106">
        <f t="shared" si="147"/>
        <v>0</v>
      </c>
      <c r="Z302" s="106">
        <f t="shared" si="147"/>
        <v>0</v>
      </c>
      <c r="AA302" s="106">
        <f t="shared" si="147"/>
        <v>0</v>
      </c>
    </row>
    <row r="303" spans="4:28" hidden="1" x14ac:dyDescent="0.25">
      <c r="E303" s="47" t="s">
        <v>723</v>
      </c>
      <c r="F303" s="47" t="s">
        <v>639</v>
      </c>
      <c r="G303" s="106">
        <f t="shared" si="147"/>
        <v>0</v>
      </c>
      <c r="H303" s="106">
        <f t="shared" si="147"/>
        <v>215224.25864054894</v>
      </c>
      <c r="I303" s="106">
        <f t="shared" si="147"/>
        <v>420341.46989015926</v>
      </c>
      <c r="J303" s="106">
        <f t="shared" si="147"/>
        <v>556023.89207683119</v>
      </c>
      <c r="K303" s="106">
        <f t="shared" si="147"/>
        <v>670661.26844936307</v>
      </c>
      <c r="L303" s="106">
        <f t="shared" si="147"/>
        <v>768061.84717382398</v>
      </c>
      <c r="M303" s="106">
        <f t="shared" si="147"/>
        <v>845967.92382104485</v>
      </c>
      <c r="N303" s="106">
        <f t="shared" si="147"/>
        <v>920689.28212232387</v>
      </c>
      <c r="O303" s="106">
        <f t="shared" si="147"/>
        <v>1014465.3474064318</v>
      </c>
      <c r="P303" s="106">
        <f t="shared" si="147"/>
        <v>1108889.6384151613</v>
      </c>
      <c r="Q303" s="106">
        <f t="shared" si="147"/>
        <v>984471.65420683799</v>
      </c>
      <c r="R303" s="106">
        <f t="shared" si="147"/>
        <v>1048190.1670400412</v>
      </c>
      <c r="S303" s="106">
        <f t="shared" si="147"/>
        <v>1105132.7164410739</v>
      </c>
      <c r="T303" s="106">
        <f t="shared" si="147"/>
        <v>1155435.0858234868</v>
      </c>
      <c r="U303" s="106">
        <f t="shared" si="147"/>
        <v>1200430.0511229376</v>
      </c>
      <c r="V303" s="106">
        <f t="shared" si="147"/>
        <v>1112643.9210499942</v>
      </c>
      <c r="W303" s="106">
        <f t="shared" si="147"/>
        <v>1165204.8659542638</v>
      </c>
      <c r="X303" s="106">
        <f t="shared" si="147"/>
        <v>1225509.4784198171</v>
      </c>
      <c r="Y303" s="106">
        <f t="shared" si="147"/>
        <v>1281251.4710916388</v>
      </c>
      <c r="Z303" s="106">
        <f t="shared" si="147"/>
        <v>1331247.2569678195</v>
      </c>
      <c r="AA303" s="106">
        <f t="shared" si="147"/>
        <v>1380466.8422992099</v>
      </c>
      <c r="AB303" s="106">
        <f t="shared" ref="AB303:AB307" si="148">IF(V303=0,0,IF($G$15&gt;(AA303/V303)^(1/5)-1+2%,AA303*(AA303/V303)^(1/5)/($G$15-((AA303/V303)^(1/5)-1)),AA303*(1+$G$14)/$G$16))</f>
        <v>57280781.838141464</v>
      </c>
    </row>
    <row r="304" spans="4:28" hidden="1" x14ac:dyDescent="0.25">
      <c r="E304" s="47" t="s">
        <v>701</v>
      </c>
      <c r="F304" s="47" t="s">
        <v>639</v>
      </c>
      <c r="G304" s="106">
        <f t="shared" si="147"/>
        <v>0</v>
      </c>
      <c r="H304" s="106">
        <f t="shared" si="147"/>
        <v>0</v>
      </c>
      <c r="I304" s="106">
        <f t="shared" si="147"/>
        <v>0</v>
      </c>
      <c r="J304" s="106">
        <f t="shared" si="147"/>
        <v>0</v>
      </c>
      <c r="K304" s="106">
        <f t="shared" si="147"/>
        <v>0</v>
      </c>
      <c r="L304" s="106">
        <f t="shared" si="147"/>
        <v>0</v>
      </c>
      <c r="M304" s="106">
        <f t="shared" si="147"/>
        <v>0</v>
      </c>
      <c r="N304" s="106">
        <f t="shared" si="147"/>
        <v>0</v>
      </c>
      <c r="O304" s="106">
        <f t="shared" si="147"/>
        <v>0</v>
      </c>
      <c r="P304" s="106">
        <f t="shared" si="147"/>
        <v>0</v>
      </c>
      <c r="Q304" s="106">
        <f t="shared" si="147"/>
        <v>0</v>
      </c>
      <c r="R304" s="106">
        <f t="shared" si="147"/>
        <v>0</v>
      </c>
      <c r="S304" s="106">
        <f t="shared" si="147"/>
        <v>0</v>
      </c>
      <c r="T304" s="106">
        <f t="shared" si="147"/>
        <v>0</v>
      </c>
      <c r="U304" s="106">
        <f t="shared" si="147"/>
        <v>0</v>
      </c>
      <c r="V304" s="106">
        <f t="shared" si="147"/>
        <v>0</v>
      </c>
      <c r="W304" s="106">
        <f t="shared" si="147"/>
        <v>0</v>
      </c>
      <c r="X304" s="106">
        <f t="shared" si="147"/>
        <v>0</v>
      </c>
      <c r="Y304" s="106">
        <f t="shared" si="147"/>
        <v>0</v>
      </c>
      <c r="Z304" s="106">
        <f t="shared" si="147"/>
        <v>0</v>
      </c>
      <c r="AA304" s="106">
        <f t="shared" si="147"/>
        <v>0</v>
      </c>
      <c r="AB304" s="106">
        <f t="shared" si="148"/>
        <v>0</v>
      </c>
    </row>
    <row r="305" spans="1:28" hidden="1" x14ac:dyDescent="0.25">
      <c r="E305" s="47" t="s">
        <v>702</v>
      </c>
      <c r="F305" s="47" t="s">
        <v>639</v>
      </c>
      <c r="G305" s="106">
        <f t="shared" si="147"/>
        <v>0</v>
      </c>
      <c r="H305" s="106">
        <f t="shared" si="147"/>
        <v>-401944.92812451115</v>
      </c>
      <c r="I305" s="106">
        <f t="shared" si="147"/>
        <v>-743420.77856448153</v>
      </c>
      <c r="J305" s="106">
        <f t="shared" si="147"/>
        <v>-942076.06580750505</v>
      </c>
      <c r="K305" s="106">
        <f t="shared" si="147"/>
        <v>-1100205.5831593152</v>
      </c>
      <c r="L305" s="106">
        <f t="shared" si="147"/>
        <v>-1225714.1412863825</v>
      </c>
      <c r="M305" s="106">
        <f t="shared" si="147"/>
        <v>-1314166.2370804555</v>
      </c>
      <c r="N305" s="106">
        <f t="shared" si="147"/>
        <v>-1394162.9576188859</v>
      </c>
      <c r="O305" s="106">
        <f t="shared" si="147"/>
        <v>-1501179.2304322997</v>
      </c>
      <c r="P305" s="106">
        <f t="shared" si="147"/>
        <v>-1597832.2018709127</v>
      </c>
      <c r="Q305" s="106">
        <f t="shared" si="147"/>
        <v>-1730257.5128251491</v>
      </c>
      <c r="R305" s="106">
        <f t="shared" si="147"/>
        <v>-1851782.9660647258</v>
      </c>
      <c r="S305" s="106">
        <f t="shared" si="147"/>
        <v>-1960755.5790115078</v>
      </c>
      <c r="T305" s="106">
        <f t="shared" si="147"/>
        <v>-2057029.9651336006</v>
      </c>
      <c r="U305" s="106">
        <f t="shared" si="147"/>
        <v>-2143062.3852594947</v>
      </c>
      <c r="V305" s="106">
        <f t="shared" si="147"/>
        <v>-2233606.1311656144</v>
      </c>
      <c r="W305" s="106">
        <f t="shared" si="147"/>
        <v>-2347419.6028072797</v>
      </c>
      <c r="X305" s="106">
        <f t="shared" si="147"/>
        <v>-2478636.077177132</v>
      </c>
      <c r="Y305" s="106">
        <f t="shared" si="147"/>
        <v>-2599366.9537036247</v>
      </c>
      <c r="Z305" s="106">
        <f t="shared" si="147"/>
        <v>-2706085.4715322163</v>
      </c>
      <c r="AA305" s="106">
        <f t="shared" si="147"/>
        <v>-2806136.3103850135</v>
      </c>
      <c r="AB305" s="106">
        <f t="shared" si="148"/>
        <v>-116437191.30228266</v>
      </c>
    </row>
    <row r="306" spans="1:28" hidden="1" x14ac:dyDescent="0.25">
      <c r="E306" s="47" t="s">
        <v>709</v>
      </c>
      <c r="F306" s="47" t="s">
        <v>639</v>
      </c>
      <c r="G306" s="106">
        <f t="shared" si="147"/>
        <v>0</v>
      </c>
      <c r="H306" s="106">
        <f t="shared" si="147"/>
        <v>0</v>
      </c>
      <c r="I306" s="106">
        <f t="shared" si="147"/>
        <v>0</v>
      </c>
      <c r="J306" s="106">
        <f t="shared" si="147"/>
        <v>0</v>
      </c>
      <c r="K306" s="106">
        <f t="shared" si="147"/>
        <v>0</v>
      </c>
      <c r="L306" s="106">
        <f t="shared" si="147"/>
        <v>0</v>
      </c>
      <c r="M306" s="106">
        <f t="shared" si="147"/>
        <v>0</v>
      </c>
      <c r="N306" s="106">
        <f t="shared" si="147"/>
        <v>0</v>
      </c>
      <c r="O306" s="106">
        <f t="shared" si="147"/>
        <v>0</v>
      </c>
      <c r="P306" s="106">
        <f t="shared" si="147"/>
        <v>0</v>
      </c>
      <c r="Q306" s="106">
        <f t="shared" si="147"/>
        <v>0</v>
      </c>
      <c r="R306" s="106">
        <f t="shared" si="147"/>
        <v>0</v>
      </c>
      <c r="S306" s="106">
        <f t="shared" si="147"/>
        <v>0</v>
      </c>
      <c r="T306" s="106">
        <f t="shared" si="147"/>
        <v>0</v>
      </c>
      <c r="U306" s="106">
        <f t="shared" si="147"/>
        <v>0</v>
      </c>
      <c r="V306" s="106">
        <f t="shared" si="147"/>
        <v>0</v>
      </c>
      <c r="W306" s="106">
        <f t="shared" si="147"/>
        <v>0</v>
      </c>
      <c r="X306" s="106">
        <f t="shared" si="147"/>
        <v>0</v>
      </c>
      <c r="Y306" s="106">
        <f t="shared" si="147"/>
        <v>0</v>
      </c>
      <c r="Z306" s="106">
        <f t="shared" si="147"/>
        <v>0</v>
      </c>
      <c r="AA306" s="106">
        <f t="shared" si="147"/>
        <v>0</v>
      </c>
      <c r="AB306" s="106">
        <f t="shared" si="148"/>
        <v>0</v>
      </c>
    </row>
    <row r="307" spans="1:28" hidden="1" x14ac:dyDescent="0.25">
      <c r="E307" s="47" t="s">
        <v>714</v>
      </c>
      <c r="F307" s="47" t="s">
        <v>639</v>
      </c>
      <c r="G307" s="106">
        <f t="shared" si="147"/>
        <v>0</v>
      </c>
      <c r="H307" s="106">
        <f t="shared" si="147"/>
        <v>0</v>
      </c>
      <c r="I307" s="106">
        <f t="shared" si="147"/>
        <v>0</v>
      </c>
      <c r="J307" s="106">
        <f t="shared" si="147"/>
        <v>0</v>
      </c>
      <c r="K307" s="106">
        <f t="shared" si="147"/>
        <v>0</v>
      </c>
      <c r="L307" s="106">
        <f t="shared" si="147"/>
        <v>0</v>
      </c>
      <c r="M307" s="106">
        <f t="shared" si="147"/>
        <v>0</v>
      </c>
      <c r="N307" s="106">
        <f t="shared" si="147"/>
        <v>0</v>
      </c>
      <c r="O307" s="106">
        <f t="shared" si="147"/>
        <v>0</v>
      </c>
      <c r="P307" s="106">
        <f t="shared" si="147"/>
        <v>0</v>
      </c>
      <c r="Q307" s="106">
        <f t="shared" si="147"/>
        <v>0</v>
      </c>
      <c r="R307" s="106">
        <f t="shared" si="147"/>
        <v>0</v>
      </c>
      <c r="S307" s="106">
        <f t="shared" si="147"/>
        <v>0</v>
      </c>
      <c r="T307" s="106">
        <f t="shared" si="147"/>
        <v>0</v>
      </c>
      <c r="U307" s="106">
        <f t="shared" si="147"/>
        <v>0</v>
      </c>
      <c r="V307" s="106">
        <f t="shared" si="147"/>
        <v>0</v>
      </c>
      <c r="W307" s="106">
        <f t="shared" si="147"/>
        <v>0</v>
      </c>
      <c r="X307" s="106">
        <f t="shared" si="147"/>
        <v>0</v>
      </c>
      <c r="Y307" s="106">
        <f t="shared" si="147"/>
        <v>0</v>
      </c>
      <c r="Z307" s="106">
        <f t="shared" si="147"/>
        <v>0</v>
      </c>
      <c r="AA307" s="106">
        <f t="shared" si="147"/>
        <v>0</v>
      </c>
      <c r="AB307" s="106">
        <f t="shared" si="148"/>
        <v>0</v>
      </c>
    </row>
    <row r="308" spans="1:28" hidden="1" x14ac:dyDescent="0.25">
      <c r="E308" s="47" t="s">
        <v>458</v>
      </c>
      <c r="F308" s="47" t="s">
        <v>639</v>
      </c>
      <c r="G308" s="106" t="e">
        <f t="shared" ref="G308:AA308" si="149">G297</f>
        <v>#VALUE!</v>
      </c>
      <c r="H308" s="106" t="e">
        <f t="shared" si="149"/>
        <v>#VALUE!</v>
      </c>
      <c r="I308" s="106" t="e">
        <f t="shared" si="149"/>
        <v>#VALUE!</v>
      </c>
      <c r="J308" s="106" t="e">
        <f t="shared" si="149"/>
        <v>#VALUE!</v>
      </c>
      <c r="K308" s="106" t="e">
        <f t="shared" si="149"/>
        <v>#VALUE!</v>
      </c>
      <c r="L308" s="106" t="e">
        <f t="shared" si="149"/>
        <v>#VALUE!</v>
      </c>
      <c r="M308" s="106" t="e">
        <f t="shared" si="149"/>
        <v>#VALUE!</v>
      </c>
      <c r="N308" s="106" t="e">
        <f t="shared" si="149"/>
        <v>#VALUE!</v>
      </c>
      <c r="O308" s="106" t="e">
        <f t="shared" si="149"/>
        <v>#VALUE!</v>
      </c>
      <c r="P308" s="106" t="e">
        <f t="shared" si="149"/>
        <v>#VALUE!</v>
      </c>
      <c r="Q308" s="106" t="e">
        <f t="shared" si="149"/>
        <v>#VALUE!</v>
      </c>
      <c r="R308" s="106" t="e">
        <f t="shared" si="149"/>
        <v>#VALUE!</v>
      </c>
      <c r="S308" s="106" t="e">
        <f t="shared" si="149"/>
        <v>#VALUE!</v>
      </c>
      <c r="T308" s="106" t="e">
        <f t="shared" si="149"/>
        <v>#VALUE!</v>
      </c>
      <c r="U308" s="106" t="e">
        <f t="shared" si="149"/>
        <v>#VALUE!</v>
      </c>
      <c r="V308" s="106" t="e">
        <f t="shared" si="149"/>
        <v>#VALUE!</v>
      </c>
      <c r="W308" s="106" t="e">
        <f t="shared" si="149"/>
        <v>#VALUE!</v>
      </c>
      <c r="X308" s="106" t="e">
        <f t="shared" si="149"/>
        <v>#VALUE!</v>
      </c>
      <c r="Y308" s="106" t="e">
        <f t="shared" si="149"/>
        <v>#VALUE!</v>
      </c>
      <c r="Z308" s="106" t="e">
        <f t="shared" si="149"/>
        <v>#VALUE!</v>
      </c>
      <c r="AA308" s="106" t="e">
        <f t="shared" si="149"/>
        <v>#VALUE!</v>
      </c>
      <c r="AB308" s="106" t="e">
        <f>IF(V308=0,0,IF($G$15&gt;(AA308/V308)^(1/5)-1+2%,AA308*(AA308/V308)^(1/5)/($G$15-((AA308/V308)^(1/5)-1)),AA308*(1+$G$14)/$G$16))</f>
        <v>#VALUE!</v>
      </c>
    </row>
    <row r="309" spans="1:28" hidden="1" x14ac:dyDescent="0.25">
      <c r="E309" s="47" t="s">
        <v>730</v>
      </c>
      <c r="F309" s="47" t="s">
        <v>639</v>
      </c>
      <c r="G309" s="106" t="e">
        <f>-$G$17*G308</f>
        <v>#VALUE!</v>
      </c>
      <c r="H309" s="106" t="e">
        <f t="shared" ref="H309:AA309" si="150">-$G$17*H308</f>
        <v>#VALUE!</v>
      </c>
      <c r="I309" s="106" t="e">
        <f t="shared" si="150"/>
        <v>#VALUE!</v>
      </c>
      <c r="J309" s="106" t="e">
        <f t="shared" si="150"/>
        <v>#VALUE!</v>
      </c>
      <c r="K309" s="106" t="e">
        <f t="shared" si="150"/>
        <v>#VALUE!</v>
      </c>
      <c r="L309" s="106" t="e">
        <f t="shared" si="150"/>
        <v>#VALUE!</v>
      </c>
      <c r="M309" s="106" t="e">
        <f t="shared" si="150"/>
        <v>#VALUE!</v>
      </c>
      <c r="N309" s="106" t="e">
        <f t="shared" si="150"/>
        <v>#VALUE!</v>
      </c>
      <c r="O309" s="106" t="e">
        <f t="shared" si="150"/>
        <v>#VALUE!</v>
      </c>
      <c r="P309" s="106" t="e">
        <f t="shared" si="150"/>
        <v>#VALUE!</v>
      </c>
      <c r="Q309" s="106" t="e">
        <f t="shared" si="150"/>
        <v>#VALUE!</v>
      </c>
      <c r="R309" s="106" t="e">
        <f t="shared" si="150"/>
        <v>#VALUE!</v>
      </c>
      <c r="S309" s="106" t="e">
        <f t="shared" si="150"/>
        <v>#VALUE!</v>
      </c>
      <c r="T309" s="106" t="e">
        <f t="shared" si="150"/>
        <v>#VALUE!</v>
      </c>
      <c r="U309" s="106" t="e">
        <f t="shared" si="150"/>
        <v>#VALUE!</v>
      </c>
      <c r="V309" s="106" t="e">
        <f t="shared" si="150"/>
        <v>#VALUE!</v>
      </c>
      <c r="W309" s="106" t="e">
        <f t="shared" si="150"/>
        <v>#VALUE!</v>
      </c>
      <c r="X309" s="106" t="e">
        <f t="shared" si="150"/>
        <v>#VALUE!</v>
      </c>
      <c r="Y309" s="106" t="e">
        <f t="shared" si="150"/>
        <v>#VALUE!</v>
      </c>
      <c r="Z309" s="106" t="e">
        <f t="shared" si="150"/>
        <v>#VALUE!</v>
      </c>
      <c r="AA309" s="106" t="e">
        <f t="shared" si="150"/>
        <v>#VALUE!</v>
      </c>
      <c r="AB309" s="106" t="e">
        <f t="shared" ref="AB309" si="151">IF(V309=0,0,IF($G$15&gt;(AA309/V309)^(1/5)-1+2%,AA309*(AA309/V309)^(1/5)/($G$15-((AA309/V309)^(1/5)-1)),AA309*(1+$G$14)/$G$16))</f>
        <v>#VALUE!</v>
      </c>
    </row>
    <row r="310" spans="1:28" hidden="1" x14ac:dyDescent="0.25">
      <c r="E310" s="47" t="s">
        <v>731</v>
      </c>
      <c r="F310" s="47" t="s">
        <v>639</v>
      </c>
      <c r="G310" s="106" t="e">
        <f t="shared" ref="G310:AA310" si="152">SUM(G300:G309)</f>
        <v>#VALUE!</v>
      </c>
      <c r="H310" s="106" t="e">
        <f t="shared" si="152"/>
        <v>#VALUE!</v>
      </c>
      <c r="I310" s="106" t="e">
        <f t="shared" si="152"/>
        <v>#VALUE!</v>
      </c>
      <c r="J310" s="106" t="e">
        <f t="shared" si="152"/>
        <v>#VALUE!</v>
      </c>
      <c r="K310" s="106" t="e">
        <f t="shared" si="152"/>
        <v>#VALUE!</v>
      </c>
      <c r="L310" s="106" t="e">
        <f t="shared" si="152"/>
        <v>#VALUE!</v>
      </c>
      <c r="M310" s="106" t="e">
        <f t="shared" si="152"/>
        <v>#VALUE!</v>
      </c>
      <c r="N310" s="106" t="e">
        <f t="shared" si="152"/>
        <v>#VALUE!</v>
      </c>
      <c r="O310" s="106" t="e">
        <f t="shared" si="152"/>
        <v>#VALUE!</v>
      </c>
      <c r="P310" s="106" t="e">
        <f t="shared" si="152"/>
        <v>#VALUE!</v>
      </c>
      <c r="Q310" s="106" t="e">
        <f t="shared" si="152"/>
        <v>#VALUE!</v>
      </c>
      <c r="R310" s="106" t="e">
        <f t="shared" si="152"/>
        <v>#VALUE!</v>
      </c>
      <c r="S310" s="106" t="e">
        <f t="shared" si="152"/>
        <v>#VALUE!</v>
      </c>
      <c r="T310" s="106" t="e">
        <f t="shared" si="152"/>
        <v>#VALUE!</v>
      </c>
      <c r="U310" s="106" t="e">
        <f t="shared" si="152"/>
        <v>#VALUE!</v>
      </c>
      <c r="V310" s="106" t="e">
        <f t="shared" si="152"/>
        <v>#VALUE!</v>
      </c>
      <c r="W310" s="106" t="e">
        <f t="shared" si="152"/>
        <v>#VALUE!</v>
      </c>
      <c r="X310" s="106" t="e">
        <f t="shared" si="152"/>
        <v>#VALUE!</v>
      </c>
      <c r="Y310" s="106" t="e">
        <f t="shared" si="152"/>
        <v>#VALUE!</v>
      </c>
      <c r="Z310" s="106" t="e">
        <f t="shared" si="152"/>
        <v>#VALUE!</v>
      </c>
      <c r="AA310" s="106" t="e">
        <f t="shared" si="152"/>
        <v>#VALUE!</v>
      </c>
      <c r="AB310" s="106" t="e">
        <f>SUM(AB300:AB309)*IF(DASH!#REF!="yes",1,0)</f>
        <v>#VALUE!</v>
      </c>
    </row>
    <row r="311" spans="1:28" hidden="1" x14ac:dyDescent="0.25">
      <c r="E311" s="47" t="s">
        <v>732</v>
      </c>
      <c r="F311" s="47" t="s">
        <v>639</v>
      </c>
      <c r="G311" s="106" t="e">
        <f>NPV($G$15,H310:AQ310)+G310</f>
        <v>#VALUE!</v>
      </c>
    </row>
    <row r="312" spans="1:28" hidden="1" x14ac:dyDescent="0.25"/>
    <row r="313" spans="1:28" hidden="1" x14ac:dyDescent="0.25">
      <c r="E313" s="47" t="s">
        <v>725</v>
      </c>
      <c r="F313" s="47" t="s">
        <v>639</v>
      </c>
      <c r="G313" s="106" t="e">
        <f t="shared" ref="G313:AA313" si="153">G285</f>
        <v>#VALUE!</v>
      </c>
      <c r="H313" s="106" t="e">
        <f t="shared" si="153"/>
        <v>#VALUE!</v>
      </c>
      <c r="I313" s="106" t="e">
        <f t="shared" si="153"/>
        <v>#VALUE!</v>
      </c>
      <c r="J313" s="106" t="e">
        <f t="shared" si="153"/>
        <v>#VALUE!</v>
      </c>
      <c r="K313" s="106" t="e">
        <f t="shared" si="153"/>
        <v>#VALUE!</v>
      </c>
      <c r="L313" s="106" t="e">
        <f t="shared" si="153"/>
        <v>#VALUE!</v>
      </c>
      <c r="M313" s="106" t="e">
        <f t="shared" si="153"/>
        <v>#VALUE!</v>
      </c>
      <c r="N313" s="106" t="e">
        <f t="shared" si="153"/>
        <v>#VALUE!</v>
      </c>
      <c r="O313" s="106" t="e">
        <f t="shared" si="153"/>
        <v>#VALUE!</v>
      </c>
      <c r="P313" s="106" t="e">
        <f t="shared" si="153"/>
        <v>#VALUE!</v>
      </c>
      <c r="Q313" s="106" t="e">
        <f t="shared" si="153"/>
        <v>#VALUE!</v>
      </c>
      <c r="R313" s="106" t="e">
        <f t="shared" si="153"/>
        <v>#VALUE!</v>
      </c>
      <c r="S313" s="106" t="e">
        <f t="shared" si="153"/>
        <v>#VALUE!</v>
      </c>
      <c r="T313" s="106" t="e">
        <f t="shared" si="153"/>
        <v>#VALUE!</v>
      </c>
      <c r="U313" s="106" t="e">
        <f t="shared" si="153"/>
        <v>#VALUE!</v>
      </c>
      <c r="V313" s="106" t="e">
        <f t="shared" si="153"/>
        <v>#VALUE!</v>
      </c>
      <c r="W313" s="106" t="e">
        <f t="shared" si="153"/>
        <v>#VALUE!</v>
      </c>
      <c r="X313" s="106" t="e">
        <f t="shared" si="153"/>
        <v>#VALUE!</v>
      </c>
      <c r="Y313" s="106" t="e">
        <f t="shared" si="153"/>
        <v>#VALUE!</v>
      </c>
      <c r="Z313" s="106" t="e">
        <f t="shared" si="153"/>
        <v>#VALUE!</v>
      </c>
      <c r="AA313" s="106" t="e">
        <f t="shared" si="153"/>
        <v>#VALUE!</v>
      </c>
    </row>
    <row r="314" spans="1:28" hidden="1" x14ac:dyDescent="0.25">
      <c r="E314" s="47" t="s">
        <v>733</v>
      </c>
      <c r="F314" s="47" t="s">
        <v>639</v>
      </c>
      <c r="G314" s="106" t="e">
        <f>NPV($G$15,H313:AP313)+G313</f>
        <v>#VALUE!</v>
      </c>
    </row>
    <row r="315" spans="1:28" hidden="1" x14ac:dyDescent="0.25">
      <c r="E315" s="111" t="s">
        <v>734</v>
      </c>
      <c r="F315" s="111"/>
      <c r="G315" s="118" t="e">
        <f>IF(G311&gt;0,"N/A",IF(ABS(G311+G314)&gt;1,"Error","OK"))</f>
        <v>#VALUE!</v>
      </c>
    </row>
    <row r="316" spans="1:28" hidden="1" x14ac:dyDescent="0.25"/>
    <row r="318" spans="1:28" x14ac:dyDescent="0.25">
      <c r="C318" s="100" t="s">
        <v>740</v>
      </c>
    </row>
    <row r="319" spans="1:28" x14ac:dyDescent="0.25">
      <c r="E319" s="47" t="s">
        <v>741</v>
      </c>
      <c r="F319" s="47" t="s">
        <v>742</v>
      </c>
    </row>
    <row r="320" spans="1:28" x14ac:dyDescent="0.25">
      <c r="A320" s="101">
        <v>55</v>
      </c>
      <c r="E320" s="119" t="s">
        <v>301</v>
      </c>
      <c r="F320" s="119" t="s">
        <v>743</v>
      </c>
    </row>
    <row r="321" spans="5:6" x14ac:dyDescent="0.25">
      <c r="E321" s="119" t="s">
        <v>303</v>
      </c>
      <c r="F321" s="119" t="s">
        <v>744</v>
      </c>
    </row>
    <row r="322" spans="5:6" x14ac:dyDescent="0.25">
      <c r="E322" s="119" t="s">
        <v>310</v>
      </c>
      <c r="F322" s="119" t="s">
        <v>745</v>
      </c>
    </row>
    <row r="323" spans="5:6" x14ac:dyDescent="0.25">
      <c r="E323" s="119" t="s">
        <v>305</v>
      </c>
      <c r="F323" s="119" t="s">
        <v>746</v>
      </c>
    </row>
  </sheetData>
  <mergeCells count="1">
    <mergeCell ref="G4:H4"/>
  </mergeCells>
  <dataValidations count="1">
    <dataValidation type="list" showInputMessage="1" showErrorMessage="1" sqref="G4:H4" xr:uid="{954EC9CC-A471-4239-B4CB-1409E231D22B}">
      <formula1>$E$320:$E$323</formula1>
    </dataValidation>
  </dataValidations>
  <pageMargins left="0.75" right="0.75" top="1" bottom="1" header="0.5" footer="0.5"/>
  <pageSetup paperSize="9"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B068F-2AC4-4C64-A50C-C633821E2F0B}">
  <sheetPr codeName="Sheet8">
    <tabColor rgb="FFFFC000"/>
    <outlinePr summaryBelow="0" summaryRight="0"/>
    <pageSetUpPr autoPageBreaks="0"/>
  </sheetPr>
  <dimension ref="A1:BL42"/>
  <sheetViews>
    <sheetView showGridLines="0" showWhiteSpace="0" zoomScale="85" zoomScaleNormal="85" workbookViewId="0"/>
  </sheetViews>
  <sheetFormatPr defaultColWidth="0" defaultRowHeight="11.25" zeroHeight="1" outlineLevelRow="1" x14ac:dyDescent="0.2"/>
  <cols>
    <col min="1" max="1" width="1.33203125" customWidth="1"/>
    <col min="2" max="2" width="2.1640625" customWidth="1"/>
    <col min="3" max="3" width="3.83203125" customWidth="1"/>
    <col min="4" max="4" width="2.1640625" customWidth="1"/>
    <col min="5" max="5" width="38.1640625" customWidth="1"/>
    <col min="6" max="6" width="5" style="3" customWidth="1"/>
    <col min="7" max="7" width="119" style="4" customWidth="1"/>
    <col min="8" max="8" width="17.5" customWidth="1"/>
    <col min="9" max="26" width="1.1640625" customWidth="1"/>
    <col min="27" max="27" width="2.1640625" customWidth="1"/>
    <col min="28" max="28" width="2.1640625" hidden="1" customWidth="1"/>
    <col min="29" max="35" width="0" hidden="1" customWidth="1"/>
    <col min="36" max="16384" width="9.33203125" hidden="1"/>
  </cols>
  <sheetData>
    <row r="1" spans="1:33" ht="5.25" customHeight="1" x14ac:dyDescent="0.2"/>
    <row r="2" spans="1:33" s="2" customFormat="1" ht="34.5" customHeight="1" x14ac:dyDescent="0.3">
      <c r="B2" s="296" t="s">
        <v>0</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row>
    <row r="3" spans="1:33" s="2" customFormat="1" x14ac:dyDescent="0.2">
      <c r="B3" s="298" t="s">
        <v>46</v>
      </c>
      <c r="C3" s="298"/>
      <c r="D3" s="298"/>
      <c r="E3" s="298"/>
      <c r="F3" s="298"/>
      <c r="G3" s="298"/>
      <c r="H3" s="298"/>
      <c r="I3" s="298"/>
      <c r="J3" s="298"/>
      <c r="K3" s="298"/>
      <c r="L3" s="298"/>
      <c r="M3" s="298"/>
      <c r="N3" s="298"/>
      <c r="O3" s="298"/>
      <c r="P3" s="298"/>
      <c r="Q3" s="298"/>
      <c r="R3" s="298"/>
      <c r="S3" s="298"/>
      <c r="T3" s="298"/>
      <c r="U3" s="298"/>
      <c r="V3" s="298"/>
      <c r="W3" s="298"/>
      <c r="X3" s="298"/>
      <c r="Y3" s="298"/>
      <c r="Z3" s="298"/>
      <c r="AA3" s="298"/>
    </row>
    <row r="4" spans="1:33" s="5" customFormat="1" ht="21" customHeight="1" x14ac:dyDescent="0.2">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row>
    <row r="5" spans="1:33" s="2" customFormat="1" x14ac:dyDescent="0.2">
      <c r="A5" s="6"/>
      <c r="B5" s="6"/>
      <c r="C5" s="6"/>
      <c r="D5" s="6"/>
      <c r="E5" s="6"/>
      <c r="F5" s="7"/>
      <c r="G5" s="8"/>
      <c r="H5" s="6"/>
      <c r="I5" s="6"/>
      <c r="J5" s="6"/>
      <c r="K5" s="6"/>
      <c r="L5" s="6"/>
      <c r="M5" s="6"/>
      <c r="N5" s="6"/>
      <c r="O5" s="6"/>
      <c r="P5" s="6"/>
      <c r="Q5" s="6"/>
      <c r="R5" s="6"/>
      <c r="S5" s="6"/>
      <c r="T5" s="6"/>
      <c r="U5" s="6"/>
      <c r="V5" s="6"/>
      <c r="W5" s="6"/>
      <c r="X5" s="6"/>
      <c r="Y5" s="6"/>
      <c r="Z5" s="6"/>
      <c r="AA5" s="6"/>
      <c r="AB5" s="1"/>
      <c r="AC5" s="1"/>
      <c r="AD5" s="1"/>
      <c r="AE5" s="1"/>
      <c r="AF5" s="1"/>
      <c r="AG5" s="1"/>
    </row>
    <row r="6" spans="1:33" s="9" customFormat="1" x14ac:dyDescent="0.2">
      <c r="C6" s="10" t="s">
        <v>47</v>
      </c>
      <c r="D6" s="11"/>
      <c r="E6" s="11"/>
      <c r="F6" s="12"/>
      <c r="G6" s="13"/>
      <c r="H6" s="11"/>
      <c r="I6" s="11"/>
      <c r="J6" s="11"/>
      <c r="K6" s="11"/>
      <c r="L6" s="11"/>
      <c r="M6" s="11"/>
      <c r="N6" s="11"/>
      <c r="O6" s="11"/>
      <c r="P6" s="11"/>
      <c r="Q6" s="11"/>
      <c r="R6" s="11"/>
      <c r="S6" s="11"/>
      <c r="T6" s="11"/>
      <c r="U6" s="11"/>
      <c r="V6" s="11"/>
      <c r="W6" s="11"/>
      <c r="X6" s="11"/>
      <c r="Y6" s="11"/>
      <c r="Z6" s="11"/>
      <c r="AA6" s="11"/>
    </row>
    <row r="7" spans="1:33" s="9" customFormat="1" x14ac:dyDescent="0.2">
      <c r="F7" s="14"/>
      <c r="G7" s="15"/>
    </row>
    <row r="8" spans="1:33" s="9" customFormat="1" ht="12" thickBot="1" x14ac:dyDescent="0.25">
      <c r="D8" s="18" t="s">
        <v>48</v>
      </c>
      <c r="E8" s="19"/>
      <c r="F8" s="20"/>
      <c r="G8" s="20"/>
      <c r="H8" s="21"/>
    </row>
    <row r="9" spans="1:33" s="9" customFormat="1" ht="5.25" customHeight="1" outlineLevel="1" x14ac:dyDescent="0.2"/>
    <row r="10" spans="1:33" s="9" customFormat="1" ht="12" customHeight="1" outlineLevel="1" x14ac:dyDescent="0.2">
      <c r="E10" s="152" t="s">
        <v>49</v>
      </c>
      <c r="F10" s="23"/>
      <c r="G10" s="38" t="s">
        <v>50</v>
      </c>
    </row>
    <row r="11" spans="1:33" s="9" customFormat="1" ht="12" customHeight="1" outlineLevel="1" x14ac:dyDescent="0.2">
      <c r="E11" s="153" t="s">
        <v>51</v>
      </c>
      <c r="F11" s="23"/>
      <c r="G11" s="38" t="s">
        <v>52</v>
      </c>
    </row>
    <row r="12" spans="1:33" s="9" customFormat="1" ht="12" customHeight="1" outlineLevel="1" x14ac:dyDescent="0.25">
      <c r="E12" s="102" t="s">
        <v>53</v>
      </c>
      <c r="F12" s="23"/>
      <c r="G12" s="38" t="s">
        <v>54</v>
      </c>
    </row>
    <row r="13" spans="1:33" s="9" customFormat="1" ht="12" customHeight="1" outlineLevel="1" x14ac:dyDescent="0.2">
      <c r="E13" s="154" t="s">
        <v>55</v>
      </c>
      <c r="F13" s="23"/>
      <c r="G13" s="38" t="s">
        <v>56</v>
      </c>
    </row>
    <row r="14" spans="1:33" s="9" customFormat="1" ht="8.25" customHeight="1" outlineLevel="1" x14ac:dyDescent="0.2">
      <c r="E14" s="222"/>
      <c r="F14" s="23"/>
      <c r="G14" s="38"/>
    </row>
    <row r="15" spans="1:33" s="9" customFormat="1" ht="12" customHeight="1" thickBot="1" x14ac:dyDescent="0.25">
      <c r="D15" s="18" t="s">
        <v>57</v>
      </c>
      <c r="E15" s="18" t="s">
        <v>58</v>
      </c>
      <c r="F15" s="20"/>
      <c r="G15" s="20"/>
      <c r="H15" s="21"/>
    </row>
    <row r="16" spans="1:33" s="9" customFormat="1" ht="28.5" customHeight="1" outlineLevel="1" thickBot="1" x14ac:dyDescent="0.25">
      <c r="D16" s="24"/>
      <c r="E16" s="25" t="s">
        <v>59</v>
      </c>
      <c r="F16" s="38"/>
      <c r="G16" s="38" t="s">
        <v>60</v>
      </c>
    </row>
    <row r="17" spans="4:8" s="9" customFormat="1" ht="12" thickBot="1" x14ac:dyDescent="0.25">
      <c r="D17" s="18" t="s">
        <v>61</v>
      </c>
      <c r="E17" s="19"/>
      <c r="F17" s="20"/>
      <c r="G17" s="20"/>
      <c r="H17" s="21"/>
    </row>
    <row r="18" spans="4:8" s="9" customFormat="1" ht="28.5" customHeight="1" outlineLevel="1" thickBot="1" x14ac:dyDescent="0.25">
      <c r="D18" s="26"/>
      <c r="E18" s="27" t="s">
        <v>47</v>
      </c>
      <c r="F18" s="42"/>
      <c r="G18" s="42" t="s">
        <v>62</v>
      </c>
    </row>
    <row r="19" spans="4:8" s="9" customFormat="1" ht="28.5" customHeight="1" outlineLevel="1" thickBot="1" x14ac:dyDescent="0.25">
      <c r="D19" s="44"/>
      <c r="E19" s="45" t="s">
        <v>63</v>
      </c>
      <c r="F19" s="46"/>
      <c r="G19" s="46" t="s">
        <v>64</v>
      </c>
    </row>
    <row r="20" spans="4:8" s="9" customFormat="1" ht="28.5" customHeight="1" outlineLevel="1" thickBot="1" x14ac:dyDescent="0.25">
      <c r="D20" s="44"/>
      <c r="E20" s="45" t="s">
        <v>65</v>
      </c>
      <c r="F20" s="46"/>
      <c r="G20" s="46" t="s">
        <v>66</v>
      </c>
      <c r="H20" s="46"/>
    </row>
    <row r="21" spans="4:8" s="9" customFormat="1" ht="12" thickBot="1" x14ac:dyDescent="0.25">
      <c r="D21" s="18" t="s">
        <v>67</v>
      </c>
      <c r="E21" s="19" t="s">
        <v>68</v>
      </c>
      <c r="F21" s="20"/>
      <c r="G21" s="20"/>
      <c r="H21" s="21"/>
    </row>
    <row r="22" spans="4:8" s="9" customFormat="1" ht="28.5" customHeight="1" outlineLevel="1" thickBot="1" x14ac:dyDescent="0.25">
      <c r="D22" s="28"/>
      <c r="E22" s="29" t="s">
        <v>69</v>
      </c>
      <c r="F22" s="42"/>
      <c r="G22" s="42" t="s">
        <v>70</v>
      </c>
    </row>
    <row r="23" spans="4:8" s="9" customFormat="1" ht="28.5" customHeight="1" outlineLevel="1" thickBot="1" x14ac:dyDescent="0.25">
      <c r="D23" s="28"/>
      <c r="E23" s="29" t="s">
        <v>71</v>
      </c>
      <c r="F23" s="42"/>
      <c r="G23" s="42" t="s">
        <v>72</v>
      </c>
    </row>
    <row r="24" spans="4:8" s="9" customFormat="1" ht="28.5" customHeight="1" outlineLevel="1" thickBot="1" x14ac:dyDescent="0.25">
      <c r="D24" s="28"/>
      <c r="E24" s="29" t="s">
        <v>73</v>
      </c>
      <c r="F24" s="42"/>
      <c r="G24" s="42" t="s">
        <v>74</v>
      </c>
    </row>
    <row r="25" spans="4:8" s="9" customFormat="1" ht="28.5" customHeight="1" outlineLevel="1" thickBot="1" x14ac:dyDescent="0.25">
      <c r="D25" s="28"/>
      <c r="E25" s="29" t="s">
        <v>75</v>
      </c>
      <c r="F25" s="43"/>
      <c r="G25" s="43" t="s">
        <v>76</v>
      </c>
      <c r="H25" s="43"/>
    </row>
    <row r="26" spans="4:8" s="9" customFormat="1" ht="12" thickBot="1" x14ac:dyDescent="0.25">
      <c r="D26" s="18" t="s">
        <v>77</v>
      </c>
      <c r="E26" s="19" t="s">
        <v>78</v>
      </c>
      <c r="F26" s="223" t="s">
        <v>79</v>
      </c>
      <c r="G26" s="20"/>
      <c r="H26" s="20"/>
    </row>
    <row r="27" spans="4:8" s="30" customFormat="1" ht="28.5" customHeight="1" outlineLevel="1" thickBot="1" x14ac:dyDescent="0.25">
      <c r="D27" s="31"/>
      <c r="E27" s="32" t="s">
        <v>80</v>
      </c>
      <c r="F27" s="42"/>
      <c r="G27" s="125" t="s">
        <v>81</v>
      </c>
    </row>
    <row r="28" spans="4:8" s="30" customFormat="1" ht="28.5" customHeight="1" outlineLevel="1" thickBot="1" x14ac:dyDescent="0.25">
      <c r="D28" s="31"/>
      <c r="E28" s="32" t="s">
        <v>82</v>
      </c>
      <c r="F28" s="42"/>
      <c r="G28" s="125" t="s">
        <v>83</v>
      </c>
    </row>
    <row r="29" spans="4:8" s="30" customFormat="1" ht="28.5" customHeight="1" outlineLevel="1" thickBot="1" x14ac:dyDescent="0.25">
      <c r="D29" s="31"/>
      <c r="E29" s="32" t="s">
        <v>84</v>
      </c>
      <c r="F29" s="42"/>
      <c r="G29" s="125" t="s">
        <v>85</v>
      </c>
    </row>
    <row r="30" spans="4:8" s="30" customFormat="1" ht="28.5" customHeight="1" outlineLevel="1" thickBot="1" x14ac:dyDescent="0.25">
      <c r="D30" s="31"/>
      <c r="E30" s="32" t="s">
        <v>86</v>
      </c>
      <c r="F30" s="42"/>
      <c r="G30" s="125" t="s">
        <v>87</v>
      </c>
    </row>
    <row r="31" spans="4:8" s="30" customFormat="1" ht="28.5" customHeight="1" outlineLevel="1" thickBot="1" x14ac:dyDescent="0.25">
      <c r="D31" s="32"/>
      <c r="E31" s="32" t="s">
        <v>88</v>
      </c>
      <c r="F31" s="42"/>
      <c r="G31" s="125" t="s">
        <v>89</v>
      </c>
    </row>
    <row r="32" spans="4:8" s="30" customFormat="1" ht="28.5" customHeight="1" outlineLevel="1" thickBot="1" x14ac:dyDescent="0.25">
      <c r="D32" s="123"/>
      <c r="E32" s="124" t="s">
        <v>90</v>
      </c>
      <c r="F32" s="42"/>
      <c r="G32" s="125" t="s">
        <v>91</v>
      </c>
    </row>
    <row r="33" spans="1:64" s="30" customFormat="1" ht="28.5" customHeight="1" outlineLevel="1" thickBot="1" x14ac:dyDescent="0.25">
      <c r="D33" s="32"/>
      <c r="E33" s="32" t="s">
        <v>92</v>
      </c>
      <c r="F33" s="42"/>
      <c r="G33" s="125" t="s">
        <v>93</v>
      </c>
    </row>
    <row r="34" spans="1:64" s="30" customFormat="1" ht="28.5" customHeight="1" outlineLevel="1" thickBot="1" x14ac:dyDescent="0.25">
      <c r="D34" s="123"/>
      <c r="E34" s="124" t="s">
        <v>94</v>
      </c>
      <c r="F34" s="42"/>
      <c r="G34" s="125" t="s">
        <v>95</v>
      </c>
    </row>
    <row r="35" spans="1:64" s="2" customFormat="1" ht="14.1" customHeight="1" x14ac:dyDescent="0.2">
      <c r="G35" s="33"/>
    </row>
    <row r="36" spans="1:64" x14ac:dyDescent="0.2">
      <c r="A36" s="2"/>
      <c r="B36" s="127" t="s">
        <v>45</v>
      </c>
      <c r="C36" s="127"/>
      <c r="D36" s="127"/>
      <c r="E36" s="127"/>
      <c r="F36" s="127"/>
      <c r="G36" s="128"/>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row>
    <row r="37" spans="1:64" x14ac:dyDescent="0.2">
      <c r="A37" s="2"/>
    </row>
    <row r="40" spans="1:64" hidden="1" x14ac:dyDescent="0.2">
      <c r="C40" s="34"/>
    </row>
    <row r="41" spans="1:64" hidden="1" x14ac:dyDescent="0.2">
      <c r="C41" s="34"/>
    </row>
    <row r="42" spans="1:64" x14ac:dyDescent="0.2"/>
  </sheetData>
  <mergeCells count="3">
    <mergeCell ref="B2:AA2"/>
    <mergeCell ref="B3:AA3"/>
    <mergeCell ref="B4:AA4"/>
  </mergeCells>
  <pageMargins left="0.7" right="0.7" top="0.75" bottom="0.75" header="0.3" footer="0.3"/>
  <pageSetup paperSize="9" orientation="portrait"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675E8-035F-4848-B66D-E0B7C7049DCC}">
  <sheetPr codeName="Sheet4">
    <tabColor rgb="FFFFC000"/>
    <outlinePr summaryBelow="0" summaryRight="0"/>
    <pageSetUpPr autoPageBreaks="0"/>
  </sheetPr>
  <dimension ref="A1:BL104"/>
  <sheetViews>
    <sheetView showGridLines="0" showWhiteSpace="0" zoomScale="85" zoomScaleNormal="85" workbookViewId="0"/>
  </sheetViews>
  <sheetFormatPr defaultColWidth="0" defaultRowHeight="11.25" zeroHeight="1" outlineLevelRow="1" x14ac:dyDescent="0.2"/>
  <cols>
    <col min="1" max="1" width="1.33203125" customWidth="1"/>
    <col min="2" max="2" width="2.1640625" customWidth="1"/>
    <col min="3" max="3" width="3.83203125" customWidth="1"/>
    <col min="4" max="4" width="2.1640625" customWidth="1"/>
    <col min="5" max="5" width="38.1640625" style="234" customWidth="1"/>
    <col min="6" max="6" width="36.83203125" style="243" customWidth="1"/>
    <col min="7" max="7" width="123.6640625" style="244" customWidth="1"/>
    <col min="8" max="8" width="24.1640625" style="237" customWidth="1"/>
    <col min="9" max="9" width="37" style="243" bestFit="1" customWidth="1"/>
    <col min="10" max="10" width="57.33203125" style="243" bestFit="1" customWidth="1"/>
    <col min="11" max="11" width="9.33203125" customWidth="1"/>
    <col min="12" max="26" width="9.33203125" hidden="1" customWidth="1"/>
    <col min="27" max="28" width="2.1640625" hidden="1" customWidth="1"/>
    <col min="29" max="35" width="0" hidden="1" customWidth="1"/>
    <col min="36" max="64" width="9.33203125" hidden="1"/>
  </cols>
  <sheetData>
    <row r="1" spans="1:33" ht="5.25" customHeight="1" x14ac:dyDescent="0.2"/>
    <row r="2" spans="1:33" s="2" customFormat="1" ht="34.5" customHeight="1" x14ac:dyDescent="0.3">
      <c r="B2" s="296" t="s">
        <v>0</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row>
    <row r="3" spans="1:33" s="2" customFormat="1" x14ac:dyDescent="0.2">
      <c r="B3" s="298" t="s">
        <v>96</v>
      </c>
      <c r="C3" s="298"/>
      <c r="D3" s="298"/>
      <c r="E3" s="298"/>
      <c r="F3" s="298"/>
      <c r="G3" s="298"/>
      <c r="H3" s="298"/>
      <c r="I3" s="298"/>
      <c r="J3" s="298"/>
      <c r="K3" s="298"/>
      <c r="L3" s="298"/>
      <c r="M3" s="298"/>
      <c r="N3" s="298"/>
      <c r="O3" s="298"/>
      <c r="P3" s="298"/>
      <c r="Q3" s="298"/>
      <c r="R3" s="298"/>
      <c r="S3" s="298"/>
      <c r="T3" s="298"/>
      <c r="U3" s="298"/>
      <c r="V3" s="298"/>
      <c r="W3" s="298"/>
      <c r="X3" s="298"/>
      <c r="Y3" s="298"/>
      <c r="Z3" s="298"/>
      <c r="AA3" s="298"/>
    </row>
    <row r="4" spans="1:33" s="5" customFormat="1" ht="21" customHeight="1" x14ac:dyDescent="0.2">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row>
    <row r="5" spans="1:33" s="2" customFormat="1" x14ac:dyDescent="0.2">
      <c r="A5" s="6"/>
      <c r="B5" s="6"/>
      <c r="C5" s="6"/>
      <c r="D5" s="6"/>
      <c r="E5" s="235"/>
      <c r="F5" s="245"/>
      <c r="G5" s="246"/>
      <c r="H5" s="238"/>
      <c r="I5" s="245"/>
      <c r="J5" s="245"/>
      <c r="K5" s="6"/>
      <c r="L5" s="6"/>
      <c r="M5" s="6"/>
      <c r="N5" s="6"/>
      <c r="O5" s="6"/>
      <c r="P5" s="6"/>
      <c r="Q5" s="6"/>
      <c r="R5" s="6"/>
      <c r="S5" s="6"/>
      <c r="T5" s="6"/>
      <c r="U5" s="6"/>
      <c r="V5" s="6"/>
      <c r="W5" s="6"/>
      <c r="X5" s="6"/>
      <c r="Y5" s="6"/>
      <c r="Z5" s="6"/>
      <c r="AA5" s="6"/>
      <c r="AB5" s="1"/>
      <c r="AC5" s="1"/>
      <c r="AD5" s="1"/>
      <c r="AE5" s="1"/>
      <c r="AF5" s="1"/>
      <c r="AG5" s="1"/>
    </row>
    <row r="6" spans="1:33" s="9" customFormat="1" x14ac:dyDescent="0.2">
      <c r="C6" s="10" t="s">
        <v>97</v>
      </c>
      <c r="D6" s="11"/>
      <c r="E6" s="11"/>
      <c r="F6" s="12"/>
      <c r="G6" s="12"/>
      <c r="H6" s="239"/>
      <c r="I6" s="12"/>
      <c r="J6" s="12"/>
      <c r="K6" s="11"/>
      <c r="L6" s="11"/>
      <c r="M6" s="11"/>
      <c r="N6" s="11"/>
      <c r="O6" s="11"/>
      <c r="P6" s="11"/>
      <c r="Q6" s="11"/>
      <c r="R6" s="11"/>
      <c r="S6" s="11"/>
      <c r="T6" s="11"/>
      <c r="U6" s="11"/>
      <c r="V6" s="11"/>
      <c r="W6" s="11"/>
      <c r="X6" s="11"/>
      <c r="Y6" s="11"/>
      <c r="Z6" s="11"/>
      <c r="AA6" s="11"/>
    </row>
    <row r="7" spans="1:33" s="9" customFormat="1" x14ac:dyDescent="0.2">
      <c r="F7" s="14"/>
      <c r="G7" s="38"/>
      <c r="H7" s="240"/>
      <c r="I7" s="14"/>
      <c r="J7" s="14"/>
    </row>
    <row r="8" spans="1:33" s="9" customFormat="1" ht="12" thickBot="1" x14ac:dyDescent="0.25">
      <c r="D8" s="16"/>
      <c r="E8" s="16"/>
      <c r="F8" s="17" t="s">
        <v>98</v>
      </c>
      <c r="G8" s="17" t="s">
        <v>99</v>
      </c>
      <c r="H8" s="16" t="s">
        <v>100</v>
      </c>
      <c r="I8" s="16" t="s">
        <v>101</v>
      </c>
      <c r="J8" s="17" t="s">
        <v>102</v>
      </c>
    </row>
    <row r="9" spans="1:33" s="9" customFormat="1" ht="12" thickBot="1" x14ac:dyDescent="0.25">
      <c r="D9" s="18" t="s">
        <v>103</v>
      </c>
      <c r="E9" s="19"/>
      <c r="F9" s="20"/>
      <c r="G9" s="20"/>
      <c r="H9" s="241"/>
      <c r="I9" s="20"/>
      <c r="J9" s="20"/>
    </row>
    <row r="10" spans="1:33" s="9" customFormat="1" ht="27.75" customHeight="1" outlineLevel="1" x14ac:dyDescent="0.2">
      <c r="D10" s="22"/>
      <c r="E10" s="35" t="s">
        <v>104</v>
      </c>
      <c r="F10" s="36" t="s">
        <v>105</v>
      </c>
      <c r="G10" s="125" t="s">
        <v>106</v>
      </c>
      <c r="H10" s="240"/>
      <c r="I10" s="14"/>
      <c r="J10" s="14"/>
    </row>
    <row r="11" spans="1:33" s="9" customFormat="1" ht="12" thickBot="1" x14ac:dyDescent="0.25">
      <c r="D11" s="18" t="s">
        <v>107</v>
      </c>
      <c r="E11" s="19"/>
      <c r="F11" s="20"/>
      <c r="G11" s="20"/>
      <c r="H11" s="241"/>
      <c r="I11" s="20"/>
      <c r="J11" s="20"/>
    </row>
    <row r="12" spans="1:33" s="9" customFormat="1" ht="48.75" customHeight="1" outlineLevel="1" x14ac:dyDescent="0.2">
      <c r="D12" s="22"/>
      <c r="E12" s="302" t="s">
        <v>108</v>
      </c>
      <c r="F12" s="303"/>
      <c r="G12" s="303"/>
      <c r="H12" s="240"/>
      <c r="I12" s="14"/>
      <c r="J12" s="14"/>
    </row>
    <row r="13" spans="1:33" s="9" customFormat="1" ht="12" customHeight="1" thickBot="1" x14ac:dyDescent="0.25">
      <c r="D13" s="18" t="s">
        <v>107</v>
      </c>
      <c r="E13" s="19" t="s">
        <v>109</v>
      </c>
      <c r="F13" s="20"/>
      <c r="G13" s="20"/>
      <c r="H13" s="241"/>
      <c r="I13" s="20"/>
      <c r="J13" s="20"/>
    </row>
    <row r="14" spans="1:33" s="9" customFormat="1" ht="28.5" customHeight="1" outlineLevel="1" x14ac:dyDescent="0.2">
      <c r="D14" s="252"/>
      <c r="E14" s="41" t="s">
        <v>110</v>
      </c>
      <c r="F14" s="41" t="s">
        <v>111</v>
      </c>
      <c r="G14" s="41" t="s">
        <v>112</v>
      </c>
      <c r="H14" s="253"/>
      <c r="I14" s="41"/>
      <c r="J14" s="41"/>
    </row>
    <row r="15" spans="1:33" s="9" customFormat="1" ht="28.5" customHeight="1" outlineLevel="1" x14ac:dyDescent="0.2">
      <c r="D15" s="254"/>
      <c r="E15" s="255" t="s">
        <v>113</v>
      </c>
      <c r="F15" s="256" t="s">
        <v>114</v>
      </c>
      <c r="G15" s="255" t="s">
        <v>115</v>
      </c>
      <c r="H15" s="285">
        <v>2.41E-2</v>
      </c>
      <c r="I15" s="255" t="s">
        <v>116</v>
      </c>
      <c r="J15" s="255" t="s">
        <v>117</v>
      </c>
    </row>
    <row r="16" spans="1:33" s="9" customFormat="1" ht="28.5" customHeight="1" outlineLevel="1" x14ac:dyDescent="0.2">
      <c r="D16" s="254"/>
      <c r="E16" s="255" t="s">
        <v>118</v>
      </c>
      <c r="F16" s="255" t="s">
        <v>119</v>
      </c>
      <c r="G16" s="255" t="s">
        <v>120</v>
      </c>
      <c r="H16" s="285">
        <v>0</v>
      </c>
      <c r="I16" s="255"/>
      <c r="J16" s="255"/>
    </row>
    <row r="17" spans="4:10" s="9" customFormat="1" ht="42.75" customHeight="1" outlineLevel="1" x14ac:dyDescent="0.2">
      <c r="D17" s="22"/>
      <c r="E17" s="38" t="s">
        <v>121</v>
      </c>
      <c r="F17" s="38" t="s">
        <v>122</v>
      </c>
      <c r="G17" s="38" t="s">
        <v>123</v>
      </c>
      <c r="H17" s="240"/>
      <c r="I17" s="14"/>
      <c r="J17" s="14"/>
    </row>
    <row r="18" spans="4:10" s="9" customFormat="1" ht="12" customHeight="1" thickBot="1" x14ac:dyDescent="0.25">
      <c r="D18" s="18" t="s">
        <v>107</v>
      </c>
      <c r="E18" s="19" t="s">
        <v>124</v>
      </c>
      <c r="F18" s="20"/>
      <c r="G18" s="20"/>
      <c r="H18" s="241"/>
      <c r="I18" s="20"/>
      <c r="J18" s="20"/>
    </row>
    <row r="19" spans="4:10" s="9" customFormat="1" ht="26.1" customHeight="1" outlineLevel="1" x14ac:dyDescent="0.2">
      <c r="D19" s="252"/>
      <c r="E19" s="304" t="s">
        <v>125</v>
      </c>
      <c r="F19" s="151"/>
      <c r="G19" s="304" t="s">
        <v>126</v>
      </c>
      <c r="H19" s="253"/>
      <c r="I19" s="41" t="s">
        <v>127</v>
      </c>
      <c r="J19" s="41" t="s">
        <v>128</v>
      </c>
    </row>
    <row r="20" spans="4:10" s="9" customFormat="1" ht="26.1" customHeight="1" outlineLevel="1" x14ac:dyDescent="0.2">
      <c r="D20" s="22"/>
      <c r="E20" s="305"/>
      <c r="F20" s="38"/>
      <c r="G20" s="305"/>
      <c r="H20" s="240"/>
      <c r="I20" s="14" t="s">
        <v>129</v>
      </c>
      <c r="J20" s="14" t="s">
        <v>130</v>
      </c>
    </row>
    <row r="21" spans="4:10" s="9" customFormat="1" ht="26.1" customHeight="1" outlineLevel="1" x14ac:dyDescent="0.2">
      <c r="D21" s="257"/>
      <c r="E21" s="301"/>
      <c r="F21" s="258"/>
      <c r="G21" s="301"/>
      <c r="H21" s="259"/>
      <c r="I21" s="260" t="s">
        <v>116</v>
      </c>
      <c r="J21" s="260" t="s">
        <v>131</v>
      </c>
    </row>
    <row r="22" spans="4:10" s="9" customFormat="1" ht="61.5" customHeight="1" outlineLevel="1" x14ac:dyDescent="0.2">
      <c r="D22" s="254"/>
      <c r="E22" s="261" t="s">
        <v>132</v>
      </c>
      <c r="F22" s="261"/>
      <c r="G22" s="261" t="s">
        <v>133</v>
      </c>
      <c r="H22" s="262"/>
      <c r="I22" s="255" t="s">
        <v>134</v>
      </c>
      <c r="J22" s="255" t="s">
        <v>135</v>
      </c>
    </row>
    <row r="23" spans="4:10" s="9" customFormat="1" ht="28.5" customHeight="1" outlineLevel="1" x14ac:dyDescent="0.2">
      <c r="D23" s="254"/>
      <c r="E23" s="261" t="s">
        <v>136</v>
      </c>
      <c r="F23" s="261" t="s">
        <v>137</v>
      </c>
      <c r="G23" s="261" t="s">
        <v>138</v>
      </c>
      <c r="H23" s="262">
        <v>90</v>
      </c>
      <c r="I23" s="255" t="s">
        <v>116</v>
      </c>
      <c r="J23" s="255" t="s">
        <v>139</v>
      </c>
    </row>
    <row r="24" spans="4:10" s="9" customFormat="1" ht="28.5" customHeight="1" outlineLevel="1" x14ac:dyDescent="0.2">
      <c r="D24" s="254"/>
      <c r="E24" s="261" t="s">
        <v>136</v>
      </c>
      <c r="F24" s="261" t="s">
        <v>140</v>
      </c>
      <c r="G24" s="261" t="s">
        <v>141</v>
      </c>
      <c r="H24" s="262">
        <v>30</v>
      </c>
      <c r="I24" s="255" t="s">
        <v>142</v>
      </c>
      <c r="J24" s="255" t="s">
        <v>143</v>
      </c>
    </row>
    <row r="25" spans="4:10" s="9" customFormat="1" ht="28.5" customHeight="1" outlineLevel="1" x14ac:dyDescent="0.2">
      <c r="D25" s="254"/>
      <c r="E25" s="261" t="s">
        <v>136</v>
      </c>
      <c r="F25" s="261" t="s">
        <v>144</v>
      </c>
      <c r="G25" s="261" t="s">
        <v>145</v>
      </c>
      <c r="H25" s="262">
        <v>80</v>
      </c>
      <c r="I25" s="255" t="s">
        <v>116</v>
      </c>
      <c r="J25" s="255" t="s">
        <v>146</v>
      </c>
    </row>
    <row r="26" spans="4:10" s="9" customFormat="1" ht="28.5" customHeight="1" outlineLevel="1" x14ac:dyDescent="0.2">
      <c r="D26" s="22"/>
      <c r="E26" s="38" t="s">
        <v>136</v>
      </c>
      <c r="F26" s="38" t="s">
        <v>147</v>
      </c>
      <c r="G26" s="38" t="s">
        <v>148</v>
      </c>
      <c r="H26" s="240">
        <v>5</v>
      </c>
      <c r="I26" s="14"/>
      <c r="J26" s="14"/>
    </row>
    <row r="27" spans="4:10" s="9" customFormat="1" ht="12" customHeight="1" thickBot="1" x14ac:dyDescent="0.25">
      <c r="D27" s="18" t="s">
        <v>107</v>
      </c>
      <c r="E27" s="19" t="s">
        <v>149</v>
      </c>
      <c r="F27" s="20"/>
      <c r="G27" s="20"/>
      <c r="H27" s="241"/>
      <c r="I27" s="20"/>
      <c r="J27" s="20"/>
    </row>
    <row r="28" spans="4:10" s="9" customFormat="1" ht="37.700000000000003" customHeight="1" outlineLevel="1" x14ac:dyDescent="0.2">
      <c r="D28" s="22"/>
      <c r="E28" s="38" t="s">
        <v>150</v>
      </c>
      <c r="F28" s="38"/>
      <c r="G28" s="38" t="s">
        <v>151</v>
      </c>
      <c r="H28" s="240"/>
      <c r="I28" s="14" t="s">
        <v>116</v>
      </c>
      <c r="J28" s="14" t="s">
        <v>152</v>
      </c>
    </row>
    <row r="29" spans="4:10" s="9" customFormat="1" ht="24" customHeight="1" outlineLevel="1" x14ac:dyDescent="0.2">
      <c r="D29" s="263"/>
      <c r="E29" s="300" t="s">
        <v>153</v>
      </c>
      <c r="F29" s="264"/>
      <c r="G29" s="300" t="s">
        <v>154</v>
      </c>
      <c r="H29" s="265"/>
      <c r="I29" s="266" t="s">
        <v>155</v>
      </c>
      <c r="J29" s="266" t="s">
        <v>156</v>
      </c>
    </row>
    <row r="30" spans="4:10" s="9" customFormat="1" ht="24" customHeight="1" outlineLevel="1" x14ac:dyDescent="0.2">
      <c r="D30" s="257"/>
      <c r="E30" s="301"/>
      <c r="F30" s="258"/>
      <c r="G30" s="301"/>
      <c r="H30" s="259"/>
      <c r="I30" s="260" t="s">
        <v>116</v>
      </c>
      <c r="J30" s="260" t="s">
        <v>157</v>
      </c>
    </row>
    <row r="31" spans="4:10" s="9" customFormat="1" ht="28.5" customHeight="1" outlineLevel="1" x14ac:dyDescent="0.2">
      <c r="D31" s="22"/>
      <c r="E31" s="38" t="s">
        <v>158</v>
      </c>
      <c r="F31" s="38"/>
      <c r="G31" s="38" t="s">
        <v>159</v>
      </c>
      <c r="H31" s="240"/>
      <c r="I31" s="14" t="s">
        <v>160</v>
      </c>
      <c r="J31" s="14" t="s">
        <v>161</v>
      </c>
    </row>
    <row r="32" spans="4:10" s="9" customFormat="1" ht="12" customHeight="1" thickBot="1" x14ac:dyDescent="0.25">
      <c r="D32" s="18" t="s">
        <v>107</v>
      </c>
      <c r="E32" s="19" t="s">
        <v>162</v>
      </c>
      <c r="F32" s="20"/>
      <c r="G32" s="20"/>
      <c r="H32" s="241"/>
      <c r="I32" s="20"/>
      <c r="J32" s="20"/>
    </row>
    <row r="33" spans="4:10" s="9" customFormat="1" ht="28.5" customHeight="1" outlineLevel="1" x14ac:dyDescent="0.2">
      <c r="D33" s="22"/>
      <c r="E33" s="38" t="s">
        <v>163</v>
      </c>
      <c r="F33" s="38"/>
      <c r="G33" s="38" t="s">
        <v>164</v>
      </c>
      <c r="H33" s="240"/>
      <c r="I33" s="14" t="s">
        <v>116</v>
      </c>
      <c r="J33" s="14" t="s">
        <v>165</v>
      </c>
    </row>
    <row r="34" spans="4:10" s="9" customFormat="1" ht="28.5" customHeight="1" outlineLevel="1" x14ac:dyDescent="0.2">
      <c r="D34" s="254"/>
      <c r="E34" s="261" t="s">
        <v>166</v>
      </c>
      <c r="F34" s="261"/>
      <c r="G34" s="261" t="s">
        <v>167</v>
      </c>
      <c r="H34" s="262"/>
      <c r="I34" s="255" t="s">
        <v>116</v>
      </c>
      <c r="J34" s="255" t="s">
        <v>168</v>
      </c>
    </row>
    <row r="35" spans="4:10" s="9" customFormat="1" ht="24" customHeight="1" outlineLevel="1" x14ac:dyDescent="0.2">
      <c r="D35" s="263"/>
      <c r="E35" s="300" t="s">
        <v>169</v>
      </c>
      <c r="F35" s="264"/>
      <c r="G35" s="300" t="s">
        <v>170</v>
      </c>
      <c r="H35" s="265"/>
      <c r="I35" s="266" t="s">
        <v>116</v>
      </c>
      <c r="J35" s="266" t="s">
        <v>168</v>
      </c>
    </row>
    <row r="36" spans="4:10" s="9" customFormat="1" ht="24" customHeight="1" outlineLevel="1" x14ac:dyDescent="0.2">
      <c r="D36" s="257"/>
      <c r="E36" s="301"/>
      <c r="F36" s="258"/>
      <c r="G36" s="301"/>
      <c r="H36" s="259"/>
      <c r="I36" s="260" t="s">
        <v>171</v>
      </c>
      <c r="J36" s="260" t="s">
        <v>172</v>
      </c>
    </row>
    <row r="37" spans="4:10" s="9" customFormat="1" ht="28.5" customHeight="1" outlineLevel="1" x14ac:dyDescent="0.2">
      <c r="D37" s="22"/>
      <c r="E37" s="38" t="s">
        <v>173</v>
      </c>
      <c r="F37" s="38"/>
      <c r="G37" s="38" t="s">
        <v>174</v>
      </c>
      <c r="H37" s="240"/>
      <c r="I37" s="14" t="s">
        <v>175</v>
      </c>
      <c r="J37" s="14" t="s">
        <v>176</v>
      </c>
    </row>
    <row r="38" spans="4:10" s="9" customFormat="1" ht="12" customHeight="1" thickBot="1" x14ac:dyDescent="0.25">
      <c r="D38" s="18" t="s">
        <v>107</v>
      </c>
      <c r="E38" s="19" t="s">
        <v>177</v>
      </c>
      <c r="F38" s="20"/>
      <c r="G38" s="20"/>
      <c r="H38" s="241"/>
      <c r="I38" s="20"/>
      <c r="J38" s="20"/>
    </row>
    <row r="39" spans="4:10" s="9" customFormat="1" ht="42" customHeight="1" outlineLevel="1" x14ac:dyDescent="0.2">
      <c r="D39" s="22"/>
      <c r="E39" s="38" t="s">
        <v>178</v>
      </c>
      <c r="F39" s="38" t="s">
        <v>179</v>
      </c>
      <c r="G39" s="38" t="s">
        <v>180</v>
      </c>
      <c r="H39" s="240"/>
      <c r="I39" s="14" t="s">
        <v>181</v>
      </c>
      <c r="J39" s="14" t="s">
        <v>182</v>
      </c>
    </row>
    <row r="40" spans="4:10" s="9" customFormat="1" ht="79.5" customHeight="1" outlineLevel="1" x14ac:dyDescent="0.2">
      <c r="D40" s="254"/>
      <c r="E40" s="261" t="s">
        <v>183</v>
      </c>
      <c r="F40" s="261" t="s">
        <v>179</v>
      </c>
      <c r="G40" s="261" t="s">
        <v>184</v>
      </c>
      <c r="H40" s="262"/>
      <c r="I40" s="255" t="s">
        <v>185</v>
      </c>
      <c r="J40" s="255" t="s">
        <v>186</v>
      </c>
    </row>
    <row r="41" spans="4:10" s="9" customFormat="1" ht="59.1" customHeight="1" outlineLevel="1" x14ac:dyDescent="0.2">
      <c r="D41" s="22"/>
      <c r="E41" s="38" t="s">
        <v>187</v>
      </c>
      <c r="F41" s="38" t="s">
        <v>188</v>
      </c>
      <c r="G41" s="261" t="s">
        <v>184</v>
      </c>
      <c r="H41" s="240"/>
      <c r="I41" s="14" t="s">
        <v>189</v>
      </c>
      <c r="J41" s="14" t="s">
        <v>190</v>
      </c>
    </row>
    <row r="42" spans="4:10" s="9" customFormat="1" ht="12" customHeight="1" thickBot="1" x14ac:dyDescent="0.25">
      <c r="D42" s="18" t="s">
        <v>107</v>
      </c>
      <c r="E42" s="19" t="s">
        <v>191</v>
      </c>
      <c r="F42" s="20"/>
      <c r="G42" s="20"/>
      <c r="H42" s="241"/>
      <c r="I42" s="20"/>
      <c r="J42" s="20"/>
    </row>
    <row r="43" spans="4:10" s="9" customFormat="1" ht="28.5" customHeight="1" outlineLevel="1" x14ac:dyDescent="0.2">
      <c r="D43" s="22"/>
      <c r="E43" s="38" t="s">
        <v>192</v>
      </c>
      <c r="F43" s="38"/>
      <c r="G43" s="38" t="s">
        <v>193</v>
      </c>
      <c r="H43" s="240"/>
      <c r="I43" s="14" t="s">
        <v>189</v>
      </c>
      <c r="J43" s="14" t="s">
        <v>194</v>
      </c>
    </row>
    <row r="44" spans="4:10" s="9" customFormat="1" ht="28.5" customHeight="1" outlineLevel="1" x14ac:dyDescent="0.2">
      <c r="D44" s="254"/>
      <c r="E44" s="261" t="s">
        <v>195</v>
      </c>
      <c r="F44" s="261"/>
      <c r="G44" s="261" t="s">
        <v>196</v>
      </c>
      <c r="H44" s="262"/>
      <c r="I44" s="255"/>
      <c r="J44" s="255"/>
    </row>
    <row r="45" spans="4:10" s="9" customFormat="1" ht="28.5" customHeight="1" outlineLevel="1" x14ac:dyDescent="0.2">
      <c r="D45" s="254"/>
      <c r="E45" s="261" t="s">
        <v>197</v>
      </c>
      <c r="F45" s="261"/>
      <c r="G45" s="261" t="s">
        <v>198</v>
      </c>
      <c r="H45" s="286">
        <v>1</v>
      </c>
      <c r="I45" s="255"/>
      <c r="J45" s="255"/>
    </row>
    <row r="46" spans="4:10" s="9" customFormat="1" ht="68.25" customHeight="1" outlineLevel="1" x14ac:dyDescent="0.2">
      <c r="D46" s="254"/>
      <c r="E46" s="261" t="s">
        <v>199</v>
      </c>
      <c r="F46" s="261"/>
      <c r="G46" s="261" t="s">
        <v>200</v>
      </c>
      <c r="H46" s="286">
        <v>2</v>
      </c>
      <c r="I46" s="267" t="s">
        <v>201</v>
      </c>
      <c r="J46" s="255" t="s">
        <v>202</v>
      </c>
    </row>
    <row r="47" spans="4:10" s="9" customFormat="1" ht="28.5" customHeight="1" outlineLevel="1" x14ac:dyDescent="0.2">
      <c r="D47" s="254"/>
      <c r="E47" s="261" t="s">
        <v>203</v>
      </c>
      <c r="F47" s="261" t="s">
        <v>204</v>
      </c>
      <c r="G47" s="261"/>
      <c r="H47" s="262"/>
      <c r="I47" s="255"/>
      <c r="J47" s="255"/>
    </row>
    <row r="48" spans="4:10" s="9" customFormat="1" ht="28.5" customHeight="1" outlineLevel="1" x14ac:dyDescent="0.2">
      <c r="D48" s="254"/>
      <c r="E48" s="261" t="s">
        <v>205</v>
      </c>
      <c r="F48" s="261" t="s">
        <v>206</v>
      </c>
      <c r="G48" s="261" t="s">
        <v>207</v>
      </c>
      <c r="H48" s="262"/>
      <c r="I48" s="255"/>
      <c r="J48" s="255"/>
    </row>
    <row r="49" spans="4:10" s="9" customFormat="1" ht="28.5" customHeight="1" outlineLevel="1" x14ac:dyDescent="0.2">
      <c r="D49" s="254"/>
      <c r="E49" s="261" t="s">
        <v>208</v>
      </c>
      <c r="F49" s="261" t="s">
        <v>209</v>
      </c>
      <c r="G49" s="261" t="s">
        <v>210</v>
      </c>
      <c r="H49" s="262"/>
      <c r="I49" s="255"/>
      <c r="J49" s="255"/>
    </row>
    <row r="50" spans="4:10" s="9" customFormat="1" ht="28.5" customHeight="1" outlineLevel="1" x14ac:dyDescent="0.2">
      <c r="D50" s="254"/>
      <c r="E50" s="261" t="s">
        <v>211</v>
      </c>
      <c r="F50" s="261" t="s">
        <v>212</v>
      </c>
      <c r="G50" s="261" t="s">
        <v>213</v>
      </c>
      <c r="H50" s="262"/>
      <c r="I50" s="255"/>
      <c r="J50" s="255"/>
    </row>
    <row r="51" spans="4:10" s="9" customFormat="1" ht="28.5" customHeight="1" outlineLevel="1" x14ac:dyDescent="0.2">
      <c r="D51" s="254"/>
      <c r="E51" s="261" t="s">
        <v>214</v>
      </c>
      <c r="F51" s="261" t="s">
        <v>215</v>
      </c>
      <c r="G51" s="261" t="s">
        <v>216</v>
      </c>
      <c r="H51" s="262"/>
      <c r="I51" s="255"/>
      <c r="J51" s="255"/>
    </row>
    <row r="52" spans="4:10" s="9" customFormat="1" ht="28.5" customHeight="1" outlineLevel="1" x14ac:dyDescent="0.2">
      <c r="D52" s="254"/>
      <c r="E52" s="261" t="s">
        <v>217</v>
      </c>
      <c r="F52" s="261" t="s">
        <v>218</v>
      </c>
      <c r="G52" s="261" t="s">
        <v>219</v>
      </c>
      <c r="H52" s="262"/>
      <c r="I52" s="255"/>
      <c r="J52" s="255"/>
    </row>
    <row r="53" spans="4:10" s="9" customFormat="1" ht="28.5" customHeight="1" outlineLevel="1" x14ac:dyDescent="0.2">
      <c r="D53" s="254"/>
      <c r="E53" s="261" t="s">
        <v>220</v>
      </c>
      <c r="F53" s="268" t="s">
        <v>221</v>
      </c>
      <c r="G53" s="261"/>
      <c r="H53" s="262"/>
      <c r="I53" s="255"/>
      <c r="J53" s="255"/>
    </row>
    <row r="54" spans="4:10" s="9" customFormat="1" ht="28.5" customHeight="1" outlineLevel="1" x14ac:dyDescent="0.2">
      <c r="D54" s="254"/>
      <c r="E54" s="261" t="s">
        <v>222</v>
      </c>
      <c r="F54" s="261" t="s">
        <v>223</v>
      </c>
      <c r="G54" s="261" t="s">
        <v>207</v>
      </c>
      <c r="H54" s="262"/>
      <c r="I54" s="255"/>
      <c r="J54" s="255"/>
    </row>
    <row r="55" spans="4:10" s="9" customFormat="1" ht="28.5" customHeight="1" outlineLevel="1" x14ac:dyDescent="0.2">
      <c r="D55" s="254"/>
      <c r="E55" s="261" t="s">
        <v>224</v>
      </c>
      <c r="F55" s="261" t="s">
        <v>225</v>
      </c>
      <c r="G55" s="261" t="s">
        <v>210</v>
      </c>
      <c r="H55" s="262"/>
      <c r="I55" s="255"/>
      <c r="J55" s="255"/>
    </row>
    <row r="56" spans="4:10" s="9" customFormat="1" ht="28.5" customHeight="1" outlineLevel="1" x14ac:dyDescent="0.2">
      <c r="D56" s="254"/>
      <c r="E56" s="261" t="s">
        <v>226</v>
      </c>
      <c r="F56" s="261" t="s">
        <v>212</v>
      </c>
      <c r="G56" s="261" t="s">
        <v>227</v>
      </c>
      <c r="H56" s="262"/>
      <c r="I56" s="255"/>
      <c r="J56" s="255"/>
    </row>
    <row r="57" spans="4:10" s="9" customFormat="1" ht="28.5" customHeight="1" outlineLevel="1" x14ac:dyDescent="0.2">
      <c r="D57" s="254"/>
      <c r="E57" s="261" t="s">
        <v>228</v>
      </c>
      <c r="F57" s="261" t="s">
        <v>229</v>
      </c>
      <c r="G57" s="261" t="s">
        <v>229</v>
      </c>
      <c r="H57" s="262"/>
      <c r="I57" s="255"/>
      <c r="J57" s="255"/>
    </row>
    <row r="58" spans="4:10" s="9" customFormat="1" ht="28.5" customHeight="1" outlineLevel="1" x14ac:dyDescent="0.2">
      <c r="D58" s="254"/>
      <c r="E58" s="261" t="s">
        <v>230</v>
      </c>
      <c r="F58" s="261" t="s">
        <v>218</v>
      </c>
      <c r="G58" s="261" t="s">
        <v>231</v>
      </c>
      <c r="H58" s="262"/>
      <c r="I58" s="255"/>
      <c r="J58" s="255"/>
    </row>
    <row r="59" spans="4:10" s="9" customFormat="1" ht="28.5" customHeight="1" outlineLevel="1" x14ac:dyDescent="0.2">
      <c r="D59" s="254"/>
      <c r="E59" s="261" t="s">
        <v>232</v>
      </c>
      <c r="F59" s="261" t="s">
        <v>233</v>
      </c>
      <c r="G59" s="261"/>
      <c r="H59" s="262"/>
      <c r="I59" s="255"/>
      <c r="J59" s="255"/>
    </row>
    <row r="60" spans="4:10" s="9" customFormat="1" ht="28.5" customHeight="1" outlineLevel="1" x14ac:dyDescent="0.2">
      <c r="D60" s="254"/>
      <c r="E60" s="261" t="s">
        <v>234</v>
      </c>
      <c r="F60" s="261" t="s">
        <v>235</v>
      </c>
      <c r="G60" s="261" t="s">
        <v>207</v>
      </c>
      <c r="H60" s="262"/>
      <c r="I60" s="255"/>
      <c r="J60" s="255"/>
    </row>
    <row r="61" spans="4:10" s="9" customFormat="1" ht="28.5" customHeight="1" outlineLevel="1" x14ac:dyDescent="0.2">
      <c r="D61" s="254"/>
      <c r="E61" s="261" t="s">
        <v>236</v>
      </c>
      <c r="F61" s="261" t="s">
        <v>237</v>
      </c>
      <c r="G61" s="261" t="s">
        <v>210</v>
      </c>
      <c r="H61" s="262"/>
      <c r="I61" s="255"/>
      <c r="J61" s="255"/>
    </row>
    <row r="62" spans="4:10" s="9" customFormat="1" ht="28.5" customHeight="1" outlineLevel="1" x14ac:dyDescent="0.2">
      <c r="D62" s="254"/>
      <c r="E62" s="261" t="s">
        <v>238</v>
      </c>
      <c r="F62" s="261" t="s">
        <v>212</v>
      </c>
      <c r="G62" s="261" t="s">
        <v>239</v>
      </c>
      <c r="H62" s="262"/>
      <c r="I62" s="255"/>
      <c r="J62" s="255"/>
    </row>
    <row r="63" spans="4:10" s="9" customFormat="1" ht="28.5" customHeight="1" outlineLevel="1" x14ac:dyDescent="0.2">
      <c r="D63" s="254"/>
      <c r="E63" s="261" t="s">
        <v>240</v>
      </c>
      <c r="F63" s="261" t="s">
        <v>215</v>
      </c>
      <c r="G63" s="261" t="s">
        <v>241</v>
      </c>
      <c r="H63" s="262"/>
      <c r="I63" s="255"/>
      <c r="J63" s="255"/>
    </row>
    <row r="64" spans="4:10" s="9" customFormat="1" ht="52.5" customHeight="1" outlineLevel="1" x14ac:dyDescent="0.2">
      <c r="D64" s="254"/>
      <c r="E64" s="261" t="s">
        <v>242</v>
      </c>
      <c r="F64" s="261" t="s">
        <v>218</v>
      </c>
      <c r="G64" s="261" t="s">
        <v>243</v>
      </c>
      <c r="H64" s="262"/>
      <c r="I64" s="255"/>
      <c r="J64" s="255"/>
    </row>
    <row r="65" spans="4:10" s="9" customFormat="1" ht="28.5" customHeight="1" outlineLevel="1" x14ac:dyDescent="0.2">
      <c r="D65" s="254"/>
      <c r="E65" s="261" t="s">
        <v>244</v>
      </c>
      <c r="F65" s="268" t="s">
        <v>245</v>
      </c>
      <c r="G65" s="261"/>
      <c r="H65" s="262"/>
      <c r="I65" s="255"/>
      <c r="J65" s="255"/>
    </row>
    <row r="66" spans="4:10" s="9" customFormat="1" ht="28.5" customHeight="1" outlineLevel="1" x14ac:dyDescent="0.2">
      <c r="D66" s="254"/>
      <c r="E66" s="261" t="s">
        <v>246</v>
      </c>
      <c r="F66" s="261" t="s">
        <v>247</v>
      </c>
      <c r="G66" s="261" t="s">
        <v>207</v>
      </c>
      <c r="H66" s="262"/>
      <c r="I66" s="255"/>
      <c r="J66" s="255"/>
    </row>
    <row r="67" spans="4:10" s="9" customFormat="1" ht="28.5" customHeight="1" outlineLevel="1" x14ac:dyDescent="0.2">
      <c r="D67" s="254"/>
      <c r="E67" s="261" t="s">
        <v>248</v>
      </c>
      <c r="F67" s="261" t="s">
        <v>249</v>
      </c>
      <c r="G67" s="261" t="s">
        <v>210</v>
      </c>
      <c r="H67" s="262"/>
      <c r="I67" s="255"/>
      <c r="J67" s="255"/>
    </row>
    <row r="68" spans="4:10" s="9" customFormat="1" ht="28.5" customHeight="1" outlineLevel="1" x14ac:dyDescent="0.2">
      <c r="D68" s="254"/>
      <c r="E68" s="261" t="s">
        <v>250</v>
      </c>
      <c r="F68" s="261" t="s">
        <v>212</v>
      </c>
      <c r="G68" s="261" t="s">
        <v>251</v>
      </c>
      <c r="H68" s="262"/>
      <c r="I68" s="255"/>
      <c r="J68" s="255"/>
    </row>
    <row r="69" spans="4:10" s="9" customFormat="1" ht="28.5" customHeight="1" outlineLevel="1" x14ac:dyDescent="0.2">
      <c r="D69" s="254"/>
      <c r="E69" s="261" t="s">
        <v>252</v>
      </c>
      <c r="F69" s="261" t="s">
        <v>229</v>
      </c>
      <c r="G69" s="261" t="s">
        <v>229</v>
      </c>
      <c r="H69" s="262"/>
      <c r="I69" s="255"/>
      <c r="J69" s="255"/>
    </row>
    <row r="70" spans="4:10" s="9" customFormat="1" ht="42.75" customHeight="1" outlineLevel="1" x14ac:dyDescent="0.2">
      <c r="D70" s="22"/>
      <c r="E70" s="38" t="s">
        <v>253</v>
      </c>
      <c r="F70" s="38" t="s">
        <v>218</v>
      </c>
      <c r="G70" s="38" t="s">
        <v>254</v>
      </c>
      <c r="H70" s="240"/>
      <c r="I70" s="14"/>
      <c r="J70" s="14"/>
    </row>
    <row r="71" spans="4:10" s="9" customFormat="1" ht="12" customHeight="1" thickBot="1" x14ac:dyDescent="0.25">
      <c r="D71" s="18" t="s">
        <v>107</v>
      </c>
      <c r="E71" s="19" t="s">
        <v>255</v>
      </c>
      <c r="F71" s="20"/>
      <c r="G71" s="20"/>
      <c r="H71" s="241"/>
      <c r="I71" s="20"/>
      <c r="J71" s="20"/>
    </row>
    <row r="72" spans="4:10" s="9" customFormat="1" ht="28.5" customHeight="1" outlineLevel="1" x14ac:dyDescent="0.2">
      <c r="D72" s="249"/>
      <c r="E72" s="269" t="s">
        <v>256</v>
      </c>
      <c r="F72" s="269" t="s">
        <v>257</v>
      </c>
      <c r="G72" s="269" t="s">
        <v>258</v>
      </c>
      <c r="H72" s="251"/>
      <c r="I72" s="250"/>
      <c r="J72" s="250"/>
    </row>
    <row r="73" spans="4:10" s="9" customFormat="1" ht="28.5" customHeight="1" outlineLevel="1" x14ac:dyDescent="0.2">
      <c r="D73" s="254"/>
      <c r="E73" s="261" t="s">
        <v>259</v>
      </c>
      <c r="F73" s="261" t="s">
        <v>260</v>
      </c>
      <c r="G73" s="261" t="s">
        <v>261</v>
      </c>
      <c r="H73" s="262"/>
      <c r="I73" s="255"/>
      <c r="J73" s="255"/>
    </row>
    <row r="74" spans="4:10" s="9" customFormat="1" ht="28.5" customHeight="1" outlineLevel="1" x14ac:dyDescent="0.2">
      <c r="D74" s="254"/>
      <c r="E74" s="261" t="s">
        <v>262</v>
      </c>
      <c r="F74" s="261" t="s">
        <v>263</v>
      </c>
      <c r="G74" s="261" t="s">
        <v>264</v>
      </c>
      <c r="H74" s="262"/>
      <c r="I74" s="255"/>
      <c r="J74" s="255"/>
    </row>
    <row r="75" spans="4:10" s="9" customFormat="1" ht="28.5" customHeight="1" outlineLevel="1" x14ac:dyDescent="0.2">
      <c r="D75" s="254"/>
      <c r="E75" s="261" t="s">
        <v>265</v>
      </c>
      <c r="F75" s="261" t="s">
        <v>266</v>
      </c>
      <c r="G75" s="261" t="s">
        <v>267</v>
      </c>
      <c r="H75" s="262"/>
      <c r="I75" s="255"/>
      <c r="J75" s="255"/>
    </row>
    <row r="76" spans="4:10" s="9" customFormat="1" ht="28.5" customHeight="1" outlineLevel="1" x14ac:dyDescent="0.2">
      <c r="D76" s="254"/>
      <c r="E76" s="261" t="s">
        <v>268</v>
      </c>
      <c r="F76" s="261" t="s">
        <v>269</v>
      </c>
      <c r="G76" s="261" t="s">
        <v>270</v>
      </c>
      <c r="H76" s="262"/>
      <c r="I76" s="255"/>
      <c r="J76" s="255"/>
    </row>
    <row r="77" spans="4:10" s="9" customFormat="1" ht="28.5" customHeight="1" outlineLevel="1" x14ac:dyDescent="0.2">
      <c r="D77" s="254"/>
      <c r="E77" s="261" t="s">
        <v>271</v>
      </c>
      <c r="F77" s="261" t="s">
        <v>272</v>
      </c>
      <c r="G77" s="261" t="s">
        <v>273</v>
      </c>
      <c r="H77" s="262"/>
      <c r="I77" s="255"/>
      <c r="J77" s="255"/>
    </row>
    <row r="78" spans="4:10" s="9" customFormat="1" ht="28.5" customHeight="1" outlineLevel="1" x14ac:dyDescent="0.2">
      <c r="D78" s="254"/>
      <c r="E78" s="261" t="s">
        <v>274</v>
      </c>
      <c r="F78" s="261" t="s">
        <v>275</v>
      </c>
      <c r="G78" s="261" t="s">
        <v>276</v>
      </c>
      <c r="H78" s="262"/>
      <c r="I78" s="255"/>
      <c r="J78" s="255"/>
    </row>
    <row r="79" spans="4:10" s="9" customFormat="1" ht="28.5" customHeight="1" outlineLevel="1" x14ac:dyDescent="0.2">
      <c r="D79" s="254"/>
      <c r="E79" s="261" t="s">
        <v>277</v>
      </c>
      <c r="F79" s="261" t="s">
        <v>278</v>
      </c>
      <c r="G79" s="261" t="s">
        <v>279</v>
      </c>
      <c r="H79" s="262"/>
      <c r="I79" s="255"/>
      <c r="J79" s="255"/>
    </row>
    <row r="80" spans="4:10" s="9" customFormat="1" ht="51.75" customHeight="1" outlineLevel="1" x14ac:dyDescent="0.2">
      <c r="D80" s="254"/>
      <c r="E80" s="261" t="s">
        <v>280</v>
      </c>
      <c r="F80" s="261" t="s">
        <v>281</v>
      </c>
      <c r="G80" s="261" t="s">
        <v>282</v>
      </c>
      <c r="H80" s="262"/>
      <c r="I80" s="255"/>
      <c r="J80" s="255"/>
    </row>
    <row r="81" spans="4:10" s="9" customFormat="1" ht="28.5" customHeight="1" outlineLevel="1" x14ac:dyDescent="0.2">
      <c r="D81" s="22"/>
      <c r="E81" s="38" t="s">
        <v>283</v>
      </c>
      <c r="F81" s="38" t="s">
        <v>284</v>
      </c>
      <c r="G81" s="38" t="s">
        <v>285</v>
      </c>
      <c r="H81" s="240"/>
      <c r="I81" s="14"/>
      <c r="J81" s="14"/>
    </row>
    <row r="82" spans="4:10" s="9" customFormat="1" ht="12" customHeight="1" thickBot="1" x14ac:dyDescent="0.25">
      <c r="D82" s="18" t="s">
        <v>107</v>
      </c>
      <c r="E82" s="19" t="s">
        <v>286</v>
      </c>
      <c r="F82" s="20"/>
      <c r="G82" s="20"/>
      <c r="H82" s="241"/>
      <c r="I82" s="20"/>
      <c r="J82" s="20"/>
    </row>
    <row r="83" spans="4:10" s="9" customFormat="1" ht="28.5" customHeight="1" outlineLevel="1" x14ac:dyDescent="0.2">
      <c r="D83" s="22"/>
      <c r="E83" s="38" t="s">
        <v>287</v>
      </c>
      <c r="F83" s="38" t="s">
        <v>288</v>
      </c>
      <c r="G83" s="38" t="s">
        <v>289</v>
      </c>
      <c r="H83" s="240"/>
      <c r="I83" s="14"/>
      <c r="J83" s="14"/>
    </row>
    <row r="84" spans="4:10" s="9" customFormat="1" ht="28.5" customHeight="1" outlineLevel="1" x14ac:dyDescent="0.2">
      <c r="D84" s="254"/>
      <c r="E84" s="261" t="s">
        <v>290</v>
      </c>
      <c r="F84" s="261" t="s">
        <v>291</v>
      </c>
      <c r="G84" s="261" t="s">
        <v>292</v>
      </c>
      <c r="H84" s="262"/>
      <c r="I84" s="255"/>
      <c r="J84" s="255"/>
    </row>
    <row r="85" spans="4:10" s="9" customFormat="1" ht="28.5" customHeight="1" outlineLevel="1" x14ac:dyDescent="0.2">
      <c r="D85" s="254"/>
      <c r="E85" s="261" t="s">
        <v>37</v>
      </c>
      <c r="F85" s="261" t="s">
        <v>293</v>
      </c>
      <c r="G85" s="261" t="s">
        <v>294</v>
      </c>
      <c r="H85" s="262"/>
      <c r="I85" s="255"/>
      <c r="J85" s="255"/>
    </row>
    <row r="86" spans="4:10" s="9" customFormat="1" ht="28.5" customHeight="1" outlineLevel="1" x14ac:dyDescent="0.2">
      <c r="D86" s="22"/>
      <c r="E86" s="14" t="s">
        <v>9</v>
      </c>
      <c r="F86" s="243"/>
      <c r="G86" s="243" t="s">
        <v>295</v>
      </c>
      <c r="H86" s="240"/>
      <c r="I86" s="14"/>
      <c r="J86" s="14"/>
    </row>
    <row r="87" spans="4:10" s="9" customFormat="1" ht="12" customHeight="1" thickBot="1" x14ac:dyDescent="0.25">
      <c r="D87" s="21" t="s">
        <v>107</v>
      </c>
      <c r="E87" s="19" t="s">
        <v>296</v>
      </c>
      <c r="F87" s="20"/>
      <c r="G87" s="20"/>
      <c r="H87" s="241" t="s">
        <v>297</v>
      </c>
      <c r="I87" s="20" t="s">
        <v>298</v>
      </c>
      <c r="J87" s="20" t="s">
        <v>299</v>
      </c>
    </row>
    <row r="88" spans="4:10" s="9" customFormat="1" ht="44.25" customHeight="1" outlineLevel="1" x14ac:dyDescent="0.2">
      <c r="D88" s="22"/>
      <c r="E88" s="38" t="s">
        <v>31</v>
      </c>
      <c r="F88" s="38" t="str">
        <f>"Sheet name is "&amp;H88</f>
        <v>Sheet name is SW</v>
      </c>
      <c r="G88" s="38" t="s">
        <v>300</v>
      </c>
      <c r="H88" s="240" t="s">
        <v>82</v>
      </c>
      <c r="I88" s="14" t="s">
        <v>301</v>
      </c>
      <c r="J88" s="14" t="s">
        <v>287</v>
      </c>
    </row>
    <row r="89" spans="4:10" s="9" customFormat="1" ht="28.5" customHeight="1" outlineLevel="1" x14ac:dyDescent="0.2">
      <c r="D89" s="254"/>
      <c r="E89" s="261" t="s">
        <v>32</v>
      </c>
      <c r="F89" s="261" t="str">
        <f t="shared" ref="F89:F95" si="0">"Sheet name is "&amp;H89</f>
        <v>Sheet name is SS</v>
      </c>
      <c r="G89" s="261" t="s">
        <v>302</v>
      </c>
      <c r="H89" s="262" t="s">
        <v>80</v>
      </c>
      <c r="I89" s="255" t="s">
        <v>303</v>
      </c>
      <c r="J89" s="255" t="s">
        <v>287</v>
      </c>
    </row>
    <row r="90" spans="4:10" s="9" customFormat="1" ht="28.5" customHeight="1" outlineLevel="1" x14ac:dyDescent="0.2">
      <c r="D90" s="254"/>
      <c r="E90" s="261" t="s">
        <v>33</v>
      </c>
      <c r="F90" s="261" t="str">
        <f t="shared" si="0"/>
        <v>Sheet name is SA</v>
      </c>
      <c r="G90" s="261" t="s">
        <v>304</v>
      </c>
      <c r="H90" s="262" t="s">
        <v>84</v>
      </c>
      <c r="I90" s="255" t="s">
        <v>305</v>
      </c>
      <c r="J90" s="255" t="s">
        <v>287</v>
      </c>
    </row>
    <row r="91" spans="4:10" s="9" customFormat="1" ht="28.5" customHeight="1" outlineLevel="1" x14ac:dyDescent="0.2">
      <c r="D91" s="254"/>
      <c r="E91" s="261" t="s">
        <v>34</v>
      </c>
      <c r="F91" s="261" t="str">
        <f t="shared" si="0"/>
        <v>Sheet name is GW</v>
      </c>
      <c r="G91" s="261" t="s">
        <v>306</v>
      </c>
      <c r="H91" s="262" t="s">
        <v>88</v>
      </c>
      <c r="I91" s="255" t="s">
        <v>301</v>
      </c>
      <c r="J91" s="255" t="s">
        <v>290</v>
      </c>
    </row>
    <row r="92" spans="4:10" s="9" customFormat="1" ht="28.5" customHeight="1" outlineLevel="1" x14ac:dyDescent="0.2">
      <c r="D92" s="254"/>
      <c r="E92" s="261" t="s">
        <v>35</v>
      </c>
      <c r="F92" s="261" t="str">
        <f t="shared" si="0"/>
        <v>Sheet name is GS</v>
      </c>
      <c r="G92" s="261" t="s">
        <v>307</v>
      </c>
      <c r="H92" s="262" t="s">
        <v>86</v>
      </c>
      <c r="I92" s="255" t="s">
        <v>303</v>
      </c>
      <c r="J92" s="255" t="s">
        <v>290</v>
      </c>
    </row>
    <row r="93" spans="4:10" s="9" customFormat="1" ht="28.5" customHeight="1" outlineLevel="1" x14ac:dyDescent="0.2">
      <c r="D93" s="254"/>
      <c r="E93" s="261" t="s">
        <v>36</v>
      </c>
      <c r="F93" s="261" t="str">
        <f t="shared" si="0"/>
        <v>Sheet name is GA</v>
      </c>
      <c r="G93" s="261" t="s">
        <v>308</v>
      </c>
      <c r="H93" s="262" t="s">
        <v>90</v>
      </c>
      <c r="I93" s="255" t="s">
        <v>305</v>
      </c>
      <c r="J93" s="255" t="s">
        <v>290</v>
      </c>
    </row>
    <row r="94" spans="4:10" s="9" customFormat="1" ht="28.5" customHeight="1" outlineLevel="1" x14ac:dyDescent="0.2">
      <c r="D94" s="254"/>
      <c r="E94" s="261" t="s">
        <v>37</v>
      </c>
      <c r="F94" s="261" t="str">
        <f t="shared" si="0"/>
        <v>Sheet name is WR</v>
      </c>
      <c r="G94" s="261" t="s">
        <v>309</v>
      </c>
      <c r="H94" s="262" t="s">
        <v>92</v>
      </c>
      <c r="I94" s="255" t="s">
        <v>310</v>
      </c>
      <c r="J94" s="255" t="s">
        <v>283</v>
      </c>
    </row>
    <row r="95" spans="4:10" s="9" customFormat="1" ht="28.5" customHeight="1" outlineLevel="1" x14ac:dyDescent="0.2">
      <c r="D95" s="22"/>
      <c r="E95" s="14" t="s">
        <v>9</v>
      </c>
      <c r="F95" s="38" t="str">
        <f t="shared" si="0"/>
        <v>Sheet name is GR</v>
      </c>
      <c r="G95" s="243" t="s">
        <v>311</v>
      </c>
      <c r="H95" s="240" t="s">
        <v>94</v>
      </c>
      <c r="I95" s="14" t="s">
        <v>310</v>
      </c>
      <c r="J95" s="14" t="s">
        <v>312</v>
      </c>
    </row>
    <row r="96" spans="4:10" s="9" customFormat="1" ht="27.4" customHeight="1" x14ac:dyDescent="0.2">
      <c r="D96" s="22"/>
      <c r="E96" s="14"/>
      <c r="F96" s="38"/>
      <c r="G96" s="243"/>
      <c r="H96" s="240"/>
      <c r="I96" s="14"/>
      <c r="J96" s="14"/>
    </row>
    <row r="97" spans="1:64" x14ac:dyDescent="0.2">
      <c r="A97" s="9"/>
      <c r="B97" s="127" t="s">
        <v>45</v>
      </c>
      <c r="C97" s="127"/>
      <c r="D97" s="127"/>
      <c r="E97" s="236"/>
      <c r="F97" s="236"/>
      <c r="G97" s="247"/>
      <c r="H97" s="242"/>
      <c r="I97" s="248"/>
      <c r="J97" s="248"/>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row>
    <row r="98" spans="1:64" x14ac:dyDescent="0.2">
      <c r="A98" s="9"/>
    </row>
    <row r="99" spans="1:64" x14ac:dyDescent="0.2">
      <c r="A99" s="9"/>
    </row>
    <row r="101" spans="1:64" hidden="1" x14ac:dyDescent="0.2">
      <c r="C101" s="34"/>
    </row>
    <row r="102" spans="1:64" hidden="1" x14ac:dyDescent="0.2">
      <c r="C102" s="34"/>
    </row>
    <row r="103" spans="1:64" x14ac:dyDescent="0.2"/>
    <row r="104" spans="1:64" x14ac:dyDescent="0.2"/>
  </sheetData>
  <mergeCells count="10">
    <mergeCell ref="G29:G30"/>
    <mergeCell ref="E29:E30"/>
    <mergeCell ref="E35:E36"/>
    <mergeCell ref="G35:G36"/>
    <mergeCell ref="B2:AA2"/>
    <mergeCell ref="B3:AA3"/>
    <mergeCell ref="B4:AA4"/>
    <mergeCell ref="E12:G12"/>
    <mergeCell ref="E19:E21"/>
    <mergeCell ref="G19:G21"/>
  </mergeCells>
  <hyperlinks>
    <hyperlink ref="I46" r:id="rId1" xr:uid="{38A5237C-1687-4265-918A-5A6CC584C63C}"/>
  </hyperlinks>
  <pageMargins left="0.7" right="0.7" top="0.75" bottom="0.75" header="0.3" footer="0.3"/>
  <pageSetup paperSize="9" orientation="portrait"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4160B-9FBD-4232-8B60-9BA299B022DB}">
  <sheetPr>
    <tabColor rgb="FFFFC000"/>
  </sheetPr>
  <dimension ref="A1:BM69"/>
  <sheetViews>
    <sheetView showGridLines="0" workbookViewId="0">
      <pane ySplit="9" topLeftCell="A10" activePane="bottomLeft" state="frozen"/>
      <selection pane="bottomLeft"/>
    </sheetView>
  </sheetViews>
  <sheetFormatPr defaultRowHeight="11.25" zeroHeight="1" x14ac:dyDescent="0.2"/>
  <cols>
    <col min="1" max="1" width="1.33203125" customWidth="1"/>
    <col min="2" max="2" width="3.6640625" customWidth="1"/>
    <col min="3" max="3" width="4.1640625" style="3" customWidth="1"/>
    <col min="4" max="4" width="19.33203125" style="234" customWidth="1"/>
    <col min="5" max="12" width="37.5" style="270" customWidth="1"/>
  </cols>
  <sheetData>
    <row r="1" spans="1:33" ht="5.25" customHeight="1" x14ac:dyDescent="0.2">
      <c r="C1"/>
      <c r="F1" s="271"/>
      <c r="G1" s="271"/>
    </row>
    <row r="2" spans="1:33" s="2" customFormat="1" ht="34.5" customHeight="1" x14ac:dyDescent="0.3">
      <c r="B2" s="296" t="s">
        <v>0</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row>
    <row r="3" spans="1:33" s="2" customFormat="1" x14ac:dyDescent="0.2">
      <c r="B3" s="298" t="s">
        <v>313</v>
      </c>
      <c r="C3" s="298"/>
      <c r="D3" s="298"/>
      <c r="E3" s="298"/>
      <c r="F3" s="298"/>
      <c r="G3" s="298"/>
      <c r="H3" s="298"/>
      <c r="I3" s="298"/>
      <c r="J3" s="298"/>
      <c r="K3" s="298"/>
      <c r="L3" s="298"/>
      <c r="M3" s="298"/>
      <c r="N3" s="298"/>
      <c r="O3" s="298"/>
      <c r="P3" s="298"/>
      <c r="Q3" s="298"/>
      <c r="R3" s="298"/>
      <c r="S3" s="298"/>
      <c r="T3" s="298"/>
      <c r="U3" s="298"/>
      <c r="V3" s="298"/>
      <c r="W3" s="298"/>
      <c r="X3" s="298"/>
      <c r="Y3" s="298"/>
      <c r="Z3" s="298"/>
      <c r="AA3" s="298"/>
    </row>
    <row r="4" spans="1:33" s="5" customFormat="1" ht="21" customHeight="1" x14ac:dyDescent="0.2">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row>
    <row r="5" spans="1:33" s="2" customFormat="1" x14ac:dyDescent="0.2">
      <c r="A5" s="6"/>
      <c r="B5" s="6"/>
      <c r="C5" s="6"/>
      <c r="D5" s="235"/>
      <c r="E5" s="272"/>
      <c r="F5" s="273"/>
      <c r="G5" s="273"/>
      <c r="H5" s="272"/>
      <c r="I5" s="272"/>
      <c r="J5" s="272"/>
      <c r="K5" s="272"/>
      <c r="L5" s="272"/>
      <c r="M5" s="6"/>
      <c r="N5" s="6"/>
      <c r="O5" s="6"/>
      <c r="P5" s="6"/>
      <c r="Q5" s="6"/>
      <c r="R5" s="6"/>
      <c r="S5" s="6"/>
      <c r="T5" s="6"/>
      <c r="U5" s="6"/>
      <c r="V5" s="6"/>
      <c r="W5" s="6"/>
      <c r="X5" s="6"/>
      <c r="Y5" s="6"/>
      <c r="Z5" s="6"/>
      <c r="AA5" s="6"/>
      <c r="AB5" s="1"/>
      <c r="AC5" s="1"/>
      <c r="AD5" s="1"/>
      <c r="AE5" s="1"/>
      <c r="AF5" s="1"/>
      <c r="AG5" s="1"/>
    </row>
    <row r="6" spans="1:33" s="9" customFormat="1" x14ac:dyDescent="0.2">
      <c r="C6" s="10" t="s">
        <v>314</v>
      </c>
      <c r="D6" s="11"/>
      <c r="E6" s="274"/>
      <c r="F6" s="13"/>
      <c r="G6" s="13"/>
      <c r="H6" s="274"/>
      <c r="I6" s="274"/>
      <c r="J6" s="274"/>
      <c r="K6" s="274"/>
      <c r="L6" s="274"/>
      <c r="M6" s="11"/>
      <c r="N6" s="11"/>
      <c r="O6" s="11"/>
      <c r="P6" s="11"/>
      <c r="Q6" s="11"/>
      <c r="R6" s="11"/>
      <c r="S6" s="11"/>
      <c r="T6" s="11"/>
      <c r="U6" s="11"/>
      <c r="V6" s="11"/>
      <c r="W6" s="11"/>
      <c r="X6" s="11"/>
      <c r="Y6" s="11"/>
      <c r="Z6" s="11"/>
      <c r="AA6" s="11"/>
    </row>
    <row r="7" spans="1:33" s="2" customFormat="1" x14ac:dyDescent="0.2">
      <c r="A7" s="6"/>
      <c r="B7" s="6"/>
      <c r="C7" s="6"/>
      <c r="D7" s="235"/>
      <c r="E7" s="272"/>
      <c r="F7" s="273"/>
      <c r="G7" s="273"/>
      <c r="H7" s="272"/>
      <c r="I7" s="272"/>
      <c r="J7" s="272"/>
      <c r="K7" s="272"/>
      <c r="L7" s="272"/>
      <c r="M7" s="6"/>
      <c r="N7" s="6"/>
      <c r="O7" s="6"/>
      <c r="P7" s="6"/>
      <c r="Q7" s="6"/>
      <c r="R7" s="6"/>
      <c r="S7" s="6"/>
      <c r="T7" s="6"/>
      <c r="U7" s="6"/>
      <c r="V7" s="6"/>
      <c r="W7" s="6"/>
      <c r="X7" s="6"/>
      <c r="Y7" s="6"/>
      <c r="Z7" s="6"/>
      <c r="AA7" s="6"/>
      <c r="AB7" s="1"/>
      <c r="AC7" s="1"/>
      <c r="AD7" s="1"/>
      <c r="AE7" s="1"/>
      <c r="AF7" s="1"/>
      <c r="AG7" s="1"/>
    </row>
    <row r="8" spans="1:33" s="9" customFormat="1" ht="12" thickBot="1" x14ac:dyDescent="0.25">
      <c r="C8" s="18"/>
      <c r="D8" s="19" t="s">
        <v>315</v>
      </c>
      <c r="E8" s="18" t="s">
        <v>82</v>
      </c>
      <c r="F8" s="18" t="s">
        <v>80</v>
      </c>
      <c r="G8" s="18" t="s">
        <v>84</v>
      </c>
      <c r="H8" s="18" t="s">
        <v>88</v>
      </c>
      <c r="I8" s="18" t="s">
        <v>86</v>
      </c>
      <c r="J8" s="18" t="s">
        <v>90</v>
      </c>
      <c r="K8" s="18" t="s">
        <v>92</v>
      </c>
      <c r="L8" s="18" t="s">
        <v>94</v>
      </c>
    </row>
    <row r="9" spans="1:33" s="9" customFormat="1" x14ac:dyDescent="0.2">
      <c r="C9" s="39"/>
      <c r="D9" s="40" t="s">
        <v>316</v>
      </c>
      <c r="E9" s="39" t="str">
        <f>INDEX(TariffName,MATCH(Notes!E8,TariffCode,0))</f>
        <v>Standard - Water</v>
      </c>
      <c r="F9" s="39" t="str">
        <f>INDEX(TariffName,MATCH(Notes!F8,TariffCode,0))</f>
        <v>Standard - Sewer</v>
      </c>
      <c r="G9" s="39" t="str">
        <f>INDEX(TariffName,MATCH(Notes!G8,TariffCode,0))</f>
        <v>Standard - Water and Sewer</v>
      </c>
      <c r="H9" s="39" t="str">
        <f>INDEX(TariffName,MATCH(Notes!H8,TariffCode,0))</f>
        <v>Western Greenfield - Water</v>
      </c>
      <c r="I9" s="39" t="str">
        <f>INDEX(TariffName,MATCH(Notes!I8,TariffCode,0))</f>
        <v>Western Greenfield - Sewer</v>
      </c>
      <c r="J9" s="39" t="str">
        <f>INDEX(TariffName,MATCH(Notes!J8,TariffCode,0))</f>
        <v>Western Greenfield - Water and Sewer</v>
      </c>
      <c r="K9" s="39" t="str">
        <f>INDEX(TariffName,MATCH(Notes!K8,TariffCode,0))</f>
        <v>Wyndham RW</v>
      </c>
      <c r="L9" s="39" t="str">
        <f>INDEX(TariffName,MATCH(Notes!L8,TariffCode,0))</f>
        <v>Other RW</v>
      </c>
    </row>
    <row r="10" spans="1:33" ht="28.5" customHeight="1" x14ac:dyDescent="0.2">
      <c r="D10" s="287">
        <v>1</v>
      </c>
      <c r="E10" s="275" t="s">
        <v>317</v>
      </c>
      <c r="F10" s="275" t="s">
        <v>318</v>
      </c>
      <c r="G10" s="275" t="s">
        <v>319</v>
      </c>
      <c r="H10" s="275" t="s">
        <v>317</v>
      </c>
      <c r="I10" s="275" t="s">
        <v>318</v>
      </c>
      <c r="J10" s="275" t="s">
        <v>319</v>
      </c>
      <c r="K10" s="275" t="s">
        <v>320</v>
      </c>
      <c r="L10" s="276" t="s">
        <v>320</v>
      </c>
    </row>
    <row r="11" spans="1:33" ht="28.5" customHeight="1" x14ac:dyDescent="0.2">
      <c r="D11" s="288">
        <f t="shared" ref="D11:D42" si="0">D10+1</f>
        <v>2</v>
      </c>
      <c r="E11" s="306" t="s">
        <v>321</v>
      </c>
      <c r="F11" s="307"/>
      <c r="G11" s="307"/>
      <c r="H11" s="307"/>
      <c r="I11" s="307"/>
      <c r="J11" s="307"/>
      <c r="K11" s="307"/>
      <c r="L11" s="307"/>
    </row>
    <row r="12" spans="1:33" ht="28.5" customHeight="1" x14ac:dyDescent="0.2">
      <c r="D12" s="288">
        <f t="shared" si="0"/>
        <v>3</v>
      </c>
      <c r="E12" s="306" t="s">
        <v>322</v>
      </c>
      <c r="F12" s="307"/>
      <c r="G12" s="307"/>
      <c r="H12" s="307"/>
      <c r="I12" s="307"/>
      <c r="J12" s="307"/>
      <c r="K12" s="307"/>
      <c r="L12" s="307"/>
    </row>
    <row r="13" spans="1:33" ht="28.5" customHeight="1" x14ac:dyDescent="0.2">
      <c r="D13" s="288">
        <f t="shared" si="0"/>
        <v>4</v>
      </c>
      <c r="E13" s="306" t="s">
        <v>323</v>
      </c>
      <c r="F13" s="307"/>
      <c r="G13" s="307"/>
      <c r="H13" s="307"/>
      <c r="I13" s="307"/>
      <c r="J13" s="307"/>
      <c r="K13" s="307"/>
      <c r="L13" s="307"/>
    </row>
    <row r="14" spans="1:33" ht="28.5" customHeight="1" x14ac:dyDescent="0.2">
      <c r="D14" s="288">
        <f t="shared" si="0"/>
        <v>5</v>
      </c>
      <c r="E14" s="306" t="s">
        <v>324</v>
      </c>
      <c r="F14" s="307"/>
      <c r="G14" s="307"/>
      <c r="H14" s="307"/>
      <c r="I14" s="307"/>
      <c r="J14" s="307"/>
      <c r="K14" s="307"/>
      <c r="L14" s="307"/>
    </row>
    <row r="15" spans="1:33" ht="28.5" customHeight="1" x14ac:dyDescent="0.2">
      <c r="D15" s="288">
        <f t="shared" si="0"/>
        <v>6</v>
      </c>
      <c r="E15" s="306" t="s">
        <v>325</v>
      </c>
      <c r="F15" s="307"/>
      <c r="G15" s="307"/>
      <c r="H15" s="307"/>
      <c r="I15" s="307"/>
      <c r="J15" s="307"/>
      <c r="K15" s="307"/>
      <c r="L15" s="307"/>
    </row>
    <row r="16" spans="1:33" ht="28.5" customHeight="1" x14ac:dyDescent="0.2">
      <c r="D16" s="288">
        <f t="shared" si="0"/>
        <v>7</v>
      </c>
      <c r="E16" s="306" t="s">
        <v>326</v>
      </c>
      <c r="F16" s="307"/>
      <c r="G16" s="307"/>
      <c r="H16" s="307"/>
      <c r="I16" s="307"/>
      <c r="J16" s="307"/>
      <c r="K16" s="307"/>
      <c r="L16" s="307"/>
    </row>
    <row r="17" spans="4:12" ht="28.5" customHeight="1" x14ac:dyDescent="0.2">
      <c r="D17" s="288">
        <f t="shared" si="0"/>
        <v>8</v>
      </c>
      <c r="E17" s="306" t="s">
        <v>327</v>
      </c>
      <c r="F17" s="307"/>
      <c r="G17" s="307"/>
      <c r="H17" s="307"/>
      <c r="I17" s="307"/>
      <c r="J17" s="307"/>
      <c r="K17" s="307"/>
      <c r="L17" s="307"/>
    </row>
    <row r="18" spans="4:12" ht="28.5" customHeight="1" x14ac:dyDescent="0.2">
      <c r="D18" s="288">
        <f t="shared" si="0"/>
        <v>9</v>
      </c>
      <c r="E18" s="306" t="s">
        <v>328</v>
      </c>
      <c r="F18" s="307"/>
      <c r="G18" s="307"/>
      <c r="H18" s="307"/>
      <c r="I18" s="307"/>
      <c r="J18" s="307"/>
      <c r="K18" s="307"/>
      <c r="L18" s="307"/>
    </row>
    <row r="19" spans="4:12" ht="28.5" customHeight="1" x14ac:dyDescent="0.2">
      <c r="D19" s="288">
        <f t="shared" si="0"/>
        <v>10</v>
      </c>
      <c r="E19" s="306" t="s">
        <v>329</v>
      </c>
      <c r="F19" s="307"/>
      <c r="G19" s="307"/>
      <c r="H19" s="307"/>
      <c r="I19" s="307"/>
      <c r="J19" s="307"/>
      <c r="K19" s="307"/>
      <c r="L19" s="307"/>
    </row>
    <row r="20" spans="4:12" ht="28.5" customHeight="1" x14ac:dyDescent="0.2">
      <c r="D20" s="288">
        <f t="shared" si="0"/>
        <v>11</v>
      </c>
      <c r="E20" s="306" t="s">
        <v>330</v>
      </c>
      <c r="F20" s="307"/>
      <c r="G20" s="307"/>
      <c r="H20" s="307"/>
      <c r="I20" s="307"/>
      <c r="J20" s="307"/>
      <c r="K20" s="307"/>
      <c r="L20" s="307"/>
    </row>
    <row r="21" spans="4:12" ht="28.5" customHeight="1" x14ac:dyDescent="0.2">
      <c r="D21" s="288">
        <f t="shared" si="0"/>
        <v>12</v>
      </c>
      <c r="E21" s="306" t="s">
        <v>331</v>
      </c>
      <c r="F21" s="307"/>
      <c r="G21" s="307"/>
      <c r="H21" s="307"/>
      <c r="I21" s="307"/>
      <c r="J21" s="307"/>
      <c r="K21" s="307"/>
      <c r="L21" s="307"/>
    </row>
    <row r="22" spans="4:12" ht="28.5" customHeight="1" x14ac:dyDescent="0.2">
      <c r="D22" s="288">
        <f t="shared" si="0"/>
        <v>13</v>
      </c>
      <c r="E22" s="306" t="s">
        <v>332</v>
      </c>
      <c r="F22" s="307"/>
      <c r="G22" s="307"/>
      <c r="H22" s="307"/>
      <c r="I22" s="307"/>
      <c r="J22" s="307"/>
      <c r="K22" s="307"/>
      <c r="L22" s="307"/>
    </row>
    <row r="23" spans="4:12" ht="28.5" customHeight="1" x14ac:dyDescent="0.2">
      <c r="D23" s="288">
        <f t="shared" si="0"/>
        <v>14</v>
      </c>
      <c r="E23" s="306" t="s">
        <v>332</v>
      </c>
      <c r="F23" s="307"/>
      <c r="G23" s="307"/>
      <c r="H23" s="307"/>
      <c r="I23" s="307"/>
      <c r="J23" s="307"/>
      <c r="K23" s="307"/>
      <c r="L23" s="307"/>
    </row>
    <row r="24" spans="4:12" ht="56.25" customHeight="1" x14ac:dyDescent="0.2">
      <c r="D24" s="288">
        <f t="shared" si="0"/>
        <v>15</v>
      </c>
      <c r="E24" s="278" t="s">
        <v>333</v>
      </c>
      <c r="F24" s="278" t="s">
        <v>334</v>
      </c>
      <c r="G24" s="278" t="s">
        <v>335</v>
      </c>
      <c r="H24" s="278" t="s">
        <v>333</v>
      </c>
      <c r="I24" s="278" t="s">
        <v>334</v>
      </c>
      <c r="J24" s="278" t="s">
        <v>335</v>
      </c>
      <c r="K24" s="278" t="s">
        <v>336</v>
      </c>
      <c r="L24" s="277" t="s">
        <v>337</v>
      </c>
    </row>
    <row r="25" spans="4:12" ht="28.5" customHeight="1" x14ac:dyDescent="0.2">
      <c r="D25" s="288">
        <f t="shared" si="0"/>
        <v>16</v>
      </c>
      <c r="E25" s="306" t="s">
        <v>338</v>
      </c>
      <c r="F25" s="307"/>
      <c r="G25" s="307"/>
      <c r="H25" s="307"/>
      <c r="I25" s="307"/>
      <c r="J25" s="307"/>
      <c r="K25" s="307"/>
      <c r="L25" s="307"/>
    </row>
    <row r="26" spans="4:12" ht="56.25" customHeight="1" x14ac:dyDescent="0.2">
      <c r="D26" s="288">
        <f t="shared" si="0"/>
        <v>17</v>
      </c>
      <c r="E26" s="278" t="s">
        <v>339</v>
      </c>
      <c r="F26" s="278" t="s">
        <v>340</v>
      </c>
      <c r="G26" s="278" t="str">
        <f>E26&amp;"; "&amp;F26</f>
        <v>Block 1 - ex-CWW Tier 1 consumption, Block 2 - ex-CWW Tier 2 consumption; Block 3 - ex-CWW SDC volume</v>
      </c>
      <c r="H26" s="278" t="s">
        <v>339</v>
      </c>
      <c r="I26" s="278" t="s">
        <v>340</v>
      </c>
      <c r="J26" s="278" t="str">
        <f>H26&amp;"; "&amp;I26</f>
        <v>Block 1 - ex-CWW Tier 1 consumption, Block 2 - ex-CWW Tier 2 consumption; Block 3 - ex-CWW SDC volume</v>
      </c>
      <c r="K26" s="278" t="s">
        <v>341</v>
      </c>
      <c r="L26" s="277" t="s">
        <v>341</v>
      </c>
    </row>
    <row r="27" spans="4:12" ht="56.25" customHeight="1" x14ac:dyDescent="0.2">
      <c r="D27" s="288">
        <f t="shared" si="0"/>
        <v>18</v>
      </c>
      <c r="E27" s="278" t="s">
        <v>342</v>
      </c>
      <c r="F27" s="278" t="s">
        <v>343</v>
      </c>
      <c r="G27" s="278" t="s">
        <v>344</v>
      </c>
      <c r="H27" s="278" t="s">
        <v>342</v>
      </c>
      <c r="I27" s="278" t="s">
        <v>343</v>
      </c>
      <c r="J27" s="278" t="s">
        <v>344</v>
      </c>
      <c r="K27" s="278" t="s">
        <v>345</v>
      </c>
      <c r="L27" s="277" t="s">
        <v>345</v>
      </c>
    </row>
    <row r="28" spans="4:12" ht="28.5" customHeight="1" x14ac:dyDescent="0.2">
      <c r="D28" s="288">
        <f t="shared" si="0"/>
        <v>19</v>
      </c>
      <c r="E28" s="306" t="str">
        <f>"2023-24 approved tariffs as per Note "&amp;D26</f>
        <v>2023-24 approved tariffs as per Note 17</v>
      </c>
      <c r="F28" s="307"/>
      <c r="G28" s="307"/>
      <c r="H28" s="307"/>
      <c r="I28" s="307"/>
      <c r="J28" s="307"/>
      <c r="K28" s="307"/>
      <c r="L28" s="307"/>
    </row>
    <row r="29" spans="4:12" ht="56.25" customHeight="1" x14ac:dyDescent="0.2">
      <c r="D29" s="288">
        <f t="shared" si="0"/>
        <v>20</v>
      </c>
      <c r="E29" s="278" t="s">
        <v>346</v>
      </c>
      <c r="F29" s="278" t="s">
        <v>347</v>
      </c>
      <c r="G29" s="278" t="s">
        <v>348</v>
      </c>
      <c r="H29" s="278" t="s">
        <v>346</v>
      </c>
      <c r="I29" s="278" t="s">
        <v>347</v>
      </c>
      <c r="J29" s="278" t="s">
        <v>348</v>
      </c>
      <c r="K29" s="278" t="s">
        <v>349</v>
      </c>
      <c r="L29" s="277" t="s">
        <v>350</v>
      </c>
    </row>
    <row r="30" spans="4:12" ht="28.5" customHeight="1" x14ac:dyDescent="0.2">
      <c r="D30" s="288">
        <f t="shared" si="0"/>
        <v>21</v>
      </c>
      <c r="E30" s="306" t="s">
        <v>351</v>
      </c>
      <c r="F30" s="307"/>
      <c r="G30" s="307"/>
      <c r="H30" s="307"/>
      <c r="I30" s="307"/>
      <c r="J30" s="307"/>
      <c r="K30" s="307"/>
      <c r="L30" s="307"/>
    </row>
    <row r="31" spans="4:12" ht="28.5" customHeight="1" x14ac:dyDescent="0.2">
      <c r="D31" s="288">
        <f t="shared" si="0"/>
        <v>22</v>
      </c>
      <c r="E31" s="278" t="s">
        <v>352</v>
      </c>
      <c r="F31" s="278" t="s">
        <v>340</v>
      </c>
      <c r="G31" s="278" t="str">
        <f>E31&amp;"; "&amp;F31</f>
        <v>Block 1 - ex-CWW water variable; Block 3 - ex-CWW SDC volume</v>
      </c>
      <c r="H31" s="278" t="s">
        <v>352</v>
      </c>
      <c r="I31" s="278" t="s">
        <v>340</v>
      </c>
      <c r="J31" s="278" t="str">
        <f>H31&amp;"; "&amp;I31</f>
        <v>Block 1 - ex-CWW water variable; Block 3 - ex-CWW SDC volume</v>
      </c>
      <c r="K31" s="278" t="s">
        <v>353</v>
      </c>
      <c r="L31" s="277" t="s">
        <v>353</v>
      </c>
    </row>
    <row r="32" spans="4:12" ht="56.25" customHeight="1" x14ac:dyDescent="0.2">
      <c r="D32" s="288">
        <f t="shared" si="0"/>
        <v>23</v>
      </c>
      <c r="E32" s="278" t="s">
        <v>354</v>
      </c>
      <c r="F32" s="278" t="s">
        <v>355</v>
      </c>
      <c r="G32" s="278" t="s">
        <v>356</v>
      </c>
      <c r="H32" s="278" t="s">
        <v>354</v>
      </c>
      <c r="I32" s="278" t="s">
        <v>355</v>
      </c>
      <c r="J32" s="278" t="s">
        <v>356</v>
      </c>
      <c r="K32" s="278" t="s">
        <v>357</v>
      </c>
      <c r="L32" s="277" t="s">
        <v>357</v>
      </c>
    </row>
    <row r="33" spans="4:12" ht="28.5" customHeight="1" x14ac:dyDescent="0.2">
      <c r="D33" s="288">
        <f t="shared" si="0"/>
        <v>24</v>
      </c>
      <c r="E33" s="306" t="str">
        <f>"2023-24 approved tariffs as per Note "&amp;D31</f>
        <v>2023-24 approved tariffs as per Note 22</v>
      </c>
      <c r="F33" s="307"/>
      <c r="G33" s="307"/>
      <c r="H33" s="307"/>
      <c r="I33" s="307"/>
      <c r="J33" s="307"/>
      <c r="K33" s="307"/>
      <c r="L33" s="307"/>
    </row>
    <row r="34" spans="4:12" ht="56.25" customHeight="1" x14ac:dyDescent="0.2">
      <c r="D34" s="288">
        <f t="shared" si="0"/>
        <v>25</v>
      </c>
      <c r="E34" s="278" t="s">
        <v>358</v>
      </c>
      <c r="F34" s="278" t="s">
        <v>359</v>
      </c>
      <c r="G34" s="278" t="s">
        <v>360</v>
      </c>
      <c r="H34" s="278" t="s">
        <v>358</v>
      </c>
      <c r="I34" s="278" t="s">
        <v>359</v>
      </c>
      <c r="J34" s="278" t="s">
        <v>360</v>
      </c>
      <c r="K34" s="278" t="s">
        <v>361</v>
      </c>
      <c r="L34" s="277" t="s">
        <v>362</v>
      </c>
    </row>
    <row r="35" spans="4:12" ht="28.5" customHeight="1" x14ac:dyDescent="0.2">
      <c r="D35" s="288">
        <f t="shared" si="0"/>
        <v>26</v>
      </c>
      <c r="E35" s="306" t="s">
        <v>338</v>
      </c>
      <c r="F35" s="307"/>
      <c r="G35" s="307"/>
      <c r="H35" s="307"/>
      <c r="I35" s="307"/>
      <c r="J35" s="307"/>
      <c r="K35" s="307"/>
      <c r="L35" s="307"/>
    </row>
    <row r="36" spans="4:12" ht="28.5" customHeight="1" x14ac:dyDescent="0.2">
      <c r="D36" s="288">
        <f t="shared" si="0"/>
        <v>27</v>
      </c>
      <c r="E36" s="278" t="s">
        <v>363</v>
      </c>
      <c r="F36" s="278" t="s">
        <v>364</v>
      </c>
      <c r="G36" s="278" t="str">
        <f>E36&amp;"; "&amp;F36</f>
        <v>Block 1 - ex-WW res water variable; Block 3 - ex-WW res SDC volume</v>
      </c>
      <c r="H36" s="278" t="s">
        <v>363</v>
      </c>
      <c r="I36" s="278" t="s">
        <v>364</v>
      </c>
      <c r="J36" s="278" t="str">
        <f>H36&amp;"; "&amp;I36</f>
        <v>Block 1 - ex-WW res water variable; Block 3 - ex-WW res SDC volume</v>
      </c>
      <c r="K36" s="278" t="s">
        <v>365</v>
      </c>
      <c r="L36" s="277" t="s">
        <v>365</v>
      </c>
    </row>
    <row r="37" spans="4:12" ht="28.5" customHeight="1" x14ac:dyDescent="0.2">
      <c r="D37" s="288">
        <f t="shared" si="0"/>
        <v>28</v>
      </c>
      <c r="E37" s="279" t="str">
        <f t="shared" ref="E37:L37" si="1">"As explained in Note ["&amp;$D36&amp;"]"</f>
        <v>As explained in Note [27]</v>
      </c>
      <c r="F37" s="279" t="str">
        <f t="shared" si="1"/>
        <v>As explained in Note [27]</v>
      </c>
      <c r="G37" s="279" t="str">
        <f t="shared" si="1"/>
        <v>As explained in Note [27]</v>
      </c>
      <c r="H37" s="279" t="str">
        <f t="shared" si="1"/>
        <v>As explained in Note [27]</v>
      </c>
      <c r="I37" s="279" t="str">
        <f t="shared" si="1"/>
        <v>As explained in Note [27]</v>
      </c>
      <c r="J37" s="279" t="str">
        <f t="shared" si="1"/>
        <v>As explained in Note [27]</v>
      </c>
      <c r="K37" s="279" t="str">
        <f t="shared" si="1"/>
        <v>As explained in Note [27]</v>
      </c>
      <c r="L37" s="280" t="str">
        <f t="shared" si="1"/>
        <v>As explained in Note [27]</v>
      </c>
    </row>
    <row r="38" spans="4:12" ht="56.25" customHeight="1" x14ac:dyDescent="0.2">
      <c r="D38" s="288">
        <f t="shared" si="0"/>
        <v>29</v>
      </c>
      <c r="E38" s="278" t="s">
        <v>366</v>
      </c>
      <c r="F38" s="278" t="s">
        <v>367</v>
      </c>
      <c r="G38" s="278" t="s">
        <v>368</v>
      </c>
      <c r="H38" s="278" t="s">
        <v>366</v>
      </c>
      <c r="I38" s="278" t="s">
        <v>367</v>
      </c>
      <c r="J38" s="278" t="s">
        <v>368</v>
      </c>
      <c r="K38" s="278" t="s">
        <v>369</v>
      </c>
      <c r="L38" s="277" t="s">
        <v>369</v>
      </c>
    </row>
    <row r="39" spans="4:12" ht="28.5" customHeight="1" x14ac:dyDescent="0.2">
      <c r="D39" s="288">
        <f t="shared" si="0"/>
        <v>30</v>
      </c>
      <c r="E39" s="306" t="str">
        <f>"2023-24 approved tariffs as per Note "&amp;D36</f>
        <v>2023-24 approved tariffs as per Note 27</v>
      </c>
      <c r="F39" s="307"/>
      <c r="G39" s="307"/>
      <c r="H39" s="307"/>
      <c r="I39" s="307"/>
      <c r="J39" s="307"/>
      <c r="K39" s="307"/>
      <c r="L39" s="307"/>
    </row>
    <row r="40" spans="4:12" ht="56.25" customHeight="1" x14ac:dyDescent="0.2">
      <c r="D40" s="288">
        <f t="shared" si="0"/>
        <v>31</v>
      </c>
      <c r="E40" s="278" t="s">
        <v>370</v>
      </c>
      <c r="F40" s="278" t="s">
        <v>371</v>
      </c>
      <c r="G40" s="278" t="s">
        <v>372</v>
      </c>
      <c r="H40" s="278" t="s">
        <v>370</v>
      </c>
      <c r="I40" s="278" t="s">
        <v>371</v>
      </c>
      <c r="J40" s="278" t="s">
        <v>372</v>
      </c>
      <c r="K40" s="278" t="s">
        <v>361</v>
      </c>
      <c r="L40" s="277" t="s">
        <v>373</v>
      </c>
    </row>
    <row r="41" spans="4:12" ht="28.5" customHeight="1" x14ac:dyDescent="0.2">
      <c r="D41" s="288">
        <f t="shared" si="0"/>
        <v>32</v>
      </c>
      <c r="E41" s="306" t="s">
        <v>351</v>
      </c>
      <c r="F41" s="307"/>
      <c r="G41" s="307"/>
      <c r="H41" s="307"/>
      <c r="I41" s="307"/>
      <c r="J41" s="307"/>
      <c r="K41" s="307"/>
      <c r="L41" s="307"/>
    </row>
    <row r="42" spans="4:12" ht="56.25" customHeight="1" x14ac:dyDescent="0.2">
      <c r="D42" s="288">
        <f t="shared" si="0"/>
        <v>33</v>
      </c>
      <c r="E42" s="278" t="s">
        <v>374</v>
      </c>
      <c r="F42" s="278" t="s">
        <v>375</v>
      </c>
      <c r="G42" s="278" t="str">
        <f>E42&amp;"; "&amp;F42</f>
        <v>Block 1 - ex-WW water variable non-res; Block 3 - ex-WW SDC volume (no charge) non-res</v>
      </c>
      <c r="H42" s="278" t="s">
        <v>374</v>
      </c>
      <c r="I42" s="278" t="s">
        <v>375</v>
      </c>
      <c r="J42" s="278" t="str">
        <f>H42&amp;"; "&amp;I42</f>
        <v>Block 1 - ex-WW water variable non-res; Block 3 - ex-WW SDC volume (no charge) non-res</v>
      </c>
      <c r="K42" s="278" t="s">
        <v>376</v>
      </c>
      <c r="L42" s="277" t="s">
        <v>376</v>
      </c>
    </row>
    <row r="43" spans="4:12" ht="28.5" customHeight="1" x14ac:dyDescent="0.2">
      <c r="D43" s="288">
        <f t="shared" ref="D43:D64" si="2">D42+1</f>
        <v>34</v>
      </c>
      <c r="E43" s="279" t="str">
        <f t="shared" ref="E43:L43" si="3">"As explained in Note ["&amp;$D42&amp;"]"</f>
        <v>As explained in Note [33]</v>
      </c>
      <c r="F43" s="279" t="str">
        <f t="shared" si="3"/>
        <v>As explained in Note [33]</v>
      </c>
      <c r="G43" s="279" t="str">
        <f t="shared" si="3"/>
        <v>As explained in Note [33]</v>
      </c>
      <c r="H43" s="279" t="str">
        <f t="shared" si="3"/>
        <v>As explained in Note [33]</v>
      </c>
      <c r="I43" s="279" t="str">
        <f t="shared" si="3"/>
        <v>As explained in Note [33]</v>
      </c>
      <c r="J43" s="279" t="str">
        <f t="shared" si="3"/>
        <v>As explained in Note [33]</v>
      </c>
      <c r="K43" s="279" t="str">
        <f t="shared" si="3"/>
        <v>As explained in Note [33]</v>
      </c>
      <c r="L43" s="280" t="str">
        <f t="shared" si="3"/>
        <v>As explained in Note [33]</v>
      </c>
    </row>
    <row r="44" spans="4:12" ht="56.25" customHeight="1" x14ac:dyDescent="0.2">
      <c r="D44" s="288">
        <f t="shared" si="2"/>
        <v>35</v>
      </c>
      <c r="E44" s="278" t="s">
        <v>377</v>
      </c>
      <c r="F44" s="278" t="s">
        <v>378</v>
      </c>
      <c r="G44" s="278" t="s">
        <v>379</v>
      </c>
      <c r="H44" s="278" t="s">
        <v>377</v>
      </c>
      <c r="I44" s="278" t="s">
        <v>378</v>
      </c>
      <c r="J44" s="278" t="s">
        <v>379</v>
      </c>
      <c r="K44" s="278" t="s">
        <v>380</v>
      </c>
      <c r="L44" s="277" t="s">
        <v>380</v>
      </c>
    </row>
    <row r="45" spans="4:12" ht="28.5" customHeight="1" x14ac:dyDescent="0.2">
      <c r="D45" s="288">
        <f t="shared" si="2"/>
        <v>36</v>
      </c>
      <c r="E45" s="306" t="str">
        <f>"2023-24 approved tariffs as per Note "&amp;D43</f>
        <v>2023-24 approved tariffs as per Note 34</v>
      </c>
      <c r="F45" s="307"/>
      <c r="G45" s="307"/>
      <c r="H45" s="307"/>
      <c r="I45" s="307"/>
      <c r="J45" s="307"/>
      <c r="K45" s="307"/>
      <c r="L45" s="307"/>
    </row>
    <row r="46" spans="4:12" ht="28.5" customHeight="1" x14ac:dyDescent="0.2">
      <c r="D46" s="288">
        <f t="shared" si="2"/>
        <v>37</v>
      </c>
      <c r="E46" s="308" t="s">
        <v>381</v>
      </c>
      <c r="F46" s="309"/>
      <c r="G46" s="309"/>
      <c r="H46" s="309"/>
      <c r="I46" s="309"/>
      <c r="J46" s="309"/>
      <c r="K46" s="309"/>
      <c r="L46" s="309"/>
    </row>
    <row r="47" spans="4:12" ht="56.25" customHeight="1" x14ac:dyDescent="0.2">
      <c r="D47" s="288">
        <f t="shared" si="2"/>
        <v>38</v>
      </c>
      <c r="E47" s="278" t="s">
        <v>382</v>
      </c>
      <c r="F47" s="278" t="s">
        <v>383</v>
      </c>
      <c r="G47" s="278" t="s">
        <v>384</v>
      </c>
      <c r="H47" s="278" t="s">
        <v>382</v>
      </c>
      <c r="I47" s="278" t="s">
        <v>383</v>
      </c>
      <c r="J47" s="278" t="s">
        <v>384</v>
      </c>
      <c r="K47" s="278" t="s">
        <v>385</v>
      </c>
      <c r="L47" s="277" t="s">
        <v>386</v>
      </c>
    </row>
    <row r="48" spans="4:12" ht="56.25" customHeight="1" x14ac:dyDescent="0.2">
      <c r="D48" s="288">
        <f t="shared" si="2"/>
        <v>39</v>
      </c>
      <c r="E48" s="278" t="s">
        <v>387</v>
      </c>
      <c r="F48" s="278" t="s">
        <v>388</v>
      </c>
      <c r="G48" s="278" t="s">
        <v>389</v>
      </c>
      <c r="H48" s="278" t="s">
        <v>387</v>
      </c>
      <c r="I48" s="278" t="s">
        <v>388</v>
      </c>
      <c r="J48" s="278" t="s">
        <v>389</v>
      </c>
      <c r="K48" s="278" t="s">
        <v>390</v>
      </c>
      <c r="L48" s="277" t="s">
        <v>390</v>
      </c>
    </row>
    <row r="49" spans="4:12" ht="28.5" customHeight="1" x14ac:dyDescent="0.2">
      <c r="D49" s="288">
        <f t="shared" si="2"/>
        <v>40</v>
      </c>
      <c r="E49" s="308" t="s">
        <v>391</v>
      </c>
      <c r="F49" s="309"/>
      <c r="G49" s="309"/>
      <c r="H49" s="309"/>
      <c r="I49" s="309"/>
      <c r="J49" s="309"/>
      <c r="K49" s="309"/>
      <c r="L49" s="309"/>
    </row>
    <row r="50" spans="4:12" ht="56.25" customHeight="1" x14ac:dyDescent="0.2">
      <c r="D50" s="288">
        <f t="shared" si="2"/>
        <v>41</v>
      </c>
      <c r="E50" s="278" t="s">
        <v>392</v>
      </c>
      <c r="F50" s="278" t="s">
        <v>393</v>
      </c>
      <c r="G50" s="278" t="s">
        <v>394</v>
      </c>
      <c r="H50" s="278" t="s">
        <v>392</v>
      </c>
      <c r="I50" s="278" t="s">
        <v>393</v>
      </c>
      <c r="J50" s="278" t="s">
        <v>394</v>
      </c>
      <c r="K50" s="278" t="s">
        <v>395</v>
      </c>
      <c r="L50" s="277" t="s">
        <v>395</v>
      </c>
    </row>
    <row r="51" spans="4:12" ht="28.5" customHeight="1" x14ac:dyDescent="0.2">
      <c r="D51" s="288">
        <f t="shared" si="2"/>
        <v>42</v>
      </c>
      <c r="E51" s="308" t="s">
        <v>396</v>
      </c>
      <c r="F51" s="309"/>
      <c r="G51" s="309"/>
      <c r="H51" s="309"/>
      <c r="I51" s="309"/>
      <c r="J51" s="309"/>
      <c r="K51" s="309"/>
      <c r="L51" s="309"/>
    </row>
    <row r="52" spans="4:12" ht="28.5" customHeight="1" x14ac:dyDescent="0.2">
      <c r="D52" s="288">
        <f t="shared" si="2"/>
        <v>43</v>
      </c>
      <c r="E52" s="308" t="s">
        <v>396</v>
      </c>
      <c r="F52" s="309"/>
      <c r="G52" s="309"/>
      <c r="H52" s="309"/>
      <c r="I52" s="309"/>
      <c r="J52" s="309"/>
      <c r="K52" s="309"/>
      <c r="L52" s="309"/>
    </row>
    <row r="53" spans="4:12" ht="28.5" customHeight="1" x14ac:dyDescent="0.2">
      <c r="D53" s="288">
        <f t="shared" si="2"/>
        <v>44</v>
      </c>
      <c r="E53" s="308" t="s">
        <v>397</v>
      </c>
      <c r="F53" s="309"/>
      <c r="G53" s="309"/>
      <c r="H53" s="309"/>
      <c r="I53" s="309"/>
      <c r="J53" s="309"/>
      <c r="K53" s="309"/>
      <c r="L53" s="309"/>
    </row>
    <row r="54" spans="4:12" ht="28.5" customHeight="1" x14ac:dyDescent="0.2">
      <c r="D54" s="288">
        <f t="shared" si="2"/>
        <v>45</v>
      </c>
      <c r="E54" s="308" t="s">
        <v>397</v>
      </c>
      <c r="F54" s="309"/>
      <c r="G54" s="309"/>
      <c r="H54" s="309"/>
      <c r="I54" s="309"/>
      <c r="J54" s="309"/>
      <c r="K54" s="309"/>
      <c r="L54" s="309"/>
    </row>
    <row r="55" spans="4:12" ht="28.5" customHeight="1" x14ac:dyDescent="0.2">
      <c r="D55" s="288">
        <f t="shared" si="2"/>
        <v>46</v>
      </c>
      <c r="E55" s="308" t="s">
        <v>398</v>
      </c>
      <c r="F55" s="309"/>
      <c r="G55" s="309"/>
      <c r="H55" s="309"/>
      <c r="I55" s="309"/>
      <c r="J55" s="309"/>
      <c r="K55" s="309"/>
      <c r="L55" s="309"/>
    </row>
    <row r="56" spans="4:12" ht="28.5" customHeight="1" x14ac:dyDescent="0.2">
      <c r="D56" s="288">
        <f t="shared" si="2"/>
        <v>47</v>
      </c>
      <c r="E56" s="308" t="s">
        <v>398</v>
      </c>
      <c r="F56" s="309"/>
      <c r="G56" s="309"/>
      <c r="H56" s="309"/>
      <c r="I56" s="309"/>
      <c r="J56" s="309"/>
      <c r="K56" s="309"/>
      <c r="L56" s="309"/>
    </row>
    <row r="57" spans="4:12" ht="28.5" customHeight="1" x14ac:dyDescent="0.2">
      <c r="D57" s="288">
        <f t="shared" si="2"/>
        <v>48</v>
      </c>
      <c r="E57" s="308" t="s">
        <v>398</v>
      </c>
      <c r="F57" s="309"/>
      <c r="G57" s="309"/>
      <c r="H57" s="309"/>
      <c r="I57" s="309"/>
      <c r="J57" s="309"/>
      <c r="K57" s="309"/>
      <c r="L57" s="309"/>
    </row>
    <row r="58" spans="4:12" ht="28.5" customHeight="1" x14ac:dyDescent="0.2">
      <c r="D58" s="288">
        <f t="shared" si="2"/>
        <v>49</v>
      </c>
      <c r="E58" s="308" t="s">
        <v>398</v>
      </c>
      <c r="F58" s="309"/>
      <c r="G58" s="309"/>
      <c r="H58" s="309"/>
      <c r="I58" s="309"/>
      <c r="J58" s="309"/>
      <c r="K58" s="309"/>
      <c r="L58" s="309"/>
    </row>
    <row r="59" spans="4:12" ht="28.5" customHeight="1" x14ac:dyDescent="0.2">
      <c r="D59" s="288">
        <f t="shared" si="2"/>
        <v>50</v>
      </c>
      <c r="E59" s="308" t="s">
        <v>398</v>
      </c>
      <c r="F59" s="309"/>
      <c r="G59" s="309"/>
      <c r="H59" s="309"/>
      <c r="I59" s="309"/>
      <c r="J59" s="309"/>
      <c r="K59" s="309"/>
      <c r="L59" s="309"/>
    </row>
    <row r="60" spans="4:12" ht="28.5" customHeight="1" x14ac:dyDescent="0.2">
      <c r="D60" s="288">
        <f t="shared" si="2"/>
        <v>51</v>
      </c>
      <c r="E60" s="308" t="s">
        <v>398</v>
      </c>
      <c r="F60" s="309"/>
      <c r="G60" s="309"/>
      <c r="H60" s="309"/>
      <c r="I60" s="309"/>
      <c r="J60" s="309"/>
      <c r="K60" s="309"/>
      <c r="L60" s="309"/>
    </row>
    <row r="61" spans="4:12" ht="28.5" customHeight="1" x14ac:dyDescent="0.2">
      <c r="D61" s="288">
        <f t="shared" si="2"/>
        <v>52</v>
      </c>
      <c r="E61" s="308" t="s">
        <v>398</v>
      </c>
      <c r="F61" s="309"/>
      <c r="G61" s="309"/>
      <c r="H61" s="309"/>
      <c r="I61" s="309"/>
      <c r="J61" s="309"/>
      <c r="K61" s="309"/>
      <c r="L61" s="309"/>
    </row>
    <row r="62" spans="4:12" ht="28.5" customHeight="1" x14ac:dyDescent="0.2">
      <c r="D62" s="288">
        <f t="shared" si="2"/>
        <v>53</v>
      </c>
      <c r="E62" s="308" t="s">
        <v>398</v>
      </c>
      <c r="F62" s="309"/>
      <c r="G62" s="309"/>
      <c r="H62" s="309"/>
      <c r="I62" s="309"/>
      <c r="J62" s="309"/>
      <c r="K62" s="309"/>
      <c r="L62" s="309"/>
    </row>
    <row r="63" spans="4:12" ht="28.5" customHeight="1" x14ac:dyDescent="0.2">
      <c r="D63" s="288">
        <f t="shared" si="2"/>
        <v>54</v>
      </c>
      <c r="E63" s="308" t="s">
        <v>229</v>
      </c>
      <c r="F63" s="309"/>
      <c r="G63" s="309"/>
      <c r="H63" s="309"/>
      <c r="I63" s="309"/>
      <c r="J63" s="309"/>
      <c r="K63" s="309"/>
      <c r="L63" s="309"/>
    </row>
    <row r="64" spans="4:12" ht="28.5" customHeight="1" x14ac:dyDescent="0.2">
      <c r="D64" s="288">
        <f t="shared" si="2"/>
        <v>55</v>
      </c>
      <c r="E64" s="308" t="s">
        <v>399</v>
      </c>
      <c r="F64" s="309"/>
      <c r="G64" s="309"/>
      <c r="H64" s="309"/>
      <c r="I64" s="309"/>
      <c r="J64" s="309"/>
      <c r="K64" s="309"/>
      <c r="L64" s="309"/>
    </row>
    <row r="65" spans="2:65" ht="28.5" customHeight="1" x14ac:dyDescent="0.2"/>
    <row r="66" spans="2:65" x14ac:dyDescent="0.2">
      <c r="B66" s="126"/>
      <c r="C66" s="127" t="s">
        <v>45</v>
      </c>
      <c r="D66" s="236"/>
      <c r="E66" s="281"/>
      <c r="F66" s="281"/>
      <c r="G66" s="281"/>
      <c r="H66" s="281"/>
      <c r="I66" s="281"/>
      <c r="J66" s="281"/>
      <c r="K66" s="281"/>
      <c r="L66" s="281"/>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row>
    <row r="67" spans="2:65" x14ac:dyDescent="0.2"/>
    <row r="68" spans="2:65" x14ac:dyDescent="0.2"/>
    <row r="69" spans="2:65" x14ac:dyDescent="0.2"/>
  </sheetData>
  <mergeCells count="40">
    <mergeCell ref="E64:L64"/>
    <mergeCell ref="E58:L58"/>
    <mergeCell ref="E59:L59"/>
    <mergeCell ref="E60:L60"/>
    <mergeCell ref="E61:L61"/>
    <mergeCell ref="E62:L62"/>
    <mergeCell ref="E63:L63"/>
    <mergeCell ref="E53:L53"/>
    <mergeCell ref="E54:L54"/>
    <mergeCell ref="E55:L55"/>
    <mergeCell ref="E56:L56"/>
    <mergeCell ref="E57:L57"/>
    <mergeCell ref="E45:L45"/>
    <mergeCell ref="E46:L46"/>
    <mergeCell ref="E49:L49"/>
    <mergeCell ref="E51:L51"/>
    <mergeCell ref="E52:L52"/>
    <mergeCell ref="E35:L35"/>
    <mergeCell ref="E30:L30"/>
    <mergeCell ref="E41:L41"/>
    <mergeCell ref="E28:L28"/>
    <mergeCell ref="E33:L33"/>
    <mergeCell ref="E39:L39"/>
    <mergeCell ref="E20:L20"/>
    <mergeCell ref="E21:L21"/>
    <mergeCell ref="E22:L22"/>
    <mergeCell ref="E23:L23"/>
    <mergeCell ref="E25:L25"/>
    <mergeCell ref="E19:L19"/>
    <mergeCell ref="B2:AA2"/>
    <mergeCell ref="B3:AA3"/>
    <mergeCell ref="B4:AA4"/>
    <mergeCell ref="E11:L11"/>
    <mergeCell ref="E12:L12"/>
    <mergeCell ref="E13:L13"/>
    <mergeCell ref="E14:L14"/>
    <mergeCell ref="E15:L15"/>
    <mergeCell ref="E16:L16"/>
    <mergeCell ref="E17:L17"/>
    <mergeCell ref="E18:L1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DD826-654D-4897-91D8-43F10B19EC65}">
  <sheetPr codeName="Sheet9">
    <tabColor rgb="FFFFC000"/>
    <outlinePr summaryBelow="0" summaryRight="0"/>
    <pageSetUpPr autoPageBreaks="0"/>
  </sheetPr>
  <dimension ref="A1:XFD44"/>
  <sheetViews>
    <sheetView showGridLines="0" showWhiteSpace="0" zoomScale="85" zoomScaleNormal="85" workbookViewId="0"/>
  </sheetViews>
  <sheetFormatPr defaultColWidth="0" defaultRowHeight="11.25" zeroHeight="1" x14ac:dyDescent="0.2"/>
  <cols>
    <col min="1" max="1" width="1.33203125" customWidth="1"/>
    <col min="2" max="2" width="2.1640625" customWidth="1"/>
    <col min="3" max="3" width="3.83203125" customWidth="1"/>
    <col min="4" max="4" width="2.1640625" customWidth="1"/>
    <col min="5" max="5" width="32" customWidth="1"/>
    <col min="6" max="6" width="11.33203125" style="3" bestFit="1" customWidth="1"/>
    <col min="7" max="7" width="9" style="4" bestFit="1" customWidth="1"/>
    <col min="8" max="8" width="11.33203125" bestFit="1" customWidth="1"/>
    <col min="9" max="12" width="9" bestFit="1" customWidth="1"/>
    <col min="13" max="14" width="8.6640625" bestFit="1" customWidth="1"/>
    <col min="15" max="22" width="9" bestFit="1" customWidth="1"/>
    <col min="23" max="24" width="8.6640625" bestFit="1" customWidth="1"/>
    <col min="25" max="26" width="9" bestFit="1" customWidth="1"/>
    <col min="27" max="27" width="9.6640625" customWidth="1"/>
    <col min="28" max="28" width="2.1640625" customWidth="1"/>
    <col min="29" max="16384" width="9.33203125" hidden="1"/>
  </cols>
  <sheetData>
    <row r="1" spans="1:16384" ht="5.25" customHeight="1" x14ac:dyDescent="0.2"/>
    <row r="2" spans="1:16384" s="2" customFormat="1" ht="34.5" customHeight="1" x14ac:dyDescent="0.3">
      <c r="B2" s="296" t="s">
        <v>0</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row>
    <row r="3" spans="1:16384" s="2" customFormat="1" x14ac:dyDescent="0.2">
      <c r="B3" s="298" t="s">
        <v>400</v>
      </c>
      <c r="C3" s="298"/>
      <c r="D3" s="298"/>
      <c r="E3" s="298"/>
      <c r="F3" s="298"/>
      <c r="G3" s="298"/>
      <c r="H3" s="298"/>
      <c r="I3" s="298"/>
      <c r="J3" s="298"/>
      <c r="K3" s="298"/>
      <c r="L3" s="298"/>
      <c r="M3" s="298"/>
      <c r="N3" s="298"/>
      <c r="O3" s="298"/>
      <c r="P3" s="298"/>
      <c r="Q3" s="298"/>
      <c r="R3" s="298"/>
      <c r="S3" s="298"/>
      <c r="T3" s="298"/>
      <c r="U3" s="298"/>
      <c r="V3" s="298"/>
      <c r="W3" s="298"/>
      <c r="X3" s="298"/>
      <c r="Y3" s="298"/>
      <c r="Z3" s="298"/>
      <c r="AA3" s="298"/>
    </row>
    <row r="4" spans="1:16384" s="5" customFormat="1" ht="21" customHeight="1" x14ac:dyDescent="0.2">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row>
    <row r="5" spans="1:16384" s="129" customFormat="1" ht="12" thickBot="1" x14ac:dyDescent="0.25">
      <c r="A5" s="6"/>
      <c r="B5" s="6"/>
      <c r="C5" s="6"/>
      <c r="D5" s="6"/>
      <c r="E5" s="6"/>
      <c r="F5" s="7"/>
      <c r="G5" s="8"/>
      <c r="H5" s="7"/>
      <c r="I5" s="8"/>
      <c r="J5" s="7"/>
      <c r="K5" s="8"/>
      <c r="L5" s="7"/>
      <c r="M5" s="8"/>
      <c r="N5" s="7"/>
      <c r="O5" s="8"/>
      <c r="P5" s="7"/>
      <c r="Q5" s="8"/>
      <c r="R5" s="7"/>
      <c r="S5" s="8"/>
      <c r="T5" s="7"/>
      <c r="U5" s="8"/>
      <c r="V5" s="7"/>
      <c r="W5" s="8"/>
      <c r="X5" s="7"/>
      <c r="Y5" s="7"/>
      <c r="Z5" s="8"/>
      <c r="AA5" s="8"/>
    </row>
    <row r="6" spans="1:16384" s="129" customFormat="1" ht="12" thickBot="1" x14ac:dyDescent="0.25">
      <c r="A6" s="9"/>
      <c r="B6" s="9"/>
      <c r="C6" s="9"/>
      <c r="D6" s="18"/>
      <c r="E6" s="19" t="s">
        <v>401</v>
      </c>
      <c r="F6" s="20" t="str">
        <f>'INPUT Capex'!AC7</f>
        <v>2023-24</v>
      </c>
      <c r="G6" s="20" t="str">
        <f>'INPUT Capex'!AD7</f>
        <v>2024-25</v>
      </c>
      <c r="H6" s="20" t="str">
        <f>'INPUT Capex'!AE7</f>
        <v>2025-26</v>
      </c>
      <c r="I6" s="20" t="str">
        <f>'INPUT Capex'!AF7</f>
        <v>2026-27</v>
      </c>
      <c r="J6" s="20" t="str">
        <f>'INPUT Capex'!AG7</f>
        <v>2027-28</v>
      </c>
      <c r="K6" s="20" t="str">
        <f>'INPUT Capex'!AH7</f>
        <v>2028-29</v>
      </c>
      <c r="L6" s="20" t="str">
        <f>'INPUT Capex'!AI7</f>
        <v>2029-30</v>
      </c>
      <c r="M6" s="20" t="str">
        <f>'INPUT Capex'!AJ7</f>
        <v>2030-31</v>
      </c>
      <c r="N6" s="20" t="str">
        <f>'INPUT Capex'!AK7</f>
        <v>2031-32</v>
      </c>
      <c r="O6" s="20" t="str">
        <f>'INPUT Capex'!AL7</f>
        <v>2032-33</v>
      </c>
      <c r="P6" s="20" t="str">
        <f>'INPUT Capex'!AM7</f>
        <v>2033-34</v>
      </c>
      <c r="Q6" s="20" t="str">
        <f>'INPUT Capex'!AN7</f>
        <v>2034-35</v>
      </c>
      <c r="R6" s="20" t="str">
        <f>'INPUT Capex'!AO7</f>
        <v>2035-36</v>
      </c>
      <c r="S6" s="20" t="str">
        <f>'INPUT Capex'!AP7</f>
        <v>2036-37</v>
      </c>
      <c r="T6" s="20" t="str">
        <f>'INPUT Capex'!AQ7</f>
        <v>2037-38</v>
      </c>
      <c r="U6" s="20" t="str">
        <f>'INPUT Capex'!AR7</f>
        <v>2038-39</v>
      </c>
      <c r="V6" s="20" t="str">
        <f>'INPUT Capex'!AS7</f>
        <v>2039-40</v>
      </c>
      <c r="W6" s="20" t="str">
        <f>'INPUT Capex'!AT7</f>
        <v>2040-41</v>
      </c>
      <c r="X6" s="20" t="str">
        <f>'INPUT Capex'!AU7</f>
        <v>2041-42</v>
      </c>
      <c r="Y6" s="20" t="str">
        <f>'INPUT Capex'!AV7</f>
        <v>2042-43</v>
      </c>
      <c r="Z6" s="20" t="str">
        <f>'INPUT Capex'!AW7</f>
        <v>2043-44</v>
      </c>
      <c r="AA6" s="20" t="s">
        <v>44</v>
      </c>
    </row>
    <row r="7" spans="1:16384" s="129" customFormat="1" ht="16.5" customHeight="1" thickBot="1" x14ac:dyDescent="0.25">
      <c r="A7" s="9"/>
      <c r="B7" s="9"/>
      <c r="C7" s="22"/>
      <c r="D7" s="35">
        <f t="shared" ref="D7:D8" si="0">IF(OR(AA7&gt;-1,AA7&lt;1),1,0)</f>
        <v>1</v>
      </c>
      <c r="E7" s="35" t="s">
        <v>402</v>
      </c>
      <c r="F7" s="226">
        <f>'INPUT Capex'!AC260-(SW!G26+SS!G26+GW!G26+GS!G26+GR!G26+WR!G26)</f>
        <v>0</v>
      </c>
      <c r="G7" s="226">
        <f>'INPUT Capex'!AD260-(SW!H26+SS!H26+GW!H26+GS!H26+GR!H26+WR!H26)</f>
        <v>0</v>
      </c>
      <c r="H7" s="226">
        <f>'INPUT Capex'!AE260-(SW!I26+SS!I26+GW!I26+GS!I26+GR!I26+WR!I26)</f>
        <v>0</v>
      </c>
      <c r="I7" s="226">
        <f>'INPUT Capex'!AF260-(SW!J26+SS!J26+GW!J26+GS!J26+GR!J26+WR!J26)</f>
        <v>0</v>
      </c>
      <c r="J7" s="226">
        <f>'INPUT Capex'!AG260-(SW!K26+SS!K26+GW!K26+GS!K26+GR!K26+WR!K26)</f>
        <v>0</v>
      </c>
      <c r="K7" s="226">
        <f>'INPUT Capex'!AH260-(SW!L26+SS!L26+GW!L26+GS!L26+GR!L26+WR!L26)</f>
        <v>0</v>
      </c>
      <c r="L7" s="226">
        <f>'INPUT Capex'!AI260-(SW!M26+SS!M26+GW!M26+GS!M26+GR!M26+WR!M26)</f>
        <v>0</v>
      </c>
      <c r="M7" s="226">
        <f>'INPUT Capex'!AJ260-(SW!N26+SS!N26+GW!N26+GS!N26+GR!N26+WR!N26)</f>
        <v>0</v>
      </c>
      <c r="N7" s="226">
        <f>'INPUT Capex'!AK260-(SW!O26+SS!O26+GW!O26+GS!O26+GR!O26+WR!O26)</f>
        <v>0</v>
      </c>
      <c r="O7" s="226">
        <f>'INPUT Capex'!AL260-(SW!P26+SS!P26+GW!P26+GS!P26+GR!P26+WR!P26)</f>
        <v>0</v>
      </c>
      <c r="P7" s="226">
        <f>'INPUT Capex'!AM260-(SW!Q26+SS!Q26+GW!Q26+GS!Q26+GR!Q26+WR!Q26)</f>
        <v>0</v>
      </c>
      <c r="Q7" s="226">
        <f>'INPUT Capex'!AN260-(SW!R26+SS!R26+GW!R26+GS!R26+GR!R26+WR!R26)</f>
        <v>0</v>
      </c>
      <c r="R7" s="226">
        <f>'INPUT Capex'!AO260-(SW!S26+SS!S26+GW!S26+GS!S26+GR!S26+WR!S26)</f>
        <v>0</v>
      </c>
      <c r="S7" s="226">
        <f>'INPUT Capex'!AP260-(SW!T26+SS!T26+GW!T26+GS!T26+GR!T26+WR!T26)</f>
        <v>0</v>
      </c>
      <c r="T7" s="226">
        <f>'INPUT Capex'!AQ260-(SW!U26+SS!U26+GW!U26+GS!U26+GR!U26+WR!U26)</f>
        <v>0</v>
      </c>
      <c r="U7" s="226">
        <f>'INPUT Capex'!AR260-(SW!V26+SS!V26+GW!V26+GS!V26+GR!V26+WR!V26)</f>
        <v>0</v>
      </c>
      <c r="V7" s="226">
        <f>'INPUT Capex'!AS260-(SW!W26+SS!W26+GW!W26+GS!W26+GR!W26+WR!W26)</f>
        <v>0</v>
      </c>
      <c r="W7" s="226">
        <f>'INPUT Capex'!AT260-(SW!X26+SS!X26+GW!X26+GS!X26+GR!X26+WR!X26)</f>
        <v>0</v>
      </c>
      <c r="X7" s="226">
        <f>'INPUT Capex'!AU260-(SW!Y26+SS!Y26+GW!Y26+GS!Y26+GR!Y26+WR!Y26)</f>
        <v>0</v>
      </c>
      <c r="Y7" s="226">
        <f>'INPUT Capex'!AV260-(SW!Z26+SS!Z26+GW!Z26+GS!Z26+GR!Z26+WR!Z26)</f>
        <v>0</v>
      </c>
      <c r="Z7" s="226">
        <f>'INPUT Capex'!AW260-(SW!AA26+SS!AA26+GW!AA26+GS!AA26+GR!AA26+WR!AA26)</f>
        <v>0</v>
      </c>
      <c r="AA7" s="226">
        <f>SUM(F7:Z7)</f>
        <v>0</v>
      </c>
      <c r="AB7" s="22"/>
      <c r="AC7" s="35"/>
      <c r="AD7" s="36"/>
      <c r="AE7" s="37"/>
      <c r="AF7" s="36"/>
      <c r="AG7" s="37"/>
      <c r="AH7" s="36"/>
      <c r="AI7" s="37"/>
      <c r="AJ7" s="36"/>
      <c r="AK7" s="37"/>
      <c r="AL7" s="36"/>
      <c r="AM7" s="37"/>
      <c r="AN7" s="36"/>
      <c r="AO7" s="37"/>
      <c r="AP7" s="36"/>
      <c r="AQ7" s="37"/>
      <c r="AR7" s="36"/>
      <c r="AS7" s="37"/>
      <c r="AT7" s="36"/>
      <c r="AU7" s="37"/>
      <c r="AV7" s="36"/>
      <c r="AW7" s="36"/>
      <c r="AX7" s="37"/>
      <c r="AY7" s="37"/>
      <c r="BA7" s="22"/>
      <c r="BB7" s="35"/>
      <c r="BC7" s="36"/>
      <c r="BD7" s="37"/>
      <c r="BE7" s="36"/>
      <c r="BF7" s="37"/>
      <c r="BG7" s="36"/>
      <c r="BH7" s="37"/>
      <c r="BI7" s="36"/>
      <c r="BJ7" s="37"/>
      <c r="BK7" s="36"/>
      <c r="BL7" s="37"/>
      <c r="BM7" s="36"/>
      <c r="BN7" s="37"/>
      <c r="BO7" s="36"/>
      <c r="BP7" s="37"/>
      <c r="BQ7" s="36"/>
      <c r="BR7" s="37"/>
      <c r="BS7" s="36"/>
      <c r="BT7" s="37"/>
      <c r="BU7" s="36"/>
      <c r="BV7" s="36"/>
      <c r="BW7" s="37"/>
      <c r="BX7" s="37"/>
      <c r="BZ7" s="22"/>
      <c r="CA7" s="35"/>
      <c r="CB7" s="36"/>
      <c r="CC7" s="37"/>
      <c r="CD7" s="36"/>
      <c r="CE7" s="37"/>
      <c r="CF7" s="36"/>
      <c r="CG7" s="37"/>
      <c r="CH7" s="36"/>
      <c r="CI7" s="37"/>
      <c r="CJ7" s="36"/>
      <c r="CK7" s="37"/>
      <c r="CL7" s="36"/>
      <c r="CM7" s="37"/>
      <c r="CN7" s="36"/>
      <c r="CO7" s="37"/>
      <c r="CP7" s="36"/>
      <c r="CQ7" s="37"/>
      <c r="CR7" s="36"/>
      <c r="CS7" s="37"/>
      <c r="CT7" s="36"/>
      <c r="CU7" s="36"/>
      <c r="CV7" s="37"/>
      <c r="CW7" s="37"/>
      <c r="CY7" s="22"/>
      <c r="CZ7" s="35"/>
      <c r="DA7" s="36"/>
      <c r="DB7" s="37"/>
      <c r="DC7" s="36"/>
      <c r="DD7" s="37"/>
      <c r="DE7" s="36"/>
      <c r="DF7" s="37"/>
      <c r="DG7" s="36"/>
      <c r="DH7" s="37"/>
      <c r="DI7" s="36"/>
      <c r="DJ7" s="37"/>
      <c r="DK7" s="36"/>
      <c r="DL7" s="37"/>
      <c r="DM7" s="36"/>
      <c r="DN7" s="37"/>
      <c r="DO7" s="36"/>
      <c r="DP7" s="37"/>
      <c r="DQ7" s="36"/>
      <c r="DR7" s="37"/>
      <c r="DS7" s="36"/>
      <c r="DT7" s="36"/>
      <c r="DU7" s="37"/>
      <c r="DV7" s="37"/>
      <c r="DX7" s="22"/>
      <c r="DY7" s="35"/>
      <c r="DZ7" s="36"/>
      <c r="EA7" s="37"/>
      <c r="EB7" s="36"/>
      <c r="EC7" s="37"/>
      <c r="ED7" s="36"/>
      <c r="EE7" s="37"/>
      <c r="EF7" s="36"/>
      <c r="EG7" s="37"/>
      <c r="EH7" s="36"/>
      <c r="EI7" s="37"/>
      <c r="EJ7" s="36"/>
      <c r="EK7" s="37"/>
      <c r="EL7" s="36"/>
      <c r="EM7" s="37"/>
      <c r="EN7" s="36"/>
      <c r="EO7" s="37"/>
      <c r="EP7" s="36"/>
      <c r="EQ7" s="37"/>
      <c r="ER7" s="36"/>
      <c r="ES7" s="36"/>
      <c r="ET7" s="37"/>
      <c r="EU7" s="37"/>
      <c r="EW7" s="22"/>
      <c r="EX7" s="35"/>
      <c r="EY7" s="36"/>
      <c r="EZ7" s="37"/>
      <c r="FA7" s="36"/>
      <c r="FB7" s="37"/>
      <c r="FC7" s="36"/>
      <c r="FD7" s="37"/>
      <c r="FE7" s="36"/>
      <c r="FF7" s="37"/>
      <c r="FG7" s="36"/>
      <c r="FH7" s="37"/>
      <c r="FI7" s="36"/>
      <c r="FJ7" s="37"/>
      <c r="FK7" s="36"/>
      <c r="FL7" s="37"/>
      <c r="FM7" s="36"/>
      <c r="FN7" s="37"/>
      <c r="FO7" s="36"/>
      <c r="FP7" s="37"/>
      <c r="FQ7" s="36"/>
      <c r="FR7" s="36"/>
      <c r="FS7" s="37"/>
      <c r="FT7" s="37"/>
      <c r="FV7" s="22"/>
      <c r="FW7" s="35"/>
      <c r="FX7" s="36"/>
      <c r="FY7" s="37"/>
      <c r="FZ7" s="36"/>
      <c r="GA7" s="37"/>
      <c r="GB7" s="36"/>
      <c r="GC7" s="37"/>
      <c r="GD7" s="36"/>
      <c r="GE7" s="37"/>
      <c r="GF7" s="36"/>
      <c r="GG7" s="37"/>
      <c r="GH7" s="36"/>
      <c r="GI7" s="37"/>
      <c r="GJ7" s="36"/>
      <c r="GK7" s="37"/>
      <c r="GL7" s="36"/>
      <c r="GM7" s="37"/>
      <c r="GN7" s="36"/>
      <c r="GO7" s="37"/>
      <c r="GP7" s="36"/>
      <c r="GQ7" s="36"/>
      <c r="GR7" s="37"/>
      <c r="GS7" s="37"/>
      <c r="GU7" s="22"/>
      <c r="GV7" s="35"/>
      <c r="GW7" s="36"/>
      <c r="GX7" s="37"/>
      <c r="GY7" s="36"/>
      <c r="GZ7" s="37"/>
      <c r="HA7" s="36"/>
      <c r="HB7" s="37"/>
      <c r="HC7" s="36"/>
      <c r="HD7" s="37"/>
      <c r="HE7" s="36"/>
      <c r="HF7" s="37"/>
      <c r="HG7" s="36"/>
      <c r="HH7" s="37"/>
      <c r="HI7" s="36"/>
      <c r="HJ7" s="37"/>
      <c r="HK7" s="36"/>
      <c r="HL7" s="37"/>
      <c r="HM7" s="36"/>
      <c r="HN7" s="37"/>
      <c r="HO7" s="36"/>
      <c r="HP7" s="36"/>
      <c r="HQ7" s="37"/>
      <c r="HR7" s="37"/>
      <c r="HT7" s="22"/>
      <c r="HU7" s="35"/>
      <c r="HV7" s="36"/>
      <c r="HW7" s="37"/>
      <c r="HX7" s="36"/>
      <c r="HY7" s="37"/>
      <c r="HZ7" s="36"/>
      <c r="IA7" s="37"/>
      <c r="IB7" s="36"/>
      <c r="IC7" s="37"/>
      <c r="ID7" s="36"/>
      <c r="IE7" s="37"/>
      <c r="IF7" s="36"/>
      <c r="IG7" s="37"/>
      <c r="IH7" s="36"/>
      <c r="II7" s="37"/>
      <c r="IJ7" s="36"/>
      <c r="IK7" s="37"/>
      <c r="IL7" s="36"/>
      <c r="IM7" s="37"/>
      <c r="IN7" s="36"/>
      <c r="IO7" s="36"/>
      <c r="IP7" s="37"/>
      <c r="IQ7" s="37"/>
      <c r="IS7" s="22"/>
      <c r="IT7" s="35"/>
      <c r="IU7" s="36"/>
      <c r="IV7" s="37"/>
      <c r="IW7" s="36"/>
      <c r="IX7" s="37"/>
      <c r="IY7" s="36"/>
      <c r="IZ7" s="37"/>
      <c r="JA7" s="36"/>
      <c r="JB7" s="37"/>
      <c r="JC7" s="36"/>
      <c r="JD7" s="37"/>
      <c r="JE7" s="36"/>
      <c r="JF7" s="37"/>
      <c r="JG7" s="36"/>
      <c r="JH7" s="37"/>
      <c r="JI7" s="36"/>
      <c r="JJ7" s="37"/>
      <c r="JK7" s="36"/>
      <c r="JL7" s="37"/>
      <c r="JM7" s="36"/>
      <c r="JN7" s="36"/>
      <c r="JO7" s="37"/>
      <c r="JP7" s="37"/>
      <c r="JR7" s="22"/>
      <c r="JS7" s="35"/>
      <c r="JT7" s="36"/>
      <c r="JU7" s="37"/>
      <c r="JV7" s="36"/>
      <c r="JW7" s="37"/>
      <c r="JX7" s="36"/>
      <c r="JY7" s="37"/>
      <c r="JZ7" s="36"/>
      <c r="KA7" s="37"/>
      <c r="KB7" s="36"/>
      <c r="KC7" s="37"/>
      <c r="KD7" s="36"/>
      <c r="KE7" s="37"/>
      <c r="KF7" s="36"/>
      <c r="KG7" s="37"/>
      <c r="KH7" s="36"/>
      <c r="KI7" s="37"/>
      <c r="KJ7" s="36"/>
      <c r="KK7" s="37"/>
      <c r="KL7" s="36"/>
      <c r="KM7" s="36"/>
      <c r="KN7" s="37"/>
      <c r="KO7" s="37"/>
      <c r="KQ7" s="22"/>
      <c r="KR7" s="35"/>
      <c r="KS7" s="36"/>
      <c r="KT7" s="37"/>
      <c r="KU7" s="36"/>
      <c r="KV7" s="37"/>
      <c r="KW7" s="36"/>
      <c r="KX7" s="37"/>
      <c r="KY7" s="36"/>
      <c r="KZ7" s="37"/>
      <c r="LA7" s="36"/>
      <c r="LB7" s="37"/>
      <c r="LC7" s="36"/>
      <c r="LD7" s="37"/>
      <c r="LE7" s="36"/>
      <c r="LF7" s="37"/>
      <c r="LG7" s="36"/>
      <c r="LH7" s="37"/>
      <c r="LI7" s="36"/>
      <c r="LJ7" s="37"/>
      <c r="LK7" s="36"/>
      <c r="LL7" s="36"/>
      <c r="LM7" s="37"/>
      <c r="LN7" s="37"/>
      <c r="LP7" s="22"/>
      <c r="LQ7" s="35"/>
      <c r="LR7" s="36"/>
      <c r="LS7" s="37"/>
      <c r="LT7" s="36"/>
      <c r="LU7" s="37"/>
      <c r="LV7" s="36"/>
      <c r="LW7" s="37"/>
      <c r="LX7" s="36"/>
      <c r="LY7" s="37"/>
      <c r="LZ7" s="36"/>
      <c r="MA7" s="37"/>
      <c r="MB7" s="36"/>
      <c r="MC7" s="37"/>
      <c r="MD7" s="36"/>
      <c r="ME7" s="37"/>
      <c r="MF7" s="36"/>
      <c r="MG7" s="37"/>
      <c r="MH7" s="36"/>
      <c r="MI7" s="37"/>
      <c r="MJ7" s="36"/>
      <c r="MK7" s="36"/>
      <c r="ML7" s="37"/>
      <c r="MM7" s="37"/>
      <c r="MO7" s="22"/>
      <c r="MP7" s="35"/>
      <c r="MQ7" s="36"/>
      <c r="MR7" s="37"/>
      <c r="MS7" s="36"/>
      <c r="MT7" s="37"/>
      <c r="MU7" s="36"/>
      <c r="MV7" s="37"/>
      <c r="MW7" s="36"/>
      <c r="MX7" s="37"/>
      <c r="MY7" s="36"/>
      <c r="MZ7" s="37"/>
      <c r="NA7" s="36"/>
      <c r="NB7" s="37"/>
      <c r="NC7" s="36"/>
      <c r="ND7" s="37"/>
      <c r="NE7" s="36"/>
      <c r="NF7" s="37"/>
      <c r="NG7" s="36"/>
      <c r="NH7" s="37"/>
      <c r="NI7" s="36"/>
      <c r="NJ7" s="36"/>
      <c r="NK7" s="37"/>
      <c r="NL7" s="37"/>
      <c r="NN7" s="22"/>
      <c r="NO7" s="35"/>
      <c r="NP7" s="36"/>
      <c r="NQ7" s="37"/>
      <c r="NR7" s="36"/>
      <c r="NS7" s="37"/>
      <c r="NT7" s="36"/>
      <c r="NU7" s="37"/>
      <c r="NV7" s="36"/>
      <c r="NW7" s="37"/>
      <c r="NX7" s="36"/>
      <c r="NY7" s="37"/>
      <c r="NZ7" s="36"/>
      <c r="OA7" s="37"/>
      <c r="OB7" s="36"/>
      <c r="OC7" s="37"/>
      <c r="OD7" s="36"/>
      <c r="OE7" s="37"/>
      <c r="OF7" s="36"/>
      <c r="OG7" s="37"/>
      <c r="OH7" s="36"/>
      <c r="OI7" s="36"/>
      <c r="OJ7" s="37"/>
      <c r="OK7" s="37"/>
      <c r="OM7" s="22"/>
      <c r="ON7" s="35"/>
      <c r="OO7" s="36"/>
      <c r="OP7" s="37"/>
      <c r="OQ7" s="36"/>
      <c r="OR7" s="37"/>
      <c r="OS7" s="36"/>
      <c r="OT7" s="37"/>
      <c r="OU7" s="36"/>
      <c r="OV7" s="37"/>
      <c r="OW7" s="36"/>
      <c r="OX7" s="37"/>
      <c r="OY7" s="36"/>
      <c r="OZ7" s="37"/>
      <c r="PA7" s="36"/>
      <c r="PB7" s="37"/>
      <c r="PC7" s="36"/>
      <c r="PD7" s="37"/>
      <c r="PE7" s="36"/>
      <c r="PF7" s="37"/>
      <c r="PG7" s="36"/>
      <c r="PH7" s="36"/>
      <c r="PI7" s="37"/>
      <c r="PJ7" s="37"/>
      <c r="PL7" s="22"/>
      <c r="PM7" s="35"/>
      <c r="PN7" s="36"/>
      <c r="PO7" s="37"/>
      <c r="PP7" s="36"/>
      <c r="PQ7" s="37"/>
      <c r="PR7" s="36"/>
      <c r="PS7" s="37"/>
      <c r="PT7" s="36"/>
      <c r="PU7" s="37"/>
      <c r="PV7" s="36"/>
      <c r="PW7" s="37"/>
      <c r="PX7" s="36"/>
      <c r="PY7" s="37"/>
      <c r="PZ7" s="36"/>
      <c r="QA7" s="37"/>
      <c r="QB7" s="36"/>
      <c r="QC7" s="37"/>
      <c r="QD7" s="36"/>
      <c r="QE7" s="37"/>
      <c r="QF7" s="36"/>
      <c r="QG7" s="36"/>
      <c r="QH7" s="37"/>
      <c r="QI7" s="37"/>
      <c r="QK7" s="22"/>
      <c r="QL7" s="35"/>
      <c r="QM7" s="36"/>
      <c r="QN7" s="37"/>
      <c r="QO7" s="36"/>
      <c r="QP7" s="37"/>
      <c r="QQ7" s="36"/>
      <c r="QR7" s="37"/>
      <c r="QS7" s="36"/>
      <c r="QT7" s="37"/>
      <c r="QU7" s="36"/>
      <c r="QV7" s="37"/>
      <c r="QW7" s="36"/>
      <c r="QX7" s="37"/>
      <c r="QY7" s="36"/>
      <c r="QZ7" s="37"/>
      <c r="RA7" s="36"/>
      <c r="RB7" s="37"/>
      <c r="RC7" s="36"/>
      <c r="RD7" s="37"/>
      <c r="RE7" s="36"/>
      <c r="RF7" s="36"/>
      <c r="RG7" s="37"/>
      <c r="RH7" s="37"/>
      <c r="RJ7" s="22"/>
      <c r="RK7" s="35"/>
      <c r="RL7" s="36"/>
      <c r="RM7" s="37"/>
      <c r="RN7" s="36"/>
      <c r="RO7" s="37"/>
      <c r="RP7" s="36"/>
      <c r="RQ7" s="37"/>
      <c r="RR7" s="36"/>
      <c r="RS7" s="37"/>
      <c r="RT7" s="36"/>
      <c r="RU7" s="37"/>
      <c r="RV7" s="36"/>
      <c r="RW7" s="37"/>
      <c r="RX7" s="36"/>
      <c r="RY7" s="37"/>
      <c r="RZ7" s="36"/>
      <c r="SA7" s="37"/>
      <c r="SB7" s="36"/>
      <c r="SC7" s="37"/>
      <c r="SD7" s="36"/>
      <c r="SE7" s="36"/>
      <c r="SF7" s="37"/>
      <c r="SG7" s="37"/>
      <c r="SI7" s="22"/>
      <c r="SJ7" s="35"/>
      <c r="SK7" s="36"/>
      <c r="SL7" s="37"/>
      <c r="SM7" s="36"/>
      <c r="SN7" s="37"/>
      <c r="SO7" s="36"/>
      <c r="SP7" s="37"/>
      <c r="SQ7" s="36"/>
      <c r="SR7" s="37"/>
      <c r="SS7" s="36"/>
      <c r="ST7" s="37"/>
      <c r="SU7" s="36"/>
      <c r="SV7" s="37"/>
      <c r="SW7" s="36"/>
      <c r="SX7" s="37"/>
      <c r="SY7" s="36"/>
      <c r="SZ7" s="37"/>
      <c r="TA7" s="36"/>
      <c r="TB7" s="37"/>
      <c r="TC7" s="36"/>
      <c r="TD7" s="36"/>
      <c r="TE7" s="37"/>
      <c r="TF7" s="37"/>
      <c r="TH7" s="22"/>
      <c r="TI7" s="35"/>
      <c r="TJ7" s="36"/>
      <c r="TK7" s="37"/>
      <c r="TL7" s="36"/>
      <c r="TM7" s="37"/>
      <c r="TN7" s="36"/>
      <c r="TO7" s="37"/>
      <c r="TP7" s="36"/>
      <c r="TQ7" s="37"/>
      <c r="TR7" s="36"/>
      <c r="TS7" s="37"/>
      <c r="TT7" s="36"/>
      <c r="TU7" s="37"/>
      <c r="TV7" s="36"/>
      <c r="TW7" s="37"/>
      <c r="TX7" s="36"/>
      <c r="TY7" s="37"/>
      <c r="TZ7" s="36"/>
      <c r="UA7" s="37"/>
      <c r="UB7" s="36"/>
      <c r="UC7" s="36"/>
      <c r="UD7" s="37"/>
      <c r="UE7" s="37"/>
      <c r="UG7" s="22"/>
      <c r="UH7" s="35"/>
      <c r="UI7" s="36"/>
      <c r="UJ7" s="37"/>
      <c r="UK7" s="36"/>
      <c r="UL7" s="37"/>
      <c r="UM7" s="36"/>
      <c r="UN7" s="37"/>
      <c r="UO7" s="36"/>
      <c r="UP7" s="37"/>
      <c r="UQ7" s="36"/>
      <c r="UR7" s="37"/>
      <c r="US7" s="36"/>
      <c r="UT7" s="37"/>
      <c r="UU7" s="36"/>
      <c r="UV7" s="37"/>
      <c r="UW7" s="36"/>
      <c r="UX7" s="37"/>
      <c r="UY7" s="36"/>
      <c r="UZ7" s="37"/>
      <c r="VA7" s="36"/>
      <c r="VB7" s="36"/>
      <c r="VC7" s="37"/>
      <c r="VD7" s="37"/>
      <c r="VF7" s="22"/>
      <c r="VG7" s="35"/>
      <c r="VH7" s="36"/>
      <c r="VI7" s="37"/>
      <c r="VJ7" s="36"/>
      <c r="VK7" s="37"/>
      <c r="VL7" s="36"/>
      <c r="VM7" s="37"/>
      <c r="VN7" s="36"/>
      <c r="VO7" s="37"/>
      <c r="VP7" s="36"/>
      <c r="VQ7" s="37"/>
      <c r="VR7" s="36"/>
      <c r="VS7" s="37"/>
      <c r="VT7" s="36"/>
      <c r="VU7" s="37"/>
      <c r="VV7" s="36"/>
      <c r="VW7" s="37"/>
      <c r="VX7" s="36"/>
      <c r="VY7" s="37"/>
      <c r="VZ7" s="36"/>
      <c r="WA7" s="36"/>
      <c r="WB7" s="37"/>
      <c r="WC7" s="37"/>
      <c r="WE7" s="22"/>
      <c r="WF7" s="35"/>
      <c r="WG7" s="36"/>
      <c r="WH7" s="37"/>
      <c r="WI7" s="36"/>
      <c r="WJ7" s="37"/>
      <c r="WK7" s="36"/>
      <c r="WL7" s="37"/>
      <c r="WM7" s="36"/>
      <c r="WN7" s="37"/>
      <c r="WO7" s="36"/>
      <c r="WP7" s="37"/>
      <c r="WQ7" s="36"/>
      <c r="WR7" s="37"/>
      <c r="WS7" s="36"/>
      <c r="WT7" s="37"/>
      <c r="WU7" s="36"/>
      <c r="WV7" s="37"/>
      <c r="WW7" s="36"/>
      <c r="WX7" s="37"/>
      <c r="WY7" s="36"/>
      <c r="WZ7" s="36"/>
      <c r="XA7" s="37"/>
      <c r="XB7" s="37"/>
      <c r="XD7" s="22"/>
      <c r="XE7" s="35"/>
      <c r="XF7" s="36"/>
      <c r="XG7" s="37"/>
      <c r="XH7" s="36"/>
      <c r="XI7" s="37"/>
      <c r="XJ7" s="36"/>
      <c r="XK7" s="37"/>
      <c r="XL7" s="36"/>
      <c r="XM7" s="37"/>
      <c r="XN7" s="36"/>
      <c r="XO7" s="37"/>
      <c r="XP7" s="36"/>
      <c r="XQ7" s="37"/>
      <c r="XR7" s="36"/>
      <c r="XS7" s="37"/>
      <c r="XT7" s="36"/>
      <c r="XU7" s="37"/>
      <c r="XV7" s="36"/>
      <c r="XW7" s="37"/>
      <c r="XX7" s="36"/>
      <c r="XY7" s="36"/>
      <c r="XZ7" s="37"/>
      <c r="YA7" s="37"/>
      <c r="YC7" s="22"/>
      <c r="YD7" s="35"/>
      <c r="YE7" s="36"/>
      <c r="YF7" s="37"/>
      <c r="YG7" s="36"/>
      <c r="YH7" s="37"/>
      <c r="YI7" s="36"/>
      <c r="YJ7" s="37"/>
      <c r="YK7" s="36"/>
      <c r="YL7" s="37"/>
      <c r="YM7" s="36"/>
      <c r="YN7" s="37"/>
      <c r="YO7" s="36"/>
      <c r="YP7" s="37"/>
      <c r="YQ7" s="36"/>
      <c r="YR7" s="37"/>
      <c r="YS7" s="36"/>
      <c r="YT7" s="37"/>
      <c r="YU7" s="36"/>
      <c r="YV7" s="37"/>
      <c r="YW7" s="36"/>
      <c r="YX7" s="36"/>
      <c r="YY7" s="37"/>
      <c r="YZ7" s="37"/>
      <c r="ZB7" s="22"/>
      <c r="ZC7" s="35"/>
      <c r="ZD7" s="36"/>
      <c r="ZE7" s="37"/>
      <c r="ZF7" s="36"/>
      <c r="ZG7" s="37"/>
      <c r="ZH7" s="36"/>
      <c r="ZI7" s="37"/>
      <c r="ZJ7" s="36"/>
      <c r="ZK7" s="37"/>
      <c r="ZL7" s="36"/>
      <c r="ZM7" s="37"/>
      <c r="ZN7" s="36"/>
      <c r="ZO7" s="37"/>
      <c r="ZP7" s="36"/>
      <c r="ZQ7" s="37"/>
      <c r="ZR7" s="36"/>
      <c r="ZS7" s="37"/>
      <c r="ZT7" s="36"/>
      <c r="ZU7" s="37"/>
      <c r="ZV7" s="36"/>
      <c r="ZW7" s="36"/>
      <c r="ZX7" s="37"/>
      <c r="ZY7" s="37"/>
      <c r="AAA7" s="22"/>
      <c r="AAB7" s="35"/>
      <c r="AAC7" s="36"/>
      <c r="AAD7" s="37"/>
      <c r="AAE7" s="36"/>
      <c r="AAF7" s="37"/>
      <c r="AAG7" s="36"/>
      <c r="AAH7" s="37"/>
      <c r="AAI7" s="36"/>
      <c r="AAJ7" s="37"/>
      <c r="AAK7" s="36"/>
      <c r="AAL7" s="37"/>
      <c r="AAM7" s="36"/>
      <c r="AAN7" s="37"/>
      <c r="AAO7" s="36"/>
      <c r="AAP7" s="37"/>
      <c r="AAQ7" s="36"/>
      <c r="AAR7" s="37"/>
      <c r="AAS7" s="36"/>
      <c r="AAT7" s="37"/>
      <c r="AAU7" s="36"/>
      <c r="AAV7" s="36"/>
      <c r="AAW7" s="37"/>
      <c r="AAX7" s="37"/>
      <c r="AAZ7" s="22"/>
      <c r="ABA7" s="35"/>
      <c r="ABB7" s="36"/>
      <c r="ABC7" s="37"/>
      <c r="ABD7" s="36"/>
      <c r="ABE7" s="37"/>
      <c r="ABF7" s="36"/>
      <c r="ABG7" s="37"/>
      <c r="ABH7" s="36"/>
      <c r="ABI7" s="37"/>
      <c r="ABJ7" s="36"/>
      <c r="ABK7" s="37"/>
      <c r="ABL7" s="36"/>
      <c r="ABM7" s="37"/>
      <c r="ABN7" s="36"/>
      <c r="ABO7" s="37"/>
      <c r="ABP7" s="36"/>
      <c r="ABQ7" s="37"/>
      <c r="ABR7" s="36"/>
      <c r="ABS7" s="37"/>
      <c r="ABT7" s="36"/>
      <c r="ABU7" s="36"/>
      <c r="ABV7" s="37"/>
      <c r="ABW7" s="37"/>
      <c r="ABY7" s="22"/>
      <c r="ABZ7" s="35"/>
      <c r="ACA7" s="36"/>
      <c r="ACB7" s="37"/>
      <c r="ACC7" s="36"/>
      <c r="ACD7" s="37"/>
      <c r="ACE7" s="36"/>
      <c r="ACF7" s="37"/>
      <c r="ACG7" s="36"/>
      <c r="ACH7" s="37"/>
      <c r="ACI7" s="36"/>
      <c r="ACJ7" s="37"/>
      <c r="ACK7" s="36"/>
      <c r="ACL7" s="37"/>
      <c r="ACM7" s="36"/>
      <c r="ACN7" s="37"/>
      <c r="ACO7" s="36"/>
      <c r="ACP7" s="37"/>
      <c r="ACQ7" s="36"/>
      <c r="ACR7" s="37"/>
      <c r="ACS7" s="36"/>
      <c r="ACT7" s="36"/>
      <c r="ACU7" s="37"/>
      <c r="ACV7" s="37"/>
      <c r="ACX7" s="22"/>
      <c r="ACY7" s="35"/>
      <c r="ACZ7" s="36"/>
      <c r="ADA7" s="37"/>
      <c r="ADB7" s="36"/>
      <c r="ADC7" s="37"/>
      <c r="ADD7" s="36"/>
      <c r="ADE7" s="37"/>
      <c r="ADF7" s="36"/>
      <c r="ADG7" s="37"/>
      <c r="ADH7" s="36"/>
      <c r="ADI7" s="37"/>
      <c r="ADJ7" s="36"/>
      <c r="ADK7" s="37"/>
      <c r="ADL7" s="36"/>
      <c r="ADM7" s="37"/>
      <c r="ADN7" s="36"/>
      <c r="ADO7" s="37"/>
      <c r="ADP7" s="36"/>
      <c r="ADQ7" s="37"/>
      <c r="ADR7" s="36"/>
      <c r="ADS7" s="36"/>
      <c r="ADT7" s="37"/>
      <c r="ADU7" s="37"/>
      <c r="ADW7" s="22"/>
      <c r="ADX7" s="35"/>
      <c r="ADY7" s="36"/>
      <c r="ADZ7" s="37"/>
      <c r="AEA7" s="36"/>
      <c r="AEB7" s="37"/>
      <c r="AEC7" s="36"/>
      <c r="AED7" s="37"/>
      <c r="AEE7" s="36"/>
      <c r="AEF7" s="37"/>
      <c r="AEG7" s="36"/>
      <c r="AEH7" s="37"/>
      <c r="AEI7" s="36"/>
      <c r="AEJ7" s="37"/>
      <c r="AEK7" s="36"/>
      <c r="AEL7" s="37"/>
      <c r="AEM7" s="36"/>
      <c r="AEN7" s="37"/>
      <c r="AEO7" s="36"/>
      <c r="AEP7" s="37"/>
      <c r="AEQ7" s="36"/>
      <c r="AER7" s="36"/>
      <c r="AES7" s="37"/>
      <c r="AET7" s="37"/>
      <c r="AEV7" s="22"/>
      <c r="AEW7" s="35"/>
      <c r="AEX7" s="36"/>
      <c r="AEY7" s="37"/>
      <c r="AEZ7" s="36"/>
      <c r="AFA7" s="37"/>
      <c r="AFB7" s="36"/>
      <c r="AFC7" s="37"/>
      <c r="AFD7" s="36"/>
      <c r="AFE7" s="37"/>
      <c r="AFF7" s="36"/>
      <c r="AFG7" s="37"/>
      <c r="AFH7" s="36"/>
      <c r="AFI7" s="37"/>
      <c r="AFJ7" s="36"/>
      <c r="AFK7" s="37"/>
      <c r="AFL7" s="36"/>
      <c r="AFM7" s="37"/>
      <c r="AFN7" s="36"/>
      <c r="AFO7" s="37"/>
      <c r="AFP7" s="36"/>
      <c r="AFQ7" s="36"/>
      <c r="AFR7" s="37"/>
      <c r="AFS7" s="37"/>
      <c r="AFU7" s="22"/>
      <c r="AFV7" s="35"/>
      <c r="AFW7" s="36"/>
      <c r="AFX7" s="37"/>
      <c r="AFY7" s="36"/>
      <c r="AFZ7" s="37"/>
      <c r="AGA7" s="36"/>
      <c r="AGB7" s="37"/>
      <c r="AGC7" s="36"/>
      <c r="AGD7" s="37"/>
      <c r="AGE7" s="36"/>
      <c r="AGF7" s="37"/>
      <c r="AGG7" s="36"/>
      <c r="AGH7" s="37"/>
      <c r="AGI7" s="36"/>
      <c r="AGJ7" s="37"/>
      <c r="AGK7" s="36"/>
      <c r="AGL7" s="37"/>
      <c r="AGM7" s="36"/>
      <c r="AGN7" s="37"/>
      <c r="AGO7" s="36"/>
      <c r="AGP7" s="36"/>
      <c r="AGQ7" s="37"/>
      <c r="AGR7" s="37"/>
      <c r="AGT7" s="22"/>
      <c r="AGU7" s="35"/>
      <c r="AGV7" s="36"/>
      <c r="AGW7" s="37"/>
      <c r="AGX7" s="36"/>
      <c r="AGY7" s="37"/>
      <c r="AGZ7" s="36"/>
      <c r="AHA7" s="37"/>
      <c r="AHB7" s="36"/>
      <c r="AHC7" s="37"/>
      <c r="AHD7" s="36"/>
      <c r="AHE7" s="37"/>
      <c r="AHF7" s="36"/>
      <c r="AHG7" s="37"/>
      <c r="AHH7" s="36"/>
      <c r="AHI7" s="37"/>
      <c r="AHJ7" s="36"/>
      <c r="AHK7" s="37"/>
      <c r="AHL7" s="36"/>
      <c r="AHM7" s="37"/>
      <c r="AHN7" s="36"/>
      <c r="AHO7" s="36"/>
      <c r="AHP7" s="37"/>
      <c r="AHQ7" s="37"/>
      <c r="AHS7" s="22"/>
      <c r="AHT7" s="35"/>
      <c r="AHU7" s="36"/>
      <c r="AHV7" s="37"/>
      <c r="AHW7" s="36"/>
      <c r="AHX7" s="37"/>
      <c r="AHY7" s="36"/>
      <c r="AHZ7" s="37"/>
      <c r="AIA7" s="36"/>
      <c r="AIB7" s="37"/>
      <c r="AIC7" s="36"/>
      <c r="AID7" s="37"/>
      <c r="AIE7" s="36"/>
      <c r="AIF7" s="37"/>
      <c r="AIG7" s="36"/>
      <c r="AIH7" s="37"/>
      <c r="AII7" s="36"/>
      <c r="AIJ7" s="37"/>
      <c r="AIK7" s="36"/>
      <c r="AIL7" s="37"/>
      <c r="AIM7" s="36"/>
      <c r="AIN7" s="36"/>
      <c r="AIO7" s="37"/>
      <c r="AIP7" s="37"/>
      <c r="AIR7" s="22"/>
      <c r="AIS7" s="35"/>
      <c r="AIT7" s="36"/>
      <c r="AIU7" s="37"/>
      <c r="AIV7" s="36"/>
      <c r="AIW7" s="37"/>
      <c r="AIX7" s="36"/>
      <c r="AIY7" s="37"/>
      <c r="AIZ7" s="36"/>
      <c r="AJA7" s="37"/>
      <c r="AJB7" s="36"/>
      <c r="AJC7" s="37"/>
      <c r="AJD7" s="36"/>
      <c r="AJE7" s="37"/>
      <c r="AJF7" s="36"/>
      <c r="AJG7" s="37"/>
      <c r="AJH7" s="36"/>
      <c r="AJI7" s="37"/>
      <c r="AJJ7" s="36"/>
      <c r="AJK7" s="37"/>
      <c r="AJL7" s="36"/>
      <c r="AJM7" s="36"/>
      <c r="AJN7" s="37"/>
      <c r="AJO7" s="37"/>
      <c r="AJQ7" s="22"/>
      <c r="AJR7" s="35"/>
      <c r="AJS7" s="36"/>
      <c r="AJT7" s="37"/>
      <c r="AJU7" s="36"/>
      <c r="AJV7" s="37"/>
      <c r="AJW7" s="36"/>
      <c r="AJX7" s="37"/>
      <c r="AJY7" s="36"/>
      <c r="AJZ7" s="37"/>
      <c r="AKA7" s="36"/>
      <c r="AKB7" s="37"/>
      <c r="AKC7" s="36"/>
      <c r="AKD7" s="37"/>
      <c r="AKE7" s="36"/>
      <c r="AKF7" s="37"/>
      <c r="AKG7" s="36"/>
      <c r="AKH7" s="37"/>
      <c r="AKI7" s="36"/>
      <c r="AKJ7" s="37"/>
      <c r="AKK7" s="36"/>
      <c r="AKL7" s="36"/>
      <c r="AKM7" s="37"/>
      <c r="AKN7" s="37"/>
      <c r="AKP7" s="22"/>
      <c r="AKQ7" s="35"/>
      <c r="AKR7" s="36"/>
      <c r="AKS7" s="37"/>
      <c r="AKT7" s="36"/>
      <c r="AKU7" s="37"/>
      <c r="AKV7" s="36"/>
      <c r="AKW7" s="37"/>
      <c r="AKX7" s="36"/>
      <c r="AKY7" s="37"/>
      <c r="AKZ7" s="36"/>
      <c r="ALA7" s="37"/>
      <c r="ALB7" s="36"/>
      <c r="ALC7" s="37"/>
      <c r="ALD7" s="36"/>
      <c r="ALE7" s="37"/>
      <c r="ALF7" s="36"/>
      <c r="ALG7" s="37"/>
      <c r="ALH7" s="36"/>
      <c r="ALI7" s="37"/>
      <c r="ALJ7" s="36"/>
      <c r="ALK7" s="36"/>
      <c r="ALL7" s="37"/>
      <c r="ALM7" s="37"/>
      <c r="ALO7" s="22"/>
      <c r="ALP7" s="35"/>
      <c r="ALQ7" s="36"/>
      <c r="ALR7" s="37"/>
      <c r="ALS7" s="36"/>
      <c r="ALT7" s="37"/>
      <c r="ALU7" s="36"/>
      <c r="ALV7" s="37"/>
      <c r="ALW7" s="36"/>
      <c r="ALX7" s="37"/>
      <c r="ALY7" s="36"/>
      <c r="ALZ7" s="37"/>
      <c r="AMA7" s="36"/>
      <c r="AMB7" s="37"/>
      <c r="AMC7" s="36"/>
      <c r="AMD7" s="37"/>
      <c r="AME7" s="36"/>
      <c r="AMF7" s="37"/>
      <c r="AMG7" s="36"/>
      <c r="AMH7" s="37"/>
      <c r="AMI7" s="36"/>
      <c r="AMJ7" s="36"/>
      <c r="AMK7" s="37"/>
      <c r="AML7" s="37"/>
      <c r="AMN7" s="22"/>
      <c r="AMO7" s="35"/>
      <c r="AMP7" s="36"/>
      <c r="AMQ7" s="37"/>
      <c r="AMR7" s="36"/>
      <c r="AMS7" s="37"/>
      <c r="AMT7" s="36"/>
      <c r="AMU7" s="37"/>
      <c r="AMV7" s="36"/>
      <c r="AMW7" s="37"/>
      <c r="AMX7" s="36"/>
      <c r="AMY7" s="37"/>
      <c r="AMZ7" s="36"/>
      <c r="ANA7" s="37"/>
      <c r="ANB7" s="36"/>
      <c r="ANC7" s="37"/>
      <c r="AND7" s="36"/>
      <c r="ANE7" s="37"/>
      <c r="ANF7" s="36"/>
      <c r="ANG7" s="37"/>
      <c r="ANH7" s="36"/>
      <c r="ANI7" s="36"/>
      <c r="ANJ7" s="37"/>
      <c r="ANK7" s="37"/>
      <c r="ANM7" s="22"/>
      <c r="ANN7" s="35"/>
      <c r="ANO7" s="36"/>
      <c r="ANP7" s="37"/>
      <c r="ANQ7" s="36"/>
      <c r="ANR7" s="37"/>
      <c r="ANS7" s="36"/>
      <c r="ANT7" s="37"/>
      <c r="ANU7" s="36"/>
      <c r="ANV7" s="37"/>
      <c r="ANW7" s="36"/>
      <c r="ANX7" s="37"/>
      <c r="ANY7" s="36"/>
      <c r="ANZ7" s="37"/>
      <c r="AOA7" s="36"/>
      <c r="AOB7" s="37"/>
      <c r="AOC7" s="36"/>
      <c r="AOD7" s="37"/>
      <c r="AOE7" s="36"/>
      <c r="AOF7" s="37"/>
      <c r="AOG7" s="36"/>
      <c r="AOH7" s="36"/>
      <c r="AOI7" s="37"/>
      <c r="AOJ7" s="37"/>
      <c r="AOL7" s="22"/>
      <c r="AOM7" s="35"/>
      <c r="AON7" s="36"/>
      <c r="AOO7" s="37"/>
      <c r="AOP7" s="36"/>
      <c r="AOQ7" s="37"/>
      <c r="AOR7" s="36"/>
      <c r="AOS7" s="37"/>
      <c r="AOT7" s="36"/>
      <c r="AOU7" s="37"/>
      <c r="AOV7" s="36"/>
      <c r="AOW7" s="37"/>
      <c r="AOX7" s="36"/>
      <c r="AOY7" s="37"/>
      <c r="AOZ7" s="36"/>
      <c r="APA7" s="37"/>
      <c r="APB7" s="36"/>
      <c r="APC7" s="37"/>
      <c r="APD7" s="36"/>
      <c r="APE7" s="37"/>
      <c r="APF7" s="36"/>
      <c r="APG7" s="36"/>
      <c r="APH7" s="37"/>
      <c r="API7" s="37"/>
      <c r="APK7" s="22"/>
      <c r="APL7" s="35"/>
      <c r="APM7" s="36"/>
      <c r="APN7" s="37"/>
      <c r="APO7" s="36"/>
      <c r="APP7" s="37"/>
      <c r="APQ7" s="36"/>
      <c r="APR7" s="37"/>
      <c r="APS7" s="36"/>
      <c r="APT7" s="37"/>
      <c r="APU7" s="36"/>
      <c r="APV7" s="37"/>
      <c r="APW7" s="36"/>
      <c r="APX7" s="37"/>
      <c r="APY7" s="36"/>
      <c r="APZ7" s="37"/>
      <c r="AQA7" s="36"/>
      <c r="AQB7" s="37"/>
      <c r="AQC7" s="36"/>
      <c r="AQD7" s="37"/>
      <c r="AQE7" s="36"/>
      <c r="AQF7" s="36"/>
      <c r="AQG7" s="37"/>
      <c r="AQH7" s="37"/>
      <c r="AQJ7" s="22"/>
      <c r="AQK7" s="35"/>
      <c r="AQL7" s="36"/>
      <c r="AQM7" s="37"/>
      <c r="AQN7" s="36"/>
      <c r="AQO7" s="37"/>
      <c r="AQP7" s="36"/>
      <c r="AQQ7" s="37"/>
      <c r="AQR7" s="36"/>
      <c r="AQS7" s="37"/>
      <c r="AQT7" s="36"/>
      <c r="AQU7" s="37"/>
      <c r="AQV7" s="36"/>
      <c r="AQW7" s="37"/>
      <c r="AQX7" s="36"/>
      <c r="AQY7" s="37"/>
      <c r="AQZ7" s="36"/>
      <c r="ARA7" s="37"/>
      <c r="ARB7" s="36"/>
      <c r="ARC7" s="37"/>
      <c r="ARD7" s="36"/>
      <c r="ARE7" s="36"/>
      <c r="ARF7" s="37"/>
      <c r="ARG7" s="37"/>
      <c r="ARI7" s="22"/>
      <c r="ARJ7" s="35"/>
      <c r="ARK7" s="36"/>
      <c r="ARL7" s="37"/>
      <c r="ARM7" s="36"/>
      <c r="ARN7" s="37"/>
      <c r="ARO7" s="36"/>
      <c r="ARP7" s="37"/>
      <c r="ARQ7" s="36"/>
      <c r="ARR7" s="37"/>
      <c r="ARS7" s="36"/>
      <c r="ART7" s="37"/>
      <c r="ARU7" s="36"/>
      <c r="ARV7" s="37"/>
      <c r="ARW7" s="36"/>
      <c r="ARX7" s="37"/>
      <c r="ARY7" s="36"/>
      <c r="ARZ7" s="37"/>
      <c r="ASA7" s="36"/>
      <c r="ASB7" s="37"/>
      <c r="ASC7" s="36"/>
      <c r="ASD7" s="36"/>
      <c r="ASE7" s="37"/>
      <c r="ASF7" s="37"/>
      <c r="ASH7" s="22"/>
      <c r="ASI7" s="35"/>
      <c r="ASJ7" s="36"/>
      <c r="ASK7" s="37"/>
      <c r="ASL7" s="36"/>
      <c r="ASM7" s="37"/>
      <c r="ASN7" s="36"/>
      <c r="ASO7" s="37"/>
      <c r="ASP7" s="36"/>
      <c r="ASQ7" s="37"/>
      <c r="ASR7" s="36"/>
      <c r="ASS7" s="37"/>
      <c r="AST7" s="36"/>
      <c r="ASU7" s="37"/>
      <c r="ASV7" s="36"/>
      <c r="ASW7" s="37"/>
      <c r="ASX7" s="36"/>
      <c r="ASY7" s="37"/>
      <c r="ASZ7" s="36"/>
      <c r="ATA7" s="37"/>
      <c r="ATB7" s="36"/>
      <c r="ATC7" s="36"/>
      <c r="ATD7" s="37"/>
      <c r="ATE7" s="37"/>
      <c r="ATG7" s="22"/>
      <c r="ATH7" s="35"/>
      <c r="ATI7" s="36"/>
      <c r="ATJ7" s="37"/>
      <c r="ATK7" s="36"/>
      <c r="ATL7" s="37"/>
      <c r="ATM7" s="36"/>
      <c r="ATN7" s="37"/>
      <c r="ATO7" s="36"/>
      <c r="ATP7" s="37"/>
      <c r="ATQ7" s="36"/>
      <c r="ATR7" s="37"/>
      <c r="ATS7" s="36"/>
      <c r="ATT7" s="37"/>
      <c r="ATU7" s="36"/>
      <c r="ATV7" s="37"/>
      <c r="ATW7" s="36"/>
      <c r="ATX7" s="37"/>
      <c r="ATY7" s="36"/>
      <c r="ATZ7" s="37"/>
      <c r="AUA7" s="36"/>
      <c r="AUB7" s="36"/>
      <c r="AUC7" s="37"/>
      <c r="AUD7" s="37"/>
      <c r="AUF7" s="22"/>
      <c r="AUG7" s="35"/>
      <c r="AUH7" s="36"/>
      <c r="AUI7" s="37"/>
      <c r="AUJ7" s="36"/>
      <c r="AUK7" s="37"/>
      <c r="AUL7" s="36"/>
      <c r="AUM7" s="37"/>
      <c r="AUN7" s="36"/>
      <c r="AUO7" s="37"/>
      <c r="AUP7" s="36"/>
      <c r="AUQ7" s="37"/>
      <c r="AUR7" s="36"/>
      <c r="AUS7" s="37"/>
      <c r="AUT7" s="36"/>
      <c r="AUU7" s="37"/>
      <c r="AUV7" s="36"/>
      <c r="AUW7" s="37"/>
      <c r="AUX7" s="36"/>
      <c r="AUY7" s="37"/>
      <c r="AUZ7" s="36"/>
      <c r="AVA7" s="36"/>
      <c r="AVB7" s="37"/>
      <c r="AVC7" s="37"/>
      <c r="AVE7" s="22"/>
      <c r="AVF7" s="35"/>
      <c r="AVG7" s="36"/>
      <c r="AVH7" s="37"/>
      <c r="AVI7" s="36"/>
      <c r="AVJ7" s="37"/>
      <c r="AVK7" s="36"/>
      <c r="AVL7" s="37"/>
      <c r="AVM7" s="36"/>
      <c r="AVN7" s="37"/>
      <c r="AVO7" s="36"/>
      <c r="AVP7" s="37"/>
      <c r="AVQ7" s="36"/>
      <c r="AVR7" s="37"/>
      <c r="AVS7" s="36"/>
      <c r="AVT7" s="37"/>
      <c r="AVU7" s="36"/>
      <c r="AVV7" s="37"/>
      <c r="AVW7" s="36"/>
      <c r="AVX7" s="37"/>
      <c r="AVY7" s="36"/>
      <c r="AVZ7" s="36"/>
      <c r="AWA7" s="37"/>
      <c r="AWB7" s="37"/>
      <c r="AWD7" s="22"/>
      <c r="AWE7" s="35"/>
      <c r="AWF7" s="36"/>
      <c r="AWG7" s="37"/>
      <c r="AWH7" s="36"/>
      <c r="AWI7" s="37"/>
      <c r="AWJ7" s="36"/>
      <c r="AWK7" s="37"/>
      <c r="AWL7" s="36"/>
      <c r="AWM7" s="37"/>
      <c r="AWN7" s="36"/>
      <c r="AWO7" s="37"/>
      <c r="AWP7" s="36"/>
      <c r="AWQ7" s="37"/>
      <c r="AWR7" s="36"/>
      <c r="AWS7" s="37"/>
      <c r="AWT7" s="36"/>
      <c r="AWU7" s="37"/>
      <c r="AWV7" s="36"/>
      <c r="AWW7" s="37"/>
      <c r="AWX7" s="36"/>
      <c r="AWY7" s="36"/>
      <c r="AWZ7" s="37"/>
      <c r="AXA7" s="37"/>
      <c r="AXC7" s="22"/>
      <c r="AXD7" s="35"/>
      <c r="AXE7" s="36"/>
      <c r="AXF7" s="37"/>
      <c r="AXG7" s="36"/>
      <c r="AXH7" s="37"/>
      <c r="AXI7" s="36"/>
      <c r="AXJ7" s="37"/>
      <c r="AXK7" s="36"/>
      <c r="AXL7" s="37"/>
      <c r="AXM7" s="36"/>
      <c r="AXN7" s="37"/>
      <c r="AXO7" s="36"/>
      <c r="AXP7" s="37"/>
      <c r="AXQ7" s="36"/>
      <c r="AXR7" s="37"/>
      <c r="AXS7" s="36"/>
      <c r="AXT7" s="37"/>
      <c r="AXU7" s="36"/>
      <c r="AXV7" s="37"/>
      <c r="AXW7" s="36"/>
      <c r="AXX7" s="36"/>
      <c r="AXY7" s="37"/>
      <c r="AXZ7" s="37"/>
      <c r="AYB7" s="22"/>
      <c r="AYC7" s="35"/>
      <c r="AYD7" s="36"/>
      <c r="AYE7" s="37"/>
      <c r="AYF7" s="36"/>
      <c r="AYG7" s="37"/>
      <c r="AYH7" s="36"/>
      <c r="AYI7" s="37"/>
      <c r="AYJ7" s="36"/>
      <c r="AYK7" s="37"/>
      <c r="AYL7" s="36"/>
      <c r="AYM7" s="37"/>
      <c r="AYN7" s="36"/>
      <c r="AYO7" s="37"/>
      <c r="AYP7" s="36"/>
      <c r="AYQ7" s="37"/>
      <c r="AYR7" s="36"/>
      <c r="AYS7" s="37"/>
      <c r="AYT7" s="36"/>
      <c r="AYU7" s="37"/>
      <c r="AYV7" s="36"/>
      <c r="AYW7" s="36"/>
      <c r="AYX7" s="37"/>
      <c r="AYY7" s="37"/>
      <c r="AZA7" s="22"/>
      <c r="AZB7" s="35"/>
      <c r="AZC7" s="36"/>
      <c r="AZD7" s="37"/>
      <c r="AZE7" s="36"/>
      <c r="AZF7" s="37"/>
      <c r="AZG7" s="36"/>
      <c r="AZH7" s="37"/>
      <c r="AZI7" s="36"/>
      <c r="AZJ7" s="37"/>
      <c r="AZK7" s="36"/>
      <c r="AZL7" s="37"/>
      <c r="AZM7" s="36"/>
      <c r="AZN7" s="37"/>
      <c r="AZO7" s="36"/>
      <c r="AZP7" s="37"/>
      <c r="AZQ7" s="36"/>
      <c r="AZR7" s="37"/>
      <c r="AZS7" s="36"/>
      <c r="AZT7" s="37"/>
      <c r="AZU7" s="36"/>
      <c r="AZV7" s="36"/>
      <c r="AZW7" s="37"/>
      <c r="AZX7" s="37"/>
      <c r="AZZ7" s="22"/>
      <c r="BAA7" s="35"/>
      <c r="BAB7" s="36"/>
      <c r="BAC7" s="37"/>
      <c r="BAD7" s="36"/>
      <c r="BAE7" s="37"/>
      <c r="BAF7" s="36"/>
      <c r="BAG7" s="37"/>
      <c r="BAH7" s="36"/>
      <c r="BAI7" s="37"/>
      <c r="BAJ7" s="36"/>
      <c r="BAK7" s="37"/>
      <c r="BAL7" s="36"/>
      <c r="BAM7" s="37"/>
      <c r="BAN7" s="36"/>
      <c r="BAO7" s="37"/>
      <c r="BAP7" s="36"/>
      <c r="BAQ7" s="37"/>
      <c r="BAR7" s="36"/>
      <c r="BAS7" s="37"/>
      <c r="BAT7" s="36"/>
      <c r="BAU7" s="36"/>
      <c r="BAV7" s="37"/>
      <c r="BAW7" s="37"/>
      <c r="BAY7" s="22"/>
      <c r="BAZ7" s="35"/>
      <c r="BBA7" s="36"/>
      <c r="BBB7" s="37"/>
      <c r="BBC7" s="36"/>
      <c r="BBD7" s="37"/>
      <c r="BBE7" s="36"/>
      <c r="BBF7" s="37"/>
      <c r="BBG7" s="36"/>
      <c r="BBH7" s="37"/>
      <c r="BBI7" s="36"/>
      <c r="BBJ7" s="37"/>
      <c r="BBK7" s="36"/>
      <c r="BBL7" s="37"/>
      <c r="BBM7" s="36"/>
      <c r="BBN7" s="37"/>
      <c r="BBO7" s="36"/>
      <c r="BBP7" s="37"/>
      <c r="BBQ7" s="36"/>
      <c r="BBR7" s="37"/>
      <c r="BBS7" s="36"/>
      <c r="BBT7" s="36"/>
      <c r="BBU7" s="37"/>
      <c r="BBV7" s="37"/>
      <c r="BBX7" s="22"/>
      <c r="BBY7" s="35"/>
      <c r="BBZ7" s="36"/>
      <c r="BCA7" s="37"/>
      <c r="BCB7" s="36"/>
      <c r="BCC7" s="37"/>
      <c r="BCD7" s="36"/>
      <c r="BCE7" s="37"/>
      <c r="BCF7" s="36"/>
      <c r="BCG7" s="37"/>
      <c r="BCH7" s="36"/>
      <c r="BCI7" s="37"/>
      <c r="BCJ7" s="36"/>
      <c r="BCK7" s="37"/>
      <c r="BCL7" s="36"/>
      <c r="BCM7" s="37"/>
      <c r="BCN7" s="36"/>
      <c r="BCO7" s="37"/>
      <c r="BCP7" s="36"/>
      <c r="BCQ7" s="37"/>
      <c r="BCR7" s="36"/>
      <c r="BCS7" s="36"/>
      <c r="BCT7" s="37"/>
      <c r="BCU7" s="37"/>
      <c r="BCW7" s="22"/>
      <c r="BCX7" s="35"/>
      <c r="BCY7" s="36"/>
      <c r="BCZ7" s="37"/>
      <c r="BDA7" s="36"/>
      <c r="BDB7" s="37"/>
      <c r="BDC7" s="36"/>
      <c r="BDD7" s="37"/>
      <c r="BDE7" s="36"/>
      <c r="BDF7" s="37"/>
      <c r="BDG7" s="36"/>
      <c r="BDH7" s="37"/>
      <c r="BDI7" s="36"/>
      <c r="BDJ7" s="37"/>
      <c r="BDK7" s="36"/>
      <c r="BDL7" s="37"/>
      <c r="BDM7" s="36"/>
      <c r="BDN7" s="37"/>
      <c r="BDO7" s="36"/>
      <c r="BDP7" s="37"/>
      <c r="BDQ7" s="36"/>
      <c r="BDR7" s="36"/>
      <c r="BDS7" s="37"/>
      <c r="BDT7" s="37"/>
      <c r="BDV7" s="22"/>
      <c r="BDW7" s="35"/>
      <c r="BDX7" s="36"/>
      <c r="BDY7" s="37"/>
      <c r="BDZ7" s="36"/>
      <c r="BEA7" s="37"/>
      <c r="BEB7" s="36"/>
      <c r="BEC7" s="37"/>
      <c r="BED7" s="36"/>
      <c r="BEE7" s="37"/>
      <c r="BEF7" s="36"/>
      <c r="BEG7" s="37"/>
      <c r="BEH7" s="36"/>
      <c r="BEI7" s="37"/>
      <c r="BEJ7" s="36"/>
      <c r="BEK7" s="37"/>
      <c r="BEL7" s="36"/>
      <c r="BEM7" s="37"/>
      <c r="BEN7" s="36"/>
      <c r="BEO7" s="37"/>
      <c r="BEP7" s="36"/>
      <c r="BEQ7" s="36"/>
      <c r="BER7" s="37"/>
      <c r="BES7" s="37"/>
      <c r="BEU7" s="22"/>
      <c r="BEV7" s="35"/>
      <c r="BEW7" s="36"/>
      <c r="BEX7" s="37"/>
      <c r="BEY7" s="36"/>
      <c r="BEZ7" s="37"/>
      <c r="BFA7" s="36"/>
      <c r="BFB7" s="37"/>
      <c r="BFC7" s="36"/>
      <c r="BFD7" s="37"/>
      <c r="BFE7" s="36"/>
      <c r="BFF7" s="37"/>
      <c r="BFG7" s="36"/>
      <c r="BFH7" s="37"/>
      <c r="BFI7" s="36"/>
      <c r="BFJ7" s="37"/>
      <c r="BFK7" s="36"/>
      <c r="BFL7" s="37"/>
      <c r="BFM7" s="36"/>
      <c r="BFN7" s="37"/>
      <c r="BFO7" s="36"/>
      <c r="BFP7" s="36"/>
      <c r="BFQ7" s="37"/>
      <c r="BFR7" s="37"/>
      <c r="BFT7" s="22"/>
      <c r="BFU7" s="35"/>
      <c r="BFV7" s="36"/>
      <c r="BFW7" s="37"/>
      <c r="BFX7" s="36"/>
      <c r="BFY7" s="37"/>
      <c r="BFZ7" s="36"/>
      <c r="BGA7" s="37"/>
      <c r="BGB7" s="36"/>
      <c r="BGC7" s="37"/>
      <c r="BGD7" s="36"/>
      <c r="BGE7" s="37"/>
      <c r="BGF7" s="36"/>
      <c r="BGG7" s="37"/>
      <c r="BGH7" s="36"/>
      <c r="BGI7" s="37"/>
      <c r="BGJ7" s="36"/>
      <c r="BGK7" s="37"/>
      <c r="BGL7" s="36"/>
      <c r="BGM7" s="37"/>
      <c r="BGN7" s="36"/>
      <c r="BGO7" s="36"/>
      <c r="BGP7" s="37"/>
      <c r="BGQ7" s="37"/>
      <c r="BGS7" s="22"/>
      <c r="BGT7" s="35"/>
      <c r="BGU7" s="36"/>
      <c r="BGV7" s="37"/>
      <c r="BGW7" s="36"/>
      <c r="BGX7" s="37"/>
      <c r="BGY7" s="36"/>
      <c r="BGZ7" s="37"/>
      <c r="BHA7" s="36"/>
      <c r="BHB7" s="37"/>
      <c r="BHC7" s="36"/>
      <c r="BHD7" s="37"/>
      <c r="BHE7" s="36"/>
      <c r="BHF7" s="37"/>
      <c r="BHG7" s="36"/>
      <c r="BHH7" s="37"/>
      <c r="BHI7" s="36"/>
      <c r="BHJ7" s="37"/>
      <c r="BHK7" s="36"/>
      <c r="BHL7" s="37"/>
      <c r="BHM7" s="36"/>
      <c r="BHN7" s="36"/>
      <c r="BHO7" s="37"/>
      <c r="BHP7" s="37"/>
      <c r="BHR7" s="22"/>
      <c r="BHS7" s="35"/>
      <c r="BHT7" s="36"/>
      <c r="BHU7" s="37"/>
      <c r="BHV7" s="36"/>
      <c r="BHW7" s="37"/>
      <c r="BHX7" s="36"/>
      <c r="BHY7" s="37"/>
      <c r="BHZ7" s="36"/>
      <c r="BIA7" s="37"/>
      <c r="BIB7" s="36"/>
      <c r="BIC7" s="37"/>
      <c r="BID7" s="36"/>
      <c r="BIE7" s="37"/>
      <c r="BIF7" s="36"/>
      <c r="BIG7" s="37"/>
      <c r="BIH7" s="36"/>
      <c r="BII7" s="37"/>
      <c r="BIJ7" s="36"/>
      <c r="BIK7" s="37"/>
      <c r="BIL7" s="36"/>
      <c r="BIM7" s="36"/>
      <c r="BIN7" s="37"/>
      <c r="BIO7" s="37"/>
      <c r="BIQ7" s="22"/>
      <c r="BIR7" s="35"/>
      <c r="BIS7" s="36"/>
      <c r="BIT7" s="37"/>
      <c r="BIU7" s="36"/>
      <c r="BIV7" s="37"/>
      <c r="BIW7" s="36"/>
      <c r="BIX7" s="37"/>
      <c r="BIY7" s="36"/>
      <c r="BIZ7" s="37"/>
      <c r="BJA7" s="36"/>
      <c r="BJB7" s="37"/>
      <c r="BJC7" s="36"/>
      <c r="BJD7" s="37"/>
      <c r="BJE7" s="36"/>
      <c r="BJF7" s="37"/>
      <c r="BJG7" s="36"/>
      <c r="BJH7" s="37"/>
      <c r="BJI7" s="36"/>
      <c r="BJJ7" s="37"/>
      <c r="BJK7" s="36"/>
      <c r="BJL7" s="36"/>
      <c r="BJM7" s="37"/>
      <c r="BJN7" s="37"/>
      <c r="BJP7" s="22"/>
      <c r="BJQ7" s="35"/>
      <c r="BJR7" s="36"/>
      <c r="BJS7" s="37"/>
      <c r="BJT7" s="36"/>
      <c r="BJU7" s="37"/>
      <c r="BJV7" s="36"/>
      <c r="BJW7" s="37"/>
      <c r="BJX7" s="36"/>
      <c r="BJY7" s="37"/>
      <c r="BJZ7" s="36"/>
      <c r="BKA7" s="37"/>
      <c r="BKB7" s="36"/>
      <c r="BKC7" s="37"/>
      <c r="BKD7" s="36"/>
      <c r="BKE7" s="37"/>
      <c r="BKF7" s="36"/>
      <c r="BKG7" s="37"/>
      <c r="BKH7" s="36"/>
      <c r="BKI7" s="37"/>
      <c r="BKJ7" s="36"/>
      <c r="BKK7" s="36"/>
      <c r="BKL7" s="37"/>
      <c r="BKM7" s="37"/>
      <c r="BKO7" s="22"/>
      <c r="BKP7" s="35"/>
      <c r="BKQ7" s="36"/>
      <c r="BKR7" s="37"/>
      <c r="BKS7" s="36"/>
      <c r="BKT7" s="37"/>
      <c r="BKU7" s="36"/>
      <c r="BKV7" s="37"/>
      <c r="BKW7" s="36"/>
      <c r="BKX7" s="37"/>
      <c r="BKY7" s="36"/>
      <c r="BKZ7" s="37"/>
      <c r="BLA7" s="36"/>
      <c r="BLB7" s="37"/>
      <c r="BLC7" s="36"/>
      <c r="BLD7" s="37"/>
      <c r="BLE7" s="36"/>
      <c r="BLF7" s="37"/>
      <c r="BLG7" s="36"/>
      <c r="BLH7" s="37"/>
      <c r="BLI7" s="36"/>
      <c r="BLJ7" s="36"/>
      <c r="BLK7" s="37"/>
      <c r="BLL7" s="37"/>
      <c r="BLN7" s="22"/>
      <c r="BLO7" s="35"/>
      <c r="BLP7" s="36"/>
      <c r="BLQ7" s="37"/>
      <c r="BLR7" s="36"/>
      <c r="BLS7" s="37"/>
      <c r="BLT7" s="36"/>
      <c r="BLU7" s="37"/>
      <c r="BLV7" s="36"/>
      <c r="BLW7" s="37"/>
      <c r="BLX7" s="36"/>
      <c r="BLY7" s="37"/>
      <c r="BLZ7" s="36"/>
      <c r="BMA7" s="37"/>
      <c r="BMB7" s="36"/>
      <c r="BMC7" s="37"/>
      <c r="BMD7" s="36"/>
      <c r="BME7" s="37"/>
      <c r="BMF7" s="36"/>
      <c r="BMG7" s="37"/>
      <c r="BMH7" s="36"/>
      <c r="BMI7" s="36"/>
      <c r="BMJ7" s="37"/>
      <c r="BMK7" s="37"/>
      <c r="BMM7" s="22"/>
      <c r="BMN7" s="35"/>
      <c r="BMO7" s="36"/>
      <c r="BMP7" s="37"/>
      <c r="BMQ7" s="36"/>
      <c r="BMR7" s="37"/>
      <c r="BMS7" s="36"/>
      <c r="BMT7" s="37"/>
      <c r="BMU7" s="36"/>
      <c r="BMV7" s="37"/>
      <c r="BMW7" s="36"/>
      <c r="BMX7" s="37"/>
      <c r="BMY7" s="36"/>
      <c r="BMZ7" s="37"/>
      <c r="BNA7" s="36"/>
      <c r="BNB7" s="37"/>
      <c r="BNC7" s="36"/>
      <c r="BND7" s="37"/>
      <c r="BNE7" s="36"/>
      <c r="BNF7" s="37"/>
      <c r="BNG7" s="36"/>
      <c r="BNH7" s="36"/>
      <c r="BNI7" s="37"/>
      <c r="BNJ7" s="37"/>
      <c r="BNL7" s="22"/>
      <c r="BNM7" s="35"/>
      <c r="BNN7" s="36"/>
      <c r="BNO7" s="37"/>
      <c r="BNP7" s="36"/>
      <c r="BNQ7" s="37"/>
      <c r="BNR7" s="36"/>
      <c r="BNS7" s="37"/>
      <c r="BNT7" s="36"/>
      <c r="BNU7" s="37"/>
      <c r="BNV7" s="36"/>
      <c r="BNW7" s="37"/>
      <c r="BNX7" s="36"/>
      <c r="BNY7" s="37"/>
      <c r="BNZ7" s="36"/>
      <c r="BOA7" s="37"/>
      <c r="BOB7" s="36"/>
      <c r="BOC7" s="37"/>
      <c r="BOD7" s="36"/>
      <c r="BOE7" s="37"/>
      <c r="BOF7" s="36"/>
      <c r="BOG7" s="36"/>
      <c r="BOH7" s="37"/>
      <c r="BOI7" s="37"/>
      <c r="BOK7" s="22"/>
      <c r="BOL7" s="35"/>
      <c r="BOM7" s="36"/>
      <c r="BON7" s="37"/>
      <c r="BOO7" s="36"/>
      <c r="BOP7" s="37"/>
      <c r="BOQ7" s="36"/>
      <c r="BOR7" s="37"/>
      <c r="BOS7" s="36"/>
      <c r="BOT7" s="37"/>
      <c r="BOU7" s="36"/>
      <c r="BOV7" s="37"/>
      <c r="BOW7" s="36"/>
      <c r="BOX7" s="37"/>
      <c r="BOY7" s="36"/>
      <c r="BOZ7" s="37"/>
      <c r="BPA7" s="36"/>
      <c r="BPB7" s="37"/>
      <c r="BPC7" s="36"/>
      <c r="BPD7" s="37"/>
      <c r="BPE7" s="36"/>
      <c r="BPF7" s="36"/>
      <c r="BPG7" s="37"/>
      <c r="BPH7" s="37"/>
      <c r="BPJ7" s="22"/>
      <c r="BPK7" s="35"/>
      <c r="BPL7" s="36"/>
      <c r="BPM7" s="37"/>
      <c r="BPN7" s="36"/>
      <c r="BPO7" s="37"/>
      <c r="BPP7" s="36"/>
      <c r="BPQ7" s="37"/>
      <c r="BPR7" s="36"/>
      <c r="BPS7" s="37"/>
      <c r="BPT7" s="36"/>
      <c r="BPU7" s="37"/>
      <c r="BPV7" s="36"/>
      <c r="BPW7" s="37"/>
      <c r="BPX7" s="36"/>
      <c r="BPY7" s="37"/>
      <c r="BPZ7" s="36"/>
      <c r="BQA7" s="37"/>
      <c r="BQB7" s="36"/>
      <c r="BQC7" s="37"/>
      <c r="BQD7" s="36"/>
      <c r="BQE7" s="36"/>
      <c r="BQF7" s="37"/>
      <c r="BQG7" s="37"/>
      <c r="BQI7" s="22"/>
      <c r="BQJ7" s="35"/>
      <c r="BQK7" s="36"/>
      <c r="BQL7" s="37"/>
      <c r="BQM7" s="36"/>
      <c r="BQN7" s="37"/>
      <c r="BQO7" s="36"/>
      <c r="BQP7" s="37"/>
      <c r="BQQ7" s="36"/>
      <c r="BQR7" s="37"/>
      <c r="BQS7" s="36"/>
      <c r="BQT7" s="37"/>
      <c r="BQU7" s="36"/>
      <c r="BQV7" s="37"/>
      <c r="BQW7" s="36"/>
      <c r="BQX7" s="37"/>
      <c r="BQY7" s="36"/>
      <c r="BQZ7" s="37"/>
      <c r="BRA7" s="36"/>
      <c r="BRB7" s="37"/>
      <c r="BRC7" s="36"/>
      <c r="BRD7" s="36"/>
      <c r="BRE7" s="37"/>
      <c r="BRF7" s="37"/>
      <c r="BRH7" s="22"/>
      <c r="BRI7" s="35"/>
      <c r="BRJ7" s="36"/>
      <c r="BRK7" s="37"/>
      <c r="BRL7" s="36"/>
      <c r="BRM7" s="37"/>
      <c r="BRN7" s="36"/>
      <c r="BRO7" s="37"/>
      <c r="BRP7" s="36"/>
      <c r="BRQ7" s="37"/>
      <c r="BRR7" s="36"/>
      <c r="BRS7" s="37"/>
      <c r="BRT7" s="36"/>
      <c r="BRU7" s="37"/>
      <c r="BRV7" s="36"/>
      <c r="BRW7" s="37"/>
      <c r="BRX7" s="36"/>
      <c r="BRY7" s="37"/>
      <c r="BRZ7" s="36"/>
      <c r="BSA7" s="37"/>
      <c r="BSB7" s="36"/>
      <c r="BSC7" s="36"/>
      <c r="BSD7" s="37"/>
      <c r="BSE7" s="37"/>
      <c r="BSG7" s="22"/>
      <c r="BSH7" s="35"/>
      <c r="BSI7" s="36"/>
      <c r="BSJ7" s="37"/>
      <c r="BSK7" s="36"/>
      <c r="BSL7" s="37"/>
      <c r="BSM7" s="36"/>
      <c r="BSN7" s="37"/>
      <c r="BSO7" s="36"/>
      <c r="BSP7" s="37"/>
      <c r="BSQ7" s="36"/>
      <c r="BSR7" s="37"/>
      <c r="BSS7" s="36"/>
      <c r="BST7" s="37"/>
      <c r="BSU7" s="36"/>
      <c r="BSV7" s="37"/>
      <c r="BSW7" s="36"/>
      <c r="BSX7" s="37"/>
      <c r="BSY7" s="36"/>
      <c r="BSZ7" s="37"/>
      <c r="BTA7" s="36"/>
      <c r="BTB7" s="36"/>
      <c r="BTC7" s="37"/>
      <c r="BTD7" s="37"/>
      <c r="BTF7" s="22"/>
      <c r="BTG7" s="35"/>
      <c r="BTH7" s="36"/>
      <c r="BTI7" s="37"/>
      <c r="BTJ7" s="36"/>
      <c r="BTK7" s="37"/>
      <c r="BTL7" s="36"/>
      <c r="BTM7" s="37"/>
      <c r="BTN7" s="36"/>
      <c r="BTO7" s="37"/>
      <c r="BTP7" s="36"/>
      <c r="BTQ7" s="37"/>
      <c r="BTR7" s="36"/>
      <c r="BTS7" s="37"/>
      <c r="BTT7" s="36"/>
      <c r="BTU7" s="37"/>
      <c r="BTV7" s="36"/>
      <c r="BTW7" s="37"/>
      <c r="BTX7" s="36"/>
      <c r="BTY7" s="37"/>
      <c r="BTZ7" s="36"/>
      <c r="BUA7" s="36"/>
      <c r="BUB7" s="37"/>
      <c r="BUC7" s="37"/>
      <c r="BUE7" s="22"/>
      <c r="BUF7" s="35"/>
      <c r="BUG7" s="36"/>
      <c r="BUH7" s="37"/>
      <c r="BUI7" s="36"/>
      <c r="BUJ7" s="37"/>
      <c r="BUK7" s="36"/>
      <c r="BUL7" s="37"/>
      <c r="BUM7" s="36"/>
      <c r="BUN7" s="37"/>
      <c r="BUO7" s="36"/>
      <c r="BUP7" s="37"/>
      <c r="BUQ7" s="36"/>
      <c r="BUR7" s="37"/>
      <c r="BUS7" s="36"/>
      <c r="BUT7" s="37"/>
      <c r="BUU7" s="36"/>
      <c r="BUV7" s="37"/>
      <c r="BUW7" s="36"/>
      <c r="BUX7" s="37"/>
      <c r="BUY7" s="36"/>
      <c r="BUZ7" s="36"/>
      <c r="BVA7" s="37"/>
      <c r="BVB7" s="37"/>
      <c r="BVD7" s="22"/>
      <c r="BVE7" s="35"/>
      <c r="BVF7" s="36"/>
      <c r="BVG7" s="37"/>
      <c r="BVH7" s="36"/>
      <c r="BVI7" s="37"/>
      <c r="BVJ7" s="36"/>
      <c r="BVK7" s="37"/>
      <c r="BVL7" s="36"/>
      <c r="BVM7" s="37"/>
      <c r="BVN7" s="36"/>
      <c r="BVO7" s="37"/>
      <c r="BVP7" s="36"/>
      <c r="BVQ7" s="37"/>
      <c r="BVR7" s="36"/>
      <c r="BVS7" s="37"/>
      <c r="BVT7" s="36"/>
      <c r="BVU7" s="37"/>
      <c r="BVV7" s="36"/>
      <c r="BVW7" s="37"/>
      <c r="BVX7" s="36"/>
      <c r="BVY7" s="36"/>
      <c r="BVZ7" s="37"/>
      <c r="BWA7" s="37"/>
      <c r="BWC7" s="22"/>
      <c r="BWD7" s="35"/>
      <c r="BWE7" s="36"/>
      <c r="BWF7" s="37"/>
      <c r="BWG7" s="36"/>
      <c r="BWH7" s="37"/>
      <c r="BWI7" s="36"/>
      <c r="BWJ7" s="37"/>
      <c r="BWK7" s="36"/>
      <c r="BWL7" s="37"/>
      <c r="BWM7" s="36"/>
      <c r="BWN7" s="37"/>
      <c r="BWO7" s="36"/>
      <c r="BWP7" s="37"/>
      <c r="BWQ7" s="36"/>
      <c r="BWR7" s="37"/>
      <c r="BWS7" s="36"/>
      <c r="BWT7" s="37"/>
      <c r="BWU7" s="36"/>
      <c r="BWV7" s="37"/>
      <c r="BWW7" s="36"/>
      <c r="BWX7" s="36"/>
      <c r="BWY7" s="37"/>
      <c r="BWZ7" s="37"/>
      <c r="BXB7" s="22"/>
      <c r="BXC7" s="35"/>
      <c r="BXD7" s="36"/>
      <c r="BXE7" s="37"/>
      <c r="BXF7" s="36"/>
      <c r="BXG7" s="37"/>
      <c r="BXH7" s="36"/>
      <c r="BXI7" s="37"/>
      <c r="BXJ7" s="36"/>
      <c r="BXK7" s="37"/>
      <c r="BXL7" s="36"/>
      <c r="BXM7" s="37"/>
      <c r="BXN7" s="36"/>
      <c r="BXO7" s="37"/>
      <c r="BXP7" s="36"/>
      <c r="BXQ7" s="37"/>
      <c r="BXR7" s="36"/>
      <c r="BXS7" s="37"/>
      <c r="BXT7" s="36"/>
      <c r="BXU7" s="37"/>
      <c r="BXV7" s="36"/>
      <c r="BXW7" s="36"/>
      <c r="BXX7" s="37"/>
      <c r="BXY7" s="37"/>
      <c r="BYA7" s="22"/>
      <c r="BYB7" s="35"/>
      <c r="BYC7" s="36"/>
      <c r="BYD7" s="37"/>
      <c r="BYE7" s="36"/>
      <c r="BYF7" s="37"/>
      <c r="BYG7" s="36"/>
      <c r="BYH7" s="37"/>
      <c r="BYI7" s="36"/>
      <c r="BYJ7" s="37"/>
      <c r="BYK7" s="36"/>
      <c r="BYL7" s="37"/>
      <c r="BYM7" s="36"/>
      <c r="BYN7" s="37"/>
      <c r="BYO7" s="36"/>
      <c r="BYP7" s="37"/>
      <c r="BYQ7" s="36"/>
      <c r="BYR7" s="37"/>
      <c r="BYS7" s="36"/>
      <c r="BYT7" s="37"/>
      <c r="BYU7" s="36"/>
      <c r="BYV7" s="36"/>
      <c r="BYW7" s="37"/>
      <c r="BYX7" s="37"/>
      <c r="BYZ7" s="22"/>
      <c r="BZA7" s="35"/>
      <c r="BZB7" s="36"/>
      <c r="BZC7" s="37"/>
      <c r="BZD7" s="36"/>
      <c r="BZE7" s="37"/>
      <c r="BZF7" s="36"/>
      <c r="BZG7" s="37"/>
      <c r="BZH7" s="36"/>
      <c r="BZI7" s="37"/>
      <c r="BZJ7" s="36"/>
      <c r="BZK7" s="37"/>
      <c r="BZL7" s="36"/>
      <c r="BZM7" s="37"/>
      <c r="BZN7" s="36"/>
      <c r="BZO7" s="37"/>
      <c r="BZP7" s="36"/>
      <c r="BZQ7" s="37"/>
      <c r="BZR7" s="36"/>
      <c r="BZS7" s="37"/>
      <c r="BZT7" s="36"/>
      <c r="BZU7" s="36"/>
      <c r="BZV7" s="37"/>
      <c r="BZW7" s="37"/>
      <c r="BZY7" s="22"/>
      <c r="BZZ7" s="35"/>
      <c r="CAA7" s="36"/>
      <c r="CAB7" s="37"/>
      <c r="CAC7" s="36"/>
      <c r="CAD7" s="37"/>
      <c r="CAE7" s="36"/>
      <c r="CAF7" s="37"/>
      <c r="CAG7" s="36"/>
      <c r="CAH7" s="37"/>
      <c r="CAI7" s="36"/>
      <c r="CAJ7" s="37"/>
      <c r="CAK7" s="36"/>
      <c r="CAL7" s="37"/>
      <c r="CAM7" s="36"/>
      <c r="CAN7" s="37"/>
      <c r="CAO7" s="36"/>
      <c r="CAP7" s="37"/>
      <c r="CAQ7" s="36"/>
      <c r="CAR7" s="37"/>
      <c r="CAS7" s="36"/>
      <c r="CAT7" s="36"/>
      <c r="CAU7" s="37"/>
      <c r="CAV7" s="37"/>
      <c r="CAX7" s="22"/>
      <c r="CAY7" s="35"/>
      <c r="CAZ7" s="36"/>
      <c r="CBA7" s="37"/>
      <c r="CBB7" s="36"/>
      <c r="CBC7" s="37"/>
      <c r="CBD7" s="36"/>
      <c r="CBE7" s="37"/>
      <c r="CBF7" s="36"/>
      <c r="CBG7" s="37"/>
      <c r="CBH7" s="36"/>
      <c r="CBI7" s="37"/>
      <c r="CBJ7" s="36"/>
      <c r="CBK7" s="37"/>
      <c r="CBL7" s="36"/>
      <c r="CBM7" s="37"/>
      <c r="CBN7" s="36"/>
      <c r="CBO7" s="37"/>
      <c r="CBP7" s="36"/>
      <c r="CBQ7" s="37"/>
      <c r="CBR7" s="36"/>
      <c r="CBS7" s="36"/>
      <c r="CBT7" s="37"/>
      <c r="CBU7" s="37"/>
      <c r="CBW7" s="22"/>
      <c r="CBX7" s="35"/>
      <c r="CBY7" s="36"/>
      <c r="CBZ7" s="37"/>
      <c r="CCA7" s="36"/>
      <c r="CCB7" s="37"/>
      <c r="CCC7" s="36"/>
      <c r="CCD7" s="37"/>
      <c r="CCE7" s="36"/>
      <c r="CCF7" s="37"/>
      <c r="CCG7" s="36"/>
      <c r="CCH7" s="37"/>
      <c r="CCI7" s="36"/>
      <c r="CCJ7" s="37"/>
      <c r="CCK7" s="36"/>
      <c r="CCL7" s="37"/>
      <c r="CCM7" s="36"/>
      <c r="CCN7" s="37"/>
      <c r="CCO7" s="36"/>
      <c r="CCP7" s="37"/>
      <c r="CCQ7" s="36"/>
      <c r="CCR7" s="36"/>
      <c r="CCS7" s="37"/>
      <c r="CCT7" s="37"/>
      <c r="CCV7" s="22"/>
      <c r="CCW7" s="35"/>
      <c r="CCX7" s="36"/>
      <c r="CCY7" s="37"/>
      <c r="CCZ7" s="36"/>
      <c r="CDA7" s="37"/>
      <c r="CDB7" s="36"/>
      <c r="CDC7" s="37"/>
      <c r="CDD7" s="36"/>
      <c r="CDE7" s="37"/>
      <c r="CDF7" s="36"/>
      <c r="CDG7" s="37"/>
      <c r="CDH7" s="36"/>
      <c r="CDI7" s="37"/>
      <c r="CDJ7" s="36"/>
      <c r="CDK7" s="37"/>
      <c r="CDL7" s="36"/>
      <c r="CDM7" s="37"/>
      <c r="CDN7" s="36"/>
      <c r="CDO7" s="37"/>
      <c r="CDP7" s="36"/>
      <c r="CDQ7" s="36"/>
      <c r="CDR7" s="37"/>
      <c r="CDS7" s="37"/>
      <c r="CDU7" s="22"/>
      <c r="CDV7" s="35"/>
      <c r="CDW7" s="36"/>
      <c r="CDX7" s="37"/>
      <c r="CDY7" s="36"/>
      <c r="CDZ7" s="37"/>
      <c r="CEA7" s="36"/>
      <c r="CEB7" s="37"/>
      <c r="CEC7" s="36"/>
      <c r="CED7" s="37"/>
      <c r="CEE7" s="36"/>
      <c r="CEF7" s="37"/>
      <c r="CEG7" s="36"/>
      <c r="CEH7" s="37"/>
      <c r="CEI7" s="36"/>
      <c r="CEJ7" s="37"/>
      <c r="CEK7" s="36"/>
      <c r="CEL7" s="37"/>
      <c r="CEM7" s="36"/>
      <c r="CEN7" s="37"/>
      <c r="CEO7" s="36"/>
      <c r="CEP7" s="36"/>
      <c r="CEQ7" s="37"/>
      <c r="CER7" s="37"/>
      <c r="CET7" s="22"/>
      <c r="CEU7" s="35"/>
      <c r="CEV7" s="36"/>
      <c r="CEW7" s="37"/>
      <c r="CEX7" s="36"/>
      <c r="CEY7" s="37"/>
      <c r="CEZ7" s="36"/>
      <c r="CFA7" s="37"/>
      <c r="CFB7" s="36"/>
      <c r="CFC7" s="37"/>
      <c r="CFD7" s="36"/>
      <c r="CFE7" s="37"/>
      <c r="CFF7" s="36"/>
      <c r="CFG7" s="37"/>
      <c r="CFH7" s="36"/>
      <c r="CFI7" s="37"/>
      <c r="CFJ7" s="36"/>
      <c r="CFK7" s="37"/>
      <c r="CFL7" s="36"/>
      <c r="CFM7" s="37"/>
      <c r="CFN7" s="36"/>
      <c r="CFO7" s="36"/>
      <c r="CFP7" s="37"/>
      <c r="CFQ7" s="37"/>
      <c r="CFS7" s="22"/>
      <c r="CFT7" s="35"/>
      <c r="CFU7" s="36"/>
      <c r="CFV7" s="37"/>
      <c r="CFW7" s="36"/>
      <c r="CFX7" s="37"/>
      <c r="CFY7" s="36"/>
      <c r="CFZ7" s="37"/>
      <c r="CGA7" s="36"/>
      <c r="CGB7" s="37"/>
      <c r="CGC7" s="36"/>
      <c r="CGD7" s="37"/>
      <c r="CGE7" s="36"/>
      <c r="CGF7" s="37"/>
      <c r="CGG7" s="36"/>
      <c r="CGH7" s="37"/>
      <c r="CGI7" s="36"/>
      <c r="CGJ7" s="37"/>
      <c r="CGK7" s="36"/>
      <c r="CGL7" s="37"/>
      <c r="CGM7" s="36"/>
      <c r="CGN7" s="36"/>
      <c r="CGO7" s="37"/>
      <c r="CGP7" s="37"/>
      <c r="CGR7" s="22"/>
      <c r="CGS7" s="35"/>
      <c r="CGT7" s="36"/>
      <c r="CGU7" s="37"/>
      <c r="CGV7" s="36"/>
      <c r="CGW7" s="37"/>
      <c r="CGX7" s="36"/>
      <c r="CGY7" s="37"/>
      <c r="CGZ7" s="36"/>
      <c r="CHA7" s="37"/>
      <c r="CHB7" s="36"/>
      <c r="CHC7" s="37"/>
      <c r="CHD7" s="36"/>
      <c r="CHE7" s="37"/>
      <c r="CHF7" s="36"/>
      <c r="CHG7" s="37"/>
      <c r="CHH7" s="36"/>
      <c r="CHI7" s="37"/>
      <c r="CHJ7" s="36"/>
      <c r="CHK7" s="37"/>
      <c r="CHL7" s="36"/>
      <c r="CHM7" s="36"/>
      <c r="CHN7" s="37"/>
      <c r="CHO7" s="37"/>
      <c r="CHQ7" s="22"/>
      <c r="CHR7" s="35"/>
      <c r="CHS7" s="36"/>
      <c r="CHT7" s="37"/>
      <c r="CHU7" s="36"/>
      <c r="CHV7" s="37"/>
      <c r="CHW7" s="36"/>
      <c r="CHX7" s="37"/>
      <c r="CHY7" s="36"/>
      <c r="CHZ7" s="37"/>
      <c r="CIA7" s="36"/>
      <c r="CIB7" s="37"/>
      <c r="CIC7" s="36"/>
      <c r="CID7" s="37"/>
      <c r="CIE7" s="36"/>
      <c r="CIF7" s="37"/>
      <c r="CIG7" s="36"/>
      <c r="CIH7" s="37"/>
      <c r="CII7" s="36"/>
      <c r="CIJ7" s="37"/>
      <c r="CIK7" s="36"/>
      <c r="CIL7" s="36"/>
      <c r="CIM7" s="37"/>
      <c r="CIN7" s="37"/>
      <c r="CIP7" s="22"/>
      <c r="CIQ7" s="35"/>
      <c r="CIR7" s="36"/>
      <c r="CIS7" s="37"/>
      <c r="CIT7" s="36"/>
      <c r="CIU7" s="37"/>
      <c r="CIV7" s="36"/>
      <c r="CIW7" s="37"/>
      <c r="CIX7" s="36"/>
      <c r="CIY7" s="37"/>
      <c r="CIZ7" s="36"/>
      <c r="CJA7" s="37"/>
      <c r="CJB7" s="36"/>
      <c r="CJC7" s="37"/>
      <c r="CJD7" s="36"/>
      <c r="CJE7" s="37"/>
      <c r="CJF7" s="36"/>
      <c r="CJG7" s="37"/>
      <c r="CJH7" s="36"/>
      <c r="CJI7" s="37"/>
      <c r="CJJ7" s="36"/>
      <c r="CJK7" s="36"/>
      <c r="CJL7" s="37"/>
      <c r="CJM7" s="37"/>
      <c r="CJO7" s="22"/>
      <c r="CJP7" s="35"/>
      <c r="CJQ7" s="36"/>
      <c r="CJR7" s="37"/>
      <c r="CJS7" s="36"/>
      <c r="CJT7" s="37"/>
      <c r="CJU7" s="36"/>
      <c r="CJV7" s="37"/>
      <c r="CJW7" s="36"/>
      <c r="CJX7" s="37"/>
      <c r="CJY7" s="36"/>
      <c r="CJZ7" s="37"/>
      <c r="CKA7" s="36"/>
      <c r="CKB7" s="37"/>
      <c r="CKC7" s="36"/>
      <c r="CKD7" s="37"/>
      <c r="CKE7" s="36"/>
      <c r="CKF7" s="37"/>
      <c r="CKG7" s="36"/>
      <c r="CKH7" s="37"/>
      <c r="CKI7" s="36"/>
      <c r="CKJ7" s="36"/>
      <c r="CKK7" s="37"/>
      <c r="CKL7" s="37"/>
      <c r="CKN7" s="22"/>
      <c r="CKO7" s="35"/>
      <c r="CKP7" s="36"/>
      <c r="CKQ7" s="37"/>
      <c r="CKR7" s="36"/>
      <c r="CKS7" s="37"/>
      <c r="CKT7" s="36"/>
      <c r="CKU7" s="37"/>
      <c r="CKV7" s="36"/>
      <c r="CKW7" s="37"/>
      <c r="CKX7" s="36"/>
      <c r="CKY7" s="37"/>
      <c r="CKZ7" s="36"/>
      <c r="CLA7" s="37"/>
      <c r="CLB7" s="36"/>
      <c r="CLC7" s="37"/>
      <c r="CLD7" s="36"/>
      <c r="CLE7" s="37"/>
      <c r="CLF7" s="36"/>
      <c r="CLG7" s="37"/>
      <c r="CLH7" s="36"/>
      <c r="CLI7" s="36"/>
      <c r="CLJ7" s="37"/>
      <c r="CLK7" s="37"/>
      <c r="CLM7" s="22"/>
      <c r="CLN7" s="35"/>
      <c r="CLO7" s="36"/>
      <c r="CLP7" s="37"/>
      <c r="CLQ7" s="36"/>
      <c r="CLR7" s="37"/>
      <c r="CLS7" s="36"/>
      <c r="CLT7" s="37"/>
      <c r="CLU7" s="36"/>
      <c r="CLV7" s="37"/>
      <c r="CLW7" s="36"/>
      <c r="CLX7" s="37"/>
      <c r="CLY7" s="36"/>
      <c r="CLZ7" s="37"/>
      <c r="CMA7" s="36"/>
      <c r="CMB7" s="37"/>
      <c r="CMC7" s="36"/>
      <c r="CMD7" s="37"/>
      <c r="CME7" s="36"/>
      <c r="CMF7" s="37"/>
      <c r="CMG7" s="36"/>
      <c r="CMH7" s="36"/>
      <c r="CMI7" s="37"/>
      <c r="CMJ7" s="37"/>
      <c r="CML7" s="22"/>
      <c r="CMM7" s="35"/>
      <c r="CMN7" s="36"/>
      <c r="CMO7" s="37"/>
      <c r="CMP7" s="36"/>
      <c r="CMQ7" s="37"/>
      <c r="CMR7" s="36"/>
      <c r="CMS7" s="37"/>
      <c r="CMT7" s="36"/>
      <c r="CMU7" s="37"/>
      <c r="CMV7" s="36"/>
      <c r="CMW7" s="37"/>
      <c r="CMX7" s="36"/>
      <c r="CMY7" s="37"/>
      <c r="CMZ7" s="36"/>
      <c r="CNA7" s="37"/>
      <c r="CNB7" s="36"/>
      <c r="CNC7" s="37"/>
      <c r="CND7" s="36"/>
      <c r="CNE7" s="37"/>
      <c r="CNF7" s="36"/>
      <c r="CNG7" s="36"/>
      <c r="CNH7" s="37"/>
      <c r="CNI7" s="37"/>
      <c r="CNK7" s="22"/>
      <c r="CNL7" s="35"/>
      <c r="CNM7" s="36"/>
      <c r="CNN7" s="37"/>
      <c r="CNO7" s="36"/>
      <c r="CNP7" s="37"/>
      <c r="CNQ7" s="36"/>
      <c r="CNR7" s="37"/>
      <c r="CNS7" s="36"/>
      <c r="CNT7" s="37"/>
      <c r="CNU7" s="36"/>
      <c r="CNV7" s="37"/>
      <c r="CNW7" s="36"/>
      <c r="CNX7" s="37"/>
      <c r="CNY7" s="36"/>
      <c r="CNZ7" s="37"/>
      <c r="COA7" s="36"/>
      <c r="COB7" s="37"/>
      <c r="COC7" s="36"/>
      <c r="COD7" s="37"/>
      <c r="COE7" s="36"/>
      <c r="COF7" s="36"/>
      <c r="COG7" s="37"/>
      <c r="COH7" s="37"/>
      <c r="COJ7" s="22"/>
      <c r="COK7" s="35"/>
      <c r="COL7" s="36"/>
      <c r="COM7" s="37"/>
      <c r="CON7" s="36"/>
      <c r="COO7" s="37"/>
      <c r="COP7" s="36"/>
      <c r="COQ7" s="37"/>
      <c r="COR7" s="36"/>
      <c r="COS7" s="37"/>
      <c r="COT7" s="36"/>
      <c r="COU7" s="37"/>
      <c r="COV7" s="36"/>
      <c r="COW7" s="37"/>
      <c r="COX7" s="36"/>
      <c r="COY7" s="37"/>
      <c r="COZ7" s="36"/>
      <c r="CPA7" s="37"/>
      <c r="CPB7" s="36"/>
      <c r="CPC7" s="37"/>
      <c r="CPD7" s="36"/>
      <c r="CPE7" s="36"/>
      <c r="CPF7" s="37"/>
      <c r="CPG7" s="37"/>
      <c r="CPI7" s="22"/>
      <c r="CPJ7" s="35"/>
      <c r="CPK7" s="36"/>
      <c r="CPL7" s="37"/>
      <c r="CPM7" s="36"/>
      <c r="CPN7" s="37"/>
      <c r="CPO7" s="36"/>
      <c r="CPP7" s="37"/>
      <c r="CPQ7" s="36"/>
      <c r="CPR7" s="37"/>
      <c r="CPS7" s="36"/>
      <c r="CPT7" s="37"/>
      <c r="CPU7" s="36"/>
      <c r="CPV7" s="37"/>
      <c r="CPW7" s="36"/>
      <c r="CPX7" s="37"/>
      <c r="CPY7" s="36"/>
      <c r="CPZ7" s="37"/>
      <c r="CQA7" s="36"/>
      <c r="CQB7" s="37"/>
      <c r="CQC7" s="36"/>
      <c r="CQD7" s="36"/>
      <c r="CQE7" s="37"/>
      <c r="CQF7" s="37"/>
      <c r="CQH7" s="22"/>
      <c r="CQI7" s="35"/>
      <c r="CQJ7" s="36"/>
      <c r="CQK7" s="37"/>
      <c r="CQL7" s="36"/>
      <c r="CQM7" s="37"/>
      <c r="CQN7" s="36"/>
      <c r="CQO7" s="37"/>
      <c r="CQP7" s="36"/>
      <c r="CQQ7" s="37"/>
      <c r="CQR7" s="36"/>
      <c r="CQS7" s="37"/>
      <c r="CQT7" s="36"/>
      <c r="CQU7" s="37"/>
      <c r="CQV7" s="36"/>
      <c r="CQW7" s="37"/>
      <c r="CQX7" s="36"/>
      <c r="CQY7" s="37"/>
      <c r="CQZ7" s="36"/>
      <c r="CRA7" s="37"/>
      <c r="CRB7" s="36"/>
      <c r="CRC7" s="36"/>
      <c r="CRD7" s="37"/>
      <c r="CRE7" s="37"/>
      <c r="CRG7" s="22"/>
      <c r="CRH7" s="35"/>
      <c r="CRI7" s="36"/>
      <c r="CRJ7" s="37"/>
      <c r="CRK7" s="36"/>
      <c r="CRL7" s="37"/>
      <c r="CRM7" s="36"/>
      <c r="CRN7" s="37"/>
      <c r="CRO7" s="36"/>
      <c r="CRP7" s="37"/>
      <c r="CRQ7" s="36"/>
      <c r="CRR7" s="37"/>
      <c r="CRS7" s="36"/>
      <c r="CRT7" s="37"/>
      <c r="CRU7" s="36"/>
      <c r="CRV7" s="37"/>
      <c r="CRW7" s="36"/>
      <c r="CRX7" s="37"/>
      <c r="CRY7" s="36"/>
      <c r="CRZ7" s="37"/>
      <c r="CSA7" s="36"/>
      <c r="CSB7" s="36"/>
      <c r="CSC7" s="37"/>
      <c r="CSD7" s="37"/>
      <c r="CSF7" s="22"/>
      <c r="CSG7" s="35"/>
      <c r="CSH7" s="36"/>
      <c r="CSI7" s="37"/>
      <c r="CSJ7" s="36"/>
      <c r="CSK7" s="37"/>
      <c r="CSL7" s="36"/>
      <c r="CSM7" s="37"/>
      <c r="CSN7" s="36"/>
      <c r="CSO7" s="37"/>
      <c r="CSP7" s="36"/>
      <c r="CSQ7" s="37"/>
      <c r="CSR7" s="36"/>
      <c r="CSS7" s="37"/>
      <c r="CST7" s="36"/>
      <c r="CSU7" s="37"/>
      <c r="CSV7" s="36"/>
      <c r="CSW7" s="37"/>
      <c r="CSX7" s="36"/>
      <c r="CSY7" s="37"/>
      <c r="CSZ7" s="36"/>
      <c r="CTA7" s="36"/>
      <c r="CTB7" s="37"/>
      <c r="CTC7" s="37"/>
      <c r="CTE7" s="22"/>
      <c r="CTF7" s="35"/>
      <c r="CTG7" s="36"/>
      <c r="CTH7" s="37"/>
      <c r="CTI7" s="36"/>
      <c r="CTJ7" s="37"/>
      <c r="CTK7" s="36"/>
      <c r="CTL7" s="37"/>
      <c r="CTM7" s="36"/>
      <c r="CTN7" s="37"/>
      <c r="CTO7" s="36"/>
      <c r="CTP7" s="37"/>
      <c r="CTQ7" s="36"/>
      <c r="CTR7" s="37"/>
      <c r="CTS7" s="36"/>
      <c r="CTT7" s="37"/>
      <c r="CTU7" s="36"/>
      <c r="CTV7" s="37"/>
      <c r="CTW7" s="36"/>
      <c r="CTX7" s="37"/>
      <c r="CTY7" s="36"/>
      <c r="CTZ7" s="36"/>
      <c r="CUA7" s="37"/>
      <c r="CUB7" s="37"/>
      <c r="CUD7" s="22"/>
      <c r="CUE7" s="35"/>
      <c r="CUF7" s="36"/>
      <c r="CUG7" s="37"/>
      <c r="CUH7" s="36"/>
      <c r="CUI7" s="37"/>
      <c r="CUJ7" s="36"/>
      <c r="CUK7" s="37"/>
      <c r="CUL7" s="36"/>
      <c r="CUM7" s="37"/>
      <c r="CUN7" s="36"/>
      <c r="CUO7" s="37"/>
      <c r="CUP7" s="36"/>
      <c r="CUQ7" s="37"/>
      <c r="CUR7" s="36"/>
      <c r="CUS7" s="37"/>
      <c r="CUT7" s="36"/>
      <c r="CUU7" s="37"/>
      <c r="CUV7" s="36"/>
      <c r="CUW7" s="37"/>
      <c r="CUX7" s="36"/>
      <c r="CUY7" s="36"/>
      <c r="CUZ7" s="37"/>
      <c r="CVA7" s="37"/>
      <c r="CVC7" s="22"/>
      <c r="CVD7" s="35"/>
      <c r="CVE7" s="36"/>
      <c r="CVF7" s="37"/>
      <c r="CVG7" s="36"/>
      <c r="CVH7" s="37"/>
      <c r="CVI7" s="36"/>
      <c r="CVJ7" s="37"/>
      <c r="CVK7" s="36"/>
      <c r="CVL7" s="37"/>
      <c r="CVM7" s="36"/>
      <c r="CVN7" s="37"/>
      <c r="CVO7" s="36"/>
      <c r="CVP7" s="37"/>
      <c r="CVQ7" s="36"/>
      <c r="CVR7" s="37"/>
      <c r="CVS7" s="36"/>
      <c r="CVT7" s="37"/>
      <c r="CVU7" s="36"/>
      <c r="CVV7" s="37"/>
      <c r="CVW7" s="36"/>
      <c r="CVX7" s="36"/>
      <c r="CVY7" s="37"/>
      <c r="CVZ7" s="37"/>
      <c r="CWB7" s="22"/>
      <c r="CWC7" s="35"/>
      <c r="CWD7" s="36"/>
      <c r="CWE7" s="37"/>
      <c r="CWF7" s="36"/>
      <c r="CWG7" s="37"/>
      <c r="CWH7" s="36"/>
      <c r="CWI7" s="37"/>
      <c r="CWJ7" s="36"/>
      <c r="CWK7" s="37"/>
      <c r="CWL7" s="36"/>
      <c r="CWM7" s="37"/>
      <c r="CWN7" s="36"/>
      <c r="CWO7" s="37"/>
      <c r="CWP7" s="36"/>
      <c r="CWQ7" s="37"/>
      <c r="CWR7" s="36"/>
      <c r="CWS7" s="37"/>
      <c r="CWT7" s="36"/>
      <c r="CWU7" s="37"/>
      <c r="CWV7" s="36"/>
      <c r="CWW7" s="36"/>
      <c r="CWX7" s="37"/>
      <c r="CWY7" s="37"/>
      <c r="CXA7" s="22"/>
      <c r="CXB7" s="35"/>
      <c r="CXC7" s="36"/>
      <c r="CXD7" s="37"/>
      <c r="CXE7" s="36"/>
      <c r="CXF7" s="37"/>
      <c r="CXG7" s="36"/>
      <c r="CXH7" s="37"/>
      <c r="CXI7" s="36"/>
      <c r="CXJ7" s="37"/>
      <c r="CXK7" s="36"/>
      <c r="CXL7" s="37"/>
      <c r="CXM7" s="36"/>
      <c r="CXN7" s="37"/>
      <c r="CXO7" s="36"/>
      <c r="CXP7" s="37"/>
      <c r="CXQ7" s="36"/>
      <c r="CXR7" s="37"/>
      <c r="CXS7" s="36"/>
      <c r="CXT7" s="37"/>
      <c r="CXU7" s="36"/>
      <c r="CXV7" s="36"/>
      <c r="CXW7" s="37"/>
      <c r="CXX7" s="37"/>
      <c r="CXZ7" s="22"/>
      <c r="CYA7" s="35"/>
      <c r="CYB7" s="36"/>
      <c r="CYC7" s="37"/>
      <c r="CYD7" s="36"/>
      <c r="CYE7" s="37"/>
      <c r="CYF7" s="36"/>
      <c r="CYG7" s="37"/>
      <c r="CYH7" s="36"/>
      <c r="CYI7" s="37"/>
      <c r="CYJ7" s="36"/>
      <c r="CYK7" s="37"/>
      <c r="CYL7" s="36"/>
      <c r="CYM7" s="37"/>
      <c r="CYN7" s="36"/>
      <c r="CYO7" s="37"/>
      <c r="CYP7" s="36"/>
      <c r="CYQ7" s="37"/>
      <c r="CYR7" s="36"/>
      <c r="CYS7" s="37"/>
      <c r="CYT7" s="36"/>
      <c r="CYU7" s="36"/>
      <c r="CYV7" s="37"/>
      <c r="CYW7" s="37"/>
      <c r="CYY7" s="22"/>
      <c r="CYZ7" s="35"/>
      <c r="CZA7" s="36"/>
      <c r="CZB7" s="37"/>
      <c r="CZC7" s="36"/>
      <c r="CZD7" s="37"/>
      <c r="CZE7" s="36"/>
      <c r="CZF7" s="37"/>
      <c r="CZG7" s="36"/>
      <c r="CZH7" s="37"/>
      <c r="CZI7" s="36"/>
      <c r="CZJ7" s="37"/>
      <c r="CZK7" s="36"/>
      <c r="CZL7" s="37"/>
      <c r="CZM7" s="36"/>
      <c r="CZN7" s="37"/>
      <c r="CZO7" s="36"/>
      <c r="CZP7" s="37"/>
      <c r="CZQ7" s="36"/>
      <c r="CZR7" s="37"/>
      <c r="CZS7" s="36"/>
      <c r="CZT7" s="36"/>
      <c r="CZU7" s="37"/>
      <c r="CZV7" s="37"/>
      <c r="CZX7" s="22"/>
      <c r="CZY7" s="35"/>
      <c r="CZZ7" s="36"/>
      <c r="DAA7" s="37"/>
      <c r="DAB7" s="36"/>
      <c r="DAC7" s="37"/>
      <c r="DAD7" s="36"/>
      <c r="DAE7" s="37"/>
      <c r="DAF7" s="36"/>
      <c r="DAG7" s="37"/>
      <c r="DAH7" s="36"/>
      <c r="DAI7" s="37"/>
      <c r="DAJ7" s="36"/>
      <c r="DAK7" s="37"/>
      <c r="DAL7" s="36"/>
      <c r="DAM7" s="37"/>
      <c r="DAN7" s="36"/>
      <c r="DAO7" s="37"/>
      <c r="DAP7" s="36"/>
      <c r="DAQ7" s="37"/>
      <c r="DAR7" s="36"/>
      <c r="DAS7" s="36"/>
      <c r="DAT7" s="37"/>
      <c r="DAU7" s="37"/>
      <c r="DAW7" s="22"/>
      <c r="DAX7" s="35"/>
      <c r="DAY7" s="36"/>
      <c r="DAZ7" s="37"/>
      <c r="DBA7" s="36"/>
      <c r="DBB7" s="37"/>
      <c r="DBC7" s="36"/>
      <c r="DBD7" s="37"/>
      <c r="DBE7" s="36"/>
      <c r="DBF7" s="37"/>
      <c r="DBG7" s="36"/>
      <c r="DBH7" s="37"/>
      <c r="DBI7" s="36"/>
      <c r="DBJ7" s="37"/>
      <c r="DBK7" s="36"/>
      <c r="DBL7" s="37"/>
      <c r="DBM7" s="36"/>
      <c r="DBN7" s="37"/>
      <c r="DBO7" s="36"/>
      <c r="DBP7" s="37"/>
      <c r="DBQ7" s="36"/>
      <c r="DBR7" s="36"/>
      <c r="DBS7" s="37"/>
      <c r="DBT7" s="37"/>
      <c r="DBV7" s="22"/>
      <c r="DBW7" s="35"/>
      <c r="DBX7" s="36"/>
      <c r="DBY7" s="37"/>
      <c r="DBZ7" s="36"/>
      <c r="DCA7" s="37"/>
      <c r="DCB7" s="36"/>
      <c r="DCC7" s="37"/>
      <c r="DCD7" s="36"/>
      <c r="DCE7" s="37"/>
      <c r="DCF7" s="36"/>
      <c r="DCG7" s="37"/>
      <c r="DCH7" s="36"/>
      <c r="DCI7" s="37"/>
      <c r="DCJ7" s="36"/>
      <c r="DCK7" s="37"/>
      <c r="DCL7" s="36"/>
      <c r="DCM7" s="37"/>
      <c r="DCN7" s="36"/>
      <c r="DCO7" s="37"/>
      <c r="DCP7" s="36"/>
      <c r="DCQ7" s="36"/>
      <c r="DCR7" s="37"/>
      <c r="DCS7" s="37"/>
      <c r="DCU7" s="22"/>
      <c r="DCV7" s="35"/>
      <c r="DCW7" s="36"/>
      <c r="DCX7" s="37"/>
      <c r="DCY7" s="36"/>
      <c r="DCZ7" s="37"/>
      <c r="DDA7" s="36"/>
      <c r="DDB7" s="37"/>
      <c r="DDC7" s="36"/>
      <c r="DDD7" s="37"/>
      <c r="DDE7" s="36"/>
      <c r="DDF7" s="37"/>
      <c r="DDG7" s="36"/>
      <c r="DDH7" s="37"/>
      <c r="DDI7" s="36"/>
      <c r="DDJ7" s="37"/>
      <c r="DDK7" s="36"/>
      <c r="DDL7" s="37"/>
      <c r="DDM7" s="36"/>
      <c r="DDN7" s="37"/>
      <c r="DDO7" s="36"/>
      <c r="DDP7" s="36"/>
      <c r="DDQ7" s="37"/>
      <c r="DDR7" s="37"/>
      <c r="DDT7" s="22"/>
      <c r="DDU7" s="35"/>
      <c r="DDV7" s="36"/>
      <c r="DDW7" s="37"/>
      <c r="DDX7" s="36"/>
      <c r="DDY7" s="37"/>
      <c r="DDZ7" s="36"/>
      <c r="DEA7" s="37"/>
      <c r="DEB7" s="36"/>
      <c r="DEC7" s="37"/>
      <c r="DED7" s="36"/>
      <c r="DEE7" s="37"/>
      <c r="DEF7" s="36"/>
      <c r="DEG7" s="37"/>
      <c r="DEH7" s="36"/>
      <c r="DEI7" s="37"/>
      <c r="DEJ7" s="36"/>
      <c r="DEK7" s="37"/>
      <c r="DEL7" s="36"/>
      <c r="DEM7" s="37"/>
      <c r="DEN7" s="36"/>
      <c r="DEO7" s="36"/>
      <c r="DEP7" s="37"/>
      <c r="DEQ7" s="37"/>
      <c r="DES7" s="22"/>
      <c r="DET7" s="35"/>
      <c r="DEU7" s="36"/>
      <c r="DEV7" s="37"/>
      <c r="DEW7" s="36"/>
      <c r="DEX7" s="37"/>
      <c r="DEY7" s="36"/>
      <c r="DEZ7" s="37"/>
      <c r="DFA7" s="36"/>
      <c r="DFB7" s="37"/>
      <c r="DFC7" s="36"/>
      <c r="DFD7" s="37"/>
      <c r="DFE7" s="36"/>
      <c r="DFF7" s="37"/>
      <c r="DFG7" s="36"/>
      <c r="DFH7" s="37"/>
      <c r="DFI7" s="36"/>
      <c r="DFJ7" s="37"/>
      <c r="DFK7" s="36"/>
      <c r="DFL7" s="37"/>
      <c r="DFM7" s="36"/>
      <c r="DFN7" s="36"/>
      <c r="DFO7" s="37"/>
      <c r="DFP7" s="37"/>
      <c r="DFR7" s="22"/>
      <c r="DFS7" s="35"/>
      <c r="DFT7" s="36"/>
      <c r="DFU7" s="37"/>
      <c r="DFV7" s="36"/>
      <c r="DFW7" s="37"/>
      <c r="DFX7" s="36"/>
      <c r="DFY7" s="37"/>
      <c r="DFZ7" s="36"/>
      <c r="DGA7" s="37"/>
      <c r="DGB7" s="36"/>
      <c r="DGC7" s="37"/>
      <c r="DGD7" s="36"/>
      <c r="DGE7" s="37"/>
      <c r="DGF7" s="36"/>
      <c r="DGG7" s="37"/>
      <c r="DGH7" s="36"/>
      <c r="DGI7" s="37"/>
      <c r="DGJ7" s="36"/>
      <c r="DGK7" s="37"/>
      <c r="DGL7" s="36"/>
      <c r="DGM7" s="36"/>
      <c r="DGN7" s="37"/>
      <c r="DGO7" s="37"/>
      <c r="DGQ7" s="22"/>
      <c r="DGR7" s="35"/>
      <c r="DGS7" s="36"/>
      <c r="DGT7" s="37"/>
      <c r="DGU7" s="36"/>
      <c r="DGV7" s="37"/>
      <c r="DGW7" s="36"/>
      <c r="DGX7" s="37"/>
      <c r="DGY7" s="36"/>
      <c r="DGZ7" s="37"/>
      <c r="DHA7" s="36"/>
      <c r="DHB7" s="37"/>
      <c r="DHC7" s="36"/>
      <c r="DHD7" s="37"/>
      <c r="DHE7" s="36"/>
      <c r="DHF7" s="37"/>
      <c r="DHG7" s="36"/>
      <c r="DHH7" s="37"/>
      <c r="DHI7" s="36"/>
      <c r="DHJ7" s="37"/>
      <c r="DHK7" s="36"/>
      <c r="DHL7" s="36"/>
      <c r="DHM7" s="37"/>
      <c r="DHN7" s="37"/>
      <c r="DHP7" s="22"/>
      <c r="DHQ7" s="35"/>
      <c r="DHR7" s="36"/>
      <c r="DHS7" s="37"/>
      <c r="DHT7" s="36"/>
      <c r="DHU7" s="37"/>
      <c r="DHV7" s="36"/>
      <c r="DHW7" s="37"/>
      <c r="DHX7" s="36"/>
      <c r="DHY7" s="37"/>
      <c r="DHZ7" s="36"/>
      <c r="DIA7" s="37"/>
      <c r="DIB7" s="36"/>
      <c r="DIC7" s="37"/>
      <c r="DID7" s="36"/>
      <c r="DIE7" s="37"/>
      <c r="DIF7" s="36"/>
      <c r="DIG7" s="37"/>
      <c r="DIH7" s="36"/>
      <c r="DII7" s="37"/>
      <c r="DIJ7" s="36"/>
      <c r="DIK7" s="36"/>
      <c r="DIL7" s="37"/>
      <c r="DIM7" s="37"/>
      <c r="DIO7" s="22"/>
      <c r="DIP7" s="35"/>
      <c r="DIQ7" s="36"/>
      <c r="DIR7" s="37"/>
      <c r="DIS7" s="36"/>
      <c r="DIT7" s="37"/>
      <c r="DIU7" s="36"/>
      <c r="DIV7" s="37"/>
      <c r="DIW7" s="36"/>
      <c r="DIX7" s="37"/>
      <c r="DIY7" s="36"/>
      <c r="DIZ7" s="37"/>
      <c r="DJA7" s="36"/>
      <c r="DJB7" s="37"/>
      <c r="DJC7" s="36"/>
      <c r="DJD7" s="37"/>
      <c r="DJE7" s="36"/>
      <c r="DJF7" s="37"/>
      <c r="DJG7" s="36"/>
      <c r="DJH7" s="37"/>
      <c r="DJI7" s="36"/>
      <c r="DJJ7" s="36"/>
      <c r="DJK7" s="37"/>
      <c r="DJL7" s="37"/>
      <c r="DJN7" s="22"/>
      <c r="DJO7" s="35"/>
      <c r="DJP7" s="36"/>
      <c r="DJQ7" s="37"/>
      <c r="DJR7" s="36"/>
      <c r="DJS7" s="37"/>
      <c r="DJT7" s="36"/>
      <c r="DJU7" s="37"/>
      <c r="DJV7" s="36"/>
      <c r="DJW7" s="37"/>
      <c r="DJX7" s="36"/>
      <c r="DJY7" s="37"/>
      <c r="DJZ7" s="36"/>
      <c r="DKA7" s="37"/>
      <c r="DKB7" s="36"/>
      <c r="DKC7" s="37"/>
      <c r="DKD7" s="36"/>
      <c r="DKE7" s="37"/>
      <c r="DKF7" s="36"/>
      <c r="DKG7" s="37"/>
      <c r="DKH7" s="36"/>
      <c r="DKI7" s="36"/>
      <c r="DKJ7" s="37"/>
      <c r="DKK7" s="37"/>
      <c r="DKM7" s="22"/>
      <c r="DKN7" s="35"/>
      <c r="DKO7" s="36"/>
      <c r="DKP7" s="37"/>
      <c r="DKQ7" s="36"/>
      <c r="DKR7" s="37"/>
      <c r="DKS7" s="36"/>
      <c r="DKT7" s="37"/>
      <c r="DKU7" s="36"/>
      <c r="DKV7" s="37"/>
      <c r="DKW7" s="36"/>
      <c r="DKX7" s="37"/>
      <c r="DKY7" s="36"/>
      <c r="DKZ7" s="37"/>
      <c r="DLA7" s="36"/>
      <c r="DLB7" s="37"/>
      <c r="DLC7" s="36"/>
      <c r="DLD7" s="37"/>
      <c r="DLE7" s="36"/>
      <c r="DLF7" s="37"/>
      <c r="DLG7" s="36"/>
      <c r="DLH7" s="36"/>
      <c r="DLI7" s="37"/>
      <c r="DLJ7" s="37"/>
      <c r="DLL7" s="22"/>
      <c r="DLM7" s="35"/>
      <c r="DLN7" s="36"/>
      <c r="DLO7" s="37"/>
      <c r="DLP7" s="36"/>
      <c r="DLQ7" s="37"/>
      <c r="DLR7" s="36"/>
      <c r="DLS7" s="37"/>
      <c r="DLT7" s="36"/>
      <c r="DLU7" s="37"/>
      <c r="DLV7" s="36"/>
      <c r="DLW7" s="37"/>
      <c r="DLX7" s="36"/>
      <c r="DLY7" s="37"/>
      <c r="DLZ7" s="36"/>
      <c r="DMA7" s="37"/>
      <c r="DMB7" s="36"/>
      <c r="DMC7" s="37"/>
      <c r="DMD7" s="36"/>
      <c r="DME7" s="37"/>
      <c r="DMF7" s="36"/>
      <c r="DMG7" s="36"/>
      <c r="DMH7" s="37"/>
      <c r="DMI7" s="37"/>
      <c r="DMK7" s="22"/>
      <c r="DML7" s="35"/>
      <c r="DMM7" s="36"/>
      <c r="DMN7" s="37"/>
      <c r="DMO7" s="36"/>
      <c r="DMP7" s="37"/>
      <c r="DMQ7" s="36"/>
      <c r="DMR7" s="37"/>
      <c r="DMS7" s="36"/>
      <c r="DMT7" s="37"/>
      <c r="DMU7" s="36"/>
      <c r="DMV7" s="37"/>
      <c r="DMW7" s="36"/>
      <c r="DMX7" s="37"/>
      <c r="DMY7" s="36"/>
      <c r="DMZ7" s="37"/>
      <c r="DNA7" s="36"/>
      <c r="DNB7" s="37"/>
      <c r="DNC7" s="36"/>
      <c r="DND7" s="37"/>
      <c r="DNE7" s="36"/>
      <c r="DNF7" s="36"/>
      <c r="DNG7" s="37"/>
      <c r="DNH7" s="37"/>
      <c r="DNJ7" s="22"/>
      <c r="DNK7" s="35"/>
      <c r="DNL7" s="36"/>
      <c r="DNM7" s="37"/>
      <c r="DNN7" s="36"/>
      <c r="DNO7" s="37"/>
      <c r="DNP7" s="36"/>
      <c r="DNQ7" s="37"/>
      <c r="DNR7" s="36"/>
      <c r="DNS7" s="37"/>
      <c r="DNT7" s="36"/>
      <c r="DNU7" s="37"/>
      <c r="DNV7" s="36"/>
      <c r="DNW7" s="37"/>
      <c r="DNX7" s="36"/>
      <c r="DNY7" s="37"/>
      <c r="DNZ7" s="36"/>
      <c r="DOA7" s="37"/>
      <c r="DOB7" s="36"/>
      <c r="DOC7" s="37"/>
      <c r="DOD7" s="36"/>
      <c r="DOE7" s="36"/>
      <c r="DOF7" s="37"/>
      <c r="DOG7" s="37"/>
      <c r="DOI7" s="22"/>
      <c r="DOJ7" s="35"/>
      <c r="DOK7" s="36"/>
      <c r="DOL7" s="37"/>
      <c r="DOM7" s="36"/>
      <c r="DON7" s="37"/>
      <c r="DOO7" s="36"/>
      <c r="DOP7" s="37"/>
      <c r="DOQ7" s="36"/>
      <c r="DOR7" s="37"/>
      <c r="DOS7" s="36"/>
      <c r="DOT7" s="37"/>
      <c r="DOU7" s="36"/>
      <c r="DOV7" s="37"/>
      <c r="DOW7" s="36"/>
      <c r="DOX7" s="37"/>
      <c r="DOY7" s="36"/>
      <c r="DOZ7" s="37"/>
      <c r="DPA7" s="36"/>
      <c r="DPB7" s="37"/>
      <c r="DPC7" s="36"/>
      <c r="DPD7" s="36"/>
      <c r="DPE7" s="37"/>
      <c r="DPF7" s="37"/>
      <c r="DPH7" s="22"/>
      <c r="DPI7" s="35"/>
      <c r="DPJ7" s="36"/>
      <c r="DPK7" s="37"/>
      <c r="DPL7" s="36"/>
      <c r="DPM7" s="37"/>
      <c r="DPN7" s="36"/>
      <c r="DPO7" s="37"/>
      <c r="DPP7" s="36"/>
      <c r="DPQ7" s="37"/>
      <c r="DPR7" s="36"/>
      <c r="DPS7" s="37"/>
      <c r="DPT7" s="36"/>
      <c r="DPU7" s="37"/>
      <c r="DPV7" s="36"/>
      <c r="DPW7" s="37"/>
      <c r="DPX7" s="36"/>
      <c r="DPY7" s="37"/>
      <c r="DPZ7" s="36"/>
      <c r="DQA7" s="37"/>
      <c r="DQB7" s="36"/>
      <c r="DQC7" s="36"/>
      <c r="DQD7" s="37"/>
      <c r="DQE7" s="37"/>
      <c r="DQG7" s="22"/>
      <c r="DQH7" s="35"/>
      <c r="DQI7" s="36"/>
      <c r="DQJ7" s="37"/>
      <c r="DQK7" s="36"/>
      <c r="DQL7" s="37"/>
      <c r="DQM7" s="36"/>
      <c r="DQN7" s="37"/>
      <c r="DQO7" s="36"/>
      <c r="DQP7" s="37"/>
      <c r="DQQ7" s="36"/>
      <c r="DQR7" s="37"/>
      <c r="DQS7" s="36"/>
      <c r="DQT7" s="37"/>
      <c r="DQU7" s="36"/>
      <c r="DQV7" s="37"/>
      <c r="DQW7" s="36"/>
      <c r="DQX7" s="37"/>
      <c r="DQY7" s="36"/>
      <c r="DQZ7" s="37"/>
      <c r="DRA7" s="36"/>
      <c r="DRB7" s="36"/>
      <c r="DRC7" s="37"/>
      <c r="DRD7" s="37"/>
      <c r="DRF7" s="22"/>
      <c r="DRG7" s="35"/>
      <c r="DRH7" s="36"/>
      <c r="DRI7" s="37"/>
      <c r="DRJ7" s="36"/>
      <c r="DRK7" s="37"/>
      <c r="DRL7" s="36"/>
      <c r="DRM7" s="37"/>
      <c r="DRN7" s="36"/>
      <c r="DRO7" s="37"/>
      <c r="DRP7" s="36"/>
      <c r="DRQ7" s="37"/>
      <c r="DRR7" s="36"/>
      <c r="DRS7" s="37"/>
      <c r="DRT7" s="36"/>
      <c r="DRU7" s="37"/>
      <c r="DRV7" s="36"/>
      <c r="DRW7" s="37"/>
      <c r="DRX7" s="36"/>
      <c r="DRY7" s="37"/>
      <c r="DRZ7" s="36"/>
      <c r="DSA7" s="36"/>
      <c r="DSB7" s="37"/>
      <c r="DSC7" s="37"/>
      <c r="DSE7" s="22"/>
      <c r="DSF7" s="35"/>
      <c r="DSG7" s="36"/>
      <c r="DSH7" s="37"/>
      <c r="DSI7" s="36"/>
      <c r="DSJ7" s="37"/>
      <c r="DSK7" s="36"/>
      <c r="DSL7" s="37"/>
      <c r="DSM7" s="36"/>
      <c r="DSN7" s="37"/>
      <c r="DSO7" s="36"/>
      <c r="DSP7" s="37"/>
      <c r="DSQ7" s="36"/>
      <c r="DSR7" s="37"/>
      <c r="DSS7" s="36"/>
      <c r="DST7" s="37"/>
      <c r="DSU7" s="36"/>
      <c r="DSV7" s="37"/>
      <c r="DSW7" s="36"/>
      <c r="DSX7" s="37"/>
      <c r="DSY7" s="36"/>
      <c r="DSZ7" s="36"/>
      <c r="DTA7" s="37"/>
      <c r="DTB7" s="37"/>
      <c r="DTD7" s="22"/>
      <c r="DTE7" s="35"/>
      <c r="DTF7" s="36"/>
      <c r="DTG7" s="37"/>
      <c r="DTH7" s="36"/>
      <c r="DTI7" s="37"/>
      <c r="DTJ7" s="36"/>
      <c r="DTK7" s="37"/>
      <c r="DTL7" s="36"/>
      <c r="DTM7" s="37"/>
      <c r="DTN7" s="36"/>
      <c r="DTO7" s="37"/>
      <c r="DTP7" s="36"/>
      <c r="DTQ7" s="37"/>
      <c r="DTR7" s="36"/>
      <c r="DTS7" s="37"/>
      <c r="DTT7" s="36"/>
      <c r="DTU7" s="37"/>
      <c r="DTV7" s="36"/>
      <c r="DTW7" s="37"/>
      <c r="DTX7" s="36"/>
      <c r="DTY7" s="36"/>
      <c r="DTZ7" s="37"/>
      <c r="DUA7" s="37"/>
      <c r="DUC7" s="22"/>
      <c r="DUD7" s="35"/>
      <c r="DUE7" s="36"/>
      <c r="DUF7" s="37"/>
      <c r="DUG7" s="36"/>
      <c r="DUH7" s="37"/>
      <c r="DUI7" s="36"/>
      <c r="DUJ7" s="37"/>
      <c r="DUK7" s="36"/>
      <c r="DUL7" s="37"/>
      <c r="DUM7" s="36"/>
      <c r="DUN7" s="37"/>
      <c r="DUO7" s="36"/>
      <c r="DUP7" s="37"/>
      <c r="DUQ7" s="36"/>
      <c r="DUR7" s="37"/>
      <c r="DUS7" s="36"/>
      <c r="DUT7" s="37"/>
      <c r="DUU7" s="36"/>
      <c r="DUV7" s="37"/>
      <c r="DUW7" s="36"/>
      <c r="DUX7" s="36"/>
      <c r="DUY7" s="37"/>
      <c r="DUZ7" s="37"/>
      <c r="DVB7" s="22"/>
      <c r="DVC7" s="35"/>
      <c r="DVD7" s="36"/>
      <c r="DVE7" s="37"/>
      <c r="DVF7" s="36"/>
      <c r="DVG7" s="37"/>
      <c r="DVH7" s="36"/>
      <c r="DVI7" s="37"/>
      <c r="DVJ7" s="36"/>
      <c r="DVK7" s="37"/>
      <c r="DVL7" s="36"/>
      <c r="DVM7" s="37"/>
      <c r="DVN7" s="36"/>
      <c r="DVO7" s="37"/>
      <c r="DVP7" s="36"/>
      <c r="DVQ7" s="37"/>
      <c r="DVR7" s="36"/>
      <c r="DVS7" s="37"/>
      <c r="DVT7" s="36"/>
      <c r="DVU7" s="37"/>
      <c r="DVV7" s="36"/>
      <c r="DVW7" s="36"/>
      <c r="DVX7" s="37"/>
      <c r="DVY7" s="37"/>
      <c r="DWA7" s="22"/>
      <c r="DWB7" s="35"/>
      <c r="DWC7" s="36"/>
      <c r="DWD7" s="37"/>
      <c r="DWE7" s="36"/>
      <c r="DWF7" s="37"/>
      <c r="DWG7" s="36"/>
      <c r="DWH7" s="37"/>
      <c r="DWI7" s="36"/>
      <c r="DWJ7" s="37"/>
      <c r="DWK7" s="36"/>
      <c r="DWL7" s="37"/>
      <c r="DWM7" s="36"/>
      <c r="DWN7" s="37"/>
      <c r="DWO7" s="36"/>
      <c r="DWP7" s="37"/>
      <c r="DWQ7" s="36"/>
      <c r="DWR7" s="37"/>
      <c r="DWS7" s="36"/>
      <c r="DWT7" s="37"/>
      <c r="DWU7" s="36"/>
      <c r="DWV7" s="36"/>
      <c r="DWW7" s="37"/>
      <c r="DWX7" s="37"/>
      <c r="DWZ7" s="22"/>
      <c r="DXA7" s="35"/>
      <c r="DXB7" s="36"/>
      <c r="DXC7" s="37"/>
      <c r="DXD7" s="36"/>
      <c r="DXE7" s="37"/>
      <c r="DXF7" s="36"/>
      <c r="DXG7" s="37"/>
      <c r="DXH7" s="36"/>
      <c r="DXI7" s="37"/>
      <c r="DXJ7" s="36"/>
      <c r="DXK7" s="37"/>
      <c r="DXL7" s="36"/>
      <c r="DXM7" s="37"/>
      <c r="DXN7" s="36"/>
      <c r="DXO7" s="37"/>
      <c r="DXP7" s="36"/>
      <c r="DXQ7" s="37"/>
      <c r="DXR7" s="36"/>
      <c r="DXS7" s="37"/>
      <c r="DXT7" s="36"/>
      <c r="DXU7" s="36"/>
      <c r="DXV7" s="37"/>
      <c r="DXW7" s="37"/>
      <c r="DXY7" s="22"/>
      <c r="DXZ7" s="35"/>
      <c r="DYA7" s="36"/>
      <c r="DYB7" s="37"/>
      <c r="DYC7" s="36"/>
      <c r="DYD7" s="37"/>
      <c r="DYE7" s="36"/>
      <c r="DYF7" s="37"/>
      <c r="DYG7" s="36"/>
      <c r="DYH7" s="37"/>
      <c r="DYI7" s="36"/>
      <c r="DYJ7" s="37"/>
      <c r="DYK7" s="36"/>
      <c r="DYL7" s="37"/>
      <c r="DYM7" s="36"/>
      <c r="DYN7" s="37"/>
      <c r="DYO7" s="36"/>
      <c r="DYP7" s="37"/>
      <c r="DYQ7" s="36"/>
      <c r="DYR7" s="37"/>
      <c r="DYS7" s="36"/>
      <c r="DYT7" s="36"/>
      <c r="DYU7" s="37"/>
      <c r="DYV7" s="37"/>
      <c r="DYX7" s="22"/>
      <c r="DYY7" s="35"/>
      <c r="DYZ7" s="36"/>
      <c r="DZA7" s="37"/>
      <c r="DZB7" s="36"/>
      <c r="DZC7" s="37"/>
      <c r="DZD7" s="36"/>
      <c r="DZE7" s="37"/>
      <c r="DZF7" s="36"/>
      <c r="DZG7" s="37"/>
      <c r="DZH7" s="36"/>
      <c r="DZI7" s="37"/>
      <c r="DZJ7" s="36"/>
      <c r="DZK7" s="37"/>
      <c r="DZL7" s="36"/>
      <c r="DZM7" s="37"/>
      <c r="DZN7" s="36"/>
      <c r="DZO7" s="37"/>
      <c r="DZP7" s="36"/>
      <c r="DZQ7" s="37"/>
      <c r="DZR7" s="36"/>
      <c r="DZS7" s="36"/>
      <c r="DZT7" s="37"/>
      <c r="DZU7" s="37"/>
      <c r="DZW7" s="22"/>
      <c r="DZX7" s="35"/>
      <c r="DZY7" s="36"/>
      <c r="DZZ7" s="37"/>
      <c r="EAA7" s="36"/>
      <c r="EAB7" s="37"/>
      <c r="EAC7" s="36"/>
      <c r="EAD7" s="37"/>
      <c r="EAE7" s="36"/>
      <c r="EAF7" s="37"/>
      <c r="EAG7" s="36"/>
      <c r="EAH7" s="37"/>
      <c r="EAI7" s="36"/>
      <c r="EAJ7" s="37"/>
      <c r="EAK7" s="36"/>
      <c r="EAL7" s="37"/>
      <c r="EAM7" s="36"/>
      <c r="EAN7" s="37"/>
      <c r="EAO7" s="36"/>
      <c r="EAP7" s="37"/>
      <c r="EAQ7" s="36"/>
      <c r="EAR7" s="36"/>
      <c r="EAS7" s="37"/>
      <c r="EAT7" s="37"/>
      <c r="EAV7" s="22"/>
      <c r="EAW7" s="35"/>
      <c r="EAX7" s="36"/>
      <c r="EAY7" s="37"/>
      <c r="EAZ7" s="36"/>
      <c r="EBA7" s="37"/>
      <c r="EBB7" s="36"/>
      <c r="EBC7" s="37"/>
      <c r="EBD7" s="36"/>
      <c r="EBE7" s="37"/>
      <c r="EBF7" s="36"/>
      <c r="EBG7" s="37"/>
      <c r="EBH7" s="36"/>
      <c r="EBI7" s="37"/>
      <c r="EBJ7" s="36"/>
      <c r="EBK7" s="37"/>
      <c r="EBL7" s="36"/>
      <c r="EBM7" s="37"/>
      <c r="EBN7" s="36"/>
      <c r="EBO7" s="37"/>
      <c r="EBP7" s="36"/>
      <c r="EBQ7" s="36"/>
      <c r="EBR7" s="37"/>
      <c r="EBS7" s="37"/>
      <c r="EBU7" s="22"/>
      <c r="EBV7" s="35"/>
      <c r="EBW7" s="36"/>
      <c r="EBX7" s="37"/>
      <c r="EBY7" s="36"/>
      <c r="EBZ7" s="37"/>
      <c r="ECA7" s="36"/>
      <c r="ECB7" s="37"/>
      <c r="ECC7" s="36"/>
      <c r="ECD7" s="37"/>
      <c r="ECE7" s="36"/>
      <c r="ECF7" s="37"/>
      <c r="ECG7" s="36"/>
      <c r="ECH7" s="37"/>
      <c r="ECI7" s="36"/>
      <c r="ECJ7" s="37"/>
      <c r="ECK7" s="36"/>
      <c r="ECL7" s="37"/>
      <c r="ECM7" s="36"/>
      <c r="ECN7" s="37"/>
      <c r="ECO7" s="36"/>
      <c r="ECP7" s="36"/>
      <c r="ECQ7" s="37"/>
      <c r="ECR7" s="37"/>
      <c r="ECT7" s="22"/>
      <c r="ECU7" s="35"/>
      <c r="ECV7" s="36"/>
      <c r="ECW7" s="37"/>
      <c r="ECX7" s="36"/>
      <c r="ECY7" s="37"/>
      <c r="ECZ7" s="36"/>
      <c r="EDA7" s="37"/>
      <c r="EDB7" s="36"/>
      <c r="EDC7" s="37"/>
      <c r="EDD7" s="36"/>
      <c r="EDE7" s="37"/>
      <c r="EDF7" s="36"/>
      <c r="EDG7" s="37"/>
      <c r="EDH7" s="36"/>
      <c r="EDI7" s="37"/>
      <c r="EDJ7" s="36"/>
      <c r="EDK7" s="37"/>
      <c r="EDL7" s="36"/>
      <c r="EDM7" s="37"/>
      <c r="EDN7" s="36"/>
      <c r="EDO7" s="36"/>
      <c r="EDP7" s="37"/>
      <c r="EDQ7" s="37"/>
      <c r="EDS7" s="22"/>
      <c r="EDT7" s="35"/>
      <c r="EDU7" s="36"/>
      <c r="EDV7" s="37"/>
      <c r="EDW7" s="36"/>
      <c r="EDX7" s="37"/>
      <c r="EDY7" s="36"/>
      <c r="EDZ7" s="37"/>
      <c r="EEA7" s="36"/>
      <c r="EEB7" s="37"/>
      <c r="EEC7" s="36"/>
      <c r="EED7" s="37"/>
      <c r="EEE7" s="36"/>
      <c r="EEF7" s="37"/>
      <c r="EEG7" s="36"/>
      <c r="EEH7" s="37"/>
      <c r="EEI7" s="36"/>
      <c r="EEJ7" s="37"/>
      <c r="EEK7" s="36"/>
      <c r="EEL7" s="37"/>
      <c r="EEM7" s="36"/>
      <c r="EEN7" s="36"/>
      <c r="EEO7" s="37"/>
      <c r="EEP7" s="37"/>
      <c r="EER7" s="22"/>
      <c r="EES7" s="35"/>
      <c r="EET7" s="36"/>
      <c r="EEU7" s="37"/>
      <c r="EEV7" s="36"/>
      <c r="EEW7" s="37"/>
      <c r="EEX7" s="36"/>
      <c r="EEY7" s="37"/>
      <c r="EEZ7" s="36"/>
      <c r="EFA7" s="37"/>
      <c r="EFB7" s="36"/>
      <c r="EFC7" s="37"/>
      <c r="EFD7" s="36"/>
      <c r="EFE7" s="37"/>
      <c r="EFF7" s="36"/>
      <c r="EFG7" s="37"/>
      <c r="EFH7" s="36"/>
      <c r="EFI7" s="37"/>
      <c r="EFJ7" s="36"/>
      <c r="EFK7" s="37"/>
      <c r="EFL7" s="36"/>
      <c r="EFM7" s="36"/>
      <c r="EFN7" s="37"/>
      <c r="EFO7" s="37"/>
      <c r="EFQ7" s="22"/>
      <c r="EFR7" s="35"/>
      <c r="EFS7" s="36"/>
      <c r="EFT7" s="37"/>
      <c r="EFU7" s="36"/>
      <c r="EFV7" s="37"/>
      <c r="EFW7" s="36"/>
      <c r="EFX7" s="37"/>
      <c r="EFY7" s="36"/>
      <c r="EFZ7" s="37"/>
      <c r="EGA7" s="36"/>
      <c r="EGB7" s="37"/>
      <c r="EGC7" s="36"/>
      <c r="EGD7" s="37"/>
      <c r="EGE7" s="36"/>
      <c r="EGF7" s="37"/>
      <c r="EGG7" s="36"/>
      <c r="EGH7" s="37"/>
      <c r="EGI7" s="36"/>
      <c r="EGJ7" s="37"/>
      <c r="EGK7" s="36"/>
      <c r="EGL7" s="36"/>
      <c r="EGM7" s="37"/>
      <c r="EGN7" s="37"/>
      <c r="EGP7" s="22"/>
      <c r="EGQ7" s="35"/>
      <c r="EGR7" s="36"/>
      <c r="EGS7" s="37"/>
      <c r="EGT7" s="36"/>
      <c r="EGU7" s="37"/>
      <c r="EGV7" s="36"/>
      <c r="EGW7" s="37"/>
      <c r="EGX7" s="36"/>
      <c r="EGY7" s="37"/>
      <c r="EGZ7" s="36"/>
      <c r="EHA7" s="37"/>
      <c r="EHB7" s="36"/>
      <c r="EHC7" s="37"/>
      <c r="EHD7" s="36"/>
      <c r="EHE7" s="37"/>
      <c r="EHF7" s="36"/>
      <c r="EHG7" s="37"/>
      <c r="EHH7" s="36"/>
      <c r="EHI7" s="37"/>
      <c r="EHJ7" s="36"/>
      <c r="EHK7" s="36"/>
      <c r="EHL7" s="37"/>
      <c r="EHM7" s="37"/>
      <c r="EHO7" s="22"/>
      <c r="EHP7" s="35"/>
      <c r="EHQ7" s="36"/>
      <c r="EHR7" s="37"/>
      <c r="EHS7" s="36"/>
      <c r="EHT7" s="37"/>
      <c r="EHU7" s="36"/>
      <c r="EHV7" s="37"/>
      <c r="EHW7" s="36"/>
      <c r="EHX7" s="37"/>
      <c r="EHY7" s="36"/>
      <c r="EHZ7" s="37"/>
      <c r="EIA7" s="36"/>
      <c r="EIB7" s="37"/>
      <c r="EIC7" s="36"/>
      <c r="EID7" s="37"/>
      <c r="EIE7" s="36"/>
      <c r="EIF7" s="37"/>
      <c r="EIG7" s="36"/>
      <c r="EIH7" s="37"/>
      <c r="EII7" s="36"/>
      <c r="EIJ7" s="36"/>
      <c r="EIK7" s="37"/>
      <c r="EIL7" s="37"/>
      <c r="EIN7" s="22"/>
      <c r="EIO7" s="35"/>
      <c r="EIP7" s="36"/>
      <c r="EIQ7" s="37"/>
      <c r="EIR7" s="36"/>
      <c r="EIS7" s="37"/>
      <c r="EIT7" s="36"/>
      <c r="EIU7" s="37"/>
      <c r="EIV7" s="36"/>
      <c r="EIW7" s="37"/>
      <c r="EIX7" s="36"/>
      <c r="EIY7" s="37"/>
      <c r="EIZ7" s="36"/>
      <c r="EJA7" s="37"/>
      <c r="EJB7" s="36"/>
      <c r="EJC7" s="37"/>
      <c r="EJD7" s="36"/>
      <c r="EJE7" s="37"/>
      <c r="EJF7" s="36"/>
      <c r="EJG7" s="37"/>
      <c r="EJH7" s="36"/>
      <c r="EJI7" s="36"/>
      <c r="EJJ7" s="37"/>
      <c r="EJK7" s="37"/>
      <c r="EJM7" s="22"/>
      <c r="EJN7" s="35"/>
      <c r="EJO7" s="36"/>
      <c r="EJP7" s="37"/>
      <c r="EJQ7" s="36"/>
      <c r="EJR7" s="37"/>
      <c r="EJS7" s="36"/>
      <c r="EJT7" s="37"/>
      <c r="EJU7" s="36"/>
      <c r="EJV7" s="37"/>
      <c r="EJW7" s="36"/>
      <c r="EJX7" s="37"/>
      <c r="EJY7" s="36"/>
      <c r="EJZ7" s="37"/>
      <c r="EKA7" s="36"/>
      <c r="EKB7" s="37"/>
      <c r="EKC7" s="36"/>
      <c r="EKD7" s="37"/>
      <c r="EKE7" s="36"/>
      <c r="EKF7" s="37"/>
      <c r="EKG7" s="36"/>
      <c r="EKH7" s="36"/>
      <c r="EKI7" s="37"/>
      <c r="EKJ7" s="37"/>
      <c r="EKL7" s="22"/>
      <c r="EKM7" s="35"/>
      <c r="EKN7" s="36"/>
      <c r="EKO7" s="37"/>
      <c r="EKP7" s="36"/>
      <c r="EKQ7" s="37"/>
      <c r="EKR7" s="36"/>
      <c r="EKS7" s="37"/>
      <c r="EKT7" s="36"/>
      <c r="EKU7" s="37"/>
      <c r="EKV7" s="36"/>
      <c r="EKW7" s="37"/>
      <c r="EKX7" s="36"/>
      <c r="EKY7" s="37"/>
      <c r="EKZ7" s="36"/>
      <c r="ELA7" s="37"/>
      <c r="ELB7" s="36"/>
      <c r="ELC7" s="37"/>
      <c r="ELD7" s="36"/>
      <c r="ELE7" s="37"/>
      <c r="ELF7" s="36"/>
      <c r="ELG7" s="36"/>
      <c r="ELH7" s="37"/>
      <c r="ELI7" s="37"/>
      <c r="ELK7" s="22"/>
      <c r="ELL7" s="35"/>
      <c r="ELM7" s="36"/>
      <c r="ELN7" s="37"/>
      <c r="ELO7" s="36"/>
      <c r="ELP7" s="37"/>
      <c r="ELQ7" s="36"/>
      <c r="ELR7" s="37"/>
      <c r="ELS7" s="36"/>
      <c r="ELT7" s="37"/>
      <c r="ELU7" s="36"/>
      <c r="ELV7" s="37"/>
      <c r="ELW7" s="36"/>
      <c r="ELX7" s="37"/>
      <c r="ELY7" s="36"/>
      <c r="ELZ7" s="37"/>
      <c r="EMA7" s="36"/>
      <c r="EMB7" s="37"/>
      <c r="EMC7" s="36"/>
      <c r="EMD7" s="37"/>
      <c r="EME7" s="36"/>
      <c r="EMF7" s="36"/>
      <c r="EMG7" s="37"/>
      <c r="EMH7" s="37"/>
      <c r="EMJ7" s="22"/>
      <c r="EMK7" s="35"/>
      <c r="EML7" s="36"/>
      <c r="EMM7" s="37"/>
      <c r="EMN7" s="36"/>
      <c r="EMO7" s="37"/>
      <c r="EMP7" s="36"/>
      <c r="EMQ7" s="37"/>
      <c r="EMR7" s="36"/>
      <c r="EMS7" s="37"/>
      <c r="EMT7" s="36"/>
      <c r="EMU7" s="37"/>
      <c r="EMV7" s="36"/>
      <c r="EMW7" s="37"/>
      <c r="EMX7" s="36"/>
      <c r="EMY7" s="37"/>
      <c r="EMZ7" s="36"/>
      <c r="ENA7" s="37"/>
      <c r="ENB7" s="36"/>
      <c r="ENC7" s="37"/>
      <c r="END7" s="36"/>
      <c r="ENE7" s="36"/>
      <c r="ENF7" s="37"/>
      <c r="ENG7" s="37"/>
      <c r="ENI7" s="22"/>
      <c r="ENJ7" s="35"/>
      <c r="ENK7" s="36"/>
      <c r="ENL7" s="37"/>
      <c r="ENM7" s="36"/>
      <c r="ENN7" s="37"/>
      <c r="ENO7" s="36"/>
      <c r="ENP7" s="37"/>
      <c r="ENQ7" s="36"/>
      <c r="ENR7" s="37"/>
      <c r="ENS7" s="36"/>
      <c r="ENT7" s="37"/>
      <c r="ENU7" s="36"/>
      <c r="ENV7" s="37"/>
      <c r="ENW7" s="36"/>
      <c r="ENX7" s="37"/>
      <c r="ENY7" s="36"/>
      <c r="ENZ7" s="37"/>
      <c r="EOA7" s="36"/>
      <c r="EOB7" s="37"/>
      <c r="EOC7" s="36"/>
      <c r="EOD7" s="36"/>
      <c r="EOE7" s="37"/>
      <c r="EOF7" s="37"/>
      <c r="EOH7" s="22"/>
      <c r="EOI7" s="35"/>
      <c r="EOJ7" s="36"/>
      <c r="EOK7" s="37"/>
      <c r="EOL7" s="36"/>
      <c r="EOM7" s="37"/>
      <c r="EON7" s="36"/>
      <c r="EOO7" s="37"/>
      <c r="EOP7" s="36"/>
      <c r="EOQ7" s="37"/>
      <c r="EOR7" s="36"/>
      <c r="EOS7" s="37"/>
      <c r="EOT7" s="36"/>
      <c r="EOU7" s="37"/>
      <c r="EOV7" s="36"/>
      <c r="EOW7" s="37"/>
      <c r="EOX7" s="36"/>
      <c r="EOY7" s="37"/>
      <c r="EOZ7" s="36"/>
      <c r="EPA7" s="37"/>
      <c r="EPB7" s="36"/>
      <c r="EPC7" s="36"/>
      <c r="EPD7" s="37"/>
      <c r="EPE7" s="37"/>
      <c r="EPG7" s="22"/>
      <c r="EPH7" s="35"/>
      <c r="EPI7" s="36"/>
      <c r="EPJ7" s="37"/>
      <c r="EPK7" s="36"/>
      <c r="EPL7" s="37"/>
      <c r="EPM7" s="36"/>
      <c r="EPN7" s="37"/>
      <c r="EPO7" s="36"/>
      <c r="EPP7" s="37"/>
      <c r="EPQ7" s="36"/>
      <c r="EPR7" s="37"/>
      <c r="EPS7" s="36"/>
      <c r="EPT7" s="37"/>
      <c r="EPU7" s="36"/>
      <c r="EPV7" s="37"/>
      <c r="EPW7" s="36"/>
      <c r="EPX7" s="37"/>
      <c r="EPY7" s="36"/>
      <c r="EPZ7" s="37"/>
      <c r="EQA7" s="36"/>
      <c r="EQB7" s="36"/>
      <c r="EQC7" s="37"/>
      <c r="EQD7" s="37"/>
      <c r="EQF7" s="22"/>
      <c r="EQG7" s="35"/>
      <c r="EQH7" s="36"/>
      <c r="EQI7" s="37"/>
      <c r="EQJ7" s="36"/>
      <c r="EQK7" s="37"/>
      <c r="EQL7" s="36"/>
      <c r="EQM7" s="37"/>
      <c r="EQN7" s="36"/>
      <c r="EQO7" s="37"/>
      <c r="EQP7" s="36"/>
      <c r="EQQ7" s="37"/>
      <c r="EQR7" s="36"/>
      <c r="EQS7" s="37"/>
      <c r="EQT7" s="36"/>
      <c r="EQU7" s="37"/>
      <c r="EQV7" s="36"/>
      <c r="EQW7" s="37"/>
      <c r="EQX7" s="36"/>
      <c r="EQY7" s="37"/>
      <c r="EQZ7" s="36"/>
      <c r="ERA7" s="36"/>
      <c r="ERB7" s="37"/>
      <c r="ERC7" s="37"/>
      <c r="ERE7" s="22"/>
      <c r="ERF7" s="35"/>
      <c r="ERG7" s="36"/>
      <c r="ERH7" s="37"/>
      <c r="ERI7" s="36"/>
      <c r="ERJ7" s="37"/>
      <c r="ERK7" s="36"/>
      <c r="ERL7" s="37"/>
      <c r="ERM7" s="36"/>
      <c r="ERN7" s="37"/>
      <c r="ERO7" s="36"/>
      <c r="ERP7" s="37"/>
      <c r="ERQ7" s="36"/>
      <c r="ERR7" s="37"/>
      <c r="ERS7" s="36"/>
      <c r="ERT7" s="37"/>
      <c r="ERU7" s="36"/>
      <c r="ERV7" s="37"/>
      <c r="ERW7" s="36"/>
      <c r="ERX7" s="37"/>
      <c r="ERY7" s="36"/>
      <c r="ERZ7" s="36"/>
      <c r="ESA7" s="37"/>
      <c r="ESB7" s="37"/>
      <c r="ESD7" s="22"/>
      <c r="ESE7" s="35"/>
      <c r="ESF7" s="36"/>
      <c r="ESG7" s="37"/>
      <c r="ESH7" s="36"/>
      <c r="ESI7" s="37"/>
      <c r="ESJ7" s="36"/>
      <c r="ESK7" s="37"/>
      <c r="ESL7" s="36"/>
      <c r="ESM7" s="37"/>
      <c r="ESN7" s="36"/>
      <c r="ESO7" s="37"/>
      <c r="ESP7" s="36"/>
      <c r="ESQ7" s="37"/>
      <c r="ESR7" s="36"/>
      <c r="ESS7" s="37"/>
      <c r="EST7" s="36"/>
      <c r="ESU7" s="37"/>
      <c r="ESV7" s="36"/>
      <c r="ESW7" s="37"/>
      <c r="ESX7" s="36"/>
      <c r="ESY7" s="36"/>
      <c r="ESZ7" s="37"/>
      <c r="ETA7" s="37"/>
      <c r="ETC7" s="22"/>
      <c r="ETD7" s="35"/>
      <c r="ETE7" s="36"/>
      <c r="ETF7" s="37"/>
      <c r="ETG7" s="36"/>
      <c r="ETH7" s="37"/>
      <c r="ETI7" s="36"/>
      <c r="ETJ7" s="37"/>
      <c r="ETK7" s="36"/>
      <c r="ETL7" s="37"/>
      <c r="ETM7" s="36"/>
      <c r="ETN7" s="37"/>
      <c r="ETO7" s="36"/>
      <c r="ETP7" s="37"/>
      <c r="ETQ7" s="36"/>
      <c r="ETR7" s="37"/>
      <c r="ETS7" s="36"/>
      <c r="ETT7" s="37"/>
      <c r="ETU7" s="36"/>
      <c r="ETV7" s="37"/>
      <c r="ETW7" s="36"/>
      <c r="ETX7" s="36"/>
      <c r="ETY7" s="37"/>
      <c r="ETZ7" s="37"/>
      <c r="EUB7" s="22"/>
      <c r="EUC7" s="35"/>
      <c r="EUD7" s="36"/>
      <c r="EUE7" s="37"/>
      <c r="EUF7" s="36"/>
      <c r="EUG7" s="37"/>
      <c r="EUH7" s="36"/>
      <c r="EUI7" s="37"/>
      <c r="EUJ7" s="36"/>
      <c r="EUK7" s="37"/>
      <c r="EUL7" s="36"/>
      <c r="EUM7" s="37"/>
      <c r="EUN7" s="36"/>
      <c r="EUO7" s="37"/>
      <c r="EUP7" s="36"/>
      <c r="EUQ7" s="37"/>
      <c r="EUR7" s="36"/>
      <c r="EUS7" s="37"/>
      <c r="EUT7" s="36"/>
      <c r="EUU7" s="37"/>
      <c r="EUV7" s="36"/>
      <c r="EUW7" s="36"/>
      <c r="EUX7" s="37"/>
      <c r="EUY7" s="37"/>
      <c r="EVA7" s="22"/>
      <c r="EVB7" s="35"/>
      <c r="EVC7" s="36"/>
      <c r="EVD7" s="37"/>
      <c r="EVE7" s="36"/>
      <c r="EVF7" s="37"/>
      <c r="EVG7" s="36"/>
      <c r="EVH7" s="37"/>
      <c r="EVI7" s="36"/>
      <c r="EVJ7" s="37"/>
      <c r="EVK7" s="36"/>
      <c r="EVL7" s="37"/>
      <c r="EVM7" s="36"/>
      <c r="EVN7" s="37"/>
      <c r="EVO7" s="36"/>
      <c r="EVP7" s="37"/>
      <c r="EVQ7" s="36"/>
      <c r="EVR7" s="37"/>
      <c r="EVS7" s="36"/>
      <c r="EVT7" s="37"/>
      <c r="EVU7" s="36"/>
      <c r="EVV7" s="36"/>
      <c r="EVW7" s="37"/>
      <c r="EVX7" s="37"/>
      <c r="EVZ7" s="22"/>
      <c r="EWA7" s="35"/>
      <c r="EWB7" s="36"/>
      <c r="EWC7" s="37"/>
      <c r="EWD7" s="36"/>
      <c r="EWE7" s="37"/>
      <c r="EWF7" s="36"/>
      <c r="EWG7" s="37"/>
      <c r="EWH7" s="36"/>
      <c r="EWI7" s="37"/>
      <c r="EWJ7" s="36"/>
      <c r="EWK7" s="37"/>
      <c r="EWL7" s="36"/>
      <c r="EWM7" s="37"/>
      <c r="EWN7" s="36"/>
      <c r="EWO7" s="37"/>
      <c r="EWP7" s="36"/>
      <c r="EWQ7" s="37"/>
      <c r="EWR7" s="36"/>
      <c r="EWS7" s="37"/>
      <c r="EWT7" s="36"/>
      <c r="EWU7" s="36"/>
      <c r="EWV7" s="37"/>
      <c r="EWW7" s="37"/>
      <c r="EWY7" s="22"/>
      <c r="EWZ7" s="35"/>
      <c r="EXA7" s="36"/>
      <c r="EXB7" s="37"/>
      <c r="EXC7" s="36"/>
      <c r="EXD7" s="37"/>
      <c r="EXE7" s="36"/>
      <c r="EXF7" s="37"/>
      <c r="EXG7" s="36"/>
      <c r="EXH7" s="37"/>
      <c r="EXI7" s="36"/>
      <c r="EXJ7" s="37"/>
      <c r="EXK7" s="36"/>
      <c r="EXL7" s="37"/>
      <c r="EXM7" s="36"/>
      <c r="EXN7" s="37"/>
      <c r="EXO7" s="36"/>
      <c r="EXP7" s="37"/>
      <c r="EXQ7" s="36"/>
      <c r="EXR7" s="37"/>
      <c r="EXS7" s="36"/>
      <c r="EXT7" s="36"/>
      <c r="EXU7" s="37"/>
      <c r="EXV7" s="37"/>
      <c r="EXX7" s="22"/>
      <c r="EXY7" s="35"/>
      <c r="EXZ7" s="36"/>
      <c r="EYA7" s="37"/>
      <c r="EYB7" s="36"/>
      <c r="EYC7" s="37"/>
      <c r="EYD7" s="36"/>
      <c r="EYE7" s="37"/>
      <c r="EYF7" s="36"/>
      <c r="EYG7" s="37"/>
      <c r="EYH7" s="36"/>
      <c r="EYI7" s="37"/>
      <c r="EYJ7" s="36"/>
      <c r="EYK7" s="37"/>
      <c r="EYL7" s="36"/>
      <c r="EYM7" s="37"/>
      <c r="EYN7" s="36"/>
      <c r="EYO7" s="37"/>
      <c r="EYP7" s="36"/>
      <c r="EYQ7" s="37"/>
      <c r="EYR7" s="36"/>
      <c r="EYS7" s="36"/>
      <c r="EYT7" s="37"/>
      <c r="EYU7" s="37"/>
      <c r="EYW7" s="22"/>
      <c r="EYX7" s="35"/>
      <c r="EYY7" s="36"/>
      <c r="EYZ7" s="37"/>
      <c r="EZA7" s="36"/>
      <c r="EZB7" s="37"/>
      <c r="EZC7" s="36"/>
      <c r="EZD7" s="37"/>
      <c r="EZE7" s="36"/>
      <c r="EZF7" s="37"/>
      <c r="EZG7" s="36"/>
      <c r="EZH7" s="37"/>
      <c r="EZI7" s="36"/>
      <c r="EZJ7" s="37"/>
      <c r="EZK7" s="36"/>
      <c r="EZL7" s="37"/>
      <c r="EZM7" s="36"/>
      <c r="EZN7" s="37"/>
      <c r="EZO7" s="36"/>
      <c r="EZP7" s="37"/>
      <c r="EZQ7" s="36"/>
      <c r="EZR7" s="36"/>
      <c r="EZS7" s="37"/>
      <c r="EZT7" s="37"/>
      <c r="EZV7" s="22"/>
      <c r="EZW7" s="35"/>
      <c r="EZX7" s="36"/>
      <c r="EZY7" s="37"/>
      <c r="EZZ7" s="36"/>
      <c r="FAA7" s="37"/>
      <c r="FAB7" s="36"/>
      <c r="FAC7" s="37"/>
      <c r="FAD7" s="36"/>
      <c r="FAE7" s="37"/>
      <c r="FAF7" s="36"/>
      <c r="FAG7" s="37"/>
      <c r="FAH7" s="36"/>
      <c r="FAI7" s="37"/>
      <c r="FAJ7" s="36"/>
      <c r="FAK7" s="37"/>
      <c r="FAL7" s="36"/>
      <c r="FAM7" s="37"/>
      <c r="FAN7" s="36"/>
      <c r="FAO7" s="37"/>
      <c r="FAP7" s="36"/>
      <c r="FAQ7" s="36"/>
      <c r="FAR7" s="37"/>
      <c r="FAS7" s="37"/>
      <c r="FAU7" s="22"/>
      <c r="FAV7" s="35"/>
      <c r="FAW7" s="36"/>
      <c r="FAX7" s="37"/>
      <c r="FAY7" s="36"/>
      <c r="FAZ7" s="37"/>
      <c r="FBA7" s="36"/>
      <c r="FBB7" s="37"/>
      <c r="FBC7" s="36"/>
      <c r="FBD7" s="37"/>
      <c r="FBE7" s="36"/>
      <c r="FBF7" s="37"/>
      <c r="FBG7" s="36"/>
      <c r="FBH7" s="37"/>
      <c r="FBI7" s="36"/>
      <c r="FBJ7" s="37"/>
      <c r="FBK7" s="36"/>
      <c r="FBL7" s="37"/>
      <c r="FBM7" s="36"/>
      <c r="FBN7" s="37"/>
      <c r="FBO7" s="36"/>
      <c r="FBP7" s="36"/>
      <c r="FBQ7" s="37"/>
      <c r="FBR7" s="37"/>
      <c r="FBT7" s="22"/>
      <c r="FBU7" s="35"/>
      <c r="FBV7" s="36"/>
      <c r="FBW7" s="37"/>
      <c r="FBX7" s="36"/>
      <c r="FBY7" s="37"/>
      <c r="FBZ7" s="36"/>
      <c r="FCA7" s="37"/>
      <c r="FCB7" s="36"/>
      <c r="FCC7" s="37"/>
      <c r="FCD7" s="36"/>
      <c r="FCE7" s="37"/>
      <c r="FCF7" s="36"/>
      <c r="FCG7" s="37"/>
      <c r="FCH7" s="36"/>
      <c r="FCI7" s="37"/>
      <c r="FCJ7" s="36"/>
      <c r="FCK7" s="37"/>
      <c r="FCL7" s="36"/>
      <c r="FCM7" s="37"/>
      <c r="FCN7" s="36"/>
      <c r="FCO7" s="36"/>
      <c r="FCP7" s="37"/>
      <c r="FCQ7" s="37"/>
      <c r="FCS7" s="22"/>
      <c r="FCT7" s="35"/>
      <c r="FCU7" s="36"/>
      <c r="FCV7" s="37"/>
      <c r="FCW7" s="36"/>
      <c r="FCX7" s="37"/>
      <c r="FCY7" s="36"/>
      <c r="FCZ7" s="37"/>
      <c r="FDA7" s="36"/>
      <c r="FDB7" s="37"/>
      <c r="FDC7" s="36"/>
      <c r="FDD7" s="37"/>
      <c r="FDE7" s="36"/>
      <c r="FDF7" s="37"/>
      <c r="FDG7" s="36"/>
      <c r="FDH7" s="37"/>
      <c r="FDI7" s="36"/>
      <c r="FDJ7" s="37"/>
      <c r="FDK7" s="36"/>
      <c r="FDL7" s="37"/>
      <c r="FDM7" s="36"/>
      <c r="FDN7" s="36"/>
      <c r="FDO7" s="37"/>
      <c r="FDP7" s="37"/>
      <c r="FDR7" s="22"/>
      <c r="FDS7" s="35"/>
      <c r="FDT7" s="36"/>
      <c r="FDU7" s="37"/>
      <c r="FDV7" s="36"/>
      <c r="FDW7" s="37"/>
      <c r="FDX7" s="36"/>
      <c r="FDY7" s="37"/>
      <c r="FDZ7" s="36"/>
      <c r="FEA7" s="37"/>
      <c r="FEB7" s="36"/>
      <c r="FEC7" s="37"/>
      <c r="FED7" s="36"/>
      <c r="FEE7" s="37"/>
      <c r="FEF7" s="36"/>
      <c r="FEG7" s="37"/>
      <c r="FEH7" s="36"/>
      <c r="FEI7" s="37"/>
      <c r="FEJ7" s="36"/>
      <c r="FEK7" s="37"/>
      <c r="FEL7" s="36"/>
      <c r="FEM7" s="36"/>
      <c r="FEN7" s="37"/>
      <c r="FEO7" s="37"/>
      <c r="FEQ7" s="22"/>
      <c r="FER7" s="35"/>
      <c r="FES7" s="36"/>
      <c r="FET7" s="37"/>
      <c r="FEU7" s="36"/>
      <c r="FEV7" s="37"/>
      <c r="FEW7" s="36"/>
      <c r="FEX7" s="37"/>
      <c r="FEY7" s="36"/>
      <c r="FEZ7" s="37"/>
      <c r="FFA7" s="36"/>
      <c r="FFB7" s="37"/>
      <c r="FFC7" s="36"/>
      <c r="FFD7" s="37"/>
      <c r="FFE7" s="36"/>
      <c r="FFF7" s="37"/>
      <c r="FFG7" s="36"/>
      <c r="FFH7" s="37"/>
      <c r="FFI7" s="36"/>
      <c r="FFJ7" s="37"/>
      <c r="FFK7" s="36"/>
      <c r="FFL7" s="36"/>
      <c r="FFM7" s="37"/>
      <c r="FFN7" s="37"/>
      <c r="FFP7" s="22"/>
      <c r="FFQ7" s="35"/>
      <c r="FFR7" s="36"/>
      <c r="FFS7" s="37"/>
      <c r="FFT7" s="36"/>
      <c r="FFU7" s="37"/>
      <c r="FFV7" s="36"/>
      <c r="FFW7" s="37"/>
      <c r="FFX7" s="36"/>
      <c r="FFY7" s="37"/>
      <c r="FFZ7" s="36"/>
      <c r="FGA7" s="37"/>
      <c r="FGB7" s="36"/>
      <c r="FGC7" s="37"/>
      <c r="FGD7" s="36"/>
      <c r="FGE7" s="37"/>
      <c r="FGF7" s="36"/>
      <c r="FGG7" s="37"/>
      <c r="FGH7" s="36"/>
      <c r="FGI7" s="37"/>
      <c r="FGJ7" s="36"/>
      <c r="FGK7" s="36"/>
      <c r="FGL7" s="37"/>
      <c r="FGM7" s="37"/>
      <c r="FGO7" s="22"/>
      <c r="FGP7" s="35"/>
      <c r="FGQ7" s="36"/>
      <c r="FGR7" s="37"/>
      <c r="FGS7" s="36"/>
      <c r="FGT7" s="37"/>
      <c r="FGU7" s="36"/>
      <c r="FGV7" s="37"/>
      <c r="FGW7" s="36"/>
      <c r="FGX7" s="37"/>
      <c r="FGY7" s="36"/>
      <c r="FGZ7" s="37"/>
      <c r="FHA7" s="36"/>
      <c r="FHB7" s="37"/>
      <c r="FHC7" s="36"/>
      <c r="FHD7" s="37"/>
      <c r="FHE7" s="36"/>
      <c r="FHF7" s="37"/>
      <c r="FHG7" s="36"/>
      <c r="FHH7" s="37"/>
      <c r="FHI7" s="36"/>
      <c r="FHJ7" s="36"/>
      <c r="FHK7" s="37"/>
      <c r="FHL7" s="37"/>
      <c r="FHN7" s="22"/>
      <c r="FHO7" s="35"/>
      <c r="FHP7" s="36"/>
      <c r="FHQ7" s="37"/>
      <c r="FHR7" s="36"/>
      <c r="FHS7" s="37"/>
      <c r="FHT7" s="36"/>
      <c r="FHU7" s="37"/>
      <c r="FHV7" s="36"/>
      <c r="FHW7" s="37"/>
      <c r="FHX7" s="36"/>
      <c r="FHY7" s="37"/>
      <c r="FHZ7" s="36"/>
      <c r="FIA7" s="37"/>
      <c r="FIB7" s="36"/>
      <c r="FIC7" s="37"/>
      <c r="FID7" s="36"/>
      <c r="FIE7" s="37"/>
      <c r="FIF7" s="36"/>
      <c r="FIG7" s="37"/>
      <c r="FIH7" s="36"/>
      <c r="FII7" s="36"/>
      <c r="FIJ7" s="37"/>
      <c r="FIK7" s="37"/>
      <c r="FIM7" s="22"/>
      <c r="FIN7" s="35"/>
      <c r="FIO7" s="36"/>
      <c r="FIP7" s="37"/>
      <c r="FIQ7" s="36"/>
      <c r="FIR7" s="37"/>
      <c r="FIS7" s="36"/>
      <c r="FIT7" s="37"/>
      <c r="FIU7" s="36"/>
      <c r="FIV7" s="37"/>
      <c r="FIW7" s="36"/>
      <c r="FIX7" s="37"/>
      <c r="FIY7" s="36"/>
      <c r="FIZ7" s="37"/>
      <c r="FJA7" s="36"/>
      <c r="FJB7" s="37"/>
      <c r="FJC7" s="36"/>
      <c r="FJD7" s="37"/>
      <c r="FJE7" s="36"/>
      <c r="FJF7" s="37"/>
      <c r="FJG7" s="36"/>
      <c r="FJH7" s="36"/>
      <c r="FJI7" s="37"/>
      <c r="FJJ7" s="37"/>
      <c r="FJL7" s="22"/>
      <c r="FJM7" s="35"/>
      <c r="FJN7" s="36"/>
      <c r="FJO7" s="37"/>
      <c r="FJP7" s="36"/>
      <c r="FJQ7" s="37"/>
      <c r="FJR7" s="36"/>
      <c r="FJS7" s="37"/>
      <c r="FJT7" s="36"/>
      <c r="FJU7" s="37"/>
      <c r="FJV7" s="36"/>
      <c r="FJW7" s="37"/>
      <c r="FJX7" s="36"/>
      <c r="FJY7" s="37"/>
      <c r="FJZ7" s="36"/>
      <c r="FKA7" s="37"/>
      <c r="FKB7" s="36"/>
      <c r="FKC7" s="37"/>
      <c r="FKD7" s="36"/>
      <c r="FKE7" s="37"/>
      <c r="FKF7" s="36"/>
      <c r="FKG7" s="36"/>
      <c r="FKH7" s="37"/>
      <c r="FKI7" s="37"/>
      <c r="FKK7" s="22"/>
      <c r="FKL7" s="35"/>
      <c r="FKM7" s="36"/>
      <c r="FKN7" s="37"/>
      <c r="FKO7" s="36"/>
      <c r="FKP7" s="37"/>
      <c r="FKQ7" s="36"/>
      <c r="FKR7" s="37"/>
      <c r="FKS7" s="36"/>
      <c r="FKT7" s="37"/>
      <c r="FKU7" s="36"/>
      <c r="FKV7" s="37"/>
      <c r="FKW7" s="36"/>
      <c r="FKX7" s="37"/>
      <c r="FKY7" s="36"/>
      <c r="FKZ7" s="37"/>
      <c r="FLA7" s="36"/>
      <c r="FLB7" s="37"/>
      <c r="FLC7" s="36"/>
      <c r="FLD7" s="37"/>
      <c r="FLE7" s="36"/>
      <c r="FLF7" s="36"/>
      <c r="FLG7" s="37"/>
      <c r="FLH7" s="37"/>
      <c r="FLJ7" s="22"/>
      <c r="FLK7" s="35"/>
      <c r="FLL7" s="36"/>
      <c r="FLM7" s="37"/>
      <c r="FLN7" s="36"/>
      <c r="FLO7" s="37"/>
      <c r="FLP7" s="36"/>
      <c r="FLQ7" s="37"/>
      <c r="FLR7" s="36"/>
      <c r="FLS7" s="37"/>
      <c r="FLT7" s="36"/>
      <c r="FLU7" s="37"/>
      <c r="FLV7" s="36"/>
      <c r="FLW7" s="37"/>
      <c r="FLX7" s="36"/>
      <c r="FLY7" s="37"/>
      <c r="FLZ7" s="36"/>
      <c r="FMA7" s="37"/>
      <c r="FMB7" s="36"/>
      <c r="FMC7" s="37"/>
      <c r="FMD7" s="36"/>
      <c r="FME7" s="36"/>
      <c r="FMF7" s="37"/>
      <c r="FMG7" s="37"/>
      <c r="FMI7" s="22"/>
      <c r="FMJ7" s="35"/>
      <c r="FMK7" s="36"/>
      <c r="FML7" s="37"/>
      <c r="FMM7" s="36"/>
      <c r="FMN7" s="37"/>
      <c r="FMO7" s="36"/>
      <c r="FMP7" s="37"/>
      <c r="FMQ7" s="36"/>
      <c r="FMR7" s="37"/>
      <c r="FMS7" s="36"/>
      <c r="FMT7" s="37"/>
      <c r="FMU7" s="36"/>
      <c r="FMV7" s="37"/>
      <c r="FMW7" s="36"/>
      <c r="FMX7" s="37"/>
      <c r="FMY7" s="36"/>
      <c r="FMZ7" s="37"/>
      <c r="FNA7" s="36"/>
      <c r="FNB7" s="37"/>
      <c r="FNC7" s="36"/>
      <c r="FND7" s="36"/>
      <c r="FNE7" s="37"/>
      <c r="FNF7" s="37"/>
      <c r="FNH7" s="22"/>
      <c r="FNI7" s="35"/>
      <c r="FNJ7" s="36"/>
      <c r="FNK7" s="37"/>
      <c r="FNL7" s="36"/>
      <c r="FNM7" s="37"/>
      <c r="FNN7" s="36"/>
      <c r="FNO7" s="37"/>
      <c r="FNP7" s="36"/>
      <c r="FNQ7" s="37"/>
      <c r="FNR7" s="36"/>
      <c r="FNS7" s="37"/>
      <c r="FNT7" s="36"/>
      <c r="FNU7" s="37"/>
      <c r="FNV7" s="36"/>
      <c r="FNW7" s="37"/>
      <c r="FNX7" s="36"/>
      <c r="FNY7" s="37"/>
      <c r="FNZ7" s="36"/>
      <c r="FOA7" s="37"/>
      <c r="FOB7" s="36"/>
      <c r="FOC7" s="36"/>
      <c r="FOD7" s="37"/>
      <c r="FOE7" s="37"/>
      <c r="FOG7" s="22"/>
      <c r="FOH7" s="35"/>
      <c r="FOI7" s="36"/>
      <c r="FOJ7" s="37"/>
      <c r="FOK7" s="36"/>
      <c r="FOL7" s="37"/>
      <c r="FOM7" s="36"/>
      <c r="FON7" s="37"/>
      <c r="FOO7" s="36"/>
      <c r="FOP7" s="37"/>
      <c r="FOQ7" s="36"/>
      <c r="FOR7" s="37"/>
      <c r="FOS7" s="36"/>
      <c r="FOT7" s="37"/>
      <c r="FOU7" s="36"/>
      <c r="FOV7" s="37"/>
      <c r="FOW7" s="36"/>
      <c r="FOX7" s="37"/>
      <c r="FOY7" s="36"/>
      <c r="FOZ7" s="37"/>
      <c r="FPA7" s="36"/>
      <c r="FPB7" s="36"/>
      <c r="FPC7" s="37"/>
      <c r="FPD7" s="37"/>
      <c r="FPF7" s="22"/>
      <c r="FPG7" s="35"/>
      <c r="FPH7" s="36"/>
      <c r="FPI7" s="37"/>
      <c r="FPJ7" s="36"/>
      <c r="FPK7" s="37"/>
      <c r="FPL7" s="36"/>
      <c r="FPM7" s="37"/>
      <c r="FPN7" s="36"/>
      <c r="FPO7" s="37"/>
      <c r="FPP7" s="36"/>
      <c r="FPQ7" s="37"/>
      <c r="FPR7" s="36"/>
      <c r="FPS7" s="37"/>
      <c r="FPT7" s="36"/>
      <c r="FPU7" s="37"/>
      <c r="FPV7" s="36"/>
      <c r="FPW7" s="37"/>
      <c r="FPX7" s="36"/>
      <c r="FPY7" s="37"/>
      <c r="FPZ7" s="36"/>
      <c r="FQA7" s="36"/>
      <c r="FQB7" s="37"/>
      <c r="FQC7" s="37"/>
      <c r="FQE7" s="22"/>
      <c r="FQF7" s="35"/>
      <c r="FQG7" s="36"/>
      <c r="FQH7" s="37"/>
      <c r="FQI7" s="36"/>
      <c r="FQJ7" s="37"/>
      <c r="FQK7" s="36"/>
      <c r="FQL7" s="37"/>
      <c r="FQM7" s="36"/>
      <c r="FQN7" s="37"/>
      <c r="FQO7" s="36"/>
      <c r="FQP7" s="37"/>
      <c r="FQQ7" s="36"/>
      <c r="FQR7" s="37"/>
      <c r="FQS7" s="36"/>
      <c r="FQT7" s="37"/>
      <c r="FQU7" s="36"/>
      <c r="FQV7" s="37"/>
      <c r="FQW7" s="36"/>
      <c r="FQX7" s="37"/>
      <c r="FQY7" s="36"/>
      <c r="FQZ7" s="36"/>
      <c r="FRA7" s="37"/>
      <c r="FRB7" s="37"/>
      <c r="FRD7" s="22"/>
      <c r="FRE7" s="35"/>
      <c r="FRF7" s="36"/>
      <c r="FRG7" s="37"/>
      <c r="FRH7" s="36"/>
      <c r="FRI7" s="37"/>
      <c r="FRJ7" s="36"/>
      <c r="FRK7" s="37"/>
      <c r="FRL7" s="36"/>
      <c r="FRM7" s="37"/>
      <c r="FRN7" s="36"/>
      <c r="FRO7" s="37"/>
      <c r="FRP7" s="36"/>
      <c r="FRQ7" s="37"/>
      <c r="FRR7" s="36"/>
      <c r="FRS7" s="37"/>
      <c r="FRT7" s="36"/>
      <c r="FRU7" s="37"/>
      <c r="FRV7" s="36"/>
      <c r="FRW7" s="37"/>
      <c r="FRX7" s="36"/>
      <c r="FRY7" s="36"/>
      <c r="FRZ7" s="37"/>
      <c r="FSA7" s="37"/>
      <c r="FSC7" s="22"/>
      <c r="FSD7" s="35"/>
      <c r="FSE7" s="36"/>
      <c r="FSF7" s="37"/>
      <c r="FSG7" s="36"/>
      <c r="FSH7" s="37"/>
      <c r="FSI7" s="36"/>
      <c r="FSJ7" s="37"/>
      <c r="FSK7" s="36"/>
      <c r="FSL7" s="37"/>
      <c r="FSM7" s="36"/>
      <c r="FSN7" s="37"/>
      <c r="FSO7" s="36"/>
      <c r="FSP7" s="37"/>
      <c r="FSQ7" s="36"/>
      <c r="FSR7" s="37"/>
      <c r="FSS7" s="36"/>
      <c r="FST7" s="37"/>
      <c r="FSU7" s="36"/>
      <c r="FSV7" s="37"/>
      <c r="FSW7" s="36"/>
      <c r="FSX7" s="36"/>
      <c r="FSY7" s="37"/>
      <c r="FSZ7" s="37"/>
      <c r="FTB7" s="22"/>
      <c r="FTC7" s="35"/>
      <c r="FTD7" s="36"/>
      <c r="FTE7" s="37"/>
      <c r="FTF7" s="36"/>
      <c r="FTG7" s="37"/>
      <c r="FTH7" s="36"/>
      <c r="FTI7" s="37"/>
      <c r="FTJ7" s="36"/>
      <c r="FTK7" s="37"/>
      <c r="FTL7" s="36"/>
      <c r="FTM7" s="37"/>
      <c r="FTN7" s="36"/>
      <c r="FTO7" s="37"/>
      <c r="FTP7" s="36"/>
      <c r="FTQ7" s="37"/>
      <c r="FTR7" s="36"/>
      <c r="FTS7" s="37"/>
      <c r="FTT7" s="36"/>
      <c r="FTU7" s="37"/>
      <c r="FTV7" s="36"/>
      <c r="FTW7" s="36"/>
      <c r="FTX7" s="37"/>
      <c r="FTY7" s="37"/>
      <c r="FUA7" s="22"/>
      <c r="FUB7" s="35"/>
      <c r="FUC7" s="36"/>
      <c r="FUD7" s="37"/>
      <c r="FUE7" s="36"/>
      <c r="FUF7" s="37"/>
      <c r="FUG7" s="36"/>
      <c r="FUH7" s="37"/>
      <c r="FUI7" s="36"/>
      <c r="FUJ7" s="37"/>
      <c r="FUK7" s="36"/>
      <c r="FUL7" s="37"/>
      <c r="FUM7" s="36"/>
      <c r="FUN7" s="37"/>
      <c r="FUO7" s="36"/>
      <c r="FUP7" s="37"/>
      <c r="FUQ7" s="36"/>
      <c r="FUR7" s="37"/>
      <c r="FUS7" s="36"/>
      <c r="FUT7" s="37"/>
      <c r="FUU7" s="36"/>
      <c r="FUV7" s="36"/>
      <c r="FUW7" s="37"/>
      <c r="FUX7" s="37"/>
      <c r="FUZ7" s="22"/>
      <c r="FVA7" s="35"/>
      <c r="FVB7" s="36"/>
      <c r="FVC7" s="37"/>
      <c r="FVD7" s="36"/>
      <c r="FVE7" s="37"/>
      <c r="FVF7" s="36"/>
      <c r="FVG7" s="37"/>
      <c r="FVH7" s="36"/>
      <c r="FVI7" s="37"/>
      <c r="FVJ7" s="36"/>
      <c r="FVK7" s="37"/>
      <c r="FVL7" s="36"/>
      <c r="FVM7" s="37"/>
      <c r="FVN7" s="36"/>
      <c r="FVO7" s="37"/>
      <c r="FVP7" s="36"/>
      <c r="FVQ7" s="37"/>
      <c r="FVR7" s="36"/>
      <c r="FVS7" s="37"/>
      <c r="FVT7" s="36"/>
      <c r="FVU7" s="36"/>
      <c r="FVV7" s="37"/>
      <c r="FVW7" s="37"/>
      <c r="FVY7" s="22"/>
      <c r="FVZ7" s="35"/>
      <c r="FWA7" s="36"/>
      <c r="FWB7" s="37"/>
      <c r="FWC7" s="36"/>
      <c r="FWD7" s="37"/>
      <c r="FWE7" s="36"/>
      <c r="FWF7" s="37"/>
      <c r="FWG7" s="36"/>
      <c r="FWH7" s="37"/>
      <c r="FWI7" s="36"/>
      <c r="FWJ7" s="37"/>
      <c r="FWK7" s="36"/>
      <c r="FWL7" s="37"/>
      <c r="FWM7" s="36"/>
      <c r="FWN7" s="37"/>
      <c r="FWO7" s="36"/>
      <c r="FWP7" s="37"/>
      <c r="FWQ7" s="36"/>
      <c r="FWR7" s="37"/>
      <c r="FWS7" s="36"/>
      <c r="FWT7" s="36"/>
      <c r="FWU7" s="37"/>
      <c r="FWV7" s="37"/>
      <c r="FWX7" s="22"/>
      <c r="FWY7" s="35"/>
      <c r="FWZ7" s="36"/>
      <c r="FXA7" s="37"/>
      <c r="FXB7" s="36"/>
      <c r="FXC7" s="37"/>
      <c r="FXD7" s="36"/>
      <c r="FXE7" s="37"/>
      <c r="FXF7" s="36"/>
      <c r="FXG7" s="37"/>
      <c r="FXH7" s="36"/>
      <c r="FXI7" s="37"/>
      <c r="FXJ7" s="36"/>
      <c r="FXK7" s="37"/>
      <c r="FXL7" s="36"/>
      <c r="FXM7" s="37"/>
      <c r="FXN7" s="36"/>
      <c r="FXO7" s="37"/>
      <c r="FXP7" s="36"/>
      <c r="FXQ7" s="37"/>
      <c r="FXR7" s="36"/>
      <c r="FXS7" s="36"/>
      <c r="FXT7" s="37"/>
      <c r="FXU7" s="37"/>
      <c r="FXW7" s="22"/>
      <c r="FXX7" s="35"/>
      <c r="FXY7" s="36"/>
      <c r="FXZ7" s="37"/>
      <c r="FYA7" s="36"/>
      <c r="FYB7" s="37"/>
      <c r="FYC7" s="36"/>
      <c r="FYD7" s="37"/>
      <c r="FYE7" s="36"/>
      <c r="FYF7" s="37"/>
      <c r="FYG7" s="36"/>
      <c r="FYH7" s="37"/>
      <c r="FYI7" s="36"/>
      <c r="FYJ7" s="37"/>
      <c r="FYK7" s="36"/>
      <c r="FYL7" s="37"/>
      <c r="FYM7" s="36"/>
      <c r="FYN7" s="37"/>
      <c r="FYO7" s="36"/>
      <c r="FYP7" s="37"/>
      <c r="FYQ7" s="36"/>
      <c r="FYR7" s="36"/>
      <c r="FYS7" s="37"/>
      <c r="FYT7" s="37"/>
      <c r="FYV7" s="22"/>
      <c r="FYW7" s="35"/>
      <c r="FYX7" s="36"/>
      <c r="FYY7" s="37"/>
      <c r="FYZ7" s="36"/>
      <c r="FZA7" s="37"/>
      <c r="FZB7" s="36"/>
      <c r="FZC7" s="37"/>
      <c r="FZD7" s="36"/>
      <c r="FZE7" s="37"/>
      <c r="FZF7" s="36"/>
      <c r="FZG7" s="37"/>
      <c r="FZH7" s="36"/>
      <c r="FZI7" s="37"/>
      <c r="FZJ7" s="36"/>
      <c r="FZK7" s="37"/>
      <c r="FZL7" s="36"/>
      <c r="FZM7" s="37"/>
      <c r="FZN7" s="36"/>
      <c r="FZO7" s="37"/>
      <c r="FZP7" s="36"/>
      <c r="FZQ7" s="36"/>
      <c r="FZR7" s="37"/>
      <c r="FZS7" s="37"/>
      <c r="FZU7" s="22"/>
      <c r="FZV7" s="35"/>
      <c r="FZW7" s="36"/>
      <c r="FZX7" s="37"/>
      <c r="FZY7" s="36"/>
      <c r="FZZ7" s="37"/>
      <c r="GAA7" s="36"/>
      <c r="GAB7" s="37"/>
      <c r="GAC7" s="36"/>
      <c r="GAD7" s="37"/>
      <c r="GAE7" s="36"/>
      <c r="GAF7" s="37"/>
      <c r="GAG7" s="36"/>
      <c r="GAH7" s="37"/>
      <c r="GAI7" s="36"/>
      <c r="GAJ7" s="37"/>
      <c r="GAK7" s="36"/>
      <c r="GAL7" s="37"/>
      <c r="GAM7" s="36"/>
      <c r="GAN7" s="37"/>
      <c r="GAO7" s="36"/>
      <c r="GAP7" s="36"/>
      <c r="GAQ7" s="37"/>
      <c r="GAR7" s="37"/>
      <c r="GAT7" s="22"/>
      <c r="GAU7" s="35"/>
      <c r="GAV7" s="36"/>
      <c r="GAW7" s="37"/>
      <c r="GAX7" s="36"/>
      <c r="GAY7" s="37"/>
      <c r="GAZ7" s="36"/>
      <c r="GBA7" s="37"/>
      <c r="GBB7" s="36"/>
      <c r="GBC7" s="37"/>
      <c r="GBD7" s="36"/>
      <c r="GBE7" s="37"/>
      <c r="GBF7" s="36"/>
      <c r="GBG7" s="37"/>
      <c r="GBH7" s="36"/>
      <c r="GBI7" s="37"/>
      <c r="GBJ7" s="36"/>
      <c r="GBK7" s="37"/>
      <c r="GBL7" s="36"/>
      <c r="GBM7" s="37"/>
      <c r="GBN7" s="36"/>
      <c r="GBO7" s="36"/>
      <c r="GBP7" s="37"/>
      <c r="GBQ7" s="37"/>
      <c r="GBS7" s="22"/>
      <c r="GBT7" s="35"/>
      <c r="GBU7" s="36"/>
      <c r="GBV7" s="37"/>
      <c r="GBW7" s="36"/>
      <c r="GBX7" s="37"/>
      <c r="GBY7" s="36"/>
      <c r="GBZ7" s="37"/>
      <c r="GCA7" s="36"/>
      <c r="GCB7" s="37"/>
      <c r="GCC7" s="36"/>
      <c r="GCD7" s="37"/>
      <c r="GCE7" s="36"/>
      <c r="GCF7" s="37"/>
      <c r="GCG7" s="36"/>
      <c r="GCH7" s="37"/>
      <c r="GCI7" s="36"/>
      <c r="GCJ7" s="37"/>
      <c r="GCK7" s="36"/>
      <c r="GCL7" s="37"/>
      <c r="GCM7" s="36"/>
      <c r="GCN7" s="36"/>
      <c r="GCO7" s="37"/>
      <c r="GCP7" s="37"/>
      <c r="GCR7" s="22"/>
      <c r="GCS7" s="35"/>
      <c r="GCT7" s="36"/>
      <c r="GCU7" s="37"/>
      <c r="GCV7" s="36"/>
      <c r="GCW7" s="37"/>
      <c r="GCX7" s="36"/>
      <c r="GCY7" s="37"/>
      <c r="GCZ7" s="36"/>
      <c r="GDA7" s="37"/>
      <c r="GDB7" s="36"/>
      <c r="GDC7" s="37"/>
      <c r="GDD7" s="36"/>
      <c r="GDE7" s="37"/>
      <c r="GDF7" s="36"/>
      <c r="GDG7" s="37"/>
      <c r="GDH7" s="36"/>
      <c r="GDI7" s="37"/>
      <c r="GDJ7" s="36"/>
      <c r="GDK7" s="37"/>
      <c r="GDL7" s="36"/>
      <c r="GDM7" s="36"/>
      <c r="GDN7" s="37"/>
      <c r="GDO7" s="37"/>
      <c r="GDQ7" s="22"/>
      <c r="GDR7" s="35"/>
      <c r="GDS7" s="36"/>
      <c r="GDT7" s="37"/>
      <c r="GDU7" s="36"/>
      <c r="GDV7" s="37"/>
      <c r="GDW7" s="36"/>
      <c r="GDX7" s="37"/>
      <c r="GDY7" s="36"/>
      <c r="GDZ7" s="37"/>
      <c r="GEA7" s="36"/>
      <c r="GEB7" s="37"/>
      <c r="GEC7" s="36"/>
      <c r="GED7" s="37"/>
      <c r="GEE7" s="36"/>
      <c r="GEF7" s="37"/>
      <c r="GEG7" s="36"/>
      <c r="GEH7" s="37"/>
      <c r="GEI7" s="36"/>
      <c r="GEJ7" s="37"/>
      <c r="GEK7" s="36"/>
      <c r="GEL7" s="36"/>
      <c r="GEM7" s="37"/>
      <c r="GEN7" s="37"/>
      <c r="GEP7" s="22"/>
      <c r="GEQ7" s="35"/>
      <c r="GER7" s="36"/>
      <c r="GES7" s="37"/>
      <c r="GET7" s="36"/>
      <c r="GEU7" s="37"/>
      <c r="GEV7" s="36"/>
      <c r="GEW7" s="37"/>
      <c r="GEX7" s="36"/>
      <c r="GEY7" s="37"/>
      <c r="GEZ7" s="36"/>
      <c r="GFA7" s="37"/>
      <c r="GFB7" s="36"/>
      <c r="GFC7" s="37"/>
      <c r="GFD7" s="36"/>
      <c r="GFE7" s="37"/>
      <c r="GFF7" s="36"/>
      <c r="GFG7" s="37"/>
      <c r="GFH7" s="36"/>
      <c r="GFI7" s="37"/>
      <c r="GFJ7" s="36"/>
      <c r="GFK7" s="36"/>
      <c r="GFL7" s="37"/>
      <c r="GFM7" s="37"/>
      <c r="GFO7" s="22"/>
      <c r="GFP7" s="35"/>
      <c r="GFQ7" s="36"/>
      <c r="GFR7" s="37"/>
      <c r="GFS7" s="36"/>
      <c r="GFT7" s="37"/>
      <c r="GFU7" s="36"/>
      <c r="GFV7" s="37"/>
      <c r="GFW7" s="36"/>
      <c r="GFX7" s="37"/>
      <c r="GFY7" s="36"/>
      <c r="GFZ7" s="37"/>
      <c r="GGA7" s="36"/>
      <c r="GGB7" s="37"/>
      <c r="GGC7" s="36"/>
      <c r="GGD7" s="37"/>
      <c r="GGE7" s="36"/>
      <c r="GGF7" s="37"/>
      <c r="GGG7" s="36"/>
      <c r="GGH7" s="37"/>
      <c r="GGI7" s="36"/>
      <c r="GGJ7" s="36"/>
      <c r="GGK7" s="37"/>
      <c r="GGL7" s="37"/>
      <c r="GGN7" s="22"/>
      <c r="GGO7" s="35"/>
      <c r="GGP7" s="36"/>
      <c r="GGQ7" s="37"/>
      <c r="GGR7" s="36"/>
      <c r="GGS7" s="37"/>
      <c r="GGT7" s="36"/>
      <c r="GGU7" s="37"/>
      <c r="GGV7" s="36"/>
      <c r="GGW7" s="37"/>
      <c r="GGX7" s="36"/>
      <c r="GGY7" s="37"/>
      <c r="GGZ7" s="36"/>
      <c r="GHA7" s="37"/>
      <c r="GHB7" s="36"/>
      <c r="GHC7" s="37"/>
      <c r="GHD7" s="36"/>
      <c r="GHE7" s="37"/>
      <c r="GHF7" s="36"/>
      <c r="GHG7" s="37"/>
      <c r="GHH7" s="36"/>
      <c r="GHI7" s="36"/>
      <c r="GHJ7" s="37"/>
      <c r="GHK7" s="37"/>
      <c r="GHM7" s="22"/>
      <c r="GHN7" s="35"/>
      <c r="GHO7" s="36"/>
      <c r="GHP7" s="37"/>
      <c r="GHQ7" s="36"/>
      <c r="GHR7" s="37"/>
      <c r="GHS7" s="36"/>
      <c r="GHT7" s="37"/>
      <c r="GHU7" s="36"/>
      <c r="GHV7" s="37"/>
      <c r="GHW7" s="36"/>
      <c r="GHX7" s="37"/>
      <c r="GHY7" s="36"/>
      <c r="GHZ7" s="37"/>
      <c r="GIA7" s="36"/>
      <c r="GIB7" s="37"/>
      <c r="GIC7" s="36"/>
      <c r="GID7" s="37"/>
      <c r="GIE7" s="36"/>
      <c r="GIF7" s="37"/>
      <c r="GIG7" s="36"/>
      <c r="GIH7" s="36"/>
      <c r="GII7" s="37"/>
      <c r="GIJ7" s="37"/>
      <c r="GIL7" s="22"/>
      <c r="GIM7" s="35"/>
      <c r="GIN7" s="36"/>
      <c r="GIO7" s="37"/>
      <c r="GIP7" s="36"/>
      <c r="GIQ7" s="37"/>
      <c r="GIR7" s="36"/>
      <c r="GIS7" s="37"/>
      <c r="GIT7" s="36"/>
      <c r="GIU7" s="37"/>
      <c r="GIV7" s="36"/>
      <c r="GIW7" s="37"/>
      <c r="GIX7" s="36"/>
      <c r="GIY7" s="37"/>
      <c r="GIZ7" s="36"/>
      <c r="GJA7" s="37"/>
      <c r="GJB7" s="36"/>
      <c r="GJC7" s="37"/>
      <c r="GJD7" s="36"/>
      <c r="GJE7" s="37"/>
      <c r="GJF7" s="36"/>
      <c r="GJG7" s="36"/>
      <c r="GJH7" s="37"/>
      <c r="GJI7" s="37"/>
      <c r="GJK7" s="22"/>
      <c r="GJL7" s="35"/>
      <c r="GJM7" s="36"/>
      <c r="GJN7" s="37"/>
      <c r="GJO7" s="36"/>
      <c r="GJP7" s="37"/>
      <c r="GJQ7" s="36"/>
      <c r="GJR7" s="37"/>
      <c r="GJS7" s="36"/>
      <c r="GJT7" s="37"/>
      <c r="GJU7" s="36"/>
      <c r="GJV7" s="37"/>
      <c r="GJW7" s="36"/>
      <c r="GJX7" s="37"/>
      <c r="GJY7" s="36"/>
      <c r="GJZ7" s="37"/>
      <c r="GKA7" s="36"/>
      <c r="GKB7" s="37"/>
      <c r="GKC7" s="36"/>
      <c r="GKD7" s="37"/>
      <c r="GKE7" s="36"/>
      <c r="GKF7" s="36"/>
      <c r="GKG7" s="37"/>
      <c r="GKH7" s="37"/>
      <c r="GKJ7" s="22"/>
      <c r="GKK7" s="35"/>
      <c r="GKL7" s="36"/>
      <c r="GKM7" s="37"/>
      <c r="GKN7" s="36"/>
      <c r="GKO7" s="37"/>
      <c r="GKP7" s="36"/>
      <c r="GKQ7" s="37"/>
      <c r="GKR7" s="36"/>
      <c r="GKS7" s="37"/>
      <c r="GKT7" s="36"/>
      <c r="GKU7" s="37"/>
      <c r="GKV7" s="36"/>
      <c r="GKW7" s="37"/>
      <c r="GKX7" s="36"/>
      <c r="GKY7" s="37"/>
      <c r="GKZ7" s="36"/>
      <c r="GLA7" s="37"/>
      <c r="GLB7" s="36"/>
      <c r="GLC7" s="37"/>
      <c r="GLD7" s="36"/>
      <c r="GLE7" s="36"/>
      <c r="GLF7" s="37"/>
      <c r="GLG7" s="37"/>
      <c r="GLI7" s="22"/>
      <c r="GLJ7" s="35"/>
      <c r="GLK7" s="36"/>
      <c r="GLL7" s="37"/>
      <c r="GLM7" s="36"/>
      <c r="GLN7" s="37"/>
      <c r="GLO7" s="36"/>
      <c r="GLP7" s="37"/>
      <c r="GLQ7" s="36"/>
      <c r="GLR7" s="37"/>
      <c r="GLS7" s="36"/>
      <c r="GLT7" s="37"/>
      <c r="GLU7" s="36"/>
      <c r="GLV7" s="37"/>
      <c r="GLW7" s="36"/>
      <c r="GLX7" s="37"/>
      <c r="GLY7" s="36"/>
      <c r="GLZ7" s="37"/>
      <c r="GMA7" s="36"/>
      <c r="GMB7" s="37"/>
      <c r="GMC7" s="36"/>
      <c r="GMD7" s="36"/>
      <c r="GME7" s="37"/>
      <c r="GMF7" s="37"/>
      <c r="GMH7" s="22"/>
      <c r="GMI7" s="35"/>
      <c r="GMJ7" s="36"/>
      <c r="GMK7" s="37"/>
      <c r="GML7" s="36"/>
      <c r="GMM7" s="37"/>
      <c r="GMN7" s="36"/>
      <c r="GMO7" s="37"/>
      <c r="GMP7" s="36"/>
      <c r="GMQ7" s="37"/>
      <c r="GMR7" s="36"/>
      <c r="GMS7" s="37"/>
      <c r="GMT7" s="36"/>
      <c r="GMU7" s="37"/>
      <c r="GMV7" s="36"/>
      <c r="GMW7" s="37"/>
      <c r="GMX7" s="36"/>
      <c r="GMY7" s="37"/>
      <c r="GMZ7" s="36"/>
      <c r="GNA7" s="37"/>
      <c r="GNB7" s="36"/>
      <c r="GNC7" s="36"/>
      <c r="GND7" s="37"/>
      <c r="GNE7" s="37"/>
      <c r="GNG7" s="22"/>
      <c r="GNH7" s="35"/>
      <c r="GNI7" s="36"/>
      <c r="GNJ7" s="37"/>
      <c r="GNK7" s="36"/>
      <c r="GNL7" s="37"/>
      <c r="GNM7" s="36"/>
      <c r="GNN7" s="37"/>
      <c r="GNO7" s="36"/>
      <c r="GNP7" s="37"/>
      <c r="GNQ7" s="36"/>
      <c r="GNR7" s="37"/>
      <c r="GNS7" s="36"/>
      <c r="GNT7" s="37"/>
      <c r="GNU7" s="36"/>
      <c r="GNV7" s="37"/>
      <c r="GNW7" s="36"/>
      <c r="GNX7" s="37"/>
      <c r="GNY7" s="36"/>
      <c r="GNZ7" s="37"/>
      <c r="GOA7" s="36"/>
      <c r="GOB7" s="36"/>
      <c r="GOC7" s="37"/>
      <c r="GOD7" s="37"/>
      <c r="GOF7" s="22"/>
      <c r="GOG7" s="35"/>
      <c r="GOH7" s="36"/>
      <c r="GOI7" s="37"/>
      <c r="GOJ7" s="36"/>
      <c r="GOK7" s="37"/>
      <c r="GOL7" s="36"/>
      <c r="GOM7" s="37"/>
      <c r="GON7" s="36"/>
      <c r="GOO7" s="37"/>
      <c r="GOP7" s="36"/>
      <c r="GOQ7" s="37"/>
      <c r="GOR7" s="36"/>
      <c r="GOS7" s="37"/>
      <c r="GOT7" s="36"/>
      <c r="GOU7" s="37"/>
      <c r="GOV7" s="36"/>
      <c r="GOW7" s="37"/>
      <c r="GOX7" s="36"/>
      <c r="GOY7" s="37"/>
      <c r="GOZ7" s="36"/>
      <c r="GPA7" s="36"/>
      <c r="GPB7" s="37"/>
      <c r="GPC7" s="37"/>
      <c r="GPE7" s="22"/>
      <c r="GPF7" s="35"/>
      <c r="GPG7" s="36"/>
      <c r="GPH7" s="37"/>
      <c r="GPI7" s="36"/>
      <c r="GPJ7" s="37"/>
      <c r="GPK7" s="36"/>
      <c r="GPL7" s="37"/>
      <c r="GPM7" s="36"/>
      <c r="GPN7" s="37"/>
      <c r="GPO7" s="36"/>
      <c r="GPP7" s="37"/>
      <c r="GPQ7" s="36"/>
      <c r="GPR7" s="37"/>
      <c r="GPS7" s="36"/>
      <c r="GPT7" s="37"/>
      <c r="GPU7" s="36"/>
      <c r="GPV7" s="37"/>
      <c r="GPW7" s="36"/>
      <c r="GPX7" s="37"/>
      <c r="GPY7" s="36"/>
      <c r="GPZ7" s="36"/>
      <c r="GQA7" s="37"/>
      <c r="GQB7" s="37"/>
      <c r="GQD7" s="22"/>
      <c r="GQE7" s="35"/>
      <c r="GQF7" s="36"/>
      <c r="GQG7" s="37"/>
      <c r="GQH7" s="36"/>
      <c r="GQI7" s="37"/>
      <c r="GQJ7" s="36"/>
      <c r="GQK7" s="37"/>
      <c r="GQL7" s="36"/>
      <c r="GQM7" s="37"/>
      <c r="GQN7" s="36"/>
      <c r="GQO7" s="37"/>
      <c r="GQP7" s="36"/>
      <c r="GQQ7" s="37"/>
      <c r="GQR7" s="36"/>
      <c r="GQS7" s="37"/>
      <c r="GQT7" s="36"/>
      <c r="GQU7" s="37"/>
      <c r="GQV7" s="36"/>
      <c r="GQW7" s="37"/>
      <c r="GQX7" s="36"/>
      <c r="GQY7" s="36"/>
      <c r="GQZ7" s="37"/>
      <c r="GRA7" s="37"/>
      <c r="GRC7" s="22"/>
      <c r="GRD7" s="35"/>
      <c r="GRE7" s="36"/>
      <c r="GRF7" s="37"/>
      <c r="GRG7" s="36"/>
      <c r="GRH7" s="37"/>
      <c r="GRI7" s="36"/>
      <c r="GRJ7" s="37"/>
      <c r="GRK7" s="36"/>
      <c r="GRL7" s="37"/>
      <c r="GRM7" s="36"/>
      <c r="GRN7" s="37"/>
      <c r="GRO7" s="36"/>
      <c r="GRP7" s="37"/>
      <c r="GRQ7" s="36"/>
      <c r="GRR7" s="37"/>
      <c r="GRS7" s="36"/>
      <c r="GRT7" s="37"/>
      <c r="GRU7" s="36"/>
      <c r="GRV7" s="37"/>
      <c r="GRW7" s="36"/>
      <c r="GRX7" s="36"/>
      <c r="GRY7" s="37"/>
      <c r="GRZ7" s="37"/>
      <c r="GSB7" s="22"/>
      <c r="GSC7" s="35"/>
      <c r="GSD7" s="36"/>
      <c r="GSE7" s="37"/>
      <c r="GSF7" s="36"/>
      <c r="GSG7" s="37"/>
      <c r="GSH7" s="36"/>
      <c r="GSI7" s="37"/>
      <c r="GSJ7" s="36"/>
      <c r="GSK7" s="37"/>
      <c r="GSL7" s="36"/>
      <c r="GSM7" s="37"/>
      <c r="GSN7" s="36"/>
      <c r="GSO7" s="37"/>
      <c r="GSP7" s="36"/>
      <c r="GSQ7" s="37"/>
      <c r="GSR7" s="36"/>
      <c r="GSS7" s="37"/>
      <c r="GST7" s="36"/>
      <c r="GSU7" s="37"/>
      <c r="GSV7" s="36"/>
      <c r="GSW7" s="36"/>
      <c r="GSX7" s="37"/>
      <c r="GSY7" s="37"/>
      <c r="GTA7" s="22"/>
      <c r="GTB7" s="35"/>
      <c r="GTC7" s="36"/>
      <c r="GTD7" s="37"/>
      <c r="GTE7" s="36"/>
      <c r="GTF7" s="37"/>
      <c r="GTG7" s="36"/>
      <c r="GTH7" s="37"/>
      <c r="GTI7" s="36"/>
      <c r="GTJ7" s="37"/>
      <c r="GTK7" s="36"/>
      <c r="GTL7" s="37"/>
      <c r="GTM7" s="36"/>
      <c r="GTN7" s="37"/>
      <c r="GTO7" s="36"/>
      <c r="GTP7" s="37"/>
      <c r="GTQ7" s="36"/>
      <c r="GTR7" s="37"/>
      <c r="GTS7" s="36"/>
      <c r="GTT7" s="37"/>
      <c r="GTU7" s="36"/>
      <c r="GTV7" s="36"/>
      <c r="GTW7" s="37"/>
      <c r="GTX7" s="37"/>
      <c r="GTZ7" s="22"/>
      <c r="GUA7" s="35"/>
      <c r="GUB7" s="36"/>
      <c r="GUC7" s="37"/>
      <c r="GUD7" s="36"/>
      <c r="GUE7" s="37"/>
      <c r="GUF7" s="36"/>
      <c r="GUG7" s="37"/>
      <c r="GUH7" s="36"/>
      <c r="GUI7" s="37"/>
      <c r="GUJ7" s="36"/>
      <c r="GUK7" s="37"/>
      <c r="GUL7" s="36"/>
      <c r="GUM7" s="37"/>
      <c r="GUN7" s="36"/>
      <c r="GUO7" s="37"/>
      <c r="GUP7" s="36"/>
      <c r="GUQ7" s="37"/>
      <c r="GUR7" s="36"/>
      <c r="GUS7" s="37"/>
      <c r="GUT7" s="36"/>
      <c r="GUU7" s="36"/>
      <c r="GUV7" s="37"/>
      <c r="GUW7" s="37"/>
      <c r="GUY7" s="22"/>
      <c r="GUZ7" s="35"/>
      <c r="GVA7" s="36"/>
      <c r="GVB7" s="37"/>
      <c r="GVC7" s="36"/>
      <c r="GVD7" s="37"/>
      <c r="GVE7" s="36"/>
      <c r="GVF7" s="37"/>
      <c r="GVG7" s="36"/>
      <c r="GVH7" s="37"/>
      <c r="GVI7" s="36"/>
      <c r="GVJ7" s="37"/>
      <c r="GVK7" s="36"/>
      <c r="GVL7" s="37"/>
      <c r="GVM7" s="36"/>
      <c r="GVN7" s="37"/>
      <c r="GVO7" s="36"/>
      <c r="GVP7" s="37"/>
      <c r="GVQ7" s="36"/>
      <c r="GVR7" s="37"/>
      <c r="GVS7" s="36"/>
      <c r="GVT7" s="36"/>
      <c r="GVU7" s="37"/>
      <c r="GVV7" s="37"/>
      <c r="GVX7" s="22"/>
      <c r="GVY7" s="35"/>
      <c r="GVZ7" s="36"/>
      <c r="GWA7" s="37"/>
      <c r="GWB7" s="36"/>
      <c r="GWC7" s="37"/>
      <c r="GWD7" s="36"/>
      <c r="GWE7" s="37"/>
      <c r="GWF7" s="36"/>
      <c r="GWG7" s="37"/>
      <c r="GWH7" s="36"/>
      <c r="GWI7" s="37"/>
      <c r="GWJ7" s="36"/>
      <c r="GWK7" s="37"/>
      <c r="GWL7" s="36"/>
      <c r="GWM7" s="37"/>
      <c r="GWN7" s="36"/>
      <c r="GWO7" s="37"/>
      <c r="GWP7" s="36"/>
      <c r="GWQ7" s="37"/>
      <c r="GWR7" s="36"/>
      <c r="GWS7" s="36"/>
      <c r="GWT7" s="37"/>
      <c r="GWU7" s="37"/>
      <c r="GWW7" s="22"/>
      <c r="GWX7" s="35"/>
      <c r="GWY7" s="36"/>
      <c r="GWZ7" s="37"/>
      <c r="GXA7" s="36"/>
      <c r="GXB7" s="37"/>
      <c r="GXC7" s="36"/>
      <c r="GXD7" s="37"/>
      <c r="GXE7" s="36"/>
      <c r="GXF7" s="37"/>
      <c r="GXG7" s="36"/>
      <c r="GXH7" s="37"/>
      <c r="GXI7" s="36"/>
      <c r="GXJ7" s="37"/>
      <c r="GXK7" s="36"/>
      <c r="GXL7" s="37"/>
      <c r="GXM7" s="36"/>
      <c r="GXN7" s="37"/>
      <c r="GXO7" s="36"/>
      <c r="GXP7" s="37"/>
      <c r="GXQ7" s="36"/>
      <c r="GXR7" s="36"/>
      <c r="GXS7" s="37"/>
      <c r="GXT7" s="37"/>
      <c r="GXV7" s="22"/>
      <c r="GXW7" s="35"/>
      <c r="GXX7" s="36"/>
      <c r="GXY7" s="37"/>
      <c r="GXZ7" s="36"/>
      <c r="GYA7" s="37"/>
      <c r="GYB7" s="36"/>
      <c r="GYC7" s="37"/>
      <c r="GYD7" s="36"/>
      <c r="GYE7" s="37"/>
      <c r="GYF7" s="36"/>
      <c r="GYG7" s="37"/>
      <c r="GYH7" s="36"/>
      <c r="GYI7" s="37"/>
      <c r="GYJ7" s="36"/>
      <c r="GYK7" s="37"/>
      <c r="GYL7" s="36"/>
      <c r="GYM7" s="37"/>
      <c r="GYN7" s="36"/>
      <c r="GYO7" s="37"/>
      <c r="GYP7" s="36"/>
      <c r="GYQ7" s="36"/>
      <c r="GYR7" s="37"/>
      <c r="GYS7" s="37"/>
      <c r="GYU7" s="22"/>
      <c r="GYV7" s="35"/>
      <c r="GYW7" s="36"/>
      <c r="GYX7" s="37"/>
      <c r="GYY7" s="36"/>
      <c r="GYZ7" s="37"/>
      <c r="GZA7" s="36"/>
      <c r="GZB7" s="37"/>
      <c r="GZC7" s="36"/>
      <c r="GZD7" s="37"/>
      <c r="GZE7" s="36"/>
      <c r="GZF7" s="37"/>
      <c r="GZG7" s="36"/>
      <c r="GZH7" s="37"/>
      <c r="GZI7" s="36"/>
      <c r="GZJ7" s="37"/>
      <c r="GZK7" s="36"/>
      <c r="GZL7" s="37"/>
      <c r="GZM7" s="36"/>
      <c r="GZN7" s="37"/>
      <c r="GZO7" s="36"/>
      <c r="GZP7" s="36"/>
      <c r="GZQ7" s="37"/>
      <c r="GZR7" s="37"/>
      <c r="GZT7" s="22"/>
      <c r="GZU7" s="35"/>
      <c r="GZV7" s="36"/>
      <c r="GZW7" s="37"/>
      <c r="GZX7" s="36"/>
      <c r="GZY7" s="37"/>
      <c r="GZZ7" s="36"/>
      <c r="HAA7" s="37"/>
      <c r="HAB7" s="36"/>
      <c r="HAC7" s="37"/>
      <c r="HAD7" s="36"/>
      <c r="HAE7" s="37"/>
      <c r="HAF7" s="36"/>
      <c r="HAG7" s="37"/>
      <c r="HAH7" s="36"/>
      <c r="HAI7" s="37"/>
      <c r="HAJ7" s="36"/>
      <c r="HAK7" s="37"/>
      <c r="HAL7" s="36"/>
      <c r="HAM7" s="37"/>
      <c r="HAN7" s="36"/>
      <c r="HAO7" s="36"/>
      <c r="HAP7" s="37"/>
      <c r="HAQ7" s="37"/>
      <c r="HAS7" s="22"/>
      <c r="HAT7" s="35"/>
      <c r="HAU7" s="36"/>
      <c r="HAV7" s="37"/>
      <c r="HAW7" s="36"/>
      <c r="HAX7" s="37"/>
      <c r="HAY7" s="36"/>
      <c r="HAZ7" s="37"/>
      <c r="HBA7" s="36"/>
      <c r="HBB7" s="37"/>
      <c r="HBC7" s="36"/>
      <c r="HBD7" s="37"/>
      <c r="HBE7" s="36"/>
      <c r="HBF7" s="37"/>
      <c r="HBG7" s="36"/>
      <c r="HBH7" s="37"/>
      <c r="HBI7" s="36"/>
      <c r="HBJ7" s="37"/>
      <c r="HBK7" s="36"/>
      <c r="HBL7" s="37"/>
      <c r="HBM7" s="36"/>
      <c r="HBN7" s="36"/>
      <c r="HBO7" s="37"/>
      <c r="HBP7" s="37"/>
      <c r="HBR7" s="22"/>
      <c r="HBS7" s="35"/>
      <c r="HBT7" s="36"/>
      <c r="HBU7" s="37"/>
      <c r="HBV7" s="36"/>
      <c r="HBW7" s="37"/>
      <c r="HBX7" s="36"/>
      <c r="HBY7" s="37"/>
      <c r="HBZ7" s="36"/>
      <c r="HCA7" s="37"/>
      <c r="HCB7" s="36"/>
      <c r="HCC7" s="37"/>
      <c r="HCD7" s="36"/>
      <c r="HCE7" s="37"/>
      <c r="HCF7" s="36"/>
      <c r="HCG7" s="37"/>
      <c r="HCH7" s="36"/>
      <c r="HCI7" s="37"/>
      <c r="HCJ7" s="36"/>
      <c r="HCK7" s="37"/>
      <c r="HCL7" s="36"/>
      <c r="HCM7" s="36"/>
      <c r="HCN7" s="37"/>
      <c r="HCO7" s="37"/>
      <c r="HCQ7" s="22"/>
      <c r="HCR7" s="35"/>
      <c r="HCS7" s="36"/>
      <c r="HCT7" s="37"/>
      <c r="HCU7" s="36"/>
      <c r="HCV7" s="37"/>
      <c r="HCW7" s="36"/>
      <c r="HCX7" s="37"/>
      <c r="HCY7" s="36"/>
      <c r="HCZ7" s="37"/>
      <c r="HDA7" s="36"/>
      <c r="HDB7" s="37"/>
      <c r="HDC7" s="36"/>
      <c r="HDD7" s="37"/>
      <c r="HDE7" s="36"/>
      <c r="HDF7" s="37"/>
      <c r="HDG7" s="36"/>
      <c r="HDH7" s="37"/>
      <c r="HDI7" s="36"/>
      <c r="HDJ7" s="37"/>
      <c r="HDK7" s="36"/>
      <c r="HDL7" s="36"/>
      <c r="HDM7" s="37"/>
      <c r="HDN7" s="37"/>
      <c r="HDP7" s="22"/>
      <c r="HDQ7" s="35"/>
      <c r="HDR7" s="36"/>
      <c r="HDS7" s="37"/>
      <c r="HDT7" s="36"/>
      <c r="HDU7" s="37"/>
      <c r="HDV7" s="36"/>
      <c r="HDW7" s="37"/>
      <c r="HDX7" s="36"/>
      <c r="HDY7" s="37"/>
      <c r="HDZ7" s="36"/>
      <c r="HEA7" s="37"/>
      <c r="HEB7" s="36"/>
      <c r="HEC7" s="37"/>
      <c r="HED7" s="36"/>
      <c r="HEE7" s="37"/>
      <c r="HEF7" s="36"/>
      <c r="HEG7" s="37"/>
      <c r="HEH7" s="36"/>
      <c r="HEI7" s="37"/>
      <c r="HEJ7" s="36"/>
      <c r="HEK7" s="36"/>
      <c r="HEL7" s="37"/>
      <c r="HEM7" s="37"/>
      <c r="HEO7" s="22"/>
      <c r="HEP7" s="35"/>
      <c r="HEQ7" s="36"/>
      <c r="HER7" s="37"/>
      <c r="HES7" s="36"/>
      <c r="HET7" s="37"/>
      <c r="HEU7" s="36"/>
      <c r="HEV7" s="37"/>
      <c r="HEW7" s="36"/>
      <c r="HEX7" s="37"/>
      <c r="HEY7" s="36"/>
      <c r="HEZ7" s="37"/>
      <c r="HFA7" s="36"/>
      <c r="HFB7" s="37"/>
      <c r="HFC7" s="36"/>
      <c r="HFD7" s="37"/>
      <c r="HFE7" s="36"/>
      <c r="HFF7" s="37"/>
      <c r="HFG7" s="36"/>
      <c r="HFH7" s="37"/>
      <c r="HFI7" s="36"/>
      <c r="HFJ7" s="36"/>
      <c r="HFK7" s="37"/>
      <c r="HFL7" s="37"/>
      <c r="HFN7" s="22"/>
      <c r="HFO7" s="35"/>
      <c r="HFP7" s="36"/>
      <c r="HFQ7" s="37"/>
      <c r="HFR7" s="36"/>
      <c r="HFS7" s="37"/>
      <c r="HFT7" s="36"/>
      <c r="HFU7" s="37"/>
      <c r="HFV7" s="36"/>
      <c r="HFW7" s="37"/>
      <c r="HFX7" s="36"/>
      <c r="HFY7" s="37"/>
      <c r="HFZ7" s="36"/>
      <c r="HGA7" s="37"/>
      <c r="HGB7" s="36"/>
      <c r="HGC7" s="37"/>
      <c r="HGD7" s="36"/>
      <c r="HGE7" s="37"/>
      <c r="HGF7" s="36"/>
      <c r="HGG7" s="37"/>
      <c r="HGH7" s="36"/>
      <c r="HGI7" s="36"/>
      <c r="HGJ7" s="37"/>
      <c r="HGK7" s="37"/>
      <c r="HGM7" s="22"/>
      <c r="HGN7" s="35"/>
      <c r="HGO7" s="36"/>
      <c r="HGP7" s="37"/>
      <c r="HGQ7" s="36"/>
      <c r="HGR7" s="37"/>
      <c r="HGS7" s="36"/>
      <c r="HGT7" s="37"/>
      <c r="HGU7" s="36"/>
      <c r="HGV7" s="37"/>
      <c r="HGW7" s="36"/>
      <c r="HGX7" s="37"/>
      <c r="HGY7" s="36"/>
      <c r="HGZ7" s="37"/>
      <c r="HHA7" s="36"/>
      <c r="HHB7" s="37"/>
      <c r="HHC7" s="36"/>
      <c r="HHD7" s="37"/>
      <c r="HHE7" s="36"/>
      <c r="HHF7" s="37"/>
      <c r="HHG7" s="36"/>
      <c r="HHH7" s="36"/>
      <c r="HHI7" s="37"/>
      <c r="HHJ7" s="37"/>
      <c r="HHL7" s="22"/>
      <c r="HHM7" s="35"/>
      <c r="HHN7" s="36"/>
      <c r="HHO7" s="37"/>
      <c r="HHP7" s="36"/>
      <c r="HHQ7" s="37"/>
      <c r="HHR7" s="36"/>
      <c r="HHS7" s="37"/>
      <c r="HHT7" s="36"/>
      <c r="HHU7" s="37"/>
      <c r="HHV7" s="36"/>
      <c r="HHW7" s="37"/>
      <c r="HHX7" s="36"/>
      <c r="HHY7" s="37"/>
      <c r="HHZ7" s="36"/>
      <c r="HIA7" s="37"/>
      <c r="HIB7" s="36"/>
      <c r="HIC7" s="37"/>
      <c r="HID7" s="36"/>
      <c r="HIE7" s="37"/>
      <c r="HIF7" s="36"/>
      <c r="HIG7" s="36"/>
      <c r="HIH7" s="37"/>
      <c r="HII7" s="37"/>
      <c r="HIK7" s="22"/>
      <c r="HIL7" s="35"/>
      <c r="HIM7" s="36"/>
      <c r="HIN7" s="37"/>
      <c r="HIO7" s="36"/>
      <c r="HIP7" s="37"/>
      <c r="HIQ7" s="36"/>
      <c r="HIR7" s="37"/>
      <c r="HIS7" s="36"/>
      <c r="HIT7" s="37"/>
      <c r="HIU7" s="36"/>
      <c r="HIV7" s="37"/>
      <c r="HIW7" s="36"/>
      <c r="HIX7" s="37"/>
      <c r="HIY7" s="36"/>
      <c r="HIZ7" s="37"/>
      <c r="HJA7" s="36"/>
      <c r="HJB7" s="37"/>
      <c r="HJC7" s="36"/>
      <c r="HJD7" s="37"/>
      <c r="HJE7" s="36"/>
      <c r="HJF7" s="36"/>
      <c r="HJG7" s="37"/>
      <c r="HJH7" s="37"/>
      <c r="HJJ7" s="22"/>
      <c r="HJK7" s="35"/>
      <c r="HJL7" s="36"/>
      <c r="HJM7" s="37"/>
      <c r="HJN7" s="36"/>
      <c r="HJO7" s="37"/>
      <c r="HJP7" s="36"/>
      <c r="HJQ7" s="37"/>
      <c r="HJR7" s="36"/>
      <c r="HJS7" s="37"/>
      <c r="HJT7" s="36"/>
      <c r="HJU7" s="37"/>
      <c r="HJV7" s="36"/>
      <c r="HJW7" s="37"/>
      <c r="HJX7" s="36"/>
      <c r="HJY7" s="37"/>
      <c r="HJZ7" s="36"/>
      <c r="HKA7" s="37"/>
      <c r="HKB7" s="36"/>
      <c r="HKC7" s="37"/>
      <c r="HKD7" s="36"/>
      <c r="HKE7" s="36"/>
      <c r="HKF7" s="37"/>
      <c r="HKG7" s="37"/>
      <c r="HKI7" s="22"/>
      <c r="HKJ7" s="35"/>
      <c r="HKK7" s="36"/>
      <c r="HKL7" s="37"/>
      <c r="HKM7" s="36"/>
      <c r="HKN7" s="37"/>
      <c r="HKO7" s="36"/>
      <c r="HKP7" s="37"/>
      <c r="HKQ7" s="36"/>
      <c r="HKR7" s="37"/>
      <c r="HKS7" s="36"/>
      <c r="HKT7" s="37"/>
      <c r="HKU7" s="36"/>
      <c r="HKV7" s="37"/>
      <c r="HKW7" s="36"/>
      <c r="HKX7" s="37"/>
      <c r="HKY7" s="36"/>
      <c r="HKZ7" s="37"/>
      <c r="HLA7" s="36"/>
      <c r="HLB7" s="37"/>
      <c r="HLC7" s="36"/>
      <c r="HLD7" s="36"/>
      <c r="HLE7" s="37"/>
      <c r="HLF7" s="37"/>
      <c r="HLH7" s="22"/>
      <c r="HLI7" s="35"/>
      <c r="HLJ7" s="36"/>
      <c r="HLK7" s="37"/>
      <c r="HLL7" s="36"/>
      <c r="HLM7" s="37"/>
      <c r="HLN7" s="36"/>
      <c r="HLO7" s="37"/>
      <c r="HLP7" s="36"/>
      <c r="HLQ7" s="37"/>
      <c r="HLR7" s="36"/>
      <c r="HLS7" s="37"/>
      <c r="HLT7" s="36"/>
      <c r="HLU7" s="37"/>
      <c r="HLV7" s="36"/>
      <c r="HLW7" s="37"/>
      <c r="HLX7" s="36"/>
      <c r="HLY7" s="37"/>
      <c r="HLZ7" s="36"/>
      <c r="HMA7" s="37"/>
      <c r="HMB7" s="36"/>
      <c r="HMC7" s="36"/>
      <c r="HMD7" s="37"/>
      <c r="HME7" s="37"/>
      <c r="HMG7" s="22"/>
      <c r="HMH7" s="35"/>
      <c r="HMI7" s="36"/>
      <c r="HMJ7" s="37"/>
      <c r="HMK7" s="36"/>
      <c r="HML7" s="37"/>
      <c r="HMM7" s="36"/>
      <c r="HMN7" s="37"/>
      <c r="HMO7" s="36"/>
      <c r="HMP7" s="37"/>
      <c r="HMQ7" s="36"/>
      <c r="HMR7" s="37"/>
      <c r="HMS7" s="36"/>
      <c r="HMT7" s="37"/>
      <c r="HMU7" s="36"/>
      <c r="HMV7" s="37"/>
      <c r="HMW7" s="36"/>
      <c r="HMX7" s="37"/>
      <c r="HMY7" s="36"/>
      <c r="HMZ7" s="37"/>
      <c r="HNA7" s="36"/>
      <c r="HNB7" s="36"/>
      <c r="HNC7" s="37"/>
      <c r="HND7" s="37"/>
      <c r="HNF7" s="22"/>
      <c r="HNG7" s="35"/>
      <c r="HNH7" s="36"/>
      <c r="HNI7" s="37"/>
      <c r="HNJ7" s="36"/>
      <c r="HNK7" s="37"/>
      <c r="HNL7" s="36"/>
      <c r="HNM7" s="37"/>
      <c r="HNN7" s="36"/>
      <c r="HNO7" s="37"/>
      <c r="HNP7" s="36"/>
      <c r="HNQ7" s="37"/>
      <c r="HNR7" s="36"/>
      <c r="HNS7" s="37"/>
      <c r="HNT7" s="36"/>
      <c r="HNU7" s="37"/>
      <c r="HNV7" s="36"/>
      <c r="HNW7" s="37"/>
      <c r="HNX7" s="36"/>
      <c r="HNY7" s="37"/>
      <c r="HNZ7" s="36"/>
      <c r="HOA7" s="36"/>
      <c r="HOB7" s="37"/>
      <c r="HOC7" s="37"/>
      <c r="HOE7" s="22"/>
      <c r="HOF7" s="35"/>
      <c r="HOG7" s="36"/>
      <c r="HOH7" s="37"/>
      <c r="HOI7" s="36"/>
      <c r="HOJ7" s="37"/>
      <c r="HOK7" s="36"/>
      <c r="HOL7" s="37"/>
      <c r="HOM7" s="36"/>
      <c r="HON7" s="37"/>
      <c r="HOO7" s="36"/>
      <c r="HOP7" s="37"/>
      <c r="HOQ7" s="36"/>
      <c r="HOR7" s="37"/>
      <c r="HOS7" s="36"/>
      <c r="HOT7" s="37"/>
      <c r="HOU7" s="36"/>
      <c r="HOV7" s="37"/>
      <c r="HOW7" s="36"/>
      <c r="HOX7" s="37"/>
      <c r="HOY7" s="36"/>
      <c r="HOZ7" s="36"/>
      <c r="HPA7" s="37"/>
      <c r="HPB7" s="37"/>
      <c r="HPD7" s="22"/>
      <c r="HPE7" s="35"/>
      <c r="HPF7" s="36"/>
      <c r="HPG7" s="37"/>
      <c r="HPH7" s="36"/>
      <c r="HPI7" s="37"/>
      <c r="HPJ7" s="36"/>
      <c r="HPK7" s="37"/>
      <c r="HPL7" s="36"/>
      <c r="HPM7" s="37"/>
      <c r="HPN7" s="36"/>
      <c r="HPO7" s="37"/>
      <c r="HPP7" s="36"/>
      <c r="HPQ7" s="37"/>
      <c r="HPR7" s="36"/>
      <c r="HPS7" s="37"/>
      <c r="HPT7" s="36"/>
      <c r="HPU7" s="37"/>
      <c r="HPV7" s="36"/>
      <c r="HPW7" s="37"/>
      <c r="HPX7" s="36"/>
      <c r="HPY7" s="36"/>
      <c r="HPZ7" s="37"/>
      <c r="HQA7" s="37"/>
      <c r="HQC7" s="22"/>
      <c r="HQD7" s="35"/>
      <c r="HQE7" s="36"/>
      <c r="HQF7" s="37"/>
      <c r="HQG7" s="36"/>
      <c r="HQH7" s="37"/>
      <c r="HQI7" s="36"/>
      <c r="HQJ7" s="37"/>
      <c r="HQK7" s="36"/>
      <c r="HQL7" s="37"/>
      <c r="HQM7" s="36"/>
      <c r="HQN7" s="37"/>
      <c r="HQO7" s="36"/>
      <c r="HQP7" s="37"/>
      <c r="HQQ7" s="36"/>
      <c r="HQR7" s="37"/>
      <c r="HQS7" s="36"/>
      <c r="HQT7" s="37"/>
      <c r="HQU7" s="36"/>
      <c r="HQV7" s="37"/>
      <c r="HQW7" s="36"/>
      <c r="HQX7" s="36"/>
      <c r="HQY7" s="37"/>
      <c r="HQZ7" s="37"/>
      <c r="HRB7" s="22"/>
      <c r="HRC7" s="35"/>
      <c r="HRD7" s="36"/>
      <c r="HRE7" s="37"/>
      <c r="HRF7" s="36"/>
      <c r="HRG7" s="37"/>
      <c r="HRH7" s="36"/>
      <c r="HRI7" s="37"/>
      <c r="HRJ7" s="36"/>
      <c r="HRK7" s="37"/>
      <c r="HRL7" s="36"/>
      <c r="HRM7" s="37"/>
      <c r="HRN7" s="36"/>
      <c r="HRO7" s="37"/>
      <c r="HRP7" s="36"/>
      <c r="HRQ7" s="37"/>
      <c r="HRR7" s="36"/>
      <c r="HRS7" s="37"/>
      <c r="HRT7" s="36"/>
      <c r="HRU7" s="37"/>
      <c r="HRV7" s="36"/>
      <c r="HRW7" s="36"/>
      <c r="HRX7" s="37"/>
      <c r="HRY7" s="37"/>
      <c r="HSA7" s="22"/>
      <c r="HSB7" s="35"/>
      <c r="HSC7" s="36"/>
      <c r="HSD7" s="37"/>
      <c r="HSE7" s="36"/>
      <c r="HSF7" s="37"/>
      <c r="HSG7" s="36"/>
      <c r="HSH7" s="37"/>
      <c r="HSI7" s="36"/>
      <c r="HSJ7" s="37"/>
      <c r="HSK7" s="36"/>
      <c r="HSL7" s="37"/>
      <c r="HSM7" s="36"/>
      <c r="HSN7" s="37"/>
      <c r="HSO7" s="36"/>
      <c r="HSP7" s="37"/>
      <c r="HSQ7" s="36"/>
      <c r="HSR7" s="37"/>
      <c r="HSS7" s="36"/>
      <c r="HST7" s="37"/>
      <c r="HSU7" s="36"/>
      <c r="HSV7" s="36"/>
      <c r="HSW7" s="37"/>
      <c r="HSX7" s="37"/>
      <c r="HSZ7" s="22"/>
      <c r="HTA7" s="35"/>
      <c r="HTB7" s="36"/>
      <c r="HTC7" s="37"/>
      <c r="HTD7" s="36"/>
      <c r="HTE7" s="37"/>
      <c r="HTF7" s="36"/>
      <c r="HTG7" s="37"/>
      <c r="HTH7" s="36"/>
      <c r="HTI7" s="37"/>
      <c r="HTJ7" s="36"/>
      <c r="HTK7" s="37"/>
      <c r="HTL7" s="36"/>
      <c r="HTM7" s="37"/>
      <c r="HTN7" s="36"/>
      <c r="HTO7" s="37"/>
      <c r="HTP7" s="36"/>
      <c r="HTQ7" s="37"/>
      <c r="HTR7" s="36"/>
      <c r="HTS7" s="37"/>
      <c r="HTT7" s="36"/>
      <c r="HTU7" s="36"/>
      <c r="HTV7" s="37"/>
      <c r="HTW7" s="37"/>
      <c r="HTY7" s="22"/>
      <c r="HTZ7" s="35"/>
      <c r="HUA7" s="36"/>
      <c r="HUB7" s="37"/>
      <c r="HUC7" s="36"/>
      <c r="HUD7" s="37"/>
      <c r="HUE7" s="36"/>
      <c r="HUF7" s="37"/>
      <c r="HUG7" s="36"/>
      <c r="HUH7" s="37"/>
      <c r="HUI7" s="36"/>
      <c r="HUJ7" s="37"/>
      <c r="HUK7" s="36"/>
      <c r="HUL7" s="37"/>
      <c r="HUM7" s="36"/>
      <c r="HUN7" s="37"/>
      <c r="HUO7" s="36"/>
      <c r="HUP7" s="37"/>
      <c r="HUQ7" s="36"/>
      <c r="HUR7" s="37"/>
      <c r="HUS7" s="36"/>
      <c r="HUT7" s="36"/>
      <c r="HUU7" s="37"/>
      <c r="HUV7" s="37"/>
      <c r="HUX7" s="22"/>
      <c r="HUY7" s="35"/>
      <c r="HUZ7" s="36"/>
      <c r="HVA7" s="37"/>
      <c r="HVB7" s="36"/>
      <c r="HVC7" s="37"/>
      <c r="HVD7" s="36"/>
      <c r="HVE7" s="37"/>
      <c r="HVF7" s="36"/>
      <c r="HVG7" s="37"/>
      <c r="HVH7" s="36"/>
      <c r="HVI7" s="37"/>
      <c r="HVJ7" s="36"/>
      <c r="HVK7" s="37"/>
      <c r="HVL7" s="36"/>
      <c r="HVM7" s="37"/>
      <c r="HVN7" s="36"/>
      <c r="HVO7" s="37"/>
      <c r="HVP7" s="36"/>
      <c r="HVQ7" s="37"/>
      <c r="HVR7" s="36"/>
      <c r="HVS7" s="36"/>
      <c r="HVT7" s="37"/>
      <c r="HVU7" s="37"/>
      <c r="HVW7" s="22"/>
      <c r="HVX7" s="35"/>
      <c r="HVY7" s="36"/>
      <c r="HVZ7" s="37"/>
      <c r="HWA7" s="36"/>
      <c r="HWB7" s="37"/>
      <c r="HWC7" s="36"/>
      <c r="HWD7" s="37"/>
      <c r="HWE7" s="36"/>
      <c r="HWF7" s="37"/>
      <c r="HWG7" s="36"/>
      <c r="HWH7" s="37"/>
      <c r="HWI7" s="36"/>
      <c r="HWJ7" s="37"/>
      <c r="HWK7" s="36"/>
      <c r="HWL7" s="37"/>
      <c r="HWM7" s="36"/>
      <c r="HWN7" s="37"/>
      <c r="HWO7" s="36"/>
      <c r="HWP7" s="37"/>
      <c r="HWQ7" s="36"/>
      <c r="HWR7" s="36"/>
      <c r="HWS7" s="37"/>
      <c r="HWT7" s="37"/>
      <c r="HWV7" s="22"/>
      <c r="HWW7" s="35"/>
      <c r="HWX7" s="36"/>
      <c r="HWY7" s="37"/>
      <c r="HWZ7" s="36"/>
      <c r="HXA7" s="37"/>
      <c r="HXB7" s="36"/>
      <c r="HXC7" s="37"/>
      <c r="HXD7" s="36"/>
      <c r="HXE7" s="37"/>
      <c r="HXF7" s="36"/>
      <c r="HXG7" s="37"/>
      <c r="HXH7" s="36"/>
      <c r="HXI7" s="37"/>
      <c r="HXJ7" s="36"/>
      <c r="HXK7" s="37"/>
      <c r="HXL7" s="36"/>
      <c r="HXM7" s="37"/>
      <c r="HXN7" s="36"/>
      <c r="HXO7" s="37"/>
      <c r="HXP7" s="36"/>
      <c r="HXQ7" s="36"/>
      <c r="HXR7" s="37"/>
      <c r="HXS7" s="37"/>
      <c r="HXU7" s="22"/>
      <c r="HXV7" s="35"/>
      <c r="HXW7" s="36"/>
      <c r="HXX7" s="37"/>
      <c r="HXY7" s="36"/>
      <c r="HXZ7" s="37"/>
      <c r="HYA7" s="36"/>
      <c r="HYB7" s="37"/>
      <c r="HYC7" s="36"/>
      <c r="HYD7" s="37"/>
      <c r="HYE7" s="36"/>
      <c r="HYF7" s="37"/>
      <c r="HYG7" s="36"/>
      <c r="HYH7" s="37"/>
      <c r="HYI7" s="36"/>
      <c r="HYJ7" s="37"/>
      <c r="HYK7" s="36"/>
      <c r="HYL7" s="37"/>
      <c r="HYM7" s="36"/>
      <c r="HYN7" s="37"/>
      <c r="HYO7" s="36"/>
      <c r="HYP7" s="36"/>
      <c r="HYQ7" s="37"/>
      <c r="HYR7" s="37"/>
      <c r="HYT7" s="22"/>
      <c r="HYU7" s="35"/>
      <c r="HYV7" s="36"/>
      <c r="HYW7" s="37"/>
      <c r="HYX7" s="36"/>
      <c r="HYY7" s="37"/>
      <c r="HYZ7" s="36"/>
      <c r="HZA7" s="37"/>
      <c r="HZB7" s="36"/>
      <c r="HZC7" s="37"/>
      <c r="HZD7" s="36"/>
      <c r="HZE7" s="37"/>
      <c r="HZF7" s="36"/>
      <c r="HZG7" s="37"/>
      <c r="HZH7" s="36"/>
      <c r="HZI7" s="37"/>
      <c r="HZJ7" s="36"/>
      <c r="HZK7" s="37"/>
      <c r="HZL7" s="36"/>
      <c r="HZM7" s="37"/>
      <c r="HZN7" s="36"/>
      <c r="HZO7" s="36"/>
      <c r="HZP7" s="37"/>
      <c r="HZQ7" s="37"/>
      <c r="HZS7" s="22"/>
      <c r="HZT7" s="35"/>
      <c r="HZU7" s="36"/>
      <c r="HZV7" s="37"/>
      <c r="HZW7" s="36"/>
      <c r="HZX7" s="37"/>
      <c r="HZY7" s="36"/>
      <c r="HZZ7" s="37"/>
      <c r="IAA7" s="36"/>
      <c r="IAB7" s="37"/>
      <c r="IAC7" s="36"/>
      <c r="IAD7" s="37"/>
      <c r="IAE7" s="36"/>
      <c r="IAF7" s="37"/>
      <c r="IAG7" s="36"/>
      <c r="IAH7" s="37"/>
      <c r="IAI7" s="36"/>
      <c r="IAJ7" s="37"/>
      <c r="IAK7" s="36"/>
      <c r="IAL7" s="37"/>
      <c r="IAM7" s="36"/>
      <c r="IAN7" s="36"/>
      <c r="IAO7" s="37"/>
      <c r="IAP7" s="37"/>
      <c r="IAR7" s="22"/>
      <c r="IAS7" s="35"/>
      <c r="IAT7" s="36"/>
      <c r="IAU7" s="37"/>
      <c r="IAV7" s="36"/>
      <c r="IAW7" s="37"/>
      <c r="IAX7" s="36"/>
      <c r="IAY7" s="37"/>
      <c r="IAZ7" s="36"/>
      <c r="IBA7" s="37"/>
      <c r="IBB7" s="36"/>
      <c r="IBC7" s="37"/>
      <c r="IBD7" s="36"/>
      <c r="IBE7" s="37"/>
      <c r="IBF7" s="36"/>
      <c r="IBG7" s="37"/>
      <c r="IBH7" s="36"/>
      <c r="IBI7" s="37"/>
      <c r="IBJ7" s="36"/>
      <c r="IBK7" s="37"/>
      <c r="IBL7" s="36"/>
      <c r="IBM7" s="36"/>
      <c r="IBN7" s="37"/>
      <c r="IBO7" s="37"/>
      <c r="IBQ7" s="22"/>
      <c r="IBR7" s="35"/>
      <c r="IBS7" s="36"/>
      <c r="IBT7" s="37"/>
      <c r="IBU7" s="36"/>
      <c r="IBV7" s="37"/>
      <c r="IBW7" s="36"/>
      <c r="IBX7" s="37"/>
      <c r="IBY7" s="36"/>
      <c r="IBZ7" s="37"/>
      <c r="ICA7" s="36"/>
      <c r="ICB7" s="37"/>
      <c r="ICC7" s="36"/>
      <c r="ICD7" s="37"/>
      <c r="ICE7" s="36"/>
      <c r="ICF7" s="37"/>
      <c r="ICG7" s="36"/>
      <c r="ICH7" s="37"/>
      <c r="ICI7" s="36"/>
      <c r="ICJ7" s="37"/>
      <c r="ICK7" s="36"/>
      <c r="ICL7" s="36"/>
      <c r="ICM7" s="37"/>
      <c r="ICN7" s="37"/>
      <c r="ICP7" s="22"/>
      <c r="ICQ7" s="35"/>
      <c r="ICR7" s="36"/>
      <c r="ICS7" s="37"/>
      <c r="ICT7" s="36"/>
      <c r="ICU7" s="37"/>
      <c r="ICV7" s="36"/>
      <c r="ICW7" s="37"/>
      <c r="ICX7" s="36"/>
      <c r="ICY7" s="37"/>
      <c r="ICZ7" s="36"/>
      <c r="IDA7" s="37"/>
      <c r="IDB7" s="36"/>
      <c r="IDC7" s="37"/>
      <c r="IDD7" s="36"/>
      <c r="IDE7" s="37"/>
      <c r="IDF7" s="36"/>
      <c r="IDG7" s="37"/>
      <c r="IDH7" s="36"/>
      <c r="IDI7" s="37"/>
      <c r="IDJ7" s="36"/>
      <c r="IDK7" s="36"/>
      <c r="IDL7" s="37"/>
      <c r="IDM7" s="37"/>
      <c r="IDO7" s="22"/>
      <c r="IDP7" s="35"/>
      <c r="IDQ7" s="36"/>
      <c r="IDR7" s="37"/>
      <c r="IDS7" s="36"/>
      <c r="IDT7" s="37"/>
      <c r="IDU7" s="36"/>
      <c r="IDV7" s="37"/>
      <c r="IDW7" s="36"/>
      <c r="IDX7" s="37"/>
      <c r="IDY7" s="36"/>
      <c r="IDZ7" s="37"/>
      <c r="IEA7" s="36"/>
      <c r="IEB7" s="37"/>
      <c r="IEC7" s="36"/>
      <c r="IED7" s="37"/>
      <c r="IEE7" s="36"/>
      <c r="IEF7" s="37"/>
      <c r="IEG7" s="36"/>
      <c r="IEH7" s="37"/>
      <c r="IEI7" s="36"/>
      <c r="IEJ7" s="36"/>
      <c r="IEK7" s="37"/>
      <c r="IEL7" s="37"/>
      <c r="IEN7" s="22"/>
      <c r="IEO7" s="35"/>
      <c r="IEP7" s="36"/>
      <c r="IEQ7" s="37"/>
      <c r="IER7" s="36"/>
      <c r="IES7" s="37"/>
      <c r="IET7" s="36"/>
      <c r="IEU7" s="37"/>
      <c r="IEV7" s="36"/>
      <c r="IEW7" s="37"/>
      <c r="IEX7" s="36"/>
      <c r="IEY7" s="37"/>
      <c r="IEZ7" s="36"/>
      <c r="IFA7" s="37"/>
      <c r="IFB7" s="36"/>
      <c r="IFC7" s="37"/>
      <c r="IFD7" s="36"/>
      <c r="IFE7" s="37"/>
      <c r="IFF7" s="36"/>
      <c r="IFG7" s="37"/>
      <c r="IFH7" s="36"/>
      <c r="IFI7" s="36"/>
      <c r="IFJ7" s="37"/>
      <c r="IFK7" s="37"/>
      <c r="IFM7" s="22"/>
      <c r="IFN7" s="35"/>
      <c r="IFO7" s="36"/>
      <c r="IFP7" s="37"/>
      <c r="IFQ7" s="36"/>
      <c r="IFR7" s="37"/>
      <c r="IFS7" s="36"/>
      <c r="IFT7" s="37"/>
      <c r="IFU7" s="36"/>
      <c r="IFV7" s="37"/>
      <c r="IFW7" s="36"/>
      <c r="IFX7" s="37"/>
      <c r="IFY7" s="36"/>
      <c r="IFZ7" s="37"/>
      <c r="IGA7" s="36"/>
      <c r="IGB7" s="37"/>
      <c r="IGC7" s="36"/>
      <c r="IGD7" s="37"/>
      <c r="IGE7" s="36"/>
      <c r="IGF7" s="37"/>
      <c r="IGG7" s="36"/>
      <c r="IGH7" s="36"/>
      <c r="IGI7" s="37"/>
      <c r="IGJ7" s="37"/>
      <c r="IGL7" s="22"/>
      <c r="IGM7" s="35"/>
      <c r="IGN7" s="36"/>
      <c r="IGO7" s="37"/>
      <c r="IGP7" s="36"/>
      <c r="IGQ7" s="37"/>
      <c r="IGR7" s="36"/>
      <c r="IGS7" s="37"/>
      <c r="IGT7" s="36"/>
      <c r="IGU7" s="37"/>
      <c r="IGV7" s="36"/>
      <c r="IGW7" s="37"/>
      <c r="IGX7" s="36"/>
      <c r="IGY7" s="37"/>
      <c r="IGZ7" s="36"/>
      <c r="IHA7" s="37"/>
      <c r="IHB7" s="36"/>
      <c r="IHC7" s="37"/>
      <c r="IHD7" s="36"/>
      <c r="IHE7" s="37"/>
      <c r="IHF7" s="36"/>
      <c r="IHG7" s="36"/>
      <c r="IHH7" s="37"/>
      <c r="IHI7" s="37"/>
      <c r="IHK7" s="22"/>
      <c r="IHL7" s="35"/>
      <c r="IHM7" s="36"/>
      <c r="IHN7" s="37"/>
      <c r="IHO7" s="36"/>
      <c r="IHP7" s="37"/>
      <c r="IHQ7" s="36"/>
      <c r="IHR7" s="37"/>
      <c r="IHS7" s="36"/>
      <c r="IHT7" s="37"/>
      <c r="IHU7" s="36"/>
      <c r="IHV7" s="37"/>
      <c r="IHW7" s="36"/>
      <c r="IHX7" s="37"/>
      <c r="IHY7" s="36"/>
      <c r="IHZ7" s="37"/>
      <c r="IIA7" s="36"/>
      <c r="IIB7" s="37"/>
      <c r="IIC7" s="36"/>
      <c r="IID7" s="37"/>
      <c r="IIE7" s="36"/>
      <c r="IIF7" s="36"/>
      <c r="IIG7" s="37"/>
      <c r="IIH7" s="37"/>
      <c r="IIJ7" s="22"/>
      <c r="IIK7" s="35"/>
      <c r="IIL7" s="36"/>
      <c r="IIM7" s="37"/>
      <c r="IIN7" s="36"/>
      <c r="IIO7" s="37"/>
      <c r="IIP7" s="36"/>
      <c r="IIQ7" s="37"/>
      <c r="IIR7" s="36"/>
      <c r="IIS7" s="37"/>
      <c r="IIT7" s="36"/>
      <c r="IIU7" s="37"/>
      <c r="IIV7" s="36"/>
      <c r="IIW7" s="37"/>
      <c r="IIX7" s="36"/>
      <c r="IIY7" s="37"/>
      <c r="IIZ7" s="36"/>
      <c r="IJA7" s="37"/>
      <c r="IJB7" s="36"/>
      <c r="IJC7" s="37"/>
      <c r="IJD7" s="36"/>
      <c r="IJE7" s="36"/>
      <c r="IJF7" s="37"/>
      <c r="IJG7" s="37"/>
      <c r="IJI7" s="22"/>
      <c r="IJJ7" s="35"/>
      <c r="IJK7" s="36"/>
      <c r="IJL7" s="37"/>
      <c r="IJM7" s="36"/>
      <c r="IJN7" s="37"/>
      <c r="IJO7" s="36"/>
      <c r="IJP7" s="37"/>
      <c r="IJQ7" s="36"/>
      <c r="IJR7" s="37"/>
      <c r="IJS7" s="36"/>
      <c r="IJT7" s="37"/>
      <c r="IJU7" s="36"/>
      <c r="IJV7" s="37"/>
      <c r="IJW7" s="36"/>
      <c r="IJX7" s="37"/>
      <c r="IJY7" s="36"/>
      <c r="IJZ7" s="37"/>
      <c r="IKA7" s="36"/>
      <c r="IKB7" s="37"/>
      <c r="IKC7" s="36"/>
      <c r="IKD7" s="36"/>
      <c r="IKE7" s="37"/>
      <c r="IKF7" s="37"/>
      <c r="IKH7" s="22"/>
      <c r="IKI7" s="35"/>
      <c r="IKJ7" s="36"/>
      <c r="IKK7" s="37"/>
      <c r="IKL7" s="36"/>
      <c r="IKM7" s="37"/>
      <c r="IKN7" s="36"/>
      <c r="IKO7" s="37"/>
      <c r="IKP7" s="36"/>
      <c r="IKQ7" s="37"/>
      <c r="IKR7" s="36"/>
      <c r="IKS7" s="37"/>
      <c r="IKT7" s="36"/>
      <c r="IKU7" s="37"/>
      <c r="IKV7" s="36"/>
      <c r="IKW7" s="37"/>
      <c r="IKX7" s="36"/>
      <c r="IKY7" s="37"/>
      <c r="IKZ7" s="36"/>
      <c r="ILA7" s="37"/>
      <c r="ILB7" s="36"/>
      <c r="ILC7" s="36"/>
      <c r="ILD7" s="37"/>
      <c r="ILE7" s="37"/>
      <c r="ILG7" s="22"/>
      <c r="ILH7" s="35"/>
      <c r="ILI7" s="36"/>
      <c r="ILJ7" s="37"/>
      <c r="ILK7" s="36"/>
      <c r="ILL7" s="37"/>
      <c r="ILM7" s="36"/>
      <c r="ILN7" s="37"/>
      <c r="ILO7" s="36"/>
      <c r="ILP7" s="37"/>
      <c r="ILQ7" s="36"/>
      <c r="ILR7" s="37"/>
      <c r="ILS7" s="36"/>
      <c r="ILT7" s="37"/>
      <c r="ILU7" s="36"/>
      <c r="ILV7" s="37"/>
      <c r="ILW7" s="36"/>
      <c r="ILX7" s="37"/>
      <c r="ILY7" s="36"/>
      <c r="ILZ7" s="37"/>
      <c r="IMA7" s="36"/>
      <c r="IMB7" s="36"/>
      <c r="IMC7" s="37"/>
      <c r="IMD7" s="37"/>
      <c r="IMF7" s="22"/>
      <c r="IMG7" s="35"/>
      <c r="IMH7" s="36"/>
      <c r="IMI7" s="37"/>
      <c r="IMJ7" s="36"/>
      <c r="IMK7" s="37"/>
      <c r="IML7" s="36"/>
      <c r="IMM7" s="37"/>
      <c r="IMN7" s="36"/>
      <c r="IMO7" s="37"/>
      <c r="IMP7" s="36"/>
      <c r="IMQ7" s="37"/>
      <c r="IMR7" s="36"/>
      <c r="IMS7" s="37"/>
      <c r="IMT7" s="36"/>
      <c r="IMU7" s="37"/>
      <c r="IMV7" s="36"/>
      <c r="IMW7" s="37"/>
      <c r="IMX7" s="36"/>
      <c r="IMY7" s="37"/>
      <c r="IMZ7" s="36"/>
      <c r="INA7" s="36"/>
      <c r="INB7" s="37"/>
      <c r="INC7" s="37"/>
      <c r="INE7" s="22"/>
      <c r="INF7" s="35"/>
      <c r="ING7" s="36"/>
      <c r="INH7" s="37"/>
      <c r="INI7" s="36"/>
      <c r="INJ7" s="37"/>
      <c r="INK7" s="36"/>
      <c r="INL7" s="37"/>
      <c r="INM7" s="36"/>
      <c r="INN7" s="37"/>
      <c r="INO7" s="36"/>
      <c r="INP7" s="37"/>
      <c r="INQ7" s="36"/>
      <c r="INR7" s="37"/>
      <c r="INS7" s="36"/>
      <c r="INT7" s="37"/>
      <c r="INU7" s="36"/>
      <c r="INV7" s="37"/>
      <c r="INW7" s="36"/>
      <c r="INX7" s="37"/>
      <c r="INY7" s="36"/>
      <c r="INZ7" s="36"/>
      <c r="IOA7" s="37"/>
      <c r="IOB7" s="37"/>
      <c r="IOD7" s="22"/>
      <c r="IOE7" s="35"/>
      <c r="IOF7" s="36"/>
      <c r="IOG7" s="37"/>
      <c r="IOH7" s="36"/>
      <c r="IOI7" s="37"/>
      <c r="IOJ7" s="36"/>
      <c r="IOK7" s="37"/>
      <c r="IOL7" s="36"/>
      <c r="IOM7" s="37"/>
      <c r="ION7" s="36"/>
      <c r="IOO7" s="37"/>
      <c r="IOP7" s="36"/>
      <c r="IOQ7" s="37"/>
      <c r="IOR7" s="36"/>
      <c r="IOS7" s="37"/>
      <c r="IOT7" s="36"/>
      <c r="IOU7" s="37"/>
      <c r="IOV7" s="36"/>
      <c r="IOW7" s="37"/>
      <c r="IOX7" s="36"/>
      <c r="IOY7" s="36"/>
      <c r="IOZ7" s="37"/>
      <c r="IPA7" s="37"/>
      <c r="IPC7" s="22"/>
      <c r="IPD7" s="35"/>
      <c r="IPE7" s="36"/>
      <c r="IPF7" s="37"/>
      <c r="IPG7" s="36"/>
      <c r="IPH7" s="37"/>
      <c r="IPI7" s="36"/>
      <c r="IPJ7" s="37"/>
      <c r="IPK7" s="36"/>
      <c r="IPL7" s="37"/>
      <c r="IPM7" s="36"/>
      <c r="IPN7" s="37"/>
      <c r="IPO7" s="36"/>
      <c r="IPP7" s="37"/>
      <c r="IPQ7" s="36"/>
      <c r="IPR7" s="37"/>
      <c r="IPS7" s="36"/>
      <c r="IPT7" s="37"/>
      <c r="IPU7" s="36"/>
      <c r="IPV7" s="37"/>
      <c r="IPW7" s="36"/>
      <c r="IPX7" s="36"/>
      <c r="IPY7" s="37"/>
      <c r="IPZ7" s="37"/>
      <c r="IQB7" s="22"/>
      <c r="IQC7" s="35"/>
      <c r="IQD7" s="36"/>
      <c r="IQE7" s="37"/>
      <c r="IQF7" s="36"/>
      <c r="IQG7" s="37"/>
      <c r="IQH7" s="36"/>
      <c r="IQI7" s="37"/>
      <c r="IQJ7" s="36"/>
      <c r="IQK7" s="37"/>
      <c r="IQL7" s="36"/>
      <c r="IQM7" s="37"/>
      <c r="IQN7" s="36"/>
      <c r="IQO7" s="37"/>
      <c r="IQP7" s="36"/>
      <c r="IQQ7" s="37"/>
      <c r="IQR7" s="36"/>
      <c r="IQS7" s="37"/>
      <c r="IQT7" s="36"/>
      <c r="IQU7" s="37"/>
      <c r="IQV7" s="36"/>
      <c r="IQW7" s="36"/>
      <c r="IQX7" s="37"/>
      <c r="IQY7" s="37"/>
      <c r="IRA7" s="22"/>
      <c r="IRB7" s="35"/>
      <c r="IRC7" s="36"/>
      <c r="IRD7" s="37"/>
      <c r="IRE7" s="36"/>
      <c r="IRF7" s="37"/>
      <c r="IRG7" s="36"/>
      <c r="IRH7" s="37"/>
      <c r="IRI7" s="36"/>
      <c r="IRJ7" s="37"/>
      <c r="IRK7" s="36"/>
      <c r="IRL7" s="37"/>
      <c r="IRM7" s="36"/>
      <c r="IRN7" s="37"/>
      <c r="IRO7" s="36"/>
      <c r="IRP7" s="37"/>
      <c r="IRQ7" s="36"/>
      <c r="IRR7" s="37"/>
      <c r="IRS7" s="36"/>
      <c r="IRT7" s="37"/>
      <c r="IRU7" s="36"/>
      <c r="IRV7" s="36"/>
      <c r="IRW7" s="37"/>
      <c r="IRX7" s="37"/>
      <c r="IRZ7" s="22"/>
      <c r="ISA7" s="35"/>
      <c r="ISB7" s="36"/>
      <c r="ISC7" s="37"/>
      <c r="ISD7" s="36"/>
      <c r="ISE7" s="37"/>
      <c r="ISF7" s="36"/>
      <c r="ISG7" s="37"/>
      <c r="ISH7" s="36"/>
      <c r="ISI7" s="37"/>
      <c r="ISJ7" s="36"/>
      <c r="ISK7" s="37"/>
      <c r="ISL7" s="36"/>
      <c r="ISM7" s="37"/>
      <c r="ISN7" s="36"/>
      <c r="ISO7" s="37"/>
      <c r="ISP7" s="36"/>
      <c r="ISQ7" s="37"/>
      <c r="ISR7" s="36"/>
      <c r="ISS7" s="37"/>
      <c r="IST7" s="36"/>
      <c r="ISU7" s="36"/>
      <c r="ISV7" s="37"/>
      <c r="ISW7" s="37"/>
      <c r="ISY7" s="22"/>
      <c r="ISZ7" s="35"/>
      <c r="ITA7" s="36"/>
      <c r="ITB7" s="37"/>
      <c r="ITC7" s="36"/>
      <c r="ITD7" s="37"/>
      <c r="ITE7" s="36"/>
      <c r="ITF7" s="37"/>
      <c r="ITG7" s="36"/>
      <c r="ITH7" s="37"/>
      <c r="ITI7" s="36"/>
      <c r="ITJ7" s="37"/>
      <c r="ITK7" s="36"/>
      <c r="ITL7" s="37"/>
      <c r="ITM7" s="36"/>
      <c r="ITN7" s="37"/>
      <c r="ITO7" s="36"/>
      <c r="ITP7" s="37"/>
      <c r="ITQ7" s="36"/>
      <c r="ITR7" s="37"/>
      <c r="ITS7" s="36"/>
      <c r="ITT7" s="36"/>
      <c r="ITU7" s="37"/>
      <c r="ITV7" s="37"/>
      <c r="ITX7" s="22"/>
      <c r="ITY7" s="35"/>
      <c r="ITZ7" s="36"/>
      <c r="IUA7" s="37"/>
      <c r="IUB7" s="36"/>
      <c r="IUC7" s="37"/>
      <c r="IUD7" s="36"/>
      <c r="IUE7" s="37"/>
      <c r="IUF7" s="36"/>
      <c r="IUG7" s="37"/>
      <c r="IUH7" s="36"/>
      <c r="IUI7" s="37"/>
      <c r="IUJ7" s="36"/>
      <c r="IUK7" s="37"/>
      <c r="IUL7" s="36"/>
      <c r="IUM7" s="37"/>
      <c r="IUN7" s="36"/>
      <c r="IUO7" s="37"/>
      <c r="IUP7" s="36"/>
      <c r="IUQ7" s="37"/>
      <c r="IUR7" s="36"/>
      <c r="IUS7" s="36"/>
      <c r="IUT7" s="37"/>
      <c r="IUU7" s="37"/>
      <c r="IUW7" s="22"/>
      <c r="IUX7" s="35"/>
      <c r="IUY7" s="36"/>
      <c r="IUZ7" s="37"/>
      <c r="IVA7" s="36"/>
      <c r="IVB7" s="37"/>
      <c r="IVC7" s="36"/>
      <c r="IVD7" s="37"/>
      <c r="IVE7" s="36"/>
      <c r="IVF7" s="37"/>
      <c r="IVG7" s="36"/>
      <c r="IVH7" s="37"/>
      <c r="IVI7" s="36"/>
      <c r="IVJ7" s="37"/>
      <c r="IVK7" s="36"/>
      <c r="IVL7" s="37"/>
      <c r="IVM7" s="36"/>
      <c r="IVN7" s="37"/>
      <c r="IVO7" s="36"/>
      <c r="IVP7" s="37"/>
      <c r="IVQ7" s="36"/>
      <c r="IVR7" s="36"/>
      <c r="IVS7" s="37"/>
      <c r="IVT7" s="37"/>
      <c r="IVV7" s="22"/>
      <c r="IVW7" s="35"/>
      <c r="IVX7" s="36"/>
      <c r="IVY7" s="37"/>
      <c r="IVZ7" s="36"/>
      <c r="IWA7" s="37"/>
      <c r="IWB7" s="36"/>
      <c r="IWC7" s="37"/>
      <c r="IWD7" s="36"/>
      <c r="IWE7" s="37"/>
      <c r="IWF7" s="36"/>
      <c r="IWG7" s="37"/>
      <c r="IWH7" s="36"/>
      <c r="IWI7" s="37"/>
      <c r="IWJ7" s="36"/>
      <c r="IWK7" s="37"/>
      <c r="IWL7" s="36"/>
      <c r="IWM7" s="37"/>
      <c r="IWN7" s="36"/>
      <c r="IWO7" s="37"/>
      <c r="IWP7" s="36"/>
      <c r="IWQ7" s="36"/>
      <c r="IWR7" s="37"/>
      <c r="IWS7" s="37"/>
      <c r="IWU7" s="22"/>
      <c r="IWV7" s="35"/>
      <c r="IWW7" s="36"/>
      <c r="IWX7" s="37"/>
      <c r="IWY7" s="36"/>
      <c r="IWZ7" s="37"/>
      <c r="IXA7" s="36"/>
      <c r="IXB7" s="37"/>
      <c r="IXC7" s="36"/>
      <c r="IXD7" s="37"/>
      <c r="IXE7" s="36"/>
      <c r="IXF7" s="37"/>
      <c r="IXG7" s="36"/>
      <c r="IXH7" s="37"/>
      <c r="IXI7" s="36"/>
      <c r="IXJ7" s="37"/>
      <c r="IXK7" s="36"/>
      <c r="IXL7" s="37"/>
      <c r="IXM7" s="36"/>
      <c r="IXN7" s="37"/>
      <c r="IXO7" s="36"/>
      <c r="IXP7" s="36"/>
      <c r="IXQ7" s="37"/>
      <c r="IXR7" s="37"/>
      <c r="IXT7" s="22"/>
      <c r="IXU7" s="35"/>
      <c r="IXV7" s="36"/>
      <c r="IXW7" s="37"/>
      <c r="IXX7" s="36"/>
      <c r="IXY7" s="37"/>
      <c r="IXZ7" s="36"/>
      <c r="IYA7" s="37"/>
      <c r="IYB7" s="36"/>
      <c r="IYC7" s="37"/>
      <c r="IYD7" s="36"/>
      <c r="IYE7" s="37"/>
      <c r="IYF7" s="36"/>
      <c r="IYG7" s="37"/>
      <c r="IYH7" s="36"/>
      <c r="IYI7" s="37"/>
      <c r="IYJ7" s="36"/>
      <c r="IYK7" s="37"/>
      <c r="IYL7" s="36"/>
      <c r="IYM7" s="37"/>
      <c r="IYN7" s="36"/>
      <c r="IYO7" s="36"/>
      <c r="IYP7" s="37"/>
      <c r="IYQ7" s="37"/>
      <c r="IYS7" s="22"/>
      <c r="IYT7" s="35"/>
      <c r="IYU7" s="36"/>
      <c r="IYV7" s="37"/>
      <c r="IYW7" s="36"/>
      <c r="IYX7" s="37"/>
      <c r="IYY7" s="36"/>
      <c r="IYZ7" s="37"/>
      <c r="IZA7" s="36"/>
      <c r="IZB7" s="37"/>
      <c r="IZC7" s="36"/>
      <c r="IZD7" s="37"/>
      <c r="IZE7" s="36"/>
      <c r="IZF7" s="37"/>
      <c r="IZG7" s="36"/>
      <c r="IZH7" s="37"/>
      <c r="IZI7" s="36"/>
      <c r="IZJ7" s="37"/>
      <c r="IZK7" s="36"/>
      <c r="IZL7" s="37"/>
      <c r="IZM7" s="36"/>
      <c r="IZN7" s="36"/>
      <c r="IZO7" s="37"/>
      <c r="IZP7" s="37"/>
      <c r="IZR7" s="22"/>
      <c r="IZS7" s="35"/>
      <c r="IZT7" s="36"/>
      <c r="IZU7" s="37"/>
      <c r="IZV7" s="36"/>
      <c r="IZW7" s="37"/>
      <c r="IZX7" s="36"/>
      <c r="IZY7" s="37"/>
      <c r="IZZ7" s="36"/>
      <c r="JAA7" s="37"/>
      <c r="JAB7" s="36"/>
      <c r="JAC7" s="37"/>
      <c r="JAD7" s="36"/>
      <c r="JAE7" s="37"/>
      <c r="JAF7" s="36"/>
      <c r="JAG7" s="37"/>
      <c r="JAH7" s="36"/>
      <c r="JAI7" s="37"/>
      <c r="JAJ7" s="36"/>
      <c r="JAK7" s="37"/>
      <c r="JAL7" s="36"/>
      <c r="JAM7" s="36"/>
      <c r="JAN7" s="37"/>
      <c r="JAO7" s="37"/>
      <c r="JAQ7" s="22"/>
      <c r="JAR7" s="35"/>
      <c r="JAS7" s="36"/>
      <c r="JAT7" s="37"/>
      <c r="JAU7" s="36"/>
      <c r="JAV7" s="37"/>
      <c r="JAW7" s="36"/>
      <c r="JAX7" s="37"/>
      <c r="JAY7" s="36"/>
      <c r="JAZ7" s="37"/>
      <c r="JBA7" s="36"/>
      <c r="JBB7" s="37"/>
      <c r="JBC7" s="36"/>
      <c r="JBD7" s="37"/>
      <c r="JBE7" s="36"/>
      <c r="JBF7" s="37"/>
      <c r="JBG7" s="36"/>
      <c r="JBH7" s="37"/>
      <c r="JBI7" s="36"/>
      <c r="JBJ7" s="37"/>
      <c r="JBK7" s="36"/>
      <c r="JBL7" s="36"/>
      <c r="JBM7" s="37"/>
      <c r="JBN7" s="37"/>
      <c r="JBP7" s="22"/>
      <c r="JBQ7" s="35"/>
      <c r="JBR7" s="36"/>
      <c r="JBS7" s="37"/>
      <c r="JBT7" s="36"/>
      <c r="JBU7" s="37"/>
      <c r="JBV7" s="36"/>
      <c r="JBW7" s="37"/>
      <c r="JBX7" s="36"/>
      <c r="JBY7" s="37"/>
      <c r="JBZ7" s="36"/>
      <c r="JCA7" s="37"/>
      <c r="JCB7" s="36"/>
      <c r="JCC7" s="37"/>
      <c r="JCD7" s="36"/>
      <c r="JCE7" s="37"/>
      <c r="JCF7" s="36"/>
      <c r="JCG7" s="37"/>
      <c r="JCH7" s="36"/>
      <c r="JCI7" s="37"/>
      <c r="JCJ7" s="36"/>
      <c r="JCK7" s="36"/>
      <c r="JCL7" s="37"/>
      <c r="JCM7" s="37"/>
      <c r="JCO7" s="22"/>
      <c r="JCP7" s="35"/>
      <c r="JCQ7" s="36"/>
      <c r="JCR7" s="37"/>
      <c r="JCS7" s="36"/>
      <c r="JCT7" s="37"/>
      <c r="JCU7" s="36"/>
      <c r="JCV7" s="37"/>
      <c r="JCW7" s="36"/>
      <c r="JCX7" s="37"/>
      <c r="JCY7" s="36"/>
      <c r="JCZ7" s="37"/>
      <c r="JDA7" s="36"/>
      <c r="JDB7" s="37"/>
      <c r="JDC7" s="36"/>
      <c r="JDD7" s="37"/>
      <c r="JDE7" s="36"/>
      <c r="JDF7" s="37"/>
      <c r="JDG7" s="36"/>
      <c r="JDH7" s="37"/>
      <c r="JDI7" s="36"/>
      <c r="JDJ7" s="36"/>
      <c r="JDK7" s="37"/>
      <c r="JDL7" s="37"/>
      <c r="JDN7" s="22"/>
      <c r="JDO7" s="35"/>
      <c r="JDP7" s="36"/>
      <c r="JDQ7" s="37"/>
      <c r="JDR7" s="36"/>
      <c r="JDS7" s="37"/>
      <c r="JDT7" s="36"/>
      <c r="JDU7" s="37"/>
      <c r="JDV7" s="36"/>
      <c r="JDW7" s="37"/>
      <c r="JDX7" s="36"/>
      <c r="JDY7" s="37"/>
      <c r="JDZ7" s="36"/>
      <c r="JEA7" s="37"/>
      <c r="JEB7" s="36"/>
      <c r="JEC7" s="37"/>
      <c r="JED7" s="36"/>
      <c r="JEE7" s="37"/>
      <c r="JEF7" s="36"/>
      <c r="JEG7" s="37"/>
      <c r="JEH7" s="36"/>
      <c r="JEI7" s="36"/>
      <c r="JEJ7" s="37"/>
      <c r="JEK7" s="37"/>
      <c r="JEM7" s="22"/>
      <c r="JEN7" s="35"/>
      <c r="JEO7" s="36"/>
      <c r="JEP7" s="37"/>
      <c r="JEQ7" s="36"/>
      <c r="JER7" s="37"/>
      <c r="JES7" s="36"/>
      <c r="JET7" s="37"/>
      <c r="JEU7" s="36"/>
      <c r="JEV7" s="37"/>
      <c r="JEW7" s="36"/>
      <c r="JEX7" s="37"/>
      <c r="JEY7" s="36"/>
      <c r="JEZ7" s="37"/>
      <c r="JFA7" s="36"/>
      <c r="JFB7" s="37"/>
      <c r="JFC7" s="36"/>
      <c r="JFD7" s="37"/>
      <c r="JFE7" s="36"/>
      <c r="JFF7" s="37"/>
      <c r="JFG7" s="36"/>
      <c r="JFH7" s="36"/>
      <c r="JFI7" s="37"/>
      <c r="JFJ7" s="37"/>
      <c r="JFL7" s="22"/>
      <c r="JFM7" s="35"/>
      <c r="JFN7" s="36"/>
      <c r="JFO7" s="37"/>
      <c r="JFP7" s="36"/>
      <c r="JFQ7" s="37"/>
      <c r="JFR7" s="36"/>
      <c r="JFS7" s="37"/>
      <c r="JFT7" s="36"/>
      <c r="JFU7" s="37"/>
      <c r="JFV7" s="36"/>
      <c r="JFW7" s="37"/>
      <c r="JFX7" s="36"/>
      <c r="JFY7" s="37"/>
      <c r="JFZ7" s="36"/>
      <c r="JGA7" s="37"/>
      <c r="JGB7" s="36"/>
      <c r="JGC7" s="37"/>
      <c r="JGD7" s="36"/>
      <c r="JGE7" s="37"/>
      <c r="JGF7" s="36"/>
      <c r="JGG7" s="36"/>
      <c r="JGH7" s="37"/>
      <c r="JGI7" s="37"/>
      <c r="JGK7" s="22"/>
      <c r="JGL7" s="35"/>
      <c r="JGM7" s="36"/>
      <c r="JGN7" s="37"/>
      <c r="JGO7" s="36"/>
      <c r="JGP7" s="37"/>
      <c r="JGQ7" s="36"/>
      <c r="JGR7" s="37"/>
      <c r="JGS7" s="36"/>
      <c r="JGT7" s="37"/>
      <c r="JGU7" s="36"/>
      <c r="JGV7" s="37"/>
      <c r="JGW7" s="36"/>
      <c r="JGX7" s="37"/>
      <c r="JGY7" s="36"/>
      <c r="JGZ7" s="37"/>
      <c r="JHA7" s="36"/>
      <c r="JHB7" s="37"/>
      <c r="JHC7" s="36"/>
      <c r="JHD7" s="37"/>
      <c r="JHE7" s="36"/>
      <c r="JHF7" s="36"/>
      <c r="JHG7" s="37"/>
      <c r="JHH7" s="37"/>
      <c r="JHJ7" s="22"/>
      <c r="JHK7" s="35"/>
      <c r="JHL7" s="36"/>
      <c r="JHM7" s="37"/>
      <c r="JHN7" s="36"/>
      <c r="JHO7" s="37"/>
      <c r="JHP7" s="36"/>
      <c r="JHQ7" s="37"/>
      <c r="JHR7" s="36"/>
      <c r="JHS7" s="37"/>
      <c r="JHT7" s="36"/>
      <c r="JHU7" s="37"/>
      <c r="JHV7" s="36"/>
      <c r="JHW7" s="37"/>
      <c r="JHX7" s="36"/>
      <c r="JHY7" s="37"/>
      <c r="JHZ7" s="36"/>
      <c r="JIA7" s="37"/>
      <c r="JIB7" s="36"/>
      <c r="JIC7" s="37"/>
      <c r="JID7" s="36"/>
      <c r="JIE7" s="36"/>
      <c r="JIF7" s="37"/>
      <c r="JIG7" s="37"/>
      <c r="JII7" s="22"/>
      <c r="JIJ7" s="35"/>
      <c r="JIK7" s="36"/>
      <c r="JIL7" s="37"/>
      <c r="JIM7" s="36"/>
      <c r="JIN7" s="37"/>
      <c r="JIO7" s="36"/>
      <c r="JIP7" s="37"/>
      <c r="JIQ7" s="36"/>
      <c r="JIR7" s="37"/>
      <c r="JIS7" s="36"/>
      <c r="JIT7" s="37"/>
      <c r="JIU7" s="36"/>
      <c r="JIV7" s="37"/>
      <c r="JIW7" s="36"/>
      <c r="JIX7" s="37"/>
      <c r="JIY7" s="36"/>
      <c r="JIZ7" s="37"/>
      <c r="JJA7" s="36"/>
      <c r="JJB7" s="37"/>
      <c r="JJC7" s="36"/>
      <c r="JJD7" s="36"/>
      <c r="JJE7" s="37"/>
      <c r="JJF7" s="37"/>
      <c r="JJH7" s="22"/>
      <c r="JJI7" s="35"/>
      <c r="JJJ7" s="36"/>
      <c r="JJK7" s="37"/>
      <c r="JJL7" s="36"/>
      <c r="JJM7" s="37"/>
      <c r="JJN7" s="36"/>
      <c r="JJO7" s="37"/>
      <c r="JJP7" s="36"/>
      <c r="JJQ7" s="37"/>
      <c r="JJR7" s="36"/>
      <c r="JJS7" s="37"/>
      <c r="JJT7" s="36"/>
      <c r="JJU7" s="37"/>
      <c r="JJV7" s="36"/>
      <c r="JJW7" s="37"/>
      <c r="JJX7" s="36"/>
      <c r="JJY7" s="37"/>
      <c r="JJZ7" s="36"/>
      <c r="JKA7" s="37"/>
      <c r="JKB7" s="36"/>
      <c r="JKC7" s="36"/>
      <c r="JKD7" s="37"/>
      <c r="JKE7" s="37"/>
      <c r="JKG7" s="22"/>
      <c r="JKH7" s="35"/>
      <c r="JKI7" s="36"/>
      <c r="JKJ7" s="37"/>
      <c r="JKK7" s="36"/>
      <c r="JKL7" s="37"/>
      <c r="JKM7" s="36"/>
      <c r="JKN7" s="37"/>
      <c r="JKO7" s="36"/>
      <c r="JKP7" s="37"/>
      <c r="JKQ7" s="36"/>
      <c r="JKR7" s="37"/>
      <c r="JKS7" s="36"/>
      <c r="JKT7" s="37"/>
      <c r="JKU7" s="36"/>
      <c r="JKV7" s="37"/>
      <c r="JKW7" s="36"/>
      <c r="JKX7" s="37"/>
      <c r="JKY7" s="36"/>
      <c r="JKZ7" s="37"/>
      <c r="JLA7" s="36"/>
      <c r="JLB7" s="36"/>
      <c r="JLC7" s="37"/>
      <c r="JLD7" s="37"/>
      <c r="JLF7" s="22"/>
      <c r="JLG7" s="35"/>
      <c r="JLH7" s="36"/>
      <c r="JLI7" s="37"/>
      <c r="JLJ7" s="36"/>
      <c r="JLK7" s="37"/>
      <c r="JLL7" s="36"/>
      <c r="JLM7" s="37"/>
      <c r="JLN7" s="36"/>
      <c r="JLO7" s="37"/>
      <c r="JLP7" s="36"/>
      <c r="JLQ7" s="37"/>
      <c r="JLR7" s="36"/>
      <c r="JLS7" s="37"/>
      <c r="JLT7" s="36"/>
      <c r="JLU7" s="37"/>
      <c r="JLV7" s="36"/>
      <c r="JLW7" s="37"/>
      <c r="JLX7" s="36"/>
      <c r="JLY7" s="37"/>
      <c r="JLZ7" s="36"/>
      <c r="JMA7" s="36"/>
      <c r="JMB7" s="37"/>
      <c r="JMC7" s="37"/>
      <c r="JME7" s="22"/>
      <c r="JMF7" s="35"/>
      <c r="JMG7" s="36"/>
      <c r="JMH7" s="37"/>
      <c r="JMI7" s="36"/>
      <c r="JMJ7" s="37"/>
      <c r="JMK7" s="36"/>
      <c r="JML7" s="37"/>
      <c r="JMM7" s="36"/>
      <c r="JMN7" s="37"/>
      <c r="JMO7" s="36"/>
      <c r="JMP7" s="37"/>
      <c r="JMQ7" s="36"/>
      <c r="JMR7" s="37"/>
      <c r="JMS7" s="36"/>
      <c r="JMT7" s="37"/>
      <c r="JMU7" s="36"/>
      <c r="JMV7" s="37"/>
      <c r="JMW7" s="36"/>
      <c r="JMX7" s="37"/>
      <c r="JMY7" s="36"/>
      <c r="JMZ7" s="36"/>
      <c r="JNA7" s="37"/>
      <c r="JNB7" s="37"/>
      <c r="JND7" s="22"/>
      <c r="JNE7" s="35"/>
      <c r="JNF7" s="36"/>
      <c r="JNG7" s="37"/>
      <c r="JNH7" s="36"/>
      <c r="JNI7" s="37"/>
      <c r="JNJ7" s="36"/>
      <c r="JNK7" s="37"/>
      <c r="JNL7" s="36"/>
      <c r="JNM7" s="37"/>
      <c r="JNN7" s="36"/>
      <c r="JNO7" s="37"/>
      <c r="JNP7" s="36"/>
      <c r="JNQ7" s="37"/>
      <c r="JNR7" s="36"/>
      <c r="JNS7" s="37"/>
      <c r="JNT7" s="36"/>
      <c r="JNU7" s="37"/>
      <c r="JNV7" s="36"/>
      <c r="JNW7" s="37"/>
      <c r="JNX7" s="36"/>
      <c r="JNY7" s="36"/>
      <c r="JNZ7" s="37"/>
      <c r="JOA7" s="37"/>
      <c r="JOC7" s="22"/>
      <c r="JOD7" s="35"/>
      <c r="JOE7" s="36"/>
      <c r="JOF7" s="37"/>
      <c r="JOG7" s="36"/>
      <c r="JOH7" s="37"/>
      <c r="JOI7" s="36"/>
      <c r="JOJ7" s="37"/>
      <c r="JOK7" s="36"/>
      <c r="JOL7" s="37"/>
      <c r="JOM7" s="36"/>
      <c r="JON7" s="37"/>
      <c r="JOO7" s="36"/>
      <c r="JOP7" s="37"/>
      <c r="JOQ7" s="36"/>
      <c r="JOR7" s="37"/>
      <c r="JOS7" s="36"/>
      <c r="JOT7" s="37"/>
      <c r="JOU7" s="36"/>
      <c r="JOV7" s="37"/>
      <c r="JOW7" s="36"/>
      <c r="JOX7" s="36"/>
      <c r="JOY7" s="37"/>
      <c r="JOZ7" s="37"/>
      <c r="JPB7" s="22"/>
      <c r="JPC7" s="35"/>
      <c r="JPD7" s="36"/>
      <c r="JPE7" s="37"/>
      <c r="JPF7" s="36"/>
      <c r="JPG7" s="37"/>
      <c r="JPH7" s="36"/>
      <c r="JPI7" s="37"/>
      <c r="JPJ7" s="36"/>
      <c r="JPK7" s="37"/>
      <c r="JPL7" s="36"/>
      <c r="JPM7" s="37"/>
      <c r="JPN7" s="36"/>
      <c r="JPO7" s="37"/>
      <c r="JPP7" s="36"/>
      <c r="JPQ7" s="37"/>
      <c r="JPR7" s="36"/>
      <c r="JPS7" s="37"/>
      <c r="JPT7" s="36"/>
      <c r="JPU7" s="37"/>
      <c r="JPV7" s="36"/>
      <c r="JPW7" s="36"/>
      <c r="JPX7" s="37"/>
      <c r="JPY7" s="37"/>
      <c r="JQA7" s="22"/>
      <c r="JQB7" s="35"/>
      <c r="JQC7" s="36"/>
      <c r="JQD7" s="37"/>
      <c r="JQE7" s="36"/>
      <c r="JQF7" s="37"/>
      <c r="JQG7" s="36"/>
      <c r="JQH7" s="37"/>
      <c r="JQI7" s="36"/>
      <c r="JQJ7" s="37"/>
      <c r="JQK7" s="36"/>
      <c r="JQL7" s="37"/>
      <c r="JQM7" s="36"/>
      <c r="JQN7" s="37"/>
      <c r="JQO7" s="36"/>
      <c r="JQP7" s="37"/>
      <c r="JQQ7" s="36"/>
      <c r="JQR7" s="37"/>
      <c r="JQS7" s="36"/>
      <c r="JQT7" s="37"/>
      <c r="JQU7" s="36"/>
      <c r="JQV7" s="36"/>
      <c r="JQW7" s="37"/>
      <c r="JQX7" s="37"/>
      <c r="JQZ7" s="22"/>
      <c r="JRA7" s="35"/>
      <c r="JRB7" s="36"/>
      <c r="JRC7" s="37"/>
      <c r="JRD7" s="36"/>
      <c r="JRE7" s="37"/>
      <c r="JRF7" s="36"/>
      <c r="JRG7" s="37"/>
      <c r="JRH7" s="36"/>
      <c r="JRI7" s="37"/>
      <c r="JRJ7" s="36"/>
      <c r="JRK7" s="37"/>
      <c r="JRL7" s="36"/>
      <c r="JRM7" s="37"/>
      <c r="JRN7" s="36"/>
      <c r="JRO7" s="37"/>
      <c r="JRP7" s="36"/>
      <c r="JRQ7" s="37"/>
      <c r="JRR7" s="36"/>
      <c r="JRS7" s="37"/>
      <c r="JRT7" s="36"/>
      <c r="JRU7" s="36"/>
      <c r="JRV7" s="37"/>
      <c r="JRW7" s="37"/>
      <c r="JRY7" s="22"/>
      <c r="JRZ7" s="35"/>
      <c r="JSA7" s="36"/>
      <c r="JSB7" s="37"/>
      <c r="JSC7" s="36"/>
      <c r="JSD7" s="37"/>
      <c r="JSE7" s="36"/>
      <c r="JSF7" s="37"/>
      <c r="JSG7" s="36"/>
      <c r="JSH7" s="37"/>
      <c r="JSI7" s="36"/>
      <c r="JSJ7" s="37"/>
      <c r="JSK7" s="36"/>
      <c r="JSL7" s="37"/>
      <c r="JSM7" s="36"/>
      <c r="JSN7" s="37"/>
      <c r="JSO7" s="36"/>
      <c r="JSP7" s="37"/>
      <c r="JSQ7" s="36"/>
      <c r="JSR7" s="37"/>
      <c r="JSS7" s="36"/>
      <c r="JST7" s="36"/>
      <c r="JSU7" s="37"/>
      <c r="JSV7" s="37"/>
      <c r="JSX7" s="22"/>
      <c r="JSY7" s="35"/>
      <c r="JSZ7" s="36"/>
      <c r="JTA7" s="37"/>
      <c r="JTB7" s="36"/>
      <c r="JTC7" s="37"/>
      <c r="JTD7" s="36"/>
      <c r="JTE7" s="37"/>
      <c r="JTF7" s="36"/>
      <c r="JTG7" s="37"/>
      <c r="JTH7" s="36"/>
      <c r="JTI7" s="37"/>
      <c r="JTJ7" s="36"/>
      <c r="JTK7" s="37"/>
      <c r="JTL7" s="36"/>
      <c r="JTM7" s="37"/>
      <c r="JTN7" s="36"/>
      <c r="JTO7" s="37"/>
      <c r="JTP7" s="36"/>
      <c r="JTQ7" s="37"/>
      <c r="JTR7" s="36"/>
      <c r="JTS7" s="36"/>
      <c r="JTT7" s="37"/>
      <c r="JTU7" s="37"/>
      <c r="JTW7" s="22"/>
      <c r="JTX7" s="35"/>
      <c r="JTY7" s="36"/>
      <c r="JTZ7" s="37"/>
      <c r="JUA7" s="36"/>
      <c r="JUB7" s="37"/>
      <c r="JUC7" s="36"/>
      <c r="JUD7" s="37"/>
      <c r="JUE7" s="36"/>
      <c r="JUF7" s="37"/>
      <c r="JUG7" s="36"/>
      <c r="JUH7" s="37"/>
      <c r="JUI7" s="36"/>
      <c r="JUJ7" s="37"/>
      <c r="JUK7" s="36"/>
      <c r="JUL7" s="37"/>
      <c r="JUM7" s="36"/>
      <c r="JUN7" s="37"/>
      <c r="JUO7" s="36"/>
      <c r="JUP7" s="37"/>
      <c r="JUQ7" s="36"/>
      <c r="JUR7" s="36"/>
      <c r="JUS7" s="37"/>
      <c r="JUT7" s="37"/>
      <c r="JUV7" s="22"/>
      <c r="JUW7" s="35"/>
      <c r="JUX7" s="36"/>
      <c r="JUY7" s="37"/>
      <c r="JUZ7" s="36"/>
      <c r="JVA7" s="37"/>
      <c r="JVB7" s="36"/>
      <c r="JVC7" s="37"/>
      <c r="JVD7" s="36"/>
      <c r="JVE7" s="37"/>
      <c r="JVF7" s="36"/>
      <c r="JVG7" s="37"/>
      <c r="JVH7" s="36"/>
      <c r="JVI7" s="37"/>
      <c r="JVJ7" s="36"/>
      <c r="JVK7" s="37"/>
      <c r="JVL7" s="36"/>
      <c r="JVM7" s="37"/>
      <c r="JVN7" s="36"/>
      <c r="JVO7" s="37"/>
      <c r="JVP7" s="36"/>
      <c r="JVQ7" s="36"/>
      <c r="JVR7" s="37"/>
      <c r="JVS7" s="37"/>
      <c r="JVU7" s="22"/>
      <c r="JVV7" s="35"/>
      <c r="JVW7" s="36"/>
      <c r="JVX7" s="37"/>
      <c r="JVY7" s="36"/>
      <c r="JVZ7" s="37"/>
      <c r="JWA7" s="36"/>
      <c r="JWB7" s="37"/>
      <c r="JWC7" s="36"/>
      <c r="JWD7" s="37"/>
      <c r="JWE7" s="36"/>
      <c r="JWF7" s="37"/>
      <c r="JWG7" s="36"/>
      <c r="JWH7" s="37"/>
      <c r="JWI7" s="36"/>
      <c r="JWJ7" s="37"/>
      <c r="JWK7" s="36"/>
      <c r="JWL7" s="37"/>
      <c r="JWM7" s="36"/>
      <c r="JWN7" s="37"/>
      <c r="JWO7" s="36"/>
      <c r="JWP7" s="36"/>
      <c r="JWQ7" s="37"/>
      <c r="JWR7" s="37"/>
      <c r="JWT7" s="22"/>
      <c r="JWU7" s="35"/>
      <c r="JWV7" s="36"/>
      <c r="JWW7" s="37"/>
      <c r="JWX7" s="36"/>
      <c r="JWY7" s="37"/>
      <c r="JWZ7" s="36"/>
      <c r="JXA7" s="37"/>
      <c r="JXB7" s="36"/>
      <c r="JXC7" s="37"/>
      <c r="JXD7" s="36"/>
      <c r="JXE7" s="37"/>
      <c r="JXF7" s="36"/>
      <c r="JXG7" s="37"/>
      <c r="JXH7" s="36"/>
      <c r="JXI7" s="37"/>
      <c r="JXJ7" s="36"/>
      <c r="JXK7" s="37"/>
      <c r="JXL7" s="36"/>
      <c r="JXM7" s="37"/>
      <c r="JXN7" s="36"/>
      <c r="JXO7" s="36"/>
      <c r="JXP7" s="37"/>
      <c r="JXQ7" s="37"/>
      <c r="JXS7" s="22"/>
      <c r="JXT7" s="35"/>
      <c r="JXU7" s="36"/>
      <c r="JXV7" s="37"/>
      <c r="JXW7" s="36"/>
      <c r="JXX7" s="37"/>
      <c r="JXY7" s="36"/>
      <c r="JXZ7" s="37"/>
      <c r="JYA7" s="36"/>
      <c r="JYB7" s="37"/>
      <c r="JYC7" s="36"/>
      <c r="JYD7" s="37"/>
      <c r="JYE7" s="36"/>
      <c r="JYF7" s="37"/>
      <c r="JYG7" s="36"/>
      <c r="JYH7" s="37"/>
      <c r="JYI7" s="36"/>
      <c r="JYJ7" s="37"/>
      <c r="JYK7" s="36"/>
      <c r="JYL7" s="37"/>
      <c r="JYM7" s="36"/>
      <c r="JYN7" s="36"/>
      <c r="JYO7" s="37"/>
      <c r="JYP7" s="37"/>
      <c r="JYR7" s="22"/>
      <c r="JYS7" s="35"/>
      <c r="JYT7" s="36"/>
      <c r="JYU7" s="37"/>
      <c r="JYV7" s="36"/>
      <c r="JYW7" s="37"/>
      <c r="JYX7" s="36"/>
      <c r="JYY7" s="37"/>
      <c r="JYZ7" s="36"/>
      <c r="JZA7" s="37"/>
      <c r="JZB7" s="36"/>
      <c r="JZC7" s="37"/>
      <c r="JZD7" s="36"/>
      <c r="JZE7" s="37"/>
      <c r="JZF7" s="36"/>
      <c r="JZG7" s="37"/>
      <c r="JZH7" s="36"/>
      <c r="JZI7" s="37"/>
      <c r="JZJ7" s="36"/>
      <c r="JZK7" s="37"/>
      <c r="JZL7" s="36"/>
      <c r="JZM7" s="36"/>
      <c r="JZN7" s="37"/>
      <c r="JZO7" s="37"/>
      <c r="JZQ7" s="22"/>
      <c r="JZR7" s="35"/>
      <c r="JZS7" s="36"/>
      <c r="JZT7" s="37"/>
      <c r="JZU7" s="36"/>
      <c r="JZV7" s="37"/>
      <c r="JZW7" s="36"/>
      <c r="JZX7" s="37"/>
      <c r="JZY7" s="36"/>
      <c r="JZZ7" s="37"/>
      <c r="KAA7" s="36"/>
      <c r="KAB7" s="37"/>
      <c r="KAC7" s="36"/>
      <c r="KAD7" s="37"/>
      <c r="KAE7" s="36"/>
      <c r="KAF7" s="37"/>
      <c r="KAG7" s="36"/>
      <c r="KAH7" s="37"/>
      <c r="KAI7" s="36"/>
      <c r="KAJ7" s="37"/>
      <c r="KAK7" s="36"/>
      <c r="KAL7" s="36"/>
      <c r="KAM7" s="37"/>
      <c r="KAN7" s="37"/>
      <c r="KAP7" s="22"/>
      <c r="KAQ7" s="35"/>
      <c r="KAR7" s="36"/>
      <c r="KAS7" s="37"/>
      <c r="KAT7" s="36"/>
      <c r="KAU7" s="37"/>
      <c r="KAV7" s="36"/>
      <c r="KAW7" s="37"/>
      <c r="KAX7" s="36"/>
      <c r="KAY7" s="37"/>
      <c r="KAZ7" s="36"/>
      <c r="KBA7" s="37"/>
      <c r="KBB7" s="36"/>
      <c r="KBC7" s="37"/>
      <c r="KBD7" s="36"/>
      <c r="KBE7" s="37"/>
      <c r="KBF7" s="36"/>
      <c r="KBG7" s="37"/>
      <c r="KBH7" s="36"/>
      <c r="KBI7" s="37"/>
      <c r="KBJ7" s="36"/>
      <c r="KBK7" s="36"/>
      <c r="KBL7" s="37"/>
      <c r="KBM7" s="37"/>
      <c r="KBO7" s="22"/>
      <c r="KBP7" s="35"/>
      <c r="KBQ7" s="36"/>
      <c r="KBR7" s="37"/>
      <c r="KBS7" s="36"/>
      <c r="KBT7" s="37"/>
      <c r="KBU7" s="36"/>
      <c r="KBV7" s="37"/>
      <c r="KBW7" s="36"/>
      <c r="KBX7" s="37"/>
      <c r="KBY7" s="36"/>
      <c r="KBZ7" s="37"/>
      <c r="KCA7" s="36"/>
      <c r="KCB7" s="37"/>
      <c r="KCC7" s="36"/>
      <c r="KCD7" s="37"/>
      <c r="KCE7" s="36"/>
      <c r="KCF7" s="37"/>
      <c r="KCG7" s="36"/>
      <c r="KCH7" s="37"/>
      <c r="KCI7" s="36"/>
      <c r="KCJ7" s="36"/>
      <c r="KCK7" s="37"/>
      <c r="KCL7" s="37"/>
      <c r="KCN7" s="22"/>
      <c r="KCO7" s="35"/>
      <c r="KCP7" s="36"/>
      <c r="KCQ7" s="37"/>
      <c r="KCR7" s="36"/>
      <c r="KCS7" s="37"/>
      <c r="KCT7" s="36"/>
      <c r="KCU7" s="37"/>
      <c r="KCV7" s="36"/>
      <c r="KCW7" s="37"/>
      <c r="KCX7" s="36"/>
      <c r="KCY7" s="37"/>
      <c r="KCZ7" s="36"/>
      <c r="KDA7" s="37"/>
      <c r="KDB7" s="36"/>
      <c r="KDC7" s="37"/>
      <c r="KDD7" s="36"/>
      <c r="KDE7" s="37"/>
      <c r="KDF7" s="36"/>
      <c r="KDG7" s="37"/>
      <c r="KDH7" s="36"/>
      <c r="KDI7" s="36"/>
      <c r="KDJ7" s="37"/>
      <c r="KDK7" s="37"/>
      <c r="KDM7" s="22"/>
      <c r="KDN7" s="35"/>
      <c r="KDO7" s="36"/>
      <c r="KDP7" s="37"/>
      <c r="KDQ7" s="36"/>
      <c r="KDR7" s="37"/>
      <c r="KDS7" s="36"/>
      <c r="KDT7" s="37"/>
      <c r="KDU7" s="36"/>
      <c r="KDV7" s="37"/>
      <c r="KDW7" s="36"/>
      <c r="KDX7" s="37"/>
      <c r="KDY7" s="36"/>
      <c r="KDZ7" s="37"/>
      <c r="KEA7" s="36"/>
      <c r="KEB7" s="37"/>
      <c r="KEC7" s="36"/>
      <c r="KED7" s="37"/>
      <c r="KEE7" s="36"/>
      <c r="KEF7" s="37"/>
      <c r="KEG7" s="36"/>
      <c r="KEH7" s="36"/>
      <c r="KEI7" s="37"/>
      <c r="KEJ7" s="37"/>
      <c r="KEL7" s="22"/>
      <c r="KEM7" s="35"/>
      <c r="KEN7" s="36"/>
      <c r="KEO7" s="37"/>
      <c r="KEP7" s="36"/>
      <c r="KEQ7" s="37"/>
      <c r="KER7" s="36"/>
      <c r="KES7" s="37"/>
      <c r="KET7" s="36"/>
      <c r="KEU7" s="37"/>
      <c r="KEV7" s="36"/>
      <c r="KEW7" s="37"/>
      <c r="KEX7" s="36"/>
      <c r="KEY7" s="37"/>
      <c r="KEZ7" s="36"/>
      <c r="KFA7" s="37"/>
      <c r="KFB7" s="36"/>
      <c r="KFC7" s="37"/>
      <c r="KFD7" s="36"/>
      <c r="KFE7" s="37"/>
      <c r="KFF7" s="36"/>
      <c r="KFG7" s="36"/>
      <c r="KFH7" s="37"/>
      <c r="KFI7" s="37"/>
      <c r="KFK7" s="22"/>
      <c r="KFL7" s="35"/>
      <c r="KFM7" s="36"/>
      <c r="KFN7" s="37"/>
      <c r="KFO7" s="36"/>
      <c r="KFP7" s="37"/>
      <c r="KFQ7" s="36"/>
      <c r="KFR7" s="37"/>
      <c r="KFS7" s="36"/>
      <c r="KFT7" s="37"/>
      <c r="KFU7" s="36"/>
      <c r="KFV7" s="37"/>
      <c r="KFW7" s="36"/>
      <c r="KFX7" s="37"/>
      <c r="KFY7" s="36"/>
      <c r="KFZ7" s="37"/>
      <c r="KGA7" s="36"/>
      <c r="KGB7" s="37"/>
      <c r="KGC7" s="36"/>
      <c r="KGD7" s="37"/>
      <c r="KGE7" s="36"/>
      <c r="KGF7" s="36"/>
      <c r="KGG7" s="37"/>
      <c r="KGH7" s="37"/>
      <c r="KGJ7" s="22"/>
      <c r="KGK7" s="35"/>
      <c r="KGL7" s="36"/>
      <c r="KGM7" s="37"/>
      <c r="KGN7" s="36"/>
      <c r="KGO7" s="37"/>
      <c r="KGP7" s="36"/>
      <c r="KGQ7" s="37"/>
      <c r="KGR7" s="36"/>
      <c r="KGS7" s="37"/>
      <c r="KGT7" s="36"/>
      <c r="KGU7" s="37"/>
      <c r="KGV7" s="36"/>
      <c r="KGW7" s="37"/>
      <c r="KGX7" s="36"/>
      <c r="KGY7" s="37"/>
      <c r="KGZ7" s="36"/>
      <c r="KHA7" s="37"/>
      <c r="KHB7" s="36"/>
      <c r="KHC7" s="37"/>
      <c r="KHD7" s="36"/>
      <c r="KHE7" s="36"/>
      <c r="KHF7" s="37"/>
      <c r="KHG7" s="37"/>
      <c r="KHI7" s="22"/>
      <c r="KHJ7" s="35"/>
      <c r="KHK7" s="36"/>
      <c r="KHL7" s="37"/>
      <c r="KHM7" s="36"/>
      <c r="KHN7" s="37"/>
      <c r="KHO7" s="36"/>
      <c r="KHP7" s="37"/>
      <c r="KHQ7" s="36"/>
      <c r="KHR7" s="37"/>
      <c r="KHS7" s="36"/>
      <c r="KHT7" s="37"/>
      <c r="KHU7" s="36"/>
      <c r="KHV7" s="37"/>
      <c r="KHW7" s="36"/>
      <c r="KHX7" s="37"/>
      <c r="KHY7" s="36"/>
      <c r="KHZ7" s="37"/>
      <c r="KIA7" s="36"/>
      <c r="KIB7" s="37"/>
      <c r="KIC7" s="36"/>
      <c r="KID7" s="36"/>
      <c r="KIE7" s="37"/>
      <c r="KIF7" s="37"/>
      <c r="KIH7" s="22"/>
      <c r="KII7" s="35"/>
      <c r="KIJ7" s="36"/>
      <c r="KIK7" s="37"/>
      <c r="KIL7" s="36"/>
      <c r="KIM7" s="37"/>
      <c r="KIN7" s="36"/>
      <c r="KIO7" s="37"/>
      <c r="KIP7" s="36"/>
      <c r="KIQ7" s="37"/>
      <c r="KIR7" s="36"/>
      <c r="KIS7" s="37"/>
      <c r="KIT7" s="36"/>
      <c r="KIU7" s="37"/>
      <c r="KIV7" s="36"/>
      <c r="KIW7" s="37"/>
      <c r="KIX7" s="36"/>
      <c r="KIY7" s="37"/>
      <c r="KIZ7" s="36"/>
      <c r="KJA7" s="37"/>
      <c r="KJB7" s="36"/>
      <c r="KJC7" s="36"/>
      <c r="KJD7" s="37"/>
      <c r="KJE7" s="37"/>
      <c r="KJG7" s="22"/>
      <c r="KJH7" s="35"/>
      <c r="KJI7" s="36"/>
      <c r="KJJ7" s="37"/>
      <c r="KJK7" s="36"/>
      <c r="KJL7" s="37"/>
      <c r="KJM7" s="36"/>
      <c r="KJN7" s="37"/>
      <c r="KJO7" s="36"/>
      <c r="KJP7" s="37"/>
      <c r="KJQ7" s="36"/>
      <c r="KJR7" s="37"/>
      <c r="KJS7" s="36"/>
      <c r="KJT7" s="37"/>
      <c r="KJU7" s="36"/>
      <c r="KJV7" s="37"/>
      <c r="KJW7" s="36"/>
      <c r="KJX7" s="37"/>
      <c r="KJY7" s="36"/>
      <c r="KJZ7" s="37"/>
      <c r="KKA7" s="36"/>
      <c r="KKB7" s="36"/>
      <c r="KKC7" s="37"/>
      <c r="KKD7" s="37"/>
      <c r="KKF7" s="22"/>
      <c r="KKG7" s="35"/>
      <c r="KKH7" s="36"/>
      <c r="KKI7" s="37"/>
      <c r="KKJ7" s="36"/>
      <c r="KKK7" s="37"/>
      <c r="KKL7" s="36"/>
      <c r="KKM7" s="37"/>
      <c r="KKN7" s="36"/>
      <c r="KKO7" s="37"/>
      <c r="KKP7" s="36"/>
      <c r="KKQ7" s="37"/>
      <c r="KKR7" s="36"/>
      <c r="KKS7" s="37"/>
      <c r="KKT7" s="36"/>
      <c r="KKU7" s="37"/>
      <c r="KKV7" s="36"/>
      <c r="KKW7" s="37"/>
      <c r="KKX7" s="36"/>
      <c r="KKY7" s="37"/>
      <c r="KKZ7" s="36"/>
      <c r="KLA7" s="36"/>
      <c r="KLB7" s="37"/>
      <c r="KLC7" s="37"/>
      <c r="KLE7" s="22"/>
      <c r="KLF7" s="35"/>
      <c r="KLG7" s="36"/>
      <c r="KLH7" s="37"/>
      <c r="KLI7" s="36"/>
      <c r="KLJ7" s="37"/>
      <c r="KLK7" s="36"/>
      <c r="KLL7" s="37"/>
      <c r="KLM7" s="36"/>
      <c r="KLN7" s="37"/>
      <c r="KLO7" s="36"/>
      <c r="KLP7" s="37"/>
      <c r="KLQ7" s="36"/>
      <c r="KLR7" s="37"/>
      <c r="KLS7" s="36"/>
      <c r="KLT7" s="37"/>
      <c r="KLU7" s="36"/>
      <c r="KLV7" s="37"/>
      <c r="KLW7" s="36"/>
      <c r="KLX7" s="37"/>
      <c r="KLY7" s="36"/>
      <c r="KLZ7" s="36"/>
      <c r="KMA7" s="37"/>
      <c r="KMB7" s="37"/>
      <c r="KMD7" s="22"/>
      <c r="KME7" s="35"/>
      <c r="KMF7" s="36"/>
      <c r="KMG7" s="37"/>
      <c r="KMH7" s="36"/>
      <c r="KMI7" s="37"/>
      <c r="KMJ7" s="36"/>
      <c r="KMK7" s="37"/>
      <c r="KML7" s="36"/>
      <c r="KMM7" s="37"/>
      <c r="KMN7" s="36"/>
      <c r="KMO7" s="37"/>
      <c r="KMP7" s="36"/>
      <c r="KMQ7" s="37"/>
      <c r="KMR7" s="36"/>
      <c r="KMS7" s="37"/>
      <c r="KMT7" s="36"/>
      <c r="KMU7" s="37"/>
      <c r="KMV7" s="36"/>
      <c r="KMW7" s="37"/>
      <c r="KMX7" s="36"/>
      <c r="KMY7" s="36"/>
      <c r="KMZ7" s="37"/>
      <c r="KNA7" s="37"/>
      <c r="KNC7" s="22"/>
      <c r="KND7" s="35"/>
      <c r="KNE7" s="36"/>
      <c r="KNF7" s="37"/>
      <c r="KNG7" s="36"/>
      <c r="KNH7" s="37"/>
      <c r="KNI7" s="36"/>
      <c r="KNJ7" s="37"/>
      <c r="KNK7" s="36"/>
      <c r="KNL7" s="37"/>
      <c r="KNM7" s="36"/>
      <c r="KNN7" s="37"/>
      <c r="KNO7" s="36"/>
      <c r="KNP7" s="37"/>
      <c r="KNQ7" s="36"/>
      <c r="KNR7" s="37"/>
      <c r="KNS7" s="36"/>
      <c r="KNT7" s="37"/>
      <c r="KNU7" s="36"/>
      <c r="KNV7" s="37"/>
      <c r="KNW7" s="36"/>
      <c r="KNX7" s="36"/>
      <c r="KNY7" s="37"/>
      <c r="KNZ7" s="37"/>
      <c r="KOB7" s="22"/>
      <c r="KOC7" s="35"/>
      <c r="KOD7" s="36"/>
      <c r="KOE7" s="37"/>
      <c r="KOF7" s="36"/>
      <c r="KOG7" s="37"/>
      <c r="KOH7" s="36"/>
      <c r="KOI7" s="37"/>
      <c r="KOJ7" s="36"/>
      <c r="KOK7" s="37"/>
      <c r="KOL7" s="36"/>
      <c r="KOM7" s="37"/>
      <c r="KON7" s="36"/>
      <c r="KOO7" s="37"/>
      <c r="KOP7" s="36"/>
      <c r="KOQ7" s="37"/>
      <c r="KOR7" s="36"/>
      <c r="KOS7" s="37"/>
      <c r="KOT7" s="36"/>
      <c r="KOU7" s="37"/>
      <c r="KOV7" s="36"/>
      <c r="KOW7" s="36"/>
      <c r="KOX7" s="37"/>
      <c r="KOY7" s="37"/>
      <c r="KPA7" s="22"/>
      <c r="KPB7" s="35"/>
      <c r="KPC7" s="36"/>
      <c r="KPD7" s="37"/>
      <c r="KPE7" s="36"/>
      <c r="KPF7" s="37"/>
      <c r="KPG7" s="36"/>
      <c r="KPH7" s="37"/>
      <c r="KPI7" s="36"/>
      <c r="KPJ7" s="37"/>
      <c r="KPK7" s="36"/>
      <c r="KPL7" s="37"/>
      <c r="KPM7" s="36"/>
      <c r="KPN7" s="37"/>
      <c r="KPO7" s="36"/>
      <c r="KPP7" s="37"/>
      <c r="KPQ7" s="36"/>
      <c r="KPR7" s="37"/>
      <c r="KPS7" s="36"/>
      <c r="KPT7" s="37"/>
      <c r="KPU7" s="36"/>
      <c r="KPV7" s="36"/>
      <c r="KPW7" s="37"/>
      <c r="KPX7" s="37"/>
      <c r="KPZ7" s="22"/>
      <c r="KQA7" s="35"/>
      <c r="KQB7" s="36"/>
      <c r="KQC7" s="37"/>
      <c r="KQD7" s="36"/>
      <c r="KQE7" s="37"/>
      <c r="KQF7" s="36"/>
      <c r="KQG7" s="37"/>
      <c r="KQH7" s="36"/>
      <c r="KQI7" s="37"/>
      <c r="KQJ7" s="36"/>
      <c r="KQK7" s="37"/>
      <c r="KQL7" s="36"/>
      <c r="KQM7" s="37"/>
      <c r="KQN7" s="36"/>
      <c r="KQO7" s="37"/>
      <c r="KQP7" s="36"/>
      <c r="KQQ7" s="37"/>
      <c r="KQR7" s="36"/>
      <c r="KQS7" s="37"/>
      <c r="KQT7" s="36"/>
      <c r="KQU7" s="36"/>
      <c r="KQV7" s="37"/>
      <c r="KQW7" s="37"/>
      <c r="KQY7" s="22"/>
      <c r="KQZ7" s="35"/>
      <c r="KRA7" s="36"/>
      <c r="KRB7" s="37"/>
      <c r="KRC7" s="36"/>
      <c r="KRD7" s="37"/>
      <c r="KRE7" s="36"/>
      <c r="KRF7" s="37"/>
      <c r="KRG7" s="36"/>
      <c r="KRH7" s="37"/>
      <c r="KRI7" s="36"/>
      <c r="KRJ7" s="37"/>
      <c r="KRK7" s="36"/>
      <c r="KRL7" s="37"/>
      <c r="KRM7" s="36"/>
      <c r="KRN7" s="37"/>
      <c r="KRO7" s="36"/>
      <c r="KRP7" s="37"/>
      <c r="KRQ7" s="36"/>
      <c r="KRR7" s="37"/>
      <c r="KRS7" s="36"/>
      <c r="KRT7" s="36"/>
      <c r="KRU7" s="37"/>
      <c r="KRV7" s="37"/>
      <c r="KRX7" s="22"/>
      <c r="KRY7" s="35"/>
      <c r="KRZ7" s="36"/>
      <c r="KSA7" s="37"/>
      <c r="KSB7" s="36"/>
      <c r="KSC7" s="37"/>
      <c r="KSD7" s="36"/>
      <c r="KSE7" s="37"/>
      <c r="KSF7" s="36"/>
      <c r="KSG7" s="37"/>
      <c r="KSH7" s="36"/>
      <c r="KSI7" s="37"/>
      <c r="KSJ7" s="36"/>
      <c r="KSK7" s="37"/>
      <c r="KSL7" s="36"/>
      <c r="KSM7" s="37"/>
      <c r="KSN7" s="36"/>
      <c r="KSO7" s="37"/>
      <c r="KSP7" s="36"/>
      <c r="KSQ7" s="37"/>
      <c r="KSR7" s="36"/>
      <c r="KSS7" s="36"/>
      <c r="KST7" s="37"/>
      <c r="KSU7" s="37"/>
      <c r="KSW7" s="22"/>
      <c r="KSX7" s="35"/>
      <c r="KSY7" s="36"/>
      <c r="KSZ7" s="37"/>
      <c r="KTA7" s="36"/>
      <c r="KTB7" s="37"/>
      <c r="KTC7" s="36"/>
      <c r="KTD7" s="37"/>
      <c r="KTE7" s="36"/>
      <c r="KTF7" s="37"/>
      <c r="KTG7" s="36"/>
      <c r="KTH7" s="37"/>
      <c r="KTI7" s="36"/>
      <c r="KTJ7" s="37"/>
      <c r="KTK7" s="36"/>
      <c r="KTL7" s="37"/>
      <c r="KTM7" s="36"/>
      <c r="KTN7" s="37"/>
      <c r="KTO7" s="36"/>
      <c r="KTP7" s="37"/>
      <c r="KTQ7" s="36"/>
      <c r="KTR7" s="36"/>
      <c r="KTS7" s="37"/>
      <c r="KTT7" s="37"/>
      <c r="KTV7" s="22"/>
      <c r="KTW7" s="35"/>
      <c r="KTX7" s="36"/>
      <c r="KTY7" s="37"/>
      <c r="KTZ7" s="36"/>
      <c r="KUA7" s="37"/>
      <c r="KUB7" s="36"/>
      <c r="KUC7" s="37"/>
      <c r="KUD7" s="36"/>
      <c r="KUE7" s="37"/>
      <c r="KUF7" s="36"/>
      <c r="KUG7" s="37"/>
      <c r="KUH7" s="36"/>
      <c r="KUI7" s="37"/>
      <c r="KUJ7" s="36"/>
      <c r="KUK7" s="37"/>
      <c r="KUL7" s="36"/>
      <c r="KUM7" s="37"/>
      <c r="KUN7" s="36"/>
      <c r="KUO7" s="37"/>
      <c r="KUP7" s="36"/>
      <c r="KUQ7" s="36"/>
      <c r="KUR7" s="37"/>
      <c r="KUS7" s="37"/>
      <c r="KUU7" s="22"/>
      <c r="KUV7" s="35"/>
      <c r="KUW7" s="36"/>
      <c r="KUX7" s="37"/>
      <c r="KUY7" s="36"/>
      <c r="KUZ7" s="37"/>
      <c r="KVA7" s="36"/>
      <c r="KVB7" s="37"/>
      <c r="KVC7" s="36"/>
      <c r="KVD7" s="37"/>
      <c r="KVE7" s="36"/>
      <c r="KVF7" s="37"/>
      <c r="KVG7" s="36"/>
      <c r="KVH7" s="37"/>
      <c r="KVI7" s="36"/>
      <c r="KVJ7" s="37"/>
      <c r="KVK7" s="36"/>
      <c r="KVL7" s="37"/>
      <c r="KVM7" s="36"/>
      <c r="KVN7" s="37"/>
      <c r="KVO7" s="36"/>
      <c r="KVP7" s="36"/>
      <c r="KVQ7" s="37"/>
      <c r="KVR7" s="37"/>
      <c r="KVT7" s="22"/>
      <c r="KVU7" s="35"/>
      <c r="KVV7" s="36"/>
      <c r="KVW7" s="37"/>
      <c r="KVX7" s="36"/>
      <c r="KVY7" s="37"/>
      <c r="KVZ7" s="36"/>
      <c r="KWA7" s="37"/>
      <c r="KWB7" s="36"/>
      <c r="KWC7" s="37"/>
      <c r="KWD7" s="36"/>
      <c r="KWE7" s="37"/>
      <c r="KWF7" s="36"/>
      <c r="KWG7" s="37"/>
      <c r="KWH7" s="36"/>
      <c r="KWI7" s="37"/>
      <c r="KWJ7" s="36"/>
      <c r="KWK7" s="37"/>
      <c r="KWL7" s="36"/>
      <c r="KWM7" s="37"/>
      <c r="KWN7" s="36"/>
      <c r="KWO7" s="36"/>
      <c r="KWP7" s="37"/>
      <c r="KWQ7" s="37"/>
      <c r="KWS7" s="22"/>
      <c r="KWT7" s="35"/>
      <c r="KWU7" s="36"/>
      <c r="KWV7" s="37"/>
      <c r="KWW7" s="36"/>
      <c r="KWX7" s="37"/>
      <c r="KWY7" s="36"/>
      <c r="KWZ7" s="37"/>
      <c r="KXA7" s="36"/>
      <c r="KXB7" s="37"/>
      <c r="KXC7" s="36"/>
      <c r="KXD7" s="37"/>
      <c r="KXE7" s="36"/>
      <c r="KXF7" s="37"/>
      <c r="KXG7" s="36"/>
      <c r="KXH7" s="37"/>
      <c r="KXI7" s="36"/>
      <c r="KXJ7" s="37"/>
      <c r="KXK7" s="36"/>
      <c r="KXL7" s="37"/>
      <c r="KXM7" s="36"/>
      <c r="KXN7" s="36"/>
      <c r="KXO7" s="37"/>
      <c r="KXP7" s="37"/>
      <c r="KXR7" s="22"/>
      <c r="KXS7" s="35"/>
      <c r="KXT7" s="36"/>
      <c r="KXU7" s="37"/>
      <c r="KXV7" s="36"/>
      <c r="KXW7" s="37"/>
      <c r="KXX7" s="36"/>
      <c r="KXY7" s="37"/>
      <c r="KXZ7" s="36"/>
      <c r="KYA7" s="37"/>
      <c r="KYB7" s="36"/>
      <c r="KYC7" s="37"/>
      <c r="KYD7" s="36"/>
      <c r="KYE7" s="37"/>
      <c r="KYF7" s="36"/>
      <c r="KYG7" s="37"/>
      <c r="KYH7" s="36"/>
      <c r="KYI7" s="37"/>
      <c r="KYJ7" s="36"/>
      <c r="KYK7" s="37"/>
      <c r="KYL7" s="36"/>
      <c r="KYM7" s="36"/>
      <c r="KYN7" s="37"/>
      <c r="KYO7" s="37"/>
      <c r="KYQ7" s="22"/>
      <c r="KYR7" s="35"/>
      <c r="KYS7" s="36"/>
      <c r="KYT7" s="37"/>
      <c r="KYU7" s="36"/>
      <c r="KYV7" s="37"/>
      <c r="KYW7" s="36"/>
      <c r="KYX7" s="37"/>
      <c r="KYY7" s="36"/>
      <c r="KYZ7" s="37"/>
      <c r="KZA7" s="36"/>
      <c r="KZB7" s="37"/>
      <c r="KZC7" s="36"/>
      <c r="KZD7" s="37"/>
      <c r="KZE7" s="36"/>
      <c r="KZF7" s="37"/>
      <c r="KZG7" s="36"/>
      <c r="KZH7" s="37"/>
      <c r="KZI7" s="36"/>
      <c r="KZJ7" s="37"/>
      <c r="KZK7" s="36"/>
      <c r="KZL7" s="36"/>
      <c r="KZM7" s="37"/>
      <c r="KZN7" s="37"/>
      <c r="KZP7" s="22"/>
      <c r="KZQ7" s="35"/>
      <c r="KZR7" s="36"/>
      <c r="KZS7" s="37"/>
      <c r="KZT7" s="36"/>
      <c r="KZU7" s="37"/>
      <c r="KZV7" s="36"/>
      <c r="KZW7" s="37"/>
      <c r="KZX7" s="36"/>
      <c r="KZY7" s="37"/>
      <c r="KZZ7" s="36"/>
      <c r="LAA7" s="37"/>
      <c r="LAB7" s="36"/>
      <c r="LAC7" s="37"/>
      <c r="LAD7" s="36"/>
      <c r="LAE7" s="37"/>
      <c r="LAF7" s="36"/>
      <c r="LAG7" s="37"/>
      <c r="LAH7" s="36"/>
      <c r="LAI7" s="37"/>
      <c r="LAJ7" s="36"/>
      <c r="LAK7" s="36"/>
      <c r="LAL7" s="37"/>
      <c r="LAM7" s="37"/>
      <c r="LAO7" s="22"/>
      <c r="LAP7" s="35"/>
      <c r="LAQ7" s="36"/>
      <c r="LAR7" s="37"/>
      <c r="LAS7" s="36"/>
      <c r="LAT7" s="37"/>
      <c r="LAU7" s="36"/>
      <c r="LAV7" s="37"/>
      <c r="LAW7" s="36"/>
      <c r="LAX7" s="37"/>
      <c r="LAY7" s="36"/>
      <c r="LAZ7" s="37"/>
      <c r="LBA7" s="36"/>
      <c r="LBB7" s="37"/>
      <c r="LBC7" s="36"/>
      <c r="LBD7" s="37"/>
      <c r="LBE7" s="36"/>
      <c r="LBF7" s="37"/>
      <c r="LBG7" s="36"/>
      <c r="LBH7" s="37"/>
      <c r="LBI7" s="36"/>
      <c r="LBJ7" s="36"/>
      <c r="LBK7" s="37"/>
      <c r="LBL7" s="37"/>
      <c r="LBN7" s="22"/>
      <c r="LBO7" s="35"/>
      <c r="LBP7" s="36"/>
      <c r="LBQ7" s="37"/>
      <c r="LBR7" s="36"/>
      <c r="LBS7" s="37"/>
      <c r="LBT7" s="36"/>
      <c r="LBU7" s="37"/>
      <c r="LBV7" s="36"/>
      <c r="LBW7" s="37"/>
      <c r="LBX7" s="36"/>
      <c r="LBY7" s="37"/>
      <c r="LBZ7" s="36"/>
      <c r="LCA7" s="37"/>
      <c r="LCB7" s="36"/>
      <c r="LCC7" s="37"/>
      <c r="LCD7" s="36"/>
      <c r="LCE7" s="37"/>
      <c r="LCF7" s="36"/>
      <c r="LCG7" s="37"/>
      <c r="LCH7" s="36"/>
      <c r="LCI7" s="36"/>
      <c r="LCJ7" s="37"/>
      <c r="LCK7" s="37"/>
      <c r="LCM7" s="22"/>
      <c r="LCN7" s="35"/>
      <c r="LCO7" s="36"/>
      <c r="LCP7" s="37"/>
      <c r="LCQ7" s="36"/>
      <c r="LCR7" s="37"/>
      <c r="LCS7" s="36"/>
      <c r="LCT7" s="37"/>
      <c r="LCU7" s="36"/>
      <c r="LCV7" s="37"/>
      <c r="LCW7" s="36"/>
      <c r="LCX7" s="37"/>
      <c r="LCY7" s="36"/>
      <c r="LCZ7" s="37"/>
      <c r="LDA7" s="36"/>
      <c r="LDB7" s="37"/>
      <c r="LDC7" s="36"/>
      <c r="LDD7" s="37"/>
      <c r="LDE7" s="36"/>
      <c r="LDF7" s="37"/>
      <c r="LDG7" s="36"/>
      <c r="LDH7" s="36"/>
      <c r="LDI7" s="37"/>
      <c r="LDJ7" s="37"/>
      <c r="LDL7" s="22"/>
      <c r="LDM7" s="35"/>
      <c r="LDN7" s="36"/>
      <c r="LDO7" s="37"/>
      <c r="LDP7" s="36"/>
      <c r="LDQ7" s="37"/>
      <c r="LDR7" s="36"/>
      <c r="LDS7" s="37"/>
      <c r="LDT7" s="36"/>
      <c r="LDU7" s="37"/>
      <c r="LDV7" s="36"/>
      <c r="LDW7" s="37"/>
      <c r="LDX7" s="36"/>
      <c r="LDY7" s="37"/>
      <c r="LDZ7" s="36"/>
      <c r="LEA7" s="37"/>
      <c r="LEB7" s="36"/>
      <c r="LEC7" s="37"/>
      <c r="LED7" s="36"/>
      <c r="LEE7" s="37"/>
      <c r="LEF7" s="36"/>
      <c r="LEG7" s="36"/>
      <c r="LEH7" s="37"/>
      <c r="LEI7" s="37"/>
      <c r="LEK7" s="22"/>
      <c r="LEL7" s="35"/>
      <c r="LEM7" s="36"/>
      <c r="LEN7" s="37"/>
      <c r="LEO7" s="36"/>
      <c r="LEP7" s="37"/>
      <c r="LEQ7" s="36"/>
      <c r="LER7" s="37"/>
      <c r="LES7" s="36"/>
      <c r="LET7" s="37"/>
      <c r="LEU7" s="36"/>
      <c r="LEV7" s="37"/>
      <c r="LEW7" s="36"/>
      <c r="LEX7" s="37"/>
      <c r="LEY7" s="36"/>
      <c r="LEZ7" s="37"/>
      <c r="LFA7" s="36"/>
      <c r="LFB7" s="37"/>
      <c r="LFC7" s="36"/>
      <c r="LFD7" s="37"/>
      <c r="LFE7" s="36"/>
      <c r="LFF7" s="36"/>
      <c r="LFG7" s="37"/>
      <c r="LFH7" s="37"/>
      <c r="LFJ7" s="22"/>
      <c r="LFK7" s="35"/>
      <c r="LFL7" s="36"/>
      <c r="LFM7" s="37"/>
      <c r="LFN7" s="36"/>
      <c r="LFO7" s="37"/>
      <c r="LFP7" s="36"/>
      <c r="LFQ7" s="37"/>
      <c r="LFR7" s="36"/>
      <c r="LFS7" s="37"/>
      <c r="LFT7" s="36"/>
      <c r="LFU7" s="37"/>
      <c r="LFV7" s="36"/>
      <c r="LFW7" s="37"/>
      <c r="LFX7" s="36"/>
      <c r="LFY7" s="37"/>
      <c r="LFZ7" s="36"/>
      <c r="LGA7" s="37"/>
      <c r="LGB7" s="36"/>
      <c r="LGC7" s="37"/>
      <c r="LGD7" s="36"/>
      <c r="LGE7" s="36"/>
      <c r="LGF7" s="37"/>
      <c r="LGG7" s="37"/>
      <c r="LGI7" s="22"/>
      <c r="LGJ7" s="35"/>
      <c r="LGK7" s="36"/>
      <c r="LGL7" s="37"/>
      <c r="LGM7" s="36"/>
      <c r="LGN7" s="37"/>
      <c r="LGO7" s="36"/>
      <c r="LGP7" s="37"/>
      <c r="LGQ7" s="36"/>
      <c r="LGR7" s="37"/>
      <c r="LGS7" s="36"/>
      <c r="LGT7" s="37"/>
      <c r="LGU7" s="36"/>
      <c r="LGV7" s="37"/>
      <c r="LGW7" s="36"/>
      <c r="LGX7" s="37"/>
      <c r="LGY7" s="36"/>
      <c r="LGZ7" s="37"/>
      <c r="LHA7" s="36"/>
      <c r="LHB7" s="37"/>
      <c r="LHC7" s="36"/>
      <c r="LHD7" s="36"/>
      <c r="LHE7" s="37"/>
      <c r="LHF7" s="37"/>
      <c r="LHH7" s="22"/>
      <c r="LHI7" s="35"/>
      <c r="LHJ7" s="36"/>
      <c r="LHK7" s="37"/>
      <c r="LHL7" s="36"/>
      <c r="LHM7" s="37"/>
      <c r="LHN7" s="36"/>
      <c r="LHO7" s="37"/>
      <c r="LHP7" s="36"/>
      <c r="LHQ7" s="37"/>
      <c r="LHR7" s="36"/>
      <c r="LHS7" s="37"/>
      <c r="LHT7" s="36"/>
      <c r="LHU7" s="37"/>
      <c r="LHV7" s="36"/>
      <c r="LHW7" s="37"/>
      <c r="LHX7" s="36"/>
      <c r="LHY7" s="37"/>
      <c r="LHZ7" s="36"/>
      <c r="LIA7" s="37"/>
      <c r="LIB7" s="36"/>
      <c r="LIC7" s="36"/>
      <c r="LID7" s="37"/>
      <c r="LIE7" s="37"/>
      <c r="LIG7" s="22"/>
      <c r="LIH7" s="35"/>
      <c r="LII7" s="36"/>
      <c r="LIJ7" s="37"/>
      <c r="LIK7" s="36"/>
      <c r="LIL7" s="37"/>
      <c r="LIM7" s="36"/>
      <c r="LIN7" s="37"/>
      <c r="LIO7" s="36"/>
      <c r="LIP7" s="37"/>
      <c r="LIQ7" s="36"/>
      <c r="LIR7" s="37"/>
      <c r="LIS7" s="36"/>
      <c r="LIT7" s="37"/>
      <c r="LIU7" s="36"/>
      <c r="LIV7" s="37"/>
      <c r="LIW7" s="36"/>
      <c r="LIX7" s="37"/>
      <c r="LIY7" s="36"/>
      <c r="LIZ7" s="37"/>
      <c r="LJA7" s="36"/>
      <c r="LJB7" s="36"/>
      <c r="LJC7" s="37"/>
      <c r="LJD7" s="37"/>
      <c r="LJF7" s="22"/>
      <c r="LJG7" s="35"/>
      <c r="LJH7" s="36"/>
      <c r="LJI7" s="37"/>
      <c r="LJJ7" s="36"/>
      <c r="LJK7" s="37"/>
      <c r="LJL7" s="36"/>
      <c r="LJM7" s="37"/>
      <c r="LJN7" s="36"/>
      <c r="LJO7" s="37"/>
      <c r="LJP7" s="36"/>
      <c r="LJQ7" s="37"/>
      <c r="LJR7" s="36"/>
      <c r="LJS7" s="37"/>
      <c r="LJT7" s="36"/>
      <c r="LJU7" s="37"/>
      <c r="LJV7" s="36"/>
      <c r="LJW7" s="37"/>
      <c r="LJX7" s="36"/>
      <c r="LJY7" s="37"/>
      <c r="LJZ7" s="36"/>
      <c r="LKA7" s="36"/>
      <c r="LKB7" s="37"/>
      <c r="LKC7" s="37"/>
      <c r="LKE7" s="22"/>
      <c r="LKF7" s="35"/>
      <c r="LKG7" s="36"/>
      <c r="LKH7" s="37"/>
      <c r="LKI7" s="36"/>
      <c r="LKJ7" s="37"/>
      <c r="LKK7" s="36"/>
      <c r="LKL7" s="37"/>
      <c r="LKM7" s="36"/>
      <c r="LKN7" s="37"/>
      <c r="LKO7" s="36"/>
      <c r="LKP7" s="37"/>
      <c r="LKQ7" s="36"/>
      <c r="LKR7" s="37"/>
      <c r="LKS7" s="36"/>
      <c r="LKT7" s="37"/>
      <c r="LKU7" s="36"/>
      <c r="LKV7" s="37"/>
      <c r="LKW7" s="36"/>
      <c r="LKX7" s="37"/>
      <c r="LKY7" s="36"/>
      <c r="LKZ7" s="36"/>
      <c r="LLA7" s="37"/>
      <c r="LLB7" s="37"/>
      <c r="LLD7" s="22"/>
      <c r="LLE7" s="35"/>
      <c r="LLF7" s="36"/>
      <c r="LLG7" s="37"/>
      <c r="LLH7" s="36"/>
      <c r="LLI7" s="37"/>
      <c r="LLJ7" s="36"/>
      <c r="LLK7" s="37"/>
      <c r="LLL7" s="36"/>
      <c r="LLM7" s="37"/>
      <c r="LLN7" s="36"/>
      <c r="LLO7" s="37"/>
      <c r="LLP7" s="36"/>
      <c r="LLQ7" s="37"/>
      <c r="LLR7" s="36"/>
      <c r="LLS7" s="37"/>
      <c r="LLT7" s="36"/>
      <c r="LLU7" s="37"/>
      <c r="LLV7" s="36"/>
      <c r="LLW7" s="37"/>
      <c r="LLX7" s="36"/>
      <c r="LLY7" s="36"/>
      <c r="LLZ7" s="37"/>
      <c r="LMA7" s="37"/>
      <c r="LMC7" s="22"/>
      <c r="LMD7" s="35"/>
      <c r="LME7" s="36"/>
      <c r="LMF7" s="37"/>
      <c r="LMG7" s="36"/>
      <c r="LMH7" s="37"/>
      <c r="LMI7" s="36"/>
      <c r="LMJ7" s="37"/>
      <c r="LMK7" s="36"/>
      <c r="LML7" s="37"/>
      <c r="LMM7" s="36"/>
      <c r="LMN7" s="37"/>
      <c r="LMO7" s="36"/>
      <c r="LMP7" s="37"/>
      <c r="LMQ7" s="36"/>
      <c r="LMR7" s="37"/>
      <c r="LMS7" s="36"/>
      <c r="LMT7" s="37"/>
      <c r="LMU7" s="36"/>
      <c r="LMV7" s="37"/>
      <c r="LMW7" s="36"/>
      <c r="LMX7" s="36"/>
      <c r="LMY7" s="37"/>
      <c r="LMZ7" s="37"/>
      <c r="LNB7" s="22"/>
      <c r="LNC7" s="35"/>
      <c r="LND7" s="36"/>
      <c r="LNE7" s="37"/>
      <c r="LNF7" s="36"/>
      <c r="LNG7" s="37"/>
      <c r="LNH7" s="36"/>
      <c r="LNI7" s="37"/>
      <c r="LNJ7" s="36"/>
      <c r="LNK7" s="37"/>
      <c r="LNL7" s="36"/>
      <c r="LNM7" s="37"/>
      <c r="LNN7" s="36"/>
      <c r="LNO7" s="37"/>
      <c r="LNP7" s="36"/>
      <c r="LNQ7" s="37"/>
      <c r="LNR7" s="36"/>
      <c r="LNS7" s="37"/>
      <c r="LNT7" s="36"/>
      <c r="LNU7" s="37"/>
      <c r="LNV7" s="36"/>
      <c r="LNW7" s="36"/>
      <c r="LNX7" s="37"/>
      <c r="LNY7" s="37"/>
      <c r="LOA7" s="22"/>
      <c r="LOB7" s="35"/>
      <c r="LOC7" s="36"/>
      <c r="LOD7" s="37"/>
      <c r="LOE7" s="36"/>
      <c r="LOF7" s="37"/>
      <c r="LOG7" s="36"/>
      <c r="LOH7" s="37"/>
      <c r="LOI7" s="36"/>
      <c r="LOJ7" s="37"/>
      <c r="LOK7" s="36"/>
      <c r="LOL7" s="37"/>
      <c r="LOM7" s="36"/>
      <c r="LON7" s="37"/>
      <c r="LOO7" s="36"/>
      <c r="LOP7" s="37"/>
      <c r="LOQ7" s="36"/>
      <c r="LOR7" s="37"/>
      <c r="LOS7" s="36"/>
      <c r="LOT7" s="37"/>
      <c r="LOU7" s="36"/>
      <c r="LOV7" s="36"/>
      <c r="LOW7" s="37"/>
      <c r="LOX7" s="37"/>
      <c r="LOZ7" s="22"/>
      <c r="LPA7" s="35"/>
      <c r="LPB7" s="36"/>
      <c r="LPC7" s="37"/>
      <c r="LPD7" s="36"/>
      <c r="LPE7" s="37"/>
      <c r="LPF7" s="36"/>
      <c r="LPG7" s="37"/>
      <c r="LPH7" s="36"/>
      <c r="LPI7" s="37"/>
      <c r="LPJ7" s="36"/>
      <c r="LPK7" s="37"/>
      <c r="LPL7" s="36"/>
      <c r="LPM7" s="37"/>
      <c r="LPN7" s="36"/>
      <c r="LPO7" s="37"/>
      <c r="LPP7" s="36"/>
      <c r="LPQ7" s="37"/>
      <c r="LPR7" s="36"/>
      <c r="LPS7" s="37"/>
      <c r="LPT7" s="36"/>
      <c r="LPU7" s="36"/>
      <c r="LPV7" s="37"/>
      <c r="LPW7" s="37"/>
      <c r="LPY7" s="22"/>
      <c r="LPZ7" s="35"/>
      <c r="LQA7" s="36"/>
      <c r="LQB7" s="37"/>
      <c r="LQC7" s="36"/>
      <c r="LQD7" s="37"/>
      <c r="LQE7" s="36"/>
      <c r="LQF7" s="37"/>
      <c r="LQG7" s="36"/>
      <c r="LQH7" s="37"/>
      <c r="LQI7" s="36"/>
      <c r="LQJ7" s="37"/>
      <c r="LQK7" s="36"/>
      <c r="LQL7" s="37"/>
      <c r="LQM7" s="36"/>
      <c r="LQN7" s="37"/>
      <c r="LQO7" s="36"/>
      <c r="LQP7" s="37"/>
      <c r="LQQ7" s="36"/>
      <c r="LQR7" s="37"/>
      <c r="LQS7" s="36"/>
      <c r="LQT7" s="36"/>
      <c r="LQU7" s="37"/>
      <c r="LQV7" s="37"/>
      <c r="LQX7" s="22"/>
      <c r="LQY7" s="35"/>
      <c r="LQZ7" s="36"/>
      <c r="LRA7" s="37"/>
      <c r="LRB7" s="36"/>
      <c r="LRC7" s="37"/>
      <c r="LRD7" s="36"/>
      <c r="LRE7" s="37"/>
      <c r="LRF7" s="36"/>
      <c r="LRG7" s="37"/>
      <c r="LRH7" s="36"/>
      <c r="LRI7" s="37"/>
      <c r="LRJ7" s="36"/>
      <c r="LRK7" s="37"/>
      <c r="LRL7" s="36"/>
      <c r="LRM7" s="37"/>
      <c r="LRN7" s="36"/>
      <c r="LRO7" s="37"/>
      <c r="LRP7" s="36"/>
      <c r="LRQ7" s="37"/>
      <c r="LRR7" s="36"/>
      <c r="LRS7" s="36"/>
      <c r="LRT7" s="37"/>
      <c r="LRU7" s="37"/>
      <c r="LRW7" s="22"/>
      <c r="LRX7" s="35"/>
      <c r="LRY7" s="36"/>
      <c r="LRZ7" s="37"/>
      <c r="LSA7" s="36"/>
      <c r="LSB7" s="37"/>
      <c r="LSC7" s="36"/>
      <c r="LSD7" s="37"/>
      <c r="LSE7" s="36"/>
      <c r="LSF7" s="37"/>
      <c r="LSG7" s="36"/>
      <c r="LSH7" s="37"/>
      <c r="LSI7" s="36"/>
      <c r="LSJ7" s="37"/>
      <c r="LSK7" s="36"/>
      <c r="LSL7" s="37"/>
      <c r="LSM7" s="36"/>
      <c r="LSN7" s="37"/>
      <c r="LSO7" s="36"/>
      <c r="LSP7" s="37"/>
      <c r="LSQ7" s="36"/>
      <c r="LSR7" s="36"/>
      <c r="LSS7" s="37"/>
      <c r="LST7" s="37"/>
      <c r="LSV7" s="22"/>
      <c r="LSW7" s="35"/>
      <c r="LSX7" s="36"/>
      <c r="LSY7" s="37"/>
      <c r="LSZ7" s="36"/>
      <c r="LTA7" s="37"/>
      <c r="LTB7" s="36"/>
      <c r="LTC7" s="37"/>
      <c r="LTD7" s="36"/>
      <c r="LTE7" s="37"/>
      <c r="LTF7" s="36"/>
      <c r="LTG7" s="37"/>
      <c r="LTH7" s="36"/>
      <c r="LTI7" s="37"/>
      <c r="LTJ7" s="36"/>
      <c r="LTK7" s="37"/>
      <c r="LTL7" s="36"/>
      <c r="LTM7" s="37"/>
      <c r="LTN7" s="36"/>
      <c r="LTO7" s="37"/>
      <c r="LTP7" s="36"/>
      <c r="LTQ7" s="36"/>
      <c r="LTR7" s="37"/>
      <c r="LTS7" s="37"/>
      <c r="LTU7" s="22"/>
      <c r="LTV7" s="35"/>
      <c r="LTW7" s="36"/>
      <c r="LTX7" s="37"/>
      <c r="LTY7" s="36"/>
      <c r="LTZ7" s="37"/>
      <c r="LUA7" s="36"/>
      <c r="LUB7" s="37"/>
      <c r="LUC7" s="36"/>
      <c r="LUD7" s="37"/>
      <c r="LUE7" s="36"/>
      <c r="LUF7" s="37"/>
      <c r="LUG7" s="36"/>
      <c r="LUH7" s="37"/>
      <c r="LUI7" s="36"/>
      <c r="LUJ7" s="37"/>
      <c r="LUK7" s="36"/>
      <c r="LUL7" s="37"/>
      <c r="LUM7" s="36"/>
      <c r="LUN7" s="37"/>
      <c r="LUO7" s="36"/>
      <c r="LUP7" s="36"/>
      <c r="LUQ7" s="37"/>
      <c r="LUR7" s="37"/>
      <c r="LUT7" s="22"/>
      <c r="LUU7" s="35"/>
      <c r="LUV7" s="36"/>
      <c r="LUW7" s="37"/>
      <c r="LUX7" s="36"/>
      <c r="LUY7" s="37"/>
      <c r="LUZ7" s="36"/>
      <c r="LVA7" s="37"/>
      <c r="LVB7" s="36"/>
      <c r="LVC7" s="37"/>
      <c r="LVD7" s="36"/>
      <c r="LVE7" s="37"/>
      <c r="LVF7" s="36"/>
      <c r="LVG7" s="37"/>
      <c r="LVH7" s="36"/>
      <c r="LVI7" s="37"/>
      <c r="LVJ7" s="36"/>
      <c r="LVK7" s="37"/>
      <c r="LVL7" s="36"/>
      <c r="LVM7" s="37"/>
      <c r="LVN7" s="36"/>
      <c r="LVO7" s="36"/>
      <c r="LVP7" s="37"/>
      <c r="LVQ7" s="37"/>
      <c r="LVS7" s="22"/>
      <c r="LVT7" s="35"/>
      <c r="LVU7" s="36"/>
      <c r="LVV7" s="37"/>
      <c r="LVW7" s="36"/>
      <c r="LVX7" s="37"/>
      <c r="LVY7" s="36"/>
      <c r="LVZ7" s="37"/>
      <c r="LWA7" s="36"/>
      <c r="LWB7" s="37"/>
      <c r="LWC7" s="36"/>
      <c r="LWD7" s="37"/>
      <c r="LWE7" s="36"/>
      <c r="LWF7" s="37"/>
      <c r="LWG7" s="36"/>
      <c r="LWH7" s="37"/>
      <c r="LWI7" s="36"/>
      <c r="LWJ7" s="37"/>
      <c r="LWK7" s="36"/>
      <c r="LWL7" s="37"/>
      <c r="LWM7" s="36"/>
      <c r="LWN7" s="36"/>
      <c r="LWO7" s="37"/>
      <c r="LWP7" s="37"/>
      <c r="LWR7" s="22"/>
      <c r="LWS7" s="35"/>
      <c r="LWT7" s="36"/>
      <c r="LWU7" s="37"/>
      <c r="LWV7" s="36"/>
      <c r="LWW7" s="37"/>
      <c r="LWX7" s="36"/>
      <c r="LWY7" s="37"/>
      <c r="LWZ7" s="36"/>
      <c r="LXA7" s="37"/>
      <c r="LXB7" s="36"/>
      <c r="LXC7" s="37"/>
      <c r="LXD7" s="36"/>
      <c r="LXE7" s="37"/>
      <c r="LXF7" s="36"/>
      <c r="LXG7" s="37"/>
      <c r="LXH7" s="36"/>
      <c r="LXI7" s="37"/>
      <c r="LXJ7" s="36"/>
      <c r="LXK7" s="37"/>
      <c r="LXL7" s="36"/>
      <c r="LXM7" s="36"/>
      <c r="LXN7" s="37"/>
      <c r="LXO7" s="37"/>
      <c r="LXQ7" s="22"/>
      <c r="LXR7" s="35"/>
      <c r="LXS7" s="36"/>
      <c r="LXT7" s="37"/>
      <c r="LXU7" s="36"/>
      <c r="LXV7" s="37"/>
      <c r="LXW7" s="36"/>
      <c r="LXX7" s="37"/>
      <c r="LXY7" s="36"/>
      <c r="LXZ7" s="37"/>
      <c r="LYA7" s="36"/>
      <c r="LYB7" s="37"/>
      <c r="LYC7" s="36"/>
      <c r="LYD7" s="37"/>
      <c r="LYE7" s="36"/>
      <c r="LYF7" s="37"/>
      <c r="LYG7" s="36"/>
      <c r="LYH7" s="37"/>
      <c r="LYI7" s="36"/>
      <c r="LYJ7" s="37"/>
      <c r="LYK7" s="36"/>
      <c r="LYL7" s="36"/>
      <c r="LYM7" s="37"/>
      <c r="LYN7" s="37"/>
      <c r="LYP7" s="22"/>
      <c r="LYQ7" s="35"/>
      <c r="LYR7" s="36"/>
      <c r="LYS7" s="37"/>
      <c r="LYT7" s="36"/>
      <c r="LYU7" s="37"/>
      <c r="LYV7" s="36"/>
      <c r="LYW7" s="37"/>
      <c r="LYX7" s="36"/>
      <c r="LYY7" s="37"/>
      <c r="LYZ7" s="36"/>
      <c r="LZA7" s="37"/>
      <c r="LZB7" s="36"/>
      <c r="LZC7" s="37"/>
      <c r="LZD7" s="36"/>
      <c r="LZE7" s="37"/>
      <c r="LZF7" s="36"/>
      <c r="LZG7" s="37"/>
      <c r="LZH7" s="36"/>
      <c r="LZI7" s="37"/>
      <c r="LZJ7" s="36"/>
      <c r="LZK7" s="36"/>
      <c r="LZL7" s="37"/>
      <c r="LZM7" s="37"/>
      <c r="LZO7" s="22"/>
      <c r="LZP7" s="35"/>
      <c r="LZQ7" s="36"/>
      <c r="LZR7" s="37"/>
      <c r="LZS7" s="36"/>
      <c r="LZT7" s="37"/>
      <c r="LZU7" s="36"/>
      <c r="LZV7" s="37"/>
      <c r="LZW7" s="36"/>
      <c r="LZX7" s="37"/>
      <c r="LZY7" s="36"/>
      <c r="LZZ7" s="37"/>
      <c r="MAA7" s="36"/>
      <c r="MAB7" s="37"/>
      <c r="MAC7" s="36"/>
      <c r="MAD7" s="37"/>
      <c r="MAE7" s="36"/>
      <c r="MAF7" s="37"/>
      <c r="MAG7" s="36"/>
      <c r="MAH7" s="37"/>
      <c r="MAI7" s="36"/>
      <c r="MAJ7" s="36"/>
      <c r="MAK7" s="37"/>
      <c r="MAL7" s="37"/>
      <c r="MAN7" s="22"/>
      <c r="MAO7" s="35"/>
      <c r="MAP7" s="36"/>
      <c r="MAQ7" s="37"/>
      <c r="MAR7" s="36"/>
      <c r="MAS7" s="37"/>
      <c r="MAT7" s="36"/>
      <c r="MAU7" s="37"/>
      <c r="MAV7" s="36"/>
      <c r="MAW7" s="37"/>
      <c r="MAX7" s="36"/>
      <c r="MAY7" s="37"/>
      <c r="MAZ7" s="36"/>
      <c r="MBA7" s="37"/>
      <c r="MBB7" s="36"/>
      <c r="MBC7" s="37"/>
      <c r="MBD7" s="36"/>
      <c r="MBE7" s="37"/>
      <c r="MBF7" s="36"/>
      <c r="MBG7" s="37"/>
      <c r="MBH7" s="36"/>
      <c r="MBI7" s="36"/>
      <c r="MBJ7" s="37"/>
      <c r="MBK7" s="37"/>
      <c r="MBM7" s="22"/>
      <c r="MBN7" s="35"/>
      <c r="MBO7" s="36"/>
      <c r="MBP7" s="37"/>
      <c r="MBQ7" s="36"/>
      <c r="MBR7" s="37"/>
      <c r="MBS7" s="36"/>
      <c r="MBT7" s="37"/>
      <c r="MBU7" s="36"/>
      <c r="MBV7" s="37"/>
      <c r="MBW7" s="36"/>
      <c r="MBX7" s="37"/>
      <c r="MBY7" s="36"/>
      <c r="MBZ7" s="37"/>
      <c r="MCA7" s="36"/>
      <c r="MCB7" s="37"/>
      <c r="MCC7" s="36"/>
      <c r="MCD7" s="37"/>
      <c r="MCE7" s="36"/>
      <c r="MCF7" s="37"/>
      <c r="MCG7" s="36"/>
      <c r="MCH7" s="36"/>
      <c r="MCI7" s="37"/>
      <c r="MCJ7" s="37"/>
      <c r="MCL7" s="22"/>
      <c r="MCM7" s="35"/>
      <c r="MCN7" s="36"/>
      <c r="MCO7" s="37"/>
      <c r="MCP7" s="36"/>
      <c r="MCQ7" s="37"/>
      <c r="MCR7" s="36"/>
      <c r="MCS7" s="37"/>
      <c r="MCT7" s="36"/>
      <c r="MCU7" s="37"/>
      <c r="MCV7" s="36"/>
      <c r="MCW7" s="37"/>
      <c r="MCX7" s="36"/>
      <c r="MCY7" s="37"/>
      <c r="MCZ7" s="36"/>
      <c r="MDA7" s="37"/>
      <c r="MDB7" s="36"/>
      <c r="MDC7" s="37"/>
      <c r="MDD7" s="36"/>
      <c r="MDE7" s="37"/>
      <c r="MDF7" s="36"/>
      <c r="MDG7" s="36"/>
      <c r="MDH7" s="37"/>
      <c r="MDI7" s="37"/>
      <c r="MDK7" s="22"/>
      <c r="MDL7" s="35"/>
      <c r="MDM7" s="36"/>
      <c r="MDN7" s="37"/>
      <c r="MDO7" s="36"/>
      <c r="MDP7" s="37"/>
      <c r="MDQ7" s="36"/>
      <c r="MDR7" s="37"/>
      <c r="MDS7" s="36"/>
      <c r="MDT7" s="37"/>
      <c r="MDU7" s="36"/>
      <c r="MDV7" s="37"/>
      <c r="MDW7" s="36"/>
      <c r="MDX7" s="37"/>
      <c r="MDY7" s="36"/>
      <c r="MDZ7" s="37"/>
      <c r="MEA7" s="36"/>
      <c r="MEB7" s="37"/>
      <c r="MEC7" s="36"/>
      <c r="MED7" s="37"/>
      <c r="MEE7" s="36"/>
      <c r="MEF7" s="36"/>
      <c r="MEG7" s="37"/>
      <c r="MEH7" s="37"/>
      <c r="MEJ7" s="22"/>
      <c r="MEK7" s="35"/>
      <c r="MEL7" s="36"/>
      <c r="MEM7" s="37"/>
      <c r="MEN7" s="36"/>
      <c r="MEO7" s="37"/>
      <c r="MEP7" s="36"/>
      <c r="MEQ7" s="37"/>
      <c r="MER7" s="36"/>
      <c r="MES7" s="37"/>
      <c r="MET7" s="36"/>
      <c r="MEU7" s="37"/>
      <c r="MEV7" s="36"/>
      <c r="MEW7" s="37"/>
      <c r="MEX7" s="36"/>
      <c r="MEY7" s="37"/>
      <c r="MEZ7" s="36"/>
      <c r="MFA7" s="37"/>
      <c r="MFB7" s="36"/>
      <c r="MFC7" s="37"/>
      <c r="MFD7" s="36"/>
      <c r="MFE7" s="36"/>
      <c r="MFF7" s="37"/>
      <c r="MFG7" s="37"/>
      <c r="MFI7" s="22"/>
      <c r="MFJ7" s="35"/>
      <c r="MFK7" s="36"/>
      <c r="MFL7" s="37"/>
      <c r="MFM7" s="36"/>
      <c r="MFN7" s="37"/>
      <c r="MFO7" s="36"/>
      <c r="MFP7" s="37"/>
      <c r="MFQ7" s="36"/>
      <c r="MFR7" s="37"/>
      <c r="MFS7" s="36"/>
      <c r="MFT7" s="37"/>
      <c r="MFU7" s="36"/>
      <c r="MFV7" s="37"/>
      <c r="MFW7" s="36"/>
      <c r="MFX7" s="37"/>
      <c r="MFY7" s="36"/>
      <c r="MFZ7" s="37"/>
      <c r="MGA7" s="36"/>
      <c r="MGB7" s="37"/>
      <c r="MGC7" s="36"/>
      <c r="MGD7" s="36"/>
      <c r="MGE7" s="37"/>
      <c r="MGF7" s="37"/>
      <c r="MGH7" s="22"/>
      <c r="MGI7" s="35"/>
      <c r="MGJ7" s="36"/>
      <c r="MGK7" s="37"/>
      <c r="MGL7" s="36"/>
      <c r="MGM7" s="37"/>
      <c r="MGN7" s="36"/>
      <c r="MGO7" s="37"/>
      <c r="MGP7" s="36"/>
      <c r="MGQ7" s="37"/>
      <c r="MGR7" s="36"/>
      <c r="MGS7" s="37"/>
      <c r="MGT7" s="36"/>
      <c r="MGU7" s="37"/>
      <c r="MGV7" s="36"/>
      <c r="MGW7" s="37"/>
      <c r="MGX7" s="36"/>
      <c r="MGY7" s="37"/>
      <c r="MGZ7" s="36"/>
      <c r="MHA7" s="37"/>
      <c r="MHB7" s="36"/>
      <c r="MHC7" s="36"/>
      <c r="MHD7" s="37"/>
      <c r="MHE7" s="37"/>
      <c r="MHG7" s="22"/>
      <c r="MHH7" s="35"/>
      <c r="MHI7" s="36"/>
      <c r="MHJ7" s="37"/>
      <c r="MHK7" s="36"/>
      <c r="MHL7" s="37"/>
      <c r="MHM7" s="36"/>
      <c r="MHN7" s="37"/>
      <c r="MHO7" s="36"/>
      <c r="MHP7" s="37"/>
      <c r="MHQ7" s="36"/>
      <c r="MHR7" s="37"/>
      <c r="MHS7" s="36"/>
      <c r="MHT7" s="37"/>
      <c r="MHU7" s="36"/>
      <c r="MHV7" s="37"/>
      <c r="MHW7" s="36"/>
      <c r="MHX7" s="37"/>
      <c r="MHY7" s="36"/>
      <c r="MHZ7" s="37"/>
      <c r="MIA7" s="36"/>
      <c r="MIB7" s="36"/>
      <c r="MIC7" s="37"/>
      <c r="MID7" s="37"/>
      <c r="MIF7" s="22"/>
      <c r="MIG7" s="35"/>
      <c r="MIH7" s="36"/>
      <c r="MII7" s="37"/>
      <c r="MIJ7" s="36"/>
      <c r="MIK7" s="37"/>
      <c r="MIL7" s="36"/>
      <c r="MIM7" s="37"/>
      <c r="MIN7" s="36"/>
      <c r="MIO7" s="37"/>
      <c r="MIP7" s="36"/>
      <c r="MIQ7" s="37"/>
      <c r="MIR7" s="36"/>
      <c r="MIS7" s="37"/>
      <c r="MIT7" s="36"/>
      <c r="MIU7" s="37"/>
      <c r="MIV7" s="36"/>
      <c r="MIW7" s="37"/>
      <c r="MIX7" s="36"/>
      <c r="MIY7" s="37"/>
      <c r="MIZ7" s="36"/>
      <c r="MJA7" s="36"/>
      <c r="MJB7" s="37"/>
      <c r="MJC7" s="37"/>
      <c r="MJE7" s="22"/>
      <c r="MJF7" s="35"/>
      <c r="MJG7" s="36"/>
      <c r="MJH7" s="37"/>
      <c r="MJI7" s="36"/>
      <c r="MJJ7" s="37"/>
      <c r="MJK7" s="36"/>
      <c r="MJL7" s="37"/>
      <c r="MJM7" s="36"/>
      <c r="MJN7" s="37"/>
      <c r="MJO7" s="36"/>
      <c r="MJP7" s="37"/>
      <c r="MJQ7" s="36"/>
      <c r="MJR7" s="37"/>
      <c r="MJS7" s="36"/>
      <c r="MJT7" s="37"/>
      <c r="MJU7" s="36"/>
      <c r="MJV7" s="37"/>
      <c r="MJW7" s="36"/>
      <c r="MJX7" s="37"/>
      <c r="MJY7" s="36"/>
      <c r="MJZ7" s="36"/>
      <c r="MKA7" s="37"/>
      <c r="MKB7" s="37"/>
      <c r="MKD7" s="22"/>
      <c r="MKE7" s="35"/>
      <c r="MKF7" s="36"/>
      <c r="MKG7" s="37"/>
      <c r="MKH7" s="36"/>
      <c r="MKI7" s="37"/>
      <c r="MKJ7" s="36"/>
      <c r="MKK7" s="37"/>
      <c r="MKL7" s="36"/>
      <c r="MKM7" s="37"/>
      <c r="MKN7" s="36"/>
      <c r="MKO7" s="37"/>
      <c r="MKP7" s="36"/>
      <c r="MKQ7" s="37"/>
      <c r="MKR7" s="36"/>
      <c r="MKS7" s="37"/>
      <c r="MKT7" s="36"/>
      <c r="MKU7" s="37"/>
      <c r="MKV7" s="36"/>
      <c r="MKW7" s="37"/>
      <c r="MKX7" s="36"/>
      <c r="MKY7" s="36"/>
      <c r="MKZ7" s="37"/>
      <c r="MLA7" s="37"/>
      <c r="MLC7" s="22"/>
      <c r="MLD7" s="35"/>
      <c r="MLE7" s="36"/>
      <c r="MLF7" s="37"/>
      <c r="MLG7" s="36"/>
      <c r="MLH7" s="37"/>
      <c r="MLI7" s="36"/>
      <c r="MLJ7" s="37"/>
      <c r="MLK7" s="36"/>
      <c r="MLL7" s="37"/>
      <c r="MLM7" s="36"/>
      <c r="MLN7" s="37"/>
      <c r="MLO7" s="36"/>
      <c r="MLP7" s="37"/>
      <c r="MLQ7" s="36"/>
      <c r="MLR7" s="37"/>
      <c r="MLS7" s="36"/>
      <c r="MLT7" s="37"/>
      <c r="MLU7" s="36"/>
      <c r="MLV7" s="37"/>
      <c r="MLW7" s="36"/>
      <c r="MLX7" s="36"/>
      <c r="MLY7" s="37"/>
      <c r="MLZ7" s="37"/>
      <c r="MMB7" s="22"/>
      <c r="MMC7" s="35"/>
      <c r="MMD7" s="36"/>
      <c r="MME7" s="37"/>
      <c r="MMF7" s="36"/>
      <c r="MMG7" s="37"/>
      <c r="MMH7" s="36"/>
      <c r="MMI7" s="37"/>
      <c r="MMJ7" s="36"/>
      <c r="MMK7" s="37"/>
      <c r="MML7" s="36"/>
      <c r="MMM7" s="37"/>
      <c r="MMN7" s="36"/>
      <c r="MMO7" s="37"/>
      <c r="MMP7" s="36"/>
      <c r="MMQ7" s="37"/>
      <c r="MMR7" s="36"/>
      <c r="MMS7" s="37"/>
      <c r="MMT7" s="36"/>
      <c r="MMU7" s="37"/>
      <c r="MMV7" s="36"/>
      <c r="MMW7" s="36"/>
      <c r="MMX7" s="37"/>
      <c r="MMY7" s="37"/>
      <c r="MNA7" s="22"/>
      <c r="MNB7" s="35"/>
      <c r="MNC7" s="36"/>
      <c r="MND7" s="37"/>
      <c r="MNE7" s="36"/>
      <c r="MNF7" s="37"/>
      <c r="MNG7" s="36"/>
      <c r="MNH7" s="37"/>
      <c r="MNI7" s="36"/>
      <c r="MNJ7" s="37"/>
      <c r="MNK7" s="36"/>
      <c r="MNL7" s="37"/>
      <c r="MNM7" s="36"/>
      <c r="MNN7" s="37"/>
      <c r="MNO7" s="36"/>
      <c r="MNP7" s="37"/>
      <c r="MNQ7" s="36"/>
      <c r="MNR7" s="37"/>
      <c r="MNS7" s="36"/>
      <c r="MNT7" s="37"/>
      <c r="MNU7" s="36"/>
      <c r="MNV7" s="36"/>
      <c r="MNW7" s="37"/>
      <c r="MNX7" s="37"/>
      <c r="MNZ7" s="22"/>
      <c r="MOA7" s="35"/>
      <c r="MOB7" s="36"/>
      <c r="MOC7" s="37"/>
      <c r="MOD7" s="36"/>
      <c r="MOE7" s="37"/>
      <c r="MOF7" s="36"/>
      <c r="MOG7" s="37"/>
      <c r="MOH7" s="36"/>
      <c r="MOI7" s="37"/>
      <c r="MOJ7" s="36"/>
      <c r="MOK7" s="37"/>
      <c r="MOL7" s="36"/>
      <c r="MOM7" s="37"/>
      <c r="MON7" s="36"/>
      <c r="MOO7" s="37"/>
      <c r="MOP7" s="36"/>
      <c r="MOQ7" s="37"/>
      <c r="MOR7" s="36"/>
      <c r="MOS7" s="37"/>
      <c r="MOT7" s="36"/>
      <c r="MOU7" s="36"/>
      <c r="MOV7" s="37"/>
      <c r="MOW7" s="37"/>
      <c r="MOY7" s="22"/>
      <c r="MOZ7" s="35"/>
      <c r="MPA7" s="36"/>
      <c r="MPB7" s="37"/>
      <c r="MPC7" s="36"/>
      <c r="MPD7" s="37"/>
      <c r="MPE7" s="36"/>
      <c r="MPF7" s="37"/>
      <c r="MPG7" s="36"/>
      <c r="MPH7" s="37"/>
      <c r="MPI7" s="36"/>
      <c r="MPJ7" s="37"/>
      <c r="MPK7" s="36"/>
      <c r="MPL7" s="37"/>
      <c r="MPM7" s="36"/>
      <c r="MPN7" s="37"/>
      <c r="MPO7" s="36"/>
      <c r="MPP7" s="37"/>
      <c r="MPQ7" s="36"/>
      <c r="MPR7" s="37"/>
      <c r="MPS7" s="36"/>
      <c r="MPT7" s="36"/>
      <c r="MPU7" s="37"/>
      <c r="MPV7" s="37"/>
      <c r="MPX7" s="22"/>
      <c r="MPY7" s="35"/>
      <c r="MPZ7" s="36"/>
      <c r="MQA7" s="37"/>
      <c r="MQB7" s="36"/>
      <c r="MQC7" s="37"/>
      <c r="MQD7" s="36"/>
      <c r="MQE7" s="37"/>
      <c r="MQF7" s="36"/>
      <c r="MQG7" s="37"/>
      <c r="MQH7" s="36"/>
      <c r="MQI7" s="37"/>
      <c r="MQJ7" s="36"/>
      <c r="MQK7" s="37"/>
      <c r="MQL7" s="36"/>
      <c r="MQM7" s="37"/>
      <c r="MQN7" s="36"/>
      <c r="MQO7" s="37"/>
      <c r="MQP7" s="36"/>
      <c r="MQQ7" s="37"/>
      <c r="MQR7" s="36"/>
      <c r="MQS7" s="36"/>
      <c r="MQT7" s="37"/>
      <c r="MQU7" s="37"/>
      <c r="MQW7" s="22"/>
      <c r="MQX7" s="35"/>
      <c r="MQY7" s="36"/>
      <c r="MQZ7" s="37"/>
      <c r="MRA7" s="36"/>
      <c r="MRB7" s="37"/>
      <c r="MRC7" s="36"/>
      <c r="MRD7" s="37"/>
      <c r="MRE7" s="36"/>
      <c r="MRF7" s="37"/>
      <c r="MRG7" s="36"/>
      <c r="MRH7" s="37"/>
      <c r="MRI7" s="36"/>
      <c r="MRJ7" s="37"/>
      <c r="MRK7" s="36"/>
      <c r="MRL7" s="37"/>
      <c r="MRM7" s="36"/>
      <c r="MRN7" s="37"/>
      <c r="MRO7" s="36"/>
      <c r="MRP7" s="37"/>
      <c r="MRQ7" s="36"/>
      <c r="MRR7" s="36"/>
      <c r="MRS7" s="37"/>
      <c r="MRT7" s="37"/>
      <c r="MRV7" s="22"/>
      <c r="MRW7" s="35"/>
      <c r="MRX7" s="36"/>
      <c r="MRY7" s="37"/>
      <c r="MRZ7" s="36"/>
      <c r="MSA7" s="37"/>
      <c r="MSB7" s="36"/>
      <c r="MSC7" s="37"/>
      <c r="MSD7" s="36"/>
      <c r="MSE7" s="37"/>
      <c r="MSF7" s="36"/>
      <c r="MSG7" s="37"/>
      <c r="MSH7" s="36"/>
      <c r="MSI7" s="37"/>
      <c r="MSJ7" s="36"/>
      <c r="MSK7" s="37"/>
      <c r="MSL7" s="36"/>
      <c r="MSM7" s="37"/>
      <c r="MSN7" s="36"/>
      <c r="MSO7" s="37"/>
      <c r="MSP7" s="36"/>
      <c r="MSQ7" s="36"/>
      <c r="MSR7" s="37"/>
      <c r="MSS7" s="37"/>
      <c r="MSU7" s="22"/>
      <c r="MSV7" s="35"/>
      <c r="MSW7" s="36"/>
      <c r="MSX7" s="37"/>
      <c r="MSY7" s="36"/>
      <c r="MSZ7" s="37"/>
      <c r="MTA7" s="36"/>
      <c r="MTB7" s="37"/>
      <c r="MTC7" s="36"/>
      <c r="MTD7" s="37"/>
      <c r="MTE7" s="36"/>
      <c r="MTF7" s="37"/>
      <c r="MTG7" s="36"/>
      <c r="MTH7" s="37"/>
      <c r="MTI7" s="36"/>
      <c r="MTJ7" s="37"/>
      <c r="MTK7" s="36"/>
      <c r="MTL7" s="37"/>
      <c r="MTM7" s="36"/>
      <c r="MTN7" s="37"/>
      <c r="MTO7" s="36"/>
      <c r="MTP7" s="36"/>
      <c r="MTQ7" s="37"/>
      <c r="MTR7" s="37"/>
      <c r="MTT7" s="22"/>
      <c r="MTU7" s="35"/>
      <c r="MTV7" s="36"/>
      <c r="MTW7" s="37"/>
      <c r="MTX7" s="36"/>
      <c r="MTY7" s="37"/>
      <c r="MTZ7" s="36"/>
      <c r="MUA7" s="37"/>
      <c r="MUB7" s="36"/>
      <c r="MUC7" s="37"/>
      <c r="MUD7" s="36"/>
      <c r="MUE7" s="37"/>
      <c r="MUF7" s="36"/>
      <c r="MUG7" s="37"/>
      <c r="MUH7" s="36"/>
      <c r="MUI7" s="37"/>
      <c r="MUJ7" s="36"/>
      <c r="MUK7" s="37"/>
      <c r="MUL7" s="36"/>
      <c r="MUM7" s="37"/>
      <c r="MUN7" s="36"/>
      <c r="MUO7" s="36"/>
      <c r="MUP7" s="37"/>
      <c r="MUQ7" s="37"/>
      <c r="MUS7" s="22"/>
      <c r="MUT7" s="35"/>
      <c r="MUU7" s="36"/>
      <c r="MUV7" s="37"/>
      <c r="MUW7" s="36"/>
      <c r="MUX7" s="37"/>
      <c r="MUY7" s="36"/>
      <c r="MUZ7" s="37"/>
      <c r="MVA7" s="36"/>
      <c r="MVB7" s="37"/>
      <c r="MVC7" s="36"/>
      <c r="MVD7" s="37"/>
      <c r="MVE7" s="36"/>
      <c r="MVF7" s="37"/>
      <c r="MVG7" s="36"/>
      <c r="MVH7" s="37"/>
      <c r="MVI7" s="36"/>
      <c r="MVJ7" s="37"/>
      <c r="MVK7" s="36"/>
      <c r="MVL7" s="37"/>
      <c r="MVM7" s="36"/>
      <c r="MVN7" s="36"/>
      <c r="MVO7" s="37"/>
      <c r="MVP7" s="37"/>
      <c r="MVR7" s="22"/>
      <c r="MVS7" s="35"/>
      <c r="MVT7" s="36"/>
      <c r="MVU7" s="37"/>
      <c r="MVV7" s="36"/>
      <c r="MVW7" s="37"/>
      <c r="MVX7" s="36"/>
      <c r="MVY7" s="37"/>
      <c r="MVZ7" s="36"/>
      <c r="MWA7" s="37"/>
      <c r="MWB7" s="36"/>
      <c r="MWC7" s="37"/>
      <c r="MWD7" s="36"/>
      <c r="MWE7" s="37"/>
      <c r="MWF7" s="36"/>
      <c r="MWG7" s="37"/>
      <c r="MWH7" s="36"/>
      <c r="MWI7" s="37"/>
      <c r="MWJ7" s="36"/>
      <c r="MWK7" s="37"/>
      <c r="MWL7" s="36"/>
      <c r="MWM7" s="36"/>
      <c r="MWN7" s="37"/>
      <c r="MWO7" s="37"/>
      <c r="MWQ7" s="22"/>
      <c r="MWR7" s="35"/>
      <c r="MWS7" s="36"/>
      <c r="MWT7" s="37"/>
      <c r="MWU7" s="36"/>
      <c r="MWV7" s="37"/>
      <c r="MWW7" s="36"/>
      <c r="MWX7" s="37"/>
      <c r="MWY7" s="36"/>
      <c r="MWZ7" s="37"/>
      <c r="MXA7" s="36"/>
      <c r="MXB7" s="37"/>
      <c r="MXC7" s="36"/>
      <c r="MXD7" s="37"/>
      <c r="MXE7" s="36"/>
      <c r="MXF7" s="37"/>
      <c r="MXG7" s="36"/>
      <c r="MXH7" s="37"/>
      <c r="MXI7" s="36"/>
      <c r="MXJ7" s="37"/>
      <c r="MXK7" s="36"/>
      <c r="MXL7" s="36"/>
      <c r="MXM7" s="37"/>
      <c r="MXN7" s="37"/>
      <c r="MXP7" s="22"/>
      <c r="MXQ7" s="35"/>
      <c r="MXR7" s="36"/>
      <c r="MXS7" s="37"/>
      <c r="MXT7" s="36"/>
      <c r="MXU7" s="37"/>
      <c r="MXV7" s="36"/>
      <c r="MXW7" s="37"/>
      <c r="MXX7" s="36"/>
      <c r="MXY7" s="37"/>
      <c r="MXZ7" s="36"/>
      <c r="MYA7" s="37"/>
      <c r="MYB7" s="36"/>
      <c r="MYC7" s="37"/>
      <c r="MYD7" s="36"/>
      <c r="MYE7" s="37"/>
      <c r="MYF7" s="36"/>
      <c r="MYG7" s="37"/>
      <c r="MYH7" s="36"/>
      <c r="MYI7" s="37"/>
      <c r="MYJ7" s="36"/>
      <c r="MYK7" s="36"/>
      <c r="MYL7" s="37"/>
      <c r="MYM7" s="37"/>
      <c r="MYO7" s="22"/>
      <c r="MYP7" s="35"/>
      <c r="MYQ7" s="36"/>
      <c r="MYR7" s="37"/>
      <c r="MYS7" s="36"/>
      <c r="MYT7" s="37"/>
      <c r="MYU7" s="36"/>
      <c r="MYV7" s="37"/>
      <c r="MYW7" s="36"/>
      <c r="MYX7" s="37"/>
      <c r="MYY7" s="36"/>
      <c r="MYZ7" s="37"/>
      <c r="MZA7" s="36"/>
      <c r="MZB7" s="37"/>
      <c r="MZC7" s="36"/>
      <c r="MZD7" s="37"/>
      <c r="MZE7" s="36"/>
      <c r="MZF7" s="37"/>
      <c r="MZG7" s="36"/>
      <c r="MZH7" s="37"/>
      <c r="MZI7" s="36"/>
      <c r="MZJ7" s="36"/>
      <c r="MZK7" s="37"/>
      <c r="MZL7" s="37"/>
      <c r="MZN7" s="22"/>
      <c r="MZO7" s="35"/>
      <c r="MZP7" s="36"/>
      <c r="MZQ7" s="37"/>
      <c r="MZR7" s="36"/>
      <c r="MZS7" s="37"/>
      <c r="MZT7" s="36"/>
      <c r="MZU7" s="37"/>
      <c r="MZV7" s="36"/>
      <c r="MZW7" s="37"/>
      <c r="MZX7" s="36"/>
      <c r="MZY7" s="37"/>
      <c r="MZZ7" s="36"/>
      <c r="NAA7" s="37"/>
      <c r="NAB7" s="36"/>
      <c r="NAC7" s="37"/>
      <c r="NAD7" s="36"/>
      <c r="NAE7" s="37"/>
      <c r="NAF7" s="36"/>
      <c r="NAG7" s="37"/>
      <c r="NAH7" s="36"/>
      <c r="NAI7" s="36"/>
      <c r="NAJ7" s="37"/>
      <c r="NAK7" s="37"/>
      <c r="NAM7" s="22"/>
      <c r="NAN7" s="35"/>
      <c r="NAO7" s="36"/>
      <c r="NAP7" s="37"/>
      <c r="NAQ7" s="36"/>
      <c r="NAR7" s="37"/>
      <c r="NAS7" s="36"/>
      <c r="NAT7" s="37"/>
      <c r="NAU7" s="36"/>
      <c r="NAV7" s="37"/>
      <c r="NAW7" s="36"/>
      <c r="NAX7" s="37"/>
      <c r="NAY7" s="36"/>
      <c r="NAZ7" s="37"/>
      <c r="NBA7" s="36"/>
      <c r="NBB7" s="37"/>
      <c r="NBC7" s="36"/>
      <c r="NBD7" s="37"/>
      <c r="NBE7" s="36"/>
      <c r="NBF7" s="37"/>
      <c r="NBG7" s="36"/>
      <c r="NBH7" s="36"/>
      <c r="NBI7" s="37"/>
      <c r="NBJ7" s="37"/>
      <c r="NBL7" s="22"/>
      <c r="NBM7" s="35"/>
      <c r="NBN7" s="36"/>
      <c r="NBO7" s="37"/>
      <c r="NBP7" s="36"/>
      <c r="NBQ7" s="37"/>
      <c r="NBR7" s="36"/>
      <c r="NBS7" s="37"/>
      <c r="NBT7" s="36"/>
      <c r="NBU7" s="37"/>
      <c r="NBV7" s="36"/>
      <c r="NBW7" s="37"/>
      <c r="NBX7" s="36"/>
      <c r="NBY7" s="37"/>
      <c r="NBZ7" s="36"/>
      <c r="NCA7" s="37"/>
      <c r="NCB7" s="36"/>
      <c r="NCC7" s="37"/>
      <c r="NCD7" s="36"/>
      <c r="NCE7" s="37"/>
      <c r="NCF7" s="36"/>
      <c r="NCG7" s="36"/>
      <c r="NCH7" s="37"/>
      <c r="NCI7" s="37"/>
      <c r="NCK7" s="22"/>
      <c r="NCL7" s="35"/>
      <c r="NCM7" s="36"/>
      <c r="NCN7" s="37"/>
      <c r="NCO7" s="36"/>
      <c r="NCP7" s="37"/>
      <c r="NCQ7" s="36"/>
      <c r="NCR7" s="37"/>
      <c r="NCS7" s="36"/>
      <c r="NCT7" s="37"/>
      <c r="NCU7" s="36"/>
      <c r="NCV7" s="37"/>
      <c r="NCW7" s="36"/>
      <c r="NCX7" s="37"/>
      <c r="NCY7" s="36"/>
      <c r="NCZ7" s="37"/>
      <c r="NDA7" s="36"/>
      <c r="NDB7" s="37"/>
      <c r="NDC7" s="36"/>
      <c r="NDD7" s="37"/>
      <c r="NDE7" s="36"/>
      <c r="NDF7" s="36"/>
      <c r="NDG7" s="37"/>
      <c r="NDH7" s="37"/>
      <c r="NDJ7" s="22"/>
      <c r="NDK7" s="35"/>
      <c r="NDL7" s="36"/>
      <c r="NDM7" s="37"/>
      <c r="NDN7" s="36"/>
      <c r="NDO7" s="37"/>
      <c r="NDP7" s="36"/>
      <c r="NDQ7" s="37"/>
      <c r="NDR7" s="36"/>
      <c r="NDS7" s="37"/>
      <c r="NDT7" s="36"/>
      <c r="NDU7" s="37"/>
      <c r="NDV7" s="36"/>
      <c r="NDW7" s="37"/>
      <c r="NDX7" s="36"/>
      <c r="NDY7" s="37"/>
      <c r="NDZ7" s="36"/>
      <c r="NEA7" s="37"/>
      <c r="NEB7" s="36"/>
      <c r="NEC7" s="37"/>
      <c r="NED7" s="36"/>
      <c r="NEE7" s="36"/>
      <c r="NEF7" s="37"/>
      <c r="NEG7" s="37"/>
      <c r="NEI7" s="22"/>
      <c r="NEJ7" s="35"/>
      <c r="NEK7" s="36"/>
      <c r="NEL7" s="37"/>
      <c r="NEM7" s="36"/>
      <c r="NEN7" s="37"/>
      <c r="NEO7" s="36"/>
      <c r="NEP7" s="37"/>
      <c r="NEQ7" s="36"/>
      <c r="NER7" s="37"/>
      <c r="NES7" s="36"/>
      <c r="NET7" s="37"/>
      <c r="NEU7" s="36"/>
      <c r="NEV7" s="37"/>
      <c r="NEW7" s="36"/>
      <c r="NEX7" s="37"/>
      <c r="NEY7" s="36"/>
      <c r="NEZ7" s="37"/>
      <c r="NFA7" s="36"/>
      <c r="NFB7" s="37"/>
      <c r="NFC7" s="36"/>
      <c r="NFD7" s="36"/>
      <c r="NFE7" s="37"/>
      <c r="NFF7" s="37"/>
      <c r="NFH7" s="22"/>
      <c r="NFI7" s="35"/>
      <c r="NFJ7" s="36"/>
      <c r="NFK7" s="37"/>
      <c r="NFL7" s="36"/>
      <c r="NFM7" s="37"/>
      <c r="NFN7" s="36"/>
      <c r="NFO7" s="37"/>
      <c r="NFP7" s="36"/>
      <c r="NFQ7" s="37"/>
      <c r="NFR7" s="36"/>
      <c r="NFS7" s="37"/>
      <c r="NFT7" s="36"/>
      <c r="NFU7" s="37"/>
      <c r="NFV7" s="36"/>
      <c r="NFW7" s="37"/>
      <c r="NFX7" s="36"/>
      <c r="NFY7" s="37"/>
      <c r="NFZ7" s="36"/>
      <c r="NGA7" s="37"/>
      <c r="NGB7" s="36"/>
      <c r="NGC7" s="36"/>
      <c r="NGD7" s="37"/>
      <c r="NGE7" s="37"/>
      <c r="NGG7" s="22"/>
      <c r="NGH7" s="35"/>
      <c r="NGI7" s="36"/>
      <c r="NGJ7" s="37"/>
      <c r="NGK7" s="36"/>
      <c r="NGL7" s="37"/>
      <c r="NGM7" s="36"/>
      <c r="NGN7" s="37"/>
      <c r="NGO7" s="36"/>
      <c r="NGP7" s="37"/>
      <c r="NGQ7" s="36"/>
      <c r="NGR7" s="37"/>
      <c r="NGS7" s="36"/>
      <c r="NGT7" s="37"/>
      <c r="NGU7" s="36"/>
      <c r="NGV7" s="37"/>
      <c r="NGW7" s="36"/>
      <c r="NGX7" s="37"/>
      <c r="NGY7" s="36"/>
      <c r="NGZ7" s="37"/>
      <c r="NHA7" s="36"/>
      <c r="NHB7" s="36"/>
      <c r="NHC7" s="37"/>
      <c r="NHD7" s="37"/>
      <c r="NHF7" s="22"/>
      <c r="NHG7" s="35"/>
      <c r="NHH7" s="36"/>
      <c r="NHI7" s="37"/>
      <c r="NHJ7" s="36"/>
      <c r="NHK7" s="37"/>
      <c r="NHL7" s="36"/>
      <c r="NHM7" s="37"/>
      <c r="NHN7" s="36"/>
      <c r="NHO7" s="37"/>
      <c r="NHP7" s="36"/>
      <c r="NHQ7" s="37"/>
      <c r="NHR7" s="36"/>
      <c r="NHS7" s="37"/>
      <c r="NHT7" s="36"/>
      <c r="NHU7" s="37"/>
      <c r="NHV7" s="36"/>
      <c r="NHW7" s="37"/>
      <c r="NHX7" s="36"/>
      <c r="NHY7" s="37"/>
      <c r="NHZ7" s="36"/>
      <c r="NIA7" s="36"/>
      <c r="NIB7" s="37"/>
      <c r="NIC7" s="37"/>
      <c r="NIE7" s="22"/>
      <c r="NIF7" s="35"/>
      <c r="NIG7" s="36"/>
      <c r="NIH7" s="37"/>
      <c r="NII7" s="36"/>
      <c r="NIJ7" s="37"/>
      <c r="NIK7" s="36"/>
      <c r="NIL7" s="37"/>
      <c r="NIM7" s="36"/>
      <c r="NIN7" s="37"/>
      <c r="NIO7" s="36"/>
      <c r="NIP7" s="37"/>
      <c r="NIQ7" s="36"/>
      <c r="NIR7" s="37"/>
      <c r="NIS7" s="36"/>
      <c r="NIT7" s="37"/>
      <c r="NIU7" s="36"/>
      <c r="NIV7" s="37"/>
      <c r="NIW7" s="36"/>
      <c r="NIX7" s="37"/>
      <c r="NIY7" s="36"/>
      <c r="NIZ7" s="36"/>
      <c r="NJA7" s="37"/>
      <c r="NJB7" s="37"/>
      <c r="NJD7" s="22"/>
      <c r="NJE7" s="35"/>
      <c r="NJF7" s="36"/>
      <c r="NJG7" s="37"/>
      <c r="NJH7" s="36"/>
      <c r="NJI7" s="37"/>
      <c r="NJJ7" s="36"/>
      <c r="NJK7" s="37"/>
      <c r="NJL7" s="36"/>
      <c r="NJM7" s="37"/>
      <c r="NJN7" s="36"/>
      <c r="NJO7" s="37"/>
      <c r="NJP7" s="36"/>
      <c r="NJQ7" s="37"/>
      <c r="NJR7" s="36"/>
      <c r="NJS7" s="37"/>
      <c r="NJT7" s="36"/>
      <c r="NJU7" s="37"/>
      <c r="NJV7" s="36"/>
      <c r="NJW7" s="37"/>
      <c r="NJX7" s="36"/>
      <c r="NJY7" s="36"/>
      <c r="NJZ7" s="37"/>
      <c r="NKA7" s="37"/>
      <c r="NKC7" s="22"/>
      <c r="NKD7" s="35"/>
      <c r="NKE7" s="36"/>
      <c r="NKF7" s="37"/>
      <c r="NKG7" s="36"/>
      <c r="NKH7" s="37"/>
      <c r="NKI7" s="36"/>
      <c r="NKJ7" s="37"/>
      <c r="NKK7" s="36"/>
      <c r="NKL7" s="37"/>
      <c r="NKM7" s="36"/>
      <c r="NKN7" s="37"/>
      <c r="NKO7" s="36"/>
      <c r="NKP7" s="37"/>
      <c r="NKQ7" s="36"/>
      <c r="NKR7" s="37"/>
      <c r="NKS7" s="36"/>
      <c r="NKT7" s="37"/>
      <c r="NKU7" s="36"/>
      <c r="NKV7" s="37"/>
      <c r="NKW7" s="36"/>
      <c r="NKX7" s="36"/>
      <c r="NKY7" s="37"/>
      <c r="NKZ7" s="37"/>
      <c r="NLB7" s="22"/>
      <c r="NLC7" s="35"/>
      <c r="NLD7" s="36"/>
      <c r="NLE7" s="37"/>
      <c r="NLF7" s="36"/>
      <c r="NLG7" s="37"/>
      <c r="NLH7" s="36"/>
      <c r="NLI7" s="37"/>
      <c r="NLJ7" s="36"/>
      <c r="NLK7" s="37"/>
      <c r="NLL7" s="36"/>
      <c r="NLM7" s="37"/>
      <c r="NLN7" s="36"/>
      <c r="NLO7" s="37"/>
      <c r="NLP7" s="36"/>
      <c r="NLQ7" s="37"/>
      <c r="NLR7" s="36"/>
      <c r="NLS7" s="37"/>
      <c r="NLT7" s="36"/>
      <c r="NLU7" s="37"/>
      <c r="NLV7" s="36"/>
      <c r="NLW7" s="36"/>
      <c r="NLX7" s="37"/>
      <c r="NLY7" s="37"/>
      <c r="NMA7" s="22"/>
      <c r="NMB7" s="35"/>
      <c r="NMC7" s="36"/>
      <c r="NMD7" s="37"/>
      <c r="NME7" s="36"/>
      <c r="NMF7" s="37"/>
      <c r="NMG7" s="36"/>
      <c r="NMH7" s="37"/>
      <c r="NMI7" s="36"/>
      <c r="NMJ7" s="37"/>
      <c r="NMK7" s="36"/>
      <c r="NML7" s="37"/>
      <c r="NMM7" s="36"/>
      <c r="NMN7" s="37"/>
      <c r="NMO7" s="36"/>
      <c r="NMP7" s="37"/>
      <c r="NMQ7" s="36"/>
      <c r="NMR7" s="37"/>
      <c r="NMS7" s="36"/>
      <c r="NMT7" s="37"/>
      <c r="NMU7" s="36"/>
      <c r="NMV7" s="36"/>
      <c r="NMW7" s="37"/>
      <c r="NMX7" s="37"/>
      <c r="NMZ7" s="22"/>
      <c r="NNA7" s="35"/>
      <c r="NNB7" s="36"/>
      <c r="NNC7" s="37"/>
      <c r="NND7" s="36"/>
      <c r="NNE7" s="37"/>
      <c r="NNF7" s="36"/>
      <c r="NNG7" s="37"/>
      <c r="NNH7" s="36"/>
      <c r="NNI7" s="37"/>
      <c r="NNJ7" s="36"/>
      <c r="NNK7" s="37"/>
      <c r="NNL7" s="36"/>
      <c r="NNM7" s="37"/>
      <c r="NNN7" s="36"/>
      <c r="NNO7" s="37"/>
      <c r="NNP7" s="36"/>
      <c r="NNQ7" s="37"/>
      <c r="NNR7" s="36"/>
      <c r="NNS7" s="37"/>
      <c r="NNT7" s="36"/>
      <c r="NNU7" s="36"/>
      <c r="NNV7" s="37"/>
      <c r="NNW7" s="37"/>
      <c r="NNY7" s="22"/>
      <c r="NNZ7" s="35"/>
      <c r="NOA7" s="36"/>
      <c r="NOB7" s="37"/>
      <c r="NOC7" s="36"/>
      <c r="NOD7" s="37"/>
      <c r="NOE7" s="36"/>
      <c r="NOF7" s="37"/>
      <c r="NOG7" s="36"/>
      <c r="NOH7" s="37"/>
      <c r="NOI7" s="36"/>
      <c r="NOJ7" s="37"/>
      <c r="NOK7" s="36"/>
      <c r="NOL7" s="37"/>
      <c r="NOM7" s="36"/>
      <c r="NON7" s="37"/>
      <c r="NOO7" s="36"/>
      <c r="NOP7" s="37"/>
      <c r="NOQ7" s="36"/>
      <c r="NOR7" s="37"/>
      <c r="NOS7" s="36"/>
      <c r="NOT7" s="36"/>
      <c r="NOU7" s="37"/>
      <c r="NOV7" s="37"/>
      <c r="NOX7" s="22"/>
      <c r="NOY7" s="35"/>
      <c r="NOZ7" s="36"/>
      <c r="NPA7" s="37"/>
      <c r="NPB7" s="36"/>
      <c r="NPC7" s="37"/>
      <c r="NPD7" s="36"/>
      <c r="NPE7" s="37"/>
      <c r="NPF7" s="36"/>
      <c r="NPG7" s="37"/>
      <c r="NPH7" s="36"/>
      <c r="NPI7" s="37"/>
      <c r="NPJ7" s="36"/>
      <c r="NPK7" s="37"/>
      <c r="NPL7" s="36"/>
      <c r="NPM7" s="37"/>
      <c r="NPN7" s="36"/>
      <c r="NPO7" s="37"/>
      <c r="NPP7" s="36"/>
      <c r="NPQ7" s="37"/>
      <c r="NPR7" s="36"/>
      <c r="NPS7" s="36"/>
      <c r="NPT7" s="37"/>
      <c r="NPU7" s="37"/>
      <c r="NPW7" s="22"/>
      <c r="NPX7" s="35"/>
      <c r="NPY7" s="36"/>
      <c r="NPZ7" s="37"/>
      <c r="NQA7" s="36"/>
      <c r="NQB7" s="37"/>
      <c r="NQC7" s="36"/>
      <c r="NQD7" s="37"/>
      <c r="NQE7" s="36"/>
      <c r="NQF7" s="37"/>
      <c r="NQG7" s="36"/>
      <c r="NQH7" s="37"/>
      <c r="NQI7" s="36"/>
      <c r="NQJ7" s="37"/>
      <c r="NQK7" s="36"/>
      <c r="NQL7" s="37"/>
      <c r="NQM7" s="36"/>
      <c r="NQN7" s="37"/>
      <c r="NQO7" s="36"/>
      <c r="NQP7" s="37"/>
      <c r="NQQ7" s="36"/>
      <c r="NQR7" s="36"/>
      <c r="NQS7" s="37"/>
      <c r="NQT7" s="37"/>
      <c r="NQV7" s="22"/>
      <c r="NQW7" s="35"/>
      <c r="NQX7" s="36"/>
      <c r="NQY7" s="37"/>
      <c r="NQZ7" s="36"/>
      <c r="NRA7" s="37"/>
      <c r="NRB7" s="36"/>
      <c r="NRC7" s="37"/>
      <c r="NRD7" s="36"/>
      <c r="NRE7" s="37"/>
      <c r="NRF7" s="36"/>
      <c r="NRG7" s="37"/>
      <c r="NRH7" s="36"/>
      <c r="NRI7" s="37"/>
      <c r="NRJ7" s="36"/>
      <c r="NRK7" s="37"/>
      <c r="NRL7" s="36"/>
      <c r="NRM7" s="37"/>
      <c r="NRN7" s="36"/>
      <c r="NRO7" s="37"/>
      <c r="NRP7" s="36"/>
      <c r="NRQ7" s="36"/>
      <c r="NRR7" s="37"/>
      <c r="NRS7" s="37"/>
      <c r="NRU7" s="22"/>
      <c r="NRV7" s="35"/>
      <c r="NRW7" s="36"/>
      <c r="NRX7" s="37"/>
      <c r="NRY7" s="36"/>
      <c r="NRZ7" s="37"/>
      <c r="NSA7" s="36"/>
      <c r="NSB7" s="37"/>
      <c r="NSC7" s="36"/>
      <c r="NSD7" s="37"/>
      <c r="NSE7" s="36"/>
      <c r="NSF7" s="37"/>
      <c r="NSG7" s="36"/>
      <c r="NSH7" s="37"/>
      <c r="NSI7" s="36"/>
      <c r="NSJ7" s="37"/>
      <c r="NSK7" s="36"/>
      <c r="NSL7" s="37"/>
      <c r="NSM7" s="36"/>
      <c r="NSN7" s="37"/>
      <c r="NSO7" s="36"/>
      <c r="NSP7" s="36"/>
      <c r="NSQ7" s="37"/>
      <c r="NSR7" s="37"/>
      <c r="NST7" s="22"/>
      <c r="NSU7" s="35"/>
      <c r="NSV7" s="36"/>
      <c r="NSW7" s="37"/>
      <c r="NSX7" s="36"/>
      <c r="NSY7" s="37"/>
      <c r="NSZ7" s="36"/>
      <c r="NTA7" s="37"/>
      <c r="NTB7" s="36"/>
      <c r="NTC7" s="37"/>
      <c r="NTD7" s="36"/>
      <c r="NTE7" s="37"/>
      <c r="NTF7" s="36"/>
      <c r="NTG7" s="37"/>
      <c r="NTH7" s="36"/>
      <c r="NTI7" s="37"/>
      <c r="NTJ7" s="36"/>
      <c r="NTK7" s="37"/>
      <c r="NTL7" s="36"/>
      <c r="NTM7" s="37"/>
      <c r="NTN7" s="36"/>
      <c r="NTO7" s="36"/>
      <c r="NTP7" s="37"/>
      <c r="NTQ7" s="37"/>
      <c r="NTS7" s="22"/>
      <c r="NTT7" s="35"/>
      <c r="NTU7" s="36"/>
      <c r="NTV7" s="37"/>
      <c r="NTW7" s="36"/>
      <c r="NTX7" s="37"/>
      <c r="NTY7" s="36"/>
      <c r="NTZ7" s="37"/>
      <c r="NUA7" s="36"/>
      <c r="NUB7" s="37"/>
      <c r="NUC7" s="36"/>
      <c r="NUD7" s="37"/>
      <c r="NUE7" s="36"/>
      <c r="NUF7" s="37"/>
      <c r="NUG7" s="36"/>
      <c r="NUH7" s="37"/>
      <c r="NUI7" s="36"/>
      <c r="NUJ7" s="37"/>
      <c r="NUK7" s="36"/>
      <c r="NUL7" s="37"/>
      <c r="NUM7" s="36"/>
      <c r="NUN7" s="36"/>
      <c r="NUO7" s="37"/>
      <c r="NUP7" s="37"/>
      <c r="NUR7" s="22"/>
      <c r="NUS7" s="35"/>
      <c r="NUT7" s="36"/>
      <c r="NUU7" s="37"/>
      <c r="NUV7" s="36"/>
      <c r="NUW7" s="37"/>
      <c r="NUX7" s="36"/>
      <c r="NUY7" s="37"/>
      <c r="NUZ7" s="36"/>
      <c r="NVA7" s="37"/>
      <c r="NVB7" s="36"/>
      <c r="NVC7" s="37"/>
      <c r="NVD7" s="36"/>
      <c r="NVE7" s="37"/>
      <c r="NVF7" s="36"/>
      <c r="NVG7" s="37"/>
      <c r="NVH7" s="36"/>
      <c r="NVI7" s="37"/>
      <c r="NVJ7" s="36"/>
      <c r="NVK7" s="37"/>
      <c r="NVL7" s="36"/>
      <c r="NVM7" s="36"/>
      <c r="NVN7" s="37"/>
      <c r="NVO7" s="37"/>
      <c r="NVQ7" s="22"/>
      <c r="NVR7" s="35"/>
      <c r="NVS7" s="36"/>
      <c r="NVT7" s="37"/>
      <c r="NVU7" s="36"/>
      <c r="NVV7" s="37"/>
      <c r="NVW7" s="36"/>
      <c r="NVX7" s="37"/>
      <c r="NVY7" s="36"/>
      <c r="NVZ7" s="37"/>
      <c r="NWA7" s="36"/>
      <c r="NWB7" s="37"/>
      <c r="NWC7" s="36"/>
      <c r="NWD7" s="37"/>
      <c r="NWE7" s="36"/>
      <c r="NWF7" s="37"/>
      <c r="NWG7" s="36"/>
      <c r="NWH7" s="37"/>
      <c r="NWI7" s="36"/>
      <c r="NWJ7" s="37"/>
      <c r="NWK7" s="36"/>
      <c r="NWL7" s="36"/>
      <c r="NWM7" s="37"/>
      <c r="NWN7" s="37"/>
      <c r="NWP7" s="22"/>
      <c r="NWQ7" s="35"/>
      <c r="NWR7" s="36"/>
      <c r="NWS7" s="37"/>
      <c r="NWT7" s="36"/>
      <c r="NWU7" s="37"/>
      <c r="NWV7" s="36"/>
      <c r="NWW7" s="37"/>
      <c r="NWX7" s="36"/>
      <c r="NWY7" s="37"/>
      <c r="NWZ7" s="36"/>
      <c r="NXA7" s="37"/>
      <c r="NXB7" s="36"/>
      <c r="NXC7" s="37"/>
      <c r="NXD7" s="36"/>
      <c r="NXE7" s="37"/>
      <c r="NXF7" s="36"/>
      <c r="NXG7" s="37"/>
      <c r="NXH7" s="36"/>
      <c r="NXI7" s="37"/>
      <c r="NXJ7" s="36"/>
      <c r="NXK7" s="36"/>
      <c r="NXL7" s="37"/>
      <c r="NXM7" s="37"/>
      <c r="NXO7" s="22"/>
      <c r="NXP7" s="35"/>
      <c r="NXQ7" s="36"/>
      <c r="NXR7" s="37"/>
      <c r="NXS7" s="36"/>
      <c r="NXT7" s="37"/>
      <c r="NXU7" s="36"/>
      <c r="NXV7" s="37"/>
      <c r="NXW7" s="36"/>
      <c r="NXX7" s="37"/>
      <c r="NXY7" s="36"/>
      <c r="NXZ7" s="37"/>
      <c r="NYA7" s="36"/>
      <c r="NYB7" s="37"/>
      <c r="NYC7" s="36"/>
      <c r="NYD7" s="37"/>
      <c r="NYE7" s="36"/>
      <c r="NYF7" s="37"/>
      <c r="NYG7" s="36"/>
      <c r="NYH7" s="37"/>
      <c r="NYI7" s="36"/>
      <c r="NYJ7" s="36"/>
      <c r="NYK7" s="37"/>
      <c r="NYL7" s="37"/>
      <c r="NYN7" s="22"/>
      <c r="NYO7" s="35"/>
      <c r="NYP7" s="36"/>
      <c r="NYQ7" s="37"/>
      <c r="NYR7" s="36"/>
      <c r="NYS7" s="37"/>
      <c r="NYT7" s="36"/>
      <c r="NYU7" s="37"/>
      <c r="NYV7" s="36"/>
      <c r="NYW7" s="37"/>
      <c r="NYX7" s="36"/>
      <c r="NYY7" s="37"/>
      <c r="NYZ7" s="36"/>
      <c r="NZA7" s="37"/>
      <c r="NZB7" s="36"/>
      <c r="NZC7" s="37"/>
      <c r="NZD7" s="36"/>
      <c r="NZE7" s="37"/>
      <c r="NZF7" s="36"/>
      <c r="NZG7" s="37"/>
      <c r="NZH7" s="36"/>
      <c r="NZI7" s="36"/>
      <c r="NZJ7" s="37"/>
      <c r="NZK7" s="37"/>
      <c r="NZM7" s="22"/>
      <c r="NZN7" s="35"/>
      <c r="NZO7" s="36"/>
      <c r="NZP7" s="37"/>
      <c r="NZQ7" s="36"/>
      <c r="NZR7" s="37"/>
      <c r="NZS7" s="36"/>
      <c r="NZT7" s="37"/>
      <c r="NZU7" s="36"/>
      <c r="NZV7" s="37"/>
      <c r="NZW7" s="36"/>
      <c r="NZX7" s="37"/>
      <c r="NZY7" s="36"/>
      <c r="NZZ7" s="37"/>
      <c r="OAA7" s="36"/>
      <c r="OAB7" s="37"/>
      <c r="OAC7" s="36"/>
      <c r="OAD7" s="37"/>
      <c r="OAE7" s="36"/>
      <c r="OAF7" s="37"/>
      <c r="OAG7" s="36"/>
      <c r="OAH7" s="36"/>
      <c r="OAI7" s="37"/>
      <c r="OAJ7" s="37"/>
      <c r="OAL7" s="22"/>
      <c r="OAM7" s="35"/>
      <c r="OAN7" s="36"/>
      <c r="OAO7" s="37"/>
      <c r="OAP7" s="36"/>
      <c r="OAQ7" s="37"/>
      <c r="OAR7" s="36"/>
      <c r="OAS7" s="37"/>
      <c r="OAT7" s="36"/>
      <c r="OAU7" s="37"/>
      <c r="OAV7" s="36"/>
      <c r="OAW7" s="37"/>
      <c r="OAX7" s="36"/>
      <c r="OAY7" s="37"/>
      <c r="OAZ7" s="36"/>
      <c r="OBA7" s="37"/>
      <c r="OBB7" s="36"/>
      <c r="OBC7" s="37"/>
      <c r="OBD7" s="36"/>
      <c r="OBE7" s="37"/>
      <c r="OBF7" s="36"/>
      <c r="OBG7" s="36"/>
      <c r="OBH7" s="37"/>
      <c r="OBI7" s="37"/>
      <c r="OBK7" s="22"/>
      <c r="OBL7" s="35"/>
      <c r="OBM7" s="36"/>
      <c r="OBN7" s="37"/>
      <c r="OBO7" s="36"/>
      <c r="OBP7" s="37"/>
      <c r="OBQ7" s="36"/>
      <c r="OBR7" s="37"/>
      <c r="OBS7" s="36"/>
      <c r="OBT7" s="37"/>
      <c r="OBU7" s="36"/>
      <c r="OBV7" s="37"/>
      <c r="OBW7" s="36"/>
      <c r="OBX7" s="37"/>
      <c r="OBY7" s="36"/>
      <c r="OBZ7" s="37"/>
      <c r="OCA7" s="36"/>
      <c r="OCB7" s="37"/>
      <c r="OCC7" s="36"/>
      <c r="OCD7" s="37"/>
      <c r="OCE7" s="36"/>
      <c r="OCF7" s="36"/>
      <c r="OCG7" s="37"/>
      <c r="OCH7" s="37"/>
      <c r="OCJ7" s="22"/>
      <c r="OCK7" s="35"/>
      <c r="OCL7" s="36"/>
      <c r="OCM7" s="37"/>
      <c r="OCN7" s="36"/>
      <c r="OCO7" s="37"/>
      <c r="OCP7" s="36"/>
      <c r="OCQ7" s="37"/>
      <c r="OCR7" s="36"/>
      <c r="OCS7" s="37"/>
      <c r="OCT7" s="36"/>
      <c r="OCU7" s="37"/>
      <c r="OCV7" s="36"/>
      <c r="OCW7" s="37"/>
      <c r="OCX7" s="36"/>
      <c r="OCY7" s="37"/>
      <c r="OCZ7" s="36"/>
      <c r="ODA7" s="37"/>
      <c r="ODB7" s="36"/>
      <c r="ODC7" s="37"/>
      <c r="ODD7" s="36"/>
      <c r="ODE7" s="36"/>
      <c r="ODF7" s="37"/>
      <c r="ODG7" s="37"/>
      <c r="ODI7" s="22"/>
      <c r="ODJ7" s="35"/>
      <c r="ODK7" s="36"/>
      <c r="ODL7" s="37"/>
      <c r="ODM7" s="36"/>
      <c r="ODN7" s="37"/>
      <c r="ODO7" s="36"/>
      <c r="ODP7" s="37"/>
      <c r="ODQ7" s="36"/>
      <c r="ODR7" s="37"/>
      <c r="ODS7" s="36"/>
      <c r="ODT7" s="37"/>
      <c r="ODU7" s="36"/>
      <c r="ODV7" s="37"/>
      <c r="ODW7" s="36"/>
      <c r="ODX7" s="37"/>
      <c r="ODY7" s="36"/>
      <c r="ODZ7" s="37"/>
      <c r="OEA7" s="36"/>
      <c r="OEB7" s="37"/>
      <c r="OEC7" s="36"/>
      <c r="OED7" s="36"/>
      <c r="OEE7" s="37"/>
      <c r="OEF7" s="37"/>
      <c r="OEH7" s="22"/>
      <c r="OEI7" s="35"/>
      <c r="OEJ7" s="36"/>
      <c r="OEK7" s="37"/>
      <c r="OEL7" s="36"/>
      <c r="OEM7" s="37"/>
      <c r="OEN7" s="36"/>
      <c r="OEO7" s="37"/>
      <c r="OEP7" s="36"/>
      <c r="OEQ7" s="37"/>
      <c r="OER7" s="36"/>
      <c r="OES7" s="37"/>
      <c r="OET7" s="36"/>
      <c r="OEU7" s="37"/>
      <c r="OEV7" s="36"/>
      <c r="OEW7" s="37"/>
      <c r="OEX7" s="36"/>
      <c r="OEY7" s="37"/>
      <c r="OEZ7" s="36"/>
      <c r="OFA7" s="37"/>
      <c r="OFB7" s="36"/>
      <c r="OFC7" s="36"/>
      <c r="OFD7" s="37"/>
      <c r="OFE7" s="37"/>
      <c r="OFG7" s="22"/>
      <c r="OFH7" s="35"/>
      <c r="OFI7" s="36"/>
      <c r="OFJ7" s="37"/>
      <c r="OFK7" s="36"/>
      <c r="OFL7" s="37"/>
      <c r="OFM7" s="36"/>
      <c r="OFN7" s="37"/>
      <c r="OFO7" s="36"/>
      <c r="OFP7" s="37"/>
      <c r="OFQ7" s="36"/>
      <c r="OFR7" s="37"/>
      <c r="OFS7" s="36"/>
      <c r="OFT7" s="37"/>
      <c r="OFU7" s="36"/>
      <c r="OFV7" s="37"/>
      <c r="OFW7" s="36"/>
      <c r="OFX7" s="37"/>
      <c r="OFY7" s="36"/>
      <c r="OFZ7" s="37"/>
      <c r="OGA7" s="36"/>
      <c r="OGB7" s="36"/>
      <c r="OGC7" s="37"/>
      <c r="OGD7" s="37"/>
      <c r="OGF7" s="22"/>
      <c r="OGG7" s="35"/>
      <c r="OGH7" s="36"/>
      <c r="OGI7" s="37"/>
      <c r="OGJ7" s="36"/>
      <c r="OGK7" s="37"/>
      <c r="OGL7" s="36"/>
      <c r="OGM7" s="37"/>
      <c r="OGN7" s="36"/>
      <c r="OGO7" s="37"/>
      <c r="OGP7" s="36"/>
      <c r="OGQ7" s="37"/>
      <c r="OGR7" s="36"/>
      <c r="OGS7" s="37"/>
      <c r="OGT7" s="36"/>
      <c r="OGU7" s="37"/>
      <c r="OGV7" s="36"/>
      <c r="OGW7" s="37"/>
      <c r="OGX7" s="36"/>
      <c r="OGY7" s="37"/>
      <c r="OGZ7" s="36"/>
      <c r="OHA7" s="36"/>
      <c r="OHB7" s="37"/>
      <c r="OHC7" s="37"/>
      <c r="OHE7" s="22"/>
      <c r="OHF7" s="35"/>
      <c r="OHG7" s="36"/>
      <c r="OHH7" s="37"/>
      <c r="OHI7" s="36"/>
      <c r="OHJ7" s="37"/>
      <c r="OHK7" s="36"/>
      <c r="OHL7" s="37"/>
      <c r="OHM7" s="36"/>
      <c r="OHN7" s="37"/>
      <c r="OHO7" s="36"/>
      <c r="OHP7" s="37"/>
      <c r="OHQ7" s="36"/>
      <c r="OHR7" s="37"/>
      <c r="OHS7" s="36"/>
      <c r="OHT7" s="37"/>
      <c r="OHU7" s="36"/>
      <c r="OHV7" s="37"/>
      <c r="OHW7" s="36"/>
      <c r="OHX7" s="37"/>
      <c r="OHY7" s="36"/>
      <c r="OHZ7" s="36"/>
      <c r="OIA7" s="37"/>
      <c r="OIB7" s="37"/>
      <c r="OID7" s="22"/>
      <c r="OIE7" s="35"/>
      <c r="OIF7" s="36"/>
      <c r="OIG7" s="37"/>
      <c r="OIH7" s="36"/>
      <c r="OII7" s="37"/>
      <c r="OIJ7" s="36"/>
      <c r="OIK7" s="37"/>
      <c r="OIL7" s="36"/>
      <c r="OIM7" s="37"/>
      <c r="OIN7" s="36"/>
      <c r="OIO7" s="37"/>
      <c r="OIP7" s="36"/>
      <c r="OIQ7" s="37"/>
      <c r="OIR7" s="36"/>
      <c r="OIS7" s="37"/>
      <c r="OIT7" s="36"/>
      <c r="OIU7" s="37"/>
      <c r="OIV7" s="36"/>
      <c r="OIW7" s="37"/>
      <c r="OIX7" s="36"/>
      <c r="OIY7" s="36"/>
      <c r="OIZ7" s="37"/>
      <c r="OJA7" s="37"/>
      <c r="OJC7" s="22"/>
      <c r="OJD7" s="35"/>
      <c r="OJE7" s="36"/>
      <c r="OJF7" s="37"/>
      <c r="OJG7" s="36"/>
      <c r="OJH7" s="37"/>
      <c r="OJI7" s="36"/>
      <c r="OJJ7" s="37"/>
      <c r="OJK7" s="36"/>
      <c r="OJL7" s="37"/>
      <c r="OJM7" s="36"/>
      <c r="OJN7" s="37"/>
      <c r="OJO7" s="36"/>
      <c r="OJP7" s="37"/>
      <c r="OJQ7" s="36"/>
      <c r="OJR7" s="37"/>
      <c r="OJS7" s="36"/>
      <c r="OJT7" s="37"/>
      <c r="OJU7" s="36"/>
      <c r="OJV7" s="37"/>
      <c r="OJW7" s="36"/>
      <c r="OJX7" s="36"/>
      <c r="OJY7" s="37"/>
      <c r="OJZ7" s="37"/>
      <c r="OKB7" s="22"/>
      <c r="OKC7" s="35"/>
      <c r="OKD7" s="36"/>
      <c r="OKE7" s="37"/>
      <c r="OKF7" s="36"/>
      <c r="OKG7" s="37"/>
      <c r="OKH7" s="36"/>
      <c r="OKI7" s="37"/>
      <c r="OKJ7" s="36"/>
      <c r="OKK7" s="37"/>
      <c r="OKL7" s="36"/>
      <c r="OKM7" s="37"/>
      <c r="OKN7" s="36"/>
      <c r="OKO7" s="37"/>
      <c r="OKP7" s="36"/>
      <c r="OKQ7" s="37"/>
      <c r="OKR7" s="36"/>
      <c r="OKS7" s="37"/>
      <c r="OKT7" s="36"/>
      <c r="OKU7" s="37"/>
      <c r="OKV7" s="36"/>
      <c r="OKW7" s="36"/>
      <c r="OKX7" s="37"/>
      <c r="OKY7" s="37"/>
      <c r="OLA7" s="22"/>
      <c r="OLB7" s="35"/>
      <c r="OLC7" s="36"/>
      <c r="OLD7" s="37"/>
      <c r="OLE7" s="36"/>
      <c r="OLF7" s="37"/>
      <c r="OLG7" s="36"/>
      <c r="OLH7" s="37"/>
      <c r="OLI7" s="36"/>
      <c r="OLJ7" s="37"/>
      <c r="OLK7" s="36"/>
      <c r="OLL7" s="37"/>
      <c r="OLM7" s="36"/>
      <c r="OLN7" s="37"/>
      <c r="OLO7" s="36"/>
      <c r="OLP7" s="37"/>
      <c r="OLQ7" s="36"/>
      <c r="OLR7" s="37"/>
      <c r="OLS7" s="36"/>
      <c r="OLT7" s="37"/>
      <c r="OLU7" s="36"/>
      <c r="OLV7" s="36"/>
      <c r="OLW7" s="37"/>
      <c r="OLX7" s="37"/>
      <c r="OLZ7" s="22"/>
      <c r="OMA7" s="35"/>
      <c r="OMB7" s="36"/>
      <c r="OMC7" s="37"/>
      <c r="OMD7" s="36"/>
      <c r="OME7" s="37"/>
      <c r="OMF7" s="36"/>
      <c r="OMG7" s="37"/>
      <c r="OMH7" s="36"/>
      <c r="OMI7" s="37"/>
      <c r="OMJ7" s="36"/>
      <c r="OMK7" s="37"/>
      <c r="OML7" s="36"/>
      <c r="OMM7" s="37"/>
      <c r="OMN7" s="36"/>
      <c r="OMO7" s="37"/>
      <c r="OMP7" s="36"/>
      <c r="OMQ7" s="37"/>
      <c r="OMR7" s="36"/>
      <c r="OMS7" s="37"/>
      <c r="OMT7" s="36"/>
      <c r="OMU7" s="36"/>
      <c r="OMV7" s="37"/>
      <c r="OMW7" s="37"/>
      <c r="OMY7" s="22"/>
      <c r="OMZ7" s="35"/>
      <c r="ONA7" s="36"/>
      <c r="ONB7" s="37"/>
      <c r="ONC7" s="36"/>
      <c r="OND7" s="37"/>
      <c r="ONE7" s="36"/>
      <c r="ONF7" s="37"/>
      <c r="ONG7" s="36"/>
      <c r="ONH7" s="37"/>
      <c r="ONI7" s="36"/>
      <c r="ONJ7" s="37"/>
      <c r="ONK7" s="36"/>
      <c r="ONL7" s="37"/>
      <c r="ONM7" s="36"/>
      <c r="ONN7" s="37"/>
      <c r="ONO7" s="36"/>
      <c r="ONP7" s="37"/>
      <c r="ONQ7" s="36"/>
      <c r="ONR7" s="37"/>
      <c r="ONS7" s="36"/>
      <c r="ONT7" s="36"/>
      <c r="ONU7" s="37"/>
      <c r="ONV7" s="37"/>
      <c r="ONX7" s="22"/>
      <c r="ONY7" s="35"/>
      <c r="ONZ7" s="36"/>
      <c r="OOA7" s="37"/>
      <c r="OOB7" s="36"/>
      <c r="OOC7" s="37"/>
      <c r="OOD7" s="36"/>
      <c r="OOE7" s="37"/>
      <c r="OOF7" s="36"/>
      <c r="OOG7" s="37"/>
      <c r="OOH7" s="36"/>
      <c r="OOI7" s="37"/>
      <c r="OOJ7" s="36"/>
      <c r="OOK7" s="37"/>
      <c r="OOL7" s="36"/>
      <c r="OOM7" s="37"/>
      <c r="OON7" s="36"/>
      <c r="OOO7" s="37"/>
      <c r="OOP7" s="36"/>
      <c r="OOQ7" s="37"/>
      <c r="OOR7" s="36"/>
      <c r="OOS7" s="36"/>
      <c r="OOT7" s="37"/>
      <c r="OOU7" s="37"/>
      <c r="OOW7" s="22"/>
      <c r="OOX7" s="35"/>
      <c r="OOY7" s="36"/>
      <c r="OOZ7" s="37"/>
      <c r="OPA7" s="36"/>
      <c r="OPB7" s="37"/>
      <c r="OPC7" s="36"/>
      <c r="OPD7" s="37"/>
      <c r="OPE7" s="36"/>
      <c r="OPF7" s="37"/>
      <c r="OPG7" s="36"/>
      <c r="OPH7" s="37"/>
      <c r="OPI7" s="36"/>
      <c r="OPJ7" s="37"/>
      <c r="OPK7" s="36"/>
      <c r="OPL7" s="37"/>
      <c r="OPM7" s="36"/>
      <c r="OPN7" s="37"/>
      <c r="OPO7" s="36"/>
      <c r="OPP7" s="37"/>
      <c r="OPQ7" s="36"/>
      <c r="OPR7" s="36"/>
      <c r="OPS7" s="37"/>
      <c r="OPT7" s="37"/>
      <c r="OPV7" s="22"/>
      <c r="OPW7" s="35"/>
      <c r="OPX7" s="36"/>
      <c r="OPY7" s="37"/>
      <c r="OPZ7" s="36"/>
      <c r="OQA7" s="37"/>
      <c r="OQB7" s="36"/>
      <c r="OQC7" s="37"/>
      <c r="OQD7" s="36"/>
      <c r="OQE7" s="37"/>
      <c r="OQF7" s="36"/>
      <c r="OQG7" s="37"/>
      <c r="OQH7" s="36"/>
      <c r="OQI7" s="37"/>
      <c r="OQJ7" s="36"/>
      <c r="OQK7" s="37"/>
      <c r="OQL7" s="36"/>
      <c r="OQM7" s="37"/>
      <c r="OQN7" s="36"/>
      <c r="OQO7" s="37"/>
      <c r="OQP7" s="36"/>
      <c r="OQQ7" s="36"/>
      <c r="OQR7" s="37"/>
      <c r="OQS7" s="37"/>
      <c r="OQU7" s="22"/>
      <c r="OQV7" s="35"/>
      <c r="OQW7" s="36"/>
      <c r="OQX7" s="37"/>
      <c r="OQY7" s="36"/>
      <c r="OQZ7" s="37"/>
      <c r="ORA7" s="36"/>
      <c r="ORB7" s="37"/>
      <c r="ORC7" s="36"/>
      <c r="ORD7" s="37"/>
      <c r="ORE7" s="36"/>
      <c r="ORF7" s="37"/>
      <c r="ORG7" s="36"/>
      <c r="ORH7" s="37"/>
      <c r="ORI7" s="36"/>
      <c r="ORJ7" s="37"/>
      <c r="ORK7" s="36"/>
      <c r="ORL7" s="37"/>
      <c r="ORM7" s="36"/>
      <c r="ORN7" s="37"/>
      <c r="ORO7" s="36"/>
      <c r="ORP7" s="36"/>
      <c r="ORQ7" s="37"/>
      <c r="ORR7" s="37"/>
      <c r="ORT7" s="22"/>
      <c r="ORU7" s="35"/>
      <c r="ORV7" s="36"/>
      <c r="ORW7" s="37"/>
      <c r="ORX7" s="36"/>
      <c r="ORY7" s="37"/>
      <c r="ORZ7" s="36"/>
      <c r="OSA7" s="37"/>
      <c r="OSB7" s="36"/>
      <c r="OSC7" s="37"/>
      <c r="OSD7" s="36"/>
      <c r="OSE7" s="37"/>
      <c r="OSF7" s="36"/>
      <c r="OSG7" s="37"/>
      <c r="OSH7" s="36"/>
      <c r="OSI7" s="37"/>
      <c r="OSJ7" s="36"/>
      <c r="OSK7" s="37"/>
      <c r="OSL7" s="36"/>
      <c r="OSM7" s="37"/>
      <c r="OSN7" s="36"/>
      <c r="OSO7" s="36"/>
      <c r="OSP7" s="37"/>
      <c r="OSQ7" s="37"/>
      <c r="OSS7" s="22"/>
      <c r="OST7" s="35"/>
      <c r="OSU7" s="36"/>
      <c r="OSV7" s="37"/>
      <c r="OSW7" s="36"/>
      <c r="OSX7" s="37"/>
      <c r="OSY7" s="36"/>
      <c r="OSZ7" s="37"/>
      <c r="OTA7" s="36"/>
      <c r="OTB7" s="37"/>
      <c r="OTC7" s="36"/>
      <c r="OTD7" s="37"/>
      <c r="OTE7" s="36"/>
      <c r="OTF7" s="37"/>
      <c r="OTG7" s="36"/>
      <c r="OTH7" s="37"/>
      <c r="OTI7" s="36"/>
      <c r="OTJ7" s="37"/>
      <c r="OTK7" s="36"/>
      <c r="OTL7" s="37"/>
      <c r="OTM7" s="36"/>
      <c r="OTN7" s="36"/>
      <c r="OTO7" s="37"/>
      <c r="OTP7" s="37"/>
      <c r="OTR7" s="22"/>
      <c r="OTS7" s="35"/>
      <c r="OTT7" s="36"/>
      <c r="OTU7" s="37"/>
      <c r="OTV7" s="36"/>
      <c r="OTW7" s="37"/>
      <c r="OTX7" s="36"/>
      <c r="OTY7" s="37"/>
      <c r="OTZ7" s="36"/>
      <c r="OUA7" s="37"/>
      <c r="OUB7" s="36"/>
      <c r="OUC7" s="37"/>
      <c r="OUD7" s="36"/>
      <c r="OUE7" s="37"/>
      <c r="OUF7" s="36"/>
      <c r="OUG7" s="37"/>
      <c r="OUH7" s="36"/>
      <c r="OUI7" s="37"/>
      <c r="OUJ7" s="36"/>
      <c r="OUK7" s="37"/>
      <c r="OUL7" s="36"/>
      <c r="OUM7" s="36"/>
      <c r="OUN7" s="37"/>
      <c r="OUO7" s="37"/>
      <c r="OUQ7" s="22"/>
      <c r="OUR7" s="35"/>
      <c r="OUS7" s="36"/>
      <c r="OUT7" s="37"/>
      <c r="OUU7" s="36"/>
      <c r="OUV7" s="37"/>
      <c r="OUW7" s="36"/>
      <c r="OUX7" s="37"/>
      <c r="OUY7" s="36"/>
      <c r="OUZ7" s="37"/>
      <c r="OVA7" s="36"/>
      <c r="OVB7" s="37"/>
      <c r="OVC7" s="36"/>
      <c r="OVD7" s="37"/>
      <c r="OVE7" s="36"/>
      <c r="OVF7" s="37"/>
      <c r="OVG7" s="36"/>
      <c r="OVH7" s="37"/>
      <c r="OVI7" s="36"/>
      <c r="OVJ7" s="37"/>
      <c r="OVK7" s="36"/>
      <c r="OVL7" s="36"/>
      <c r="OVM7" s="37"/>
      <c r="OVN7" s="37"/>
      <c r="OVP7" s="22"/>
      <c r="OVQ7" s="35"/>
      <c r="OVR7" s="36"/>
      <c r="OVS7" s="37"/>
      <c r="OVT7" s="36"/>
      <c r="OVU7" s="37"/>
      <c r="OVV7" s="36"/>
      <c r="OVW7" s="37"/>
      <c r="OVX7" s="36"/>
      <c r="OVY7" s="37"/>
      <c r="OVZ7" s="36"/>
      <c r="OWA7" s="37"/>
      <c r="OWB7" s="36"/>
      <c r="OWC7" s="37"/>
      <c r="OWD7" s="36"/>
      <c r="OWE7" s="37"/>
      <c r="OWF7" s="36"/>
      <c r="OWG7" s="37"/>
      <c r="OWH7" s="36"/>
      <c r="OWI7" s="37"/>
      <c r="OWJ7" s="36"/>
      <c r="OWK7" s="36"/>
      <c r="OWL7" s="37"/>
      <c r="OWM7" s="37"/>
      <c r="OWO7" s="22"/>
      <c r="OWP7" s="35"/>
      <c r="OWQ7" s="36"/>
      <c r="OWR7" s="37"/>
      <c r="OWS7" s="36"/>
      <c r="OWT7" s="37"/>
      <c r="OWU7" s="36"/>
      <c r="OWV7" s="37"/>
      <c r="OWW7" s="36"/>
      <c r="OWX7" s="37"/>
      <c r="OWY7" s="36"/>
      <c r="OWZ7" s="37"/>
      <c r="OXA7" s="36"/>
      <c r="OXB7" s="37"/>
      <c r="OXC7" s="36"/>
      <c r="OXD7" s="37"/>
      <c r="OXE7" s="36"/>
      <c r="OXF7" s="37"/>
      <c r="OXG7" s="36"/>
      <c r="OXH7" s="37"/>
      <c r="OXI7" s="36"/>
      <c r="OXJ7" s="36"/>
      <c r="OXK7" s="37"/>
      <c r="OXL7" s="37"/>
      <c r="OXN7" s="22"/>
      <c r="OXO7" s="35"/>
      <c r="OXP7" s="36"/>
      <c r="OXQ7" s="37"/>
      <c r="OXR7" s="36"/>
      <c r="OXS7" s="37"/>
      <c r="OXT7" s="36"/>
      <c r="OXU7" s="37"/>
      <c r="OXV7" s="36"/>
      <c r="OXW7" s="37"/>
      <c r="OXX7" s="36"/>
      <c r="OXY7" s="37"/>
      <c r="OXZ7" s="36"/>
      <c r="OYA7" s="37"/>
      <c r="OYB7" s="36"/>
      <c r="OYC7" s="37"/>
      <c r="OYD7" s="36"/>
      <c r="OYE7" s="37"/>
      <c r="OYF7" s="36"/>
      <c r="OYG7" s="37"/>
      <c r="OYH7" s="36"/>
      <c r="OYI7" s="36"/>
      <c r="OYJ7" s="37"/>
      <c r="OYK7" s="37"/>
      <c r="OYM7" s="22"/>
      <c r="OYN7" s="35"/>
      <c r="OYO7" s="36"/>
      <c r="OYP7" s="37"/>
      <c r="OYQ7" s="36"/>
      <c r="OYR7" s="37"/>
      <c r="OYS7" s="36"/>
      <c r="OYT7" s="37"/>
      <c r="OYU7" s="36"/>
      <c r="OYV7" s="37"/>
      <c r="OYW7" s="36"/>
      <c r="OYX7" s="37"/>
      <c r="OYY7" s="36"/>
      <c r="OYZ7" s="37"/>
      <c r="OZA7" s="36"/>
      <c r="OZB7" s="37"/>
      <c r="OZC7" s="36"/>
      <c r="OZD7" s="37"/>
      <c r="OZE7" s="36"/>
      <c r="OZF7" s="37"/>
      <c r="OZG7" s="36"/>
      <c r="OZH7" s="36"/>
      <c r="OZI7" s="37"/>
      <c r="OZJ7" s="37"/>
      <c r="OZL7" s="22"/>
      <c r="OZM7" s="35"/>
      <c r="OZN7" s="36"/>
      <c r="OZO7" s="37"/>
      <c r="OZP7" s="36"/>
      <c r="OZQ7" s="37"/>
      <c r="OZR7" s="36"/>
      <c r="OZS7" s="37"/>
      <c r="OZT7" s="36"/>
      <c r="OZU7" s="37"/>
      <c r="OZV7" s="36"/>
      <c r="OZW7" s="37"/>
      <c r="OZX7" s="36"/>
      <c r="OZY7" s="37"/>
      <c r="OZZ7" s="36"/>
      <c r="PAA7" s="37"/>
      <c r="PAB7" s="36"/>
      <c r="PAC7" s="37"/>
      <c r="PAD7" s="36"/>
      <c r="PAE7" s="37"/>
      <c r="PAF7" s="36"/>
      <c r="PAG7" s="36"/>
      <c r="PAH7" s="37"/>
      <c r="PAI7" s="37"/>
      <c r="PAK7" s="22"/>
      <c r="PAL7" s="35"/>
      <c r="PAM7" s="36"/>
      <c r="PAN7" s="37"/>
      <c r="PAO7" s="36"/>
      <c r="PAP7" s="37"/>
      <c r="PAQ7" s="36"/>
      <c r="PAR7" s="37"/>
      <c r="PAS7" s="36"/>
      <c r="PAT7" s="37"/>
      <c r="PAU7" s="36"/>
      <c r="PAV7" s="37"/>
      <c r="PAW7" s="36"/>
      <c r="PAX7" s="37"/>
      <c r="PAY7" s="36"/>
      <c r="PAZ7" s="37"/>
      <c r="PBA7" s="36"/>
      <c r="PBB7" s="37"/>
      <c r="PBC7" s="36"/>
      <c r="PBD7" s="37"/>
      <c r="PBE7" s="36"/>
      <c r="PBF7" s="36"/>
      <c r="PBG7" s="37"/>
      <c r="PBH7" s="37"/>
      <c r="PBJ7" s="22"/>
      <c r="PBK7" s="35"/>
      <c r="PBL7" s="36"/>
      <c r="PBM7" s="37"/>
      <c r="PBN7" s="36"/>
      <c r="PBO7" s="37"/>
      <c r="PBP7" s="36"/>
      <c r="PBQ7" s="37"/>
      <c r="PBR7" s="36"/>
      <c r="PBS7" s="37"/>
      <c r="PBT7" s="36"/>
      <c r="PBU7" s="37"/>
      <c r="PBV7" s="36"/>
      <c r="PBW7" s="37"/>
      <c r="PBX7" s="36"/>
      <c r="PBY7" s="37"/>
      <c r="PBZ7" s="36"/>
      <c r="PCA7" s="37"/>
      <c r="PCB7" s="36"/>
      <c r="PCC7" s="37"/>
      <c r="PCD7" s="36"/>
      <c r="PCE7" s="36"/>
      <c r="PCF7" s="37"/>
      <c r="PCG7" s="37"/>
      <c r="PCI7" s="22"/>
      <c r="PCJ7" s="35"/>
      <c r="PCK7" s="36"/>
      <c r="PCL7" s="37"/>
      <c r="PCM7" s="36"/>
      <c r="PCN7" s="37"/>
      <c r="PCO7" s="36"/>
      <c r="PCP7" s="37"/>
      <c r="PCQ7" s="36"/>
      <c r="PCR7" s="37"/>
      <c r="PCS7" s="36"/>
      <c r="PCT7" s="37"/>
      <c r="PCU7" s="36"/>
      <c r="PCV7" s="37"/>
      <c r="PCW7" s="36"/>
      <c r="PCX7" s="37"/>
      <c r="PCY7" s="36"/>
      <c r="PCZ7" s="37"/>
      <c r="PDA7" s="36"/>
      <c r="PDB7" s="37"/>
      <c r="PDC7" s="36"/>
      <c r="PDD7" s="36"/>
      <c r="PDE7" s="37"/>
      <c r="PDF7" s="37"/>
      <c r="PDH7" s="22"/>
      <c r="PDI7" s="35"/>
      <c r="PDJ7" s="36"/>
      <c r="PDK7" s="37"/>
      <c r="PDL7" s="36"/>
      <c r="PDM7" s="37"/>
      <c r="PDN7" s="36"/>
      <c r="PDO7" s="37"/>
      <c r="PDP7" s="36"/>
      <c r="PDQ7" s="37"/>
      <c r="PDR7" s="36"/>
      <c r="PDS7" s="37"/>
      <c r="PDT7" s="36"/>
      <c r="PDU7" s="37"/>
      <c r="PDV7" s="36"/>
      <c r="PDW7" s="37"/>
      <c r="PDX7" s="36"/>
      <c r="PDY7" s="37"/>
      <c r="PDZ7" s="36"/>
      <c r="PEA7" s="37"/>
      <c r="PEB7" s="36"/>
      <c r="PEC7" s="36"/>
      <c r="PED7" s="37"/>
      <c r="PEE7" s="37"/>
      <c r="PEG7" s="22"/>
      <c r="PEH7" s="35"/>
      <c r="PEI7" s="36"/>
      <c r="PEJ7" s="37"/>
      <c r="PEK7" s="36"/>
      <c r="PEL7" s="37"/>
      <c r="PEM7" s="36"/>
      <c r="PEN7" s="37"/>
      <c r="PEO7" s="36"/>
      <c r="PEP7" s="37"/>
      <c r="PEQ7" s="36"/>
      <c r="PER7" s="37"/>
      <c r="PES7" s="36"/>
      <c r="PET7" s="37"/>
      <c r="PEU7" s="36"/>
      <c r="PEV7" s="37"/>
      <c r="PEW7" s="36"/>
      <c r="PEX7" s="37"/>
      <c r="PEY7" s="36"/>
      <c r="PEZ7" s="37"/>
      <c r="PFA7" s="36"/>
      <c r="PFB7" s="36"/>
      <c r="PFC7" s="37"/>
      <c r="PFD7" s="37"/>
      <c r="PFF7" s="22"/>
      <c r="PFG7" s="35"/>
      <c r="PFH7" s="36"/>
      <c r="PFI7" s="37"/>
      <c r="PFJ7" s="36"/>
      <c r="PFK7" s="37"/>
      <c r="PFL7" s="36"/>
      <c r="PFM7" s="37"/>
      <c r="PFN7" s="36"/>
      <c r="PFO7" s="37"/>
      <c r="PFP7" s="36"/>
      <c r="PFQ7" s="37"/>
      <c r="PFR7" s="36"/>
      <c r="PFS7" s="37"/>
      <c r="PFT7" s="36"/>
      <c r="PFU7" s="37"/>
      <c r="PFV7" s="36"/>
      <c r="PFW7" s="37"/>
      <c r="PFX7" s="36"/>
      <c r="PFY7" s="37"/>
      <c r="PFZ7" s="36"/>
      <c r="PGA7" s="36"/>
      <c r="PGB7" s="37"/>
      <c r="PGC7" s="37"/>
      <c r="PGE7" s="22"/>
      <c r="PGF7" s="35"/>
      <c r="PGG7" s="36"/>
      <c r="PGH7" s="37"/>
      <c r="PGI7" s="36"/>
      <c r="PGJ7" s="37"/>
      <c r="PGK7" s="36"/>
      <c r="PGL7" s="37"/>
      <c r="PGM7" s="36"/>
      <c r="PGN7" s="37"/>
      <c r="PGO7" s="36"/>
      <c r="PGP7" s="37"/>
      <c r="PGQ7" s="36"/>
      <c r="PGR7" s="37"/>
      <c r="PGS7" s="36"/>
      <c r="PGT7" s="37"/>
      <c r="PGU7" s="36"/>
      <c r="PGV7" s="37"/>
      <c r="PGW7" s="36"/>
      <c r="PGX7" s="37"/>
      <c r="PGY7" s="36"/>
      <c r="PGZ7" s="36"/>
      <c r="PHA7" s="37"/>
      <c r="PHB7" s="37"/>
      <c r="PHD7" s="22"/>
      <c r="PHE7" s="35"/>
      <c r="PHF7" s="36"/>
      <c r="PHG7" s="37"/>
      <c r="PHH7" s="36"/>
      <c r="PHI7" s="37"/>
      <c r="PHJ7" s="36"/>
      <c r="PHK7" s="37"/>
      <c r="PHL7" s="36"/>
      <c r="PHM7" s="37"/>
      <c r="PHN7" s="36"/>
      <c r="PHO7" s="37"/>
      <c r="PHP7" s="36"/>
      <c r="PHQ7" s="37"/>
      <c r="PHR7" s="36"/>
      <c r="PHS7" s="37"/>
      <c r="PHT7" s="36"/>
      <c r="PHU7" s="37"/>
      <c r="PHV7" s="36"/>
      <c r="PHW7" s="37"/>
      <c r="PHX7" s="36"/>
      <c r="PHY7" s="36"/>
      <c r="PHZ7" s="37"/>
      <c r="PIA7" s="37"/>
      <c r="PIC7" s="22"/>
      <c r="PID7" s="35"/>
      <c r="PIE7" s="36"/>
      <c r="PIF7" s="37"/>
      <c r="PIG7" s="36"/>
      <c r="PIH7" s="37"/>
      <c r="PII7" s="36"/>
      <c r="PIJ7" s="37"/>
      <c r="PIK7" s="36"/>
      <c r="PIL7" s="37"/>
      <c r="PIM7" s="36"/>
      <c r="PIN7" s="37"/>
      <c r="PIO7" s="36"/>
      <c r="PIP7" s="37"/>
      <c r="PIQ7" s="36"/>
      <c r="PIR7" s="37"/>
      <c r="PIS7" s="36"/>
      <c r="PIT7" s="37"/>
      <c r="PIU7" s="36"/>
      <c r="PIV7" s="37"/>
      <c r="PIW7" s="36"/>
      <c r="PIX7" s="36"/>
      <c r="PIY7" s="37"/>
      <c r="PIZ7" s="37"/>
      <c r="PJB7" s="22"/>
      <c r="PJC7" s="35"/>
      <c r="PJD7" s="36"/>
      <c r="PJE7" s="37"/>
      <c r="PJF7" s="36"/>
      <c r="PJG7" s="37"/>
      <c r="PJH7" s="36"/>
      <c r="PJI7" s="37"/>
      <c r="PJJ7" s="36"/>
      <c r="PJK7" s="37"/>
      <c r="PJL7" s="36"/>
      <c r="PJM7" s="37"/>
      <c r="PJN7" s="36"/>
      <c r="PJO7" s="37"/>
      <c r="PJP7" s="36"/>
      <c r="PJQ7" s="37"/>
      <c r="PJR7" s="36"/>
      <c r="PJS7" s="37"/>
      <c r="PJT7" s="36"/>
      <c r="PJU7" s="37"/>
      <c r="PJV7" s="36"/>
      <c r="PJW7" s="36"/>
      <c r="PJX7" s="37"/>
      <c r="PJY7" s="37"/>
      <c r="PKA7" s="22"/>
      <c r="PKB7" s="35"/>
      <c r="PKC7" s="36"/>
      <c r="PKD7" s="37"/>
      <c r="PKE7" s="36"/>
      <c r="PKF7" s="37"/>
      <c r="PKG7" s="36"/>
      <c r="PKH7" s="37"/>
      <c r="PKI7" s="36"/>
      <c r="PKJ7" s="37"/>
      <c r="PKK7" s="36"/>
      <c r="PKL7" s="37"/>
      <c r="PKM7" s="36"/>
      <c r="PKN7" s="37"/>
      <c r="PKO7" s="36"/>
      <c r="PKP7" s="37"/>
      <c r="PKQ7" s="36"/>
      <c r="PKR7" s="37"/>
      <c r="PKS7" s="36"/>
      <c r="PKT7" s="37"/>
      <c r="PKU7" s="36"/>
      <c r="PKV7" s="36"/>
      <c r="PKW7" s="37"/>
      <c r="PKX7" s="37"/>
      <c r="PKZ7" s="22"/>
      <c r="PLA7" s="35"/>
      <c r="PLB7" s="36"/>
      <c r="PLC7" s="37"/>
      <c r="PLD7" s="36"/>
      <c r="PLE7" s="37"/>
      <c r="PLF7" s="36"/>
      <c r="PLG7" s="37"/>
      <c r="PLH7" s="36"/>
      <c r="PLI7" s="37"/>
      <c r="PLJ7" s="36"/>
      <c r="PLK7" s="37"/>
      <c r="PLL7" s="36"/>
      <c r="PLM7" s="37"/>
      <c r="PLN7" s="36"/>
      <c r="PLO7" s="37"/>
      <c r="PLP7" s="36"/>
      <c r="PLQ7" s="37"/>
      <c r="PLR7" s="36"/>
      <c r="PLS7" s="37"/>
      <c r="PLT7" s="36"/>
      <c r="PLU7" s="36"/>
      <c r="PLV7" s="37"/>
      <c r="PLW7" s="37"/>
      <c r="PLY7" s="22"/>
      <c r="PLZ7" s="35"/>
      <c r="PMA7" s="36"/>
      <c r="PMB7" s="37"/>
      <c r="PMC7" s="36"/>
      <c r="PMD7" s="37"/>
      <c r="PME7" s="36"/>
      <c r="PMF7" s="37"/>
      <c r="PMG7" s="36"/>
      <c r="PMH7" s="37"/>
      <c r="PMI7" s="36"/>
      <c r="PMJ7" s="37"/>
      <c r="PMK7" s="36"/>
      <c r="PML7" s="37"/>
      <c r="PMM7" s="36"/>
      <c r="PMN7" s="37"/>
      <c r="PMO7" s="36"/>
      <c r="PMP7" s="37"/>
      <c r="PMQ7" s="36"/>
      <c r="PMR7" s="37"/>
      <c r="PMS7" s="36"/>
      <c r="PMT7" s="36"/>
      <c r="PMU7" s="37"/>
      <c r="PMV7" s="37"/>
      <c r="PMX7" s="22"/>
      <c r="PMY7" s="35"/>
      <c r="PMZ7" s="36"/>
      <c r="PNA7" s="37"/>
      <c r="PNB7" s="36"/>
      <c r="PNC7" s="37"/>
      <c r="PND7" s="36"/>
      <c r="PNE7" s="37"/>
      <c r="PNF7" s="36"/>
      <c r="PNG7" s="37"/>
      <c r="PNH7" s="36"/>
      <c r="PNI7" s="37"/>
      <c r="PNJ7" s="36"/>
      <c r="PNK7" s="37"/>
      <c r="PNL7" s="36"/>
      <c r="PNM7" s="37"/>
      <c r="PNN7" s="36"/>
      <c r="PNO7" s="37"/>
      <c r="PNP7" s="36"/>
      <c r="PNQ7" s="37"/>
      <c r="PNR7" s="36"/>
      <c r="PNS7" s="36"/>
      <c r="PNT7" s="37"/>
      <c r="PNU7" s="37"/>
      <c r="PNW7" s="22"/>
      <c r="PNX7" s="35"/>
      <c r="PNY7" s="36"/>
      <c r="PNZ7" s="37"/>
      <c r="POA7" s="36"/>
      <c r="POB7" s="37"/>
      <c r="POC7" s="36"/>
      <c r="POD7" s="37"/>
      <c r="POE7" s="36"/>
      <c r="POF7" s="37"/>
      <c r="POG7" s="36"/>
      <c r="POH7" s="37"/>
      <c r="POI7" s="36"/>
      <c r="POJ7" s="37"/>
      <c r="POK7" s="36"/>
      <c r="POL7" s="37"/>
      <c r="POM7" s="36"/>
      <c r="PON7" s="37"/>
      <c r="POO7" s="36"/>
      <c r="POP7" s="37"/>
      <c r="POQ7" s="36"/>
      <c r="POR7" s="36"/>
      <c r="POS7" s="37"/>
      <c r="POT7" s="37"/>
      <c r="POV7" s="22"/>
      <c r="POW7" s="35"/>
      <c r="POX7" s="36"/>
      <c r="POY7" s="37"/>
      <c r="POZ7" s="36"/>
      <c r="PPA7" s="37"/>
      <c r="PPB7" s="36"/>
      <c r="PPC7" s="37"/>
      <c r="PPD7" s="36"/>
      <c r="PPE7" s="37"/>
      <c r="PPF7" s="36"/>
      <c r="PPG7" s="37"/>
      <c r="PPH7" s="36"/>
      <c r="PPI7" s="37"/>
      <c r="PPJ7" s="36"/>
      <c r="PPK7" s="37"/>
      <c r="PPL7" s="36"/>
      <c r="PPM7" s="37"/>
      <c r="PPN7" s="36"/>
      <c r="PPO7" s="37"/>
      <c r="PPP7" s="36"/>
      <c r="PPQ7" s="36"/>
      <c r="PPR7" s="37"/>
      <c r="PPS7" s="37"/>
      <c r="PPU7" s="22"/>
      <c r="PPV7" s="35"/>
      <c r="PPW7" s="36"/>
      <c r="PPX7" s="37"/>
      <c r="PPY7" s="36"/>
      <c r="PPZ7" s="37"/>
      <c r="PQA7" s="36"/>
      <c r="PQB7" s="37"/>
      <c r="PQC7" s="36"/>
      <c r="PQD7" s="37"/>
      <c r="PQE7" s="36"/>
      <c r="PQF7" s="37"/>
      <c r="PQG7" s="36"/>
      <c r="PQH7" s="37"/>
      <c r="PQI7" s="36"/>
      <c r="PQJ7" s="37"/>
      <c r="PQK7" s="36"/>
      <c r="PQL7" s="37"/>
      <c r="PQM7" s="36"/>
      <c r="PQN7" s="37"/>
      <c r="PQO7" s="36"/>
      <c r="PQP7" s="36"/>
      <c r="PQQ7" s="37"/>
      <c r="PQR7" s="37"/>
      <c r="PQT7" s="22"/>
      <c r="PQU7" s="35"/>
      <c r="PQV7" s="36"/>
      <c r="PQW7" s="37"/>
      <c r="PQX7" s="36"/>
      <c r="PQY7" s="37"/>
      <c r="PQZ7" s="36"/>
      <c r="PRA7" s="37"/>
      <c r="PRB7" s="36"/>
      <c r="PRC7" s="37"/>
      <c r="PRD7" s="36"/>
      <c r="PRE7" s="37"/>
      <c r="PRF7" s="36"/>
      <c r="PRG7" s="37"/>
      <c r="PRH7" s="36"/>
      <c r="PRI7" s="37"/>
      <c r="PRJ7" s="36"/>
      <c r="PRK7" s="37"/>
      <c r="PRL7" s="36"/>
      <c r="PRM7" s="37"/>
      <c r="PRN7" s="36"/>
      <c r="PRO7" s="36"/>
      <c r="PRP7" s="37"/>
      <c r="PRQ7" s="37"/>
      <c r="PRS7" s="22"/>
      <c r="PRT7" s="35"/>
      <c r="PRU7" s="36"/>
      <c r="PRV7" s="37"/>
      <c r="PRW7" s="36"/>
      <c r="PRX7" s="37"/>
      <c r="PRY7" s="36"/>
      <c r="PRZ7" s="37"/>
      <c r="PSA7" s="36"/>
      <c r="PSB7" s="37"/>
      <c r="PSC7" s="36"/>
      <c r="PSD7" s="37"/>
      <c r="PSE7" s="36"/>
      <c r="PSF7" s="37"/>
      <c r="PSG7" s="36"/>
      <c r="PSH7" s="37"/>
      <c r="PSI7" s="36"/>
      <c r="PSJ7" s="37"/>
      <c r="PSK7" s="36"/>
      <c r="PSL7" s="37"/>
      <c r="PSM7" s="36"/>
      <c r="PSN7" s="36"/>
      <c r="PSO7" s="37"/>
      <c r="PSP7" s="37"/>
      <c r="PSR7" s="22"/>
      <c r="PSS7" s="35"/>
      <c r="PST7" s="36"/>
      <c r="PSU7" s="37"/>
      <c r="PSV7" s="36"/>
      <c r="PSW7" s="37"/>
      <c r="PSX7" s="36"/>
      <c r="PSY7" s="37"/>
      <c r="PSZ7" s="36"/>
      <c r="PTA7" s="37"/>
      <c r="PTB7" s="36"/>
      <c r="PTC7" s="37"/>
      <c r="PTD7" s="36"/>
      <c r="PTE7" s="37"/>
      <c r="PTF7" s="36"/>
      <c r="PTG7" s="37"/>
      <c r="PTH7" s="36"/>
      <c r="PTI7" s="37"/>
      <c r="PTJ7" s="36"/>
      <c r="PTK7" s="37"/>
      <c r="PTL7" s="36"/>
      <c r="PTM7" s="36"/>
      <c r="PTN7" s="37"/>
      <c r="PTO7" s="37"/>
      <c r="PTQ7" s="22"/>
      <c r="PTR7" s="35"/>
      <c r="PTS7" s="36"/>
      <c r="PTT7" s="37"/>
      <c r="PTU7" s="36"/>
      <c r="PTV7" s="37"/>
      <c r="PTW7" s="36"/>
      <c r="PTX7" s="37"/>
      <c r="PTY7" s="36"/>
      <c r="PTZ7" s="37"/>
      <c r="PUA7" s="36"/>
      <c r="PUB7" s="37"/>
      <c r="PUC7" s="36"/>
      <c r="PUD7" s="37"/>
      <c r="PUE7" s="36"/>
      <c r="PUF7" s="37"/>
      <c r="PUG7" s="36"/>
      <c r="PUH7" s="37"/>
      <c r="PUI7" s="36"/>
      <c r="PUJ7" s="37"/>
      <c r="PUK7" s="36"/>
      <c r="PUL7" s="36"/>
      <c r="PUM7" s="37"/>
      <c r="PUN7" s="37"/>
      <c r="PUP7" s="22"/>
      <c r="PUQ7" s="35"/>
      <c r="PUR7" s="36"/>
      <c r="PUS7" s="37"/>
      <c r="PUT7" s="36"/>
      <c r="PUU7" s="37"/>
      <c r="PUV7" s="36"/>
      <c r="PUW7" s="37"/>
      <c r="PUX7" s="36"/>
      <c r="PUY7" s="37"/>
      <c r="PUZ7" s="36"/>
      <c r="PVA7" s="37"/>
      <c r="PVB7" s="36"/>
      <c r="PVC7" s="37"/>
      <c r="PVD7" s="36"/>
      <c r="PVE7" s="37"/>
      <c r="PVF7" s="36"/>
      <c r="PVG7" s="37"/>
      <c r="PVH7" s="36"/>
      <c r="PVI7" s="37"/>
      <c r="PVJ7" s="36"/>
      <c r="PVK7" s="36"/>
      <c r="PVL7" s="37"/>
      <c r="PVM7" s="37"/>
      <c r="PVO7" s="22"/>
      <c r="PVP7" s="35"/>
      <c r="PVQ7" s="36"/>
      <c r="PVR7" s="37"/>
      <c r="PVS7" s="36"/>
      <c r="PVT7" s="37"/>
      <c r="PVU7" s="36"/>
      <c r="PVV7" s="37"/>
      <c r="PVW7" s="36"/>
      <c r="PVX7" s="37"/>
      <c r="PVY7" s="36"/>
      <c r="PVZ7" s="37"/>
      <c r="PWA7" s="36"/>
      <c r="PWB7" s="37"/>
      <c r="PWC7" s="36"/>
      <c r="PWD7" s="37"/>
      <c r="PWE7" s="36"/>
      <c r="PWF7" s="37"/>
      <c r="PWG7" s="36"/>
      <c r="PWH7" s="37"/>
      <c r="PWI7" s="36"/>
      <c r="PWJ7" s="36"/>
      <c r="PWK7" s="37"/>
      <c r="PWL7" s="37"/>
      <c r="PWN7" s="22"/>
      <c r="PWO7" s="35"/>
      <c r="PWP7" s="36"/>
      <c r="PWQ7" s="37"/>
      <c r="PWR7" s="36"/>
      <c r="PWS7" s="37"/>
      <c r="PWT7" s="36"/>
      <c r="PWU7" s="37"/>
      <c r="PWV7" s="36"/>
      <c r="PWW7" s="37"/>
      <c r="PWX7" s="36"/>
      <c r="PWY7" s="37"/>
      <c r="PWZ7" s="36"/>
      <c r="PXA7" s="37"/>
      <c r="PXB7" s="36"/>
      <c r="PXC7" s="37"/>
      <c r="PXD7" s="36"/>
      <c r="PXE7" s="37"/>
      <c r="PXF7" s="36"/>
      <c r="PXG7" s="37"/>
      <c r="PXH7" s="36"/>
      <c r="PXI7" s="36"/>
      <c r="PXJ7" s="37"/>
      <c r="PXK7" s="37"/>
      <c r="PXM7" s="22"/>
      <c r="PXN7" s="35"/>
      <c r="PXO7" s="36"/>
      <c r="PXP7" s="37"/>
      <c r="PXQ7" s="36"/>
      <c r="PXR7" s="37"/>
      <c r="PXS7" s="36"/>
      <c r="PXT7" s="37"/>
      <c r="PXU7" s="36"/>
      <c r="PXV7" s="37"/>
      <c r="PXW7" s="36"/>
      <c r="PXX7" s="37"/>
      <c r="PXY7" s="36"/>
      <c r="PXZ7" s="37"/>
      <c r="PYA7" s="36"/>
      <c r="PYB7" s="37"/>
      <c r="PYC7" s="36"/>
      <c r="PYD7" s="37"/>
      <c r="PYE7" s="36"/>
      <c r="PYF7" s="37"/>
      <c r="PYG7" s="36"/>
      <c r="PYH7" s="36"/>
      <c r="PYI7" s="37"/>
      <c r="PYJ7" s="37"/>
      <c r="PYL7" s="22"/>
      <c r="PYM7" s="35"/>
      <c r="PYN7" s="36"/>
      <c r="PYO7" s="37"/>
      <c r="PYP7" s="36"/>
      <c r="PYQ7" s="37"/>
      <c r="PYR7" s="36"/>
      <c r="PYS7" s="37"/>
      <c r="PYT7" s="36"/>
      <c r="PYU7" s="37"/>
      <c r="PYV7" s="36"/>
      <c r="PYW7" s="37"/>
      <c r="PYX7" s="36"/>
      <c r="PYY7" s="37"/>
      <c r="PYZ7" s="36"/>
      <c r="PZA7" s="37"/>
      <c r="PZB7" s="36"/>
      <c r="PZC7" s="37"/>
      <c r="PZD7" s="36"/>
      <c r="PZE7" s="37"/>
      <c r="PZF7" s="36"/>
      <c r="PZG7" s="36"/>
      <c r="PZH7" s="37"/>
      <c r="PZI7" s="37"/>
      <c r="PZK7" s="22"/>
      <c r="PZL7" s="35"/>
      <c r="PZM7" s="36"/>
      <c r="PZN7" s="37"/>
      <c r="PZO7" s="36"/>
      <c r="PZP7" s="37"/>
      <c r="PZQ7" s="36"/>
      <c r="PZR7" s="37"/>
      <c r="PZS7" s="36"/>
      <c r="PZT7" s="37"/>
      <c r="PZU7" s="36"/>
      <c r="PZV7" s="37"/>
      <c r="PZW7" s="36"/>
      <c r="PZX7" s="37"/>
      <c r="PZY7" s="36"/>
      <c r="PZZ7" s="37"/>
      <c r="QAA7" s="36"/>
      <c r="QAB7" s="37"/>
      <c r="QAC7" s="36"/>
      <c r="QAD7" s="37"/>
      <c r="QAE7" s="36"/>
      <c r="QAF7" s="36"/>
      <c r="QAG7" s="37"/>
      <c r="QAH7" s="37"/>
      <c r="QAJ7" s="22"/>
      <c r="QAK7" s="35"/>
      <c r="QAL7" s="36"/>
      <c r="QAM7" s="37"/>
      <c r="QAN7" s="36"/>
      <c r="QAO7" s="37"/>
      <c r="QAP7" s="36"/>
      <c r="QAQ7" s="37"/>
      <c r="QAR7" s="36"/>
      <c r="QAS7" s="37"/>
      <c r="QAT7" s="36"/>
      <c r="QAU7" s="37"/>
      <c r="QAV7" s="36"/>
      <c r="QAW7" s="37"/>
      <c r="QAX7" s="36"/>
      <c r="QAY7" s="37"/>
      <c r="QAZ7" s="36"/>
      <c r="QBA7" s="37"/>
      <c r="QBB7" s="36"/>
      <c r="QBC7" s="37"/>
      <c r="QBD7" s="36"/>
      <c r="QBE7" s="36"/>
      <c r="QBF7" s="37"/>
      <c r="QBG7" s="37"/>
      <c r="QBI7" s="22"/>
      <c r="QBJ7" s="35"/>
      <c r="QBK7" s="36"/>
      <c r="QBL7" s="37"/>
      <c r="QBM7" s="36"/>
      <c r="QBN7" s="37"/>
      <c r="QBO7" s="36"/>
      <c r="QBP7" s="37"/>
      <c r="QBQ7" s="36"/>
      <c r="QBR7" s="37"/>
      <c r="QBS7" s="36"/>
      <c r="QBT7" s="37"/>
      <c r="QBU7" s="36"/>
      <c r="QBV7" s="37"/>
      <c r="QBW7" s="36"/>
      <c r="QBX7" s="37"/>
      <c r="QBY7" s="36"/>
      <c r="QBZ7" s="37"/>
      <c r="QCA7" s="36"/>
      <c r="QCB7" s="37"/>
      <c r="QCC7" s="36"/>
      <c r="QCD7" s="36"/>
      <c r="QCE7" s="37"/>
      <c r="QCF7" s="37"/>
      <c r="QCH7" s="22"/>
      <c r="QCI7" s="35"/>
      <c r="QCJ7" s="36"/>
      <c r="QCK7" s="37"/>
      <c r="QCL7" s="36"/>
      <c r="QCM7" s="37"/>
      <c r="QCN7" s="36"/>
      <c r="QCO7" s="37"/>
      <c r="QCP7" s="36"/>
      <c r="QCQ7" s="37"/>
      <c r="QCR7" s="36"/>
      <c r="QCS7" s="37"/>
      <c r="QCT7" s="36"/>
      <c r="QCU7" s="37"/>
      <c r="QCV7" s="36"/>
      <c r="QCW7" s="37"/>
      <c r="QCX7" s="36"/>
      <c r="QCY7" s="37"/>
      <c r="QCZ7" s="36"/>
      <c r="QDA7" s="37"/>
      <c r="QDB7" s="36"/>
      <c r="QDC7" s="36"/>
      <c r="QDD7" s="37"/>
      <c r="QDE7" s="37"/>
      <c r="QDG7" s="22"/>
      <c r="QDH7" s="35"/>
      <c r="QDI7" s="36"/>
      <c r="QDJ7" s="37"/>
      <c r="QDK7" s="36"/>
      <c r="QDL7" s="37"/>
      <c r="QDM7" s="36"/>
      <c r="QDN7" s="37"/>
      <c r="QDO7" s="36"/>
      <c r="QDP7" s="37"/>
      <c r="QDQ7" s="36"/>
      <c r="QDR7" s="37"/>
      <c r="QDS7" s="36"/>
      <c r="QDT7" s="37"/>
      <c r="QDU7" s="36"/>
      <c r="QDV7" s="37"/>
      <c r="QDW7" s="36"/>
      <c r="QDX7" s="37"/>
      <c r="QDY7" s="36"/>
      <c r="QDZ7" s="37"/>
      <c r="QEA7" s="36"/>
      <c r="QEB7" s="36"/>
      <c r="QEC7" s="37"/>
      <c r="QED7" s="37"/>
      <c r="QEF7" s="22"/>
      <c r="QEG7" s="35"/>
      <c r="QEH7" s="36"/>
      <c r="QEI7" s="37"/>
      <c r="QEJ7" s="36"/>
      <c r="QEK7" s="37"/>
      <c r="QEL7" s="36"/>
      <c r="QEM7" s="37"/>
      <c r="QEN7" s="36"/>
      <c r="QEO7" s="37"/>
      <c r="QEP7" s="36"/>
      <c r="QEQ7" s="37"/>
      <c r="QER7" s="36"/>
      <c r="QES7" s="37"/>
      <c r="QET7" s="36"/>
      <c r="QEU7" s="37"/>
      <c r="QEV7" s="36"/>
      <c r="QEW7" s="37"/>
      <c r="QEX7" s="36"/>
      <c r="QEY7" s="37"/>
      <c r="QEZ7" s="36"/>
      <c r="QFA7" s="36"/>
      <c r="QFB7" s="37"/>
      <c r="QFC7" s="37"/>
      <c r="QFE7" s="22"/>
      <c r="QFF7" s="35"/>
      <c r="QFG7" s="36"/>
      <c r="QFH7" s="37"/>
      <c r="QFI7" s="36"/>
      <c r="QFJ7" s="37"/>
      <c r="QFK7" s="36"/>
      <c r="QFL7" s="37"/>
      <c r="QFM7" s="36"/>
      <c r="QFN7" s="37"/>
      <c r="QFO7" s="36"/>
      <c r="QFP7" s="37"/>
      <c r="QFQ7" s="36"/>
      <c r="QFR7" s="37"/>
      <c r="QFS7" s="36"/>
      <c r="QFT7" s="37"/>
      <c r="QFU7" s="36"/>
      <c r="QFV7" s="37"/>
      <c r="QFW7" s="36"/>
      <c r="QFX7" s="37"/>
      <c r="QFY7" s="36"/>
      <c r="QFZ7" s="36"/>
      <c r="QGA7" s="37"/>
      <c r="QGB7" s="37"/>
      <c r="QGD7" s="22"/>
      <c r="QGE7" s="35"/>
      <c r="QGF7" s="36"/>
      <c r="QGG7" s="37"/>
      <c r="QGH7" s="36"/>
      <c r="QGI7" s="37"/>
      <c r="QGJ7" s="36"/>
      <c r="QGK7" s="37"/>
      <c r="QGL7" s="36"/>
      <c r="QGM7" s="37"/>
      <c r="QGN7" s="36"/>
      <c r="QGO7" s="37"/>
      <c r="QGP7" s="36"/>
      <c r="QGQ7" s="37"/>
      <c r="QGR7" s="36"/>
      <c r="QGS7" s="37"/>
      <c r="QGT7" s="36"/>
      <c r="QGU7" s="37"/>
      <c r="QGV7" s="36"/>
      <c r="QGW7" s="37"/>
      <c r="QGX7" s="36"/>
      <c r="QGY7" s="36"/>
      <c r="QGZ7" s="37"/>
      <c r="QHA7" s="37"/>
      <c r="QHC7" s="22"/>
      <c r="QHD7" s="35"/>
      <c r="QHE7" s="36"/>
      <c r="QHF7" s="37"/>
      <c r="QHG7" s="36"/>
      <c r="QHH7" s="37"/>
      <c r="QHI7" s="36"/>
      <c r="QHJ7" s="37"/>
      <c r="QHK7" s="36"/>
      <c r="QHL7" s="37"/>
      <c r="QHM7" s="36"/>
      <c r="QHN7" s="37"/>
      <c r="QHO7" s="36"/>
      <c r="QHP7" s="37"/>
      <c r="QHQ7" s="36"/>
      <c r="QHR7" s="37"/>
      <c r="QHS7" s="36"/>
      <c r="QHT7" s="37"/>
      <c r="QHU7" s="36"/>
      <c r="QHV7" s="37"/>
      <c r="QHW7" s="36"/>
      <c r="QHX7" s="36"/>
      <c r="QHY7" s="37"/>
      <c r="QHZ7" s="37"/>
      <c r="QIB7" s="22"/>
      <c r="QIC7" s="35"/>
      <c r="QID7" s="36"/>
      <c r="QIE7" s="37"/>
      <c r="QIF7" s="36"/>
      <c r="QIG7" s="37"/>
      <c r="QIH7" s="36"/>
      <c r="QII7" s="37"/>
      <c r="QIJ7" s="36"/>
      <c r="QIK7" s="37"/>
      <c r="QIL7" s="36"/>
      <c r="QIM7" s="37"/>
      <c r="QIN7" s="36"/>
      <c r="QIO7" s="37"/>
      <c r="QIP7" s="36"/>
      <c r="QIQ7" s="37"/>
      <c r="QIR7" s="36"/>
      <c r="QIS7" s="37"/>
      <c r="QIT7" s="36"/>
      <c r="QIU7" s="37"/>
      <c r="QIV7" s="36"/>
      <c r="QIW7" s="36"/>
      <c r="QIX7" s="37"/>
      <c r="QIY7" s="37"/>
      <c r="QJA7" s="22"/>
      <c r="QJB7" s="35"/>
      <c r="QJC7" s="36"/>
      <c r="QJD7" s="37"/>
      <c r="QJE7" s="36"/>
      <c r="QJF7" s="37"/>
      <c r="QJG7" s="36"/>
      <c r="QJH7" s="37"/>
      <c r="QJI7" s="36"/>
      <c r="QJJ7" s="37"/>
      <c r="QJK7" s="36"/>
      <c r="QJL7" s="37"/>
      <c r="QJM7" s="36"/>
      <c r="QJN7" s="37"/>
      <c r="QJO7" s="36"/>
      <c r="QJP7" s="37"/>
      <c r="QJQ7" s="36"/>
      <c r="QJR7" s="37"/>
      <c r="QJS7" s="36"/>
      <c r="QJT7" s="37"/>
      <c r="QJU7" s="36"/>
      <c r="QJV7" s="36"/>
      <c r="QJW7" s="37"/>
      <c r="QJX7" s="37"/>
      <c r="QJZ7" s="22"/>
      <c r="QKA7" s="35"/>
      <c r="QKB7" s="36"/>
      <c r="QKC7" s="37"/>
      <c r="QKD7" s="36"/>
      <c r="QKE7" s="37"/>
      <c r="QKF7" s="36"/>
      <c r="QKG7" s="37"/>
      <c r="QKH7" s="36"/>
      <c r="QKI7" s="37"/>
      <c r="QKJ7" s="36"/>
      <c r="QKK7" s="37"/>
      <c r="QKL7" s="36"/>
      <c r="QKM7" s="37"/>
      <c r="QKN7" s="36"/>
      <c r="QKO7" s="37"/>
      <c r="QKP7" s="36"/>
      <c r="QKQ7" s="37"/>
      <c r="QKR7" s="36"/>
      <c r="QKS7" s="37"/>
      <c r="QKT7" s="36"/>
      <c r="QKU7" s="36"/>
      <c r="QKV7" s="37"/>
      <c r="QKW7" s="37"/>
      <c r="QKY7" s="22"/>
      <c r="QKZ7" s="35"/>
      <c r="QLA7" s="36"/>
      <c r="QLB7" s="37"/>
      <c r="QLC7" s="36"/>
      <c r="QLD7" s="37"/>
      <c r="QLE7" s="36"/>
      <c r="QLF7" s="37"/>
      <c r="QLG7" s="36"/>
      <c r="QLH7" s="37"/>
      <c r="QLI7" s="36"/>
      <c r="QLJ7" s="37"/>
      <c r="QLK7" s="36"/>
      <c r="QLL7" s="37"/>
      <c r="QLM7" s="36"/>
      <c r="QLN7" s="37"/>
      <c r="QLO7" s="36"/>
      <c r="QLP7" s="37"/>
      <c r="QLQ7" s="36"/>
      <c r="QLR7" s="37"/>
      <c r="QLS7" s="36"/>
      <c r="QLT7" s="36"/>
      <c r="QLU7" s="37"/>
      <c r="QLV7" s="37"/>
      <c r="QLX7" s="22"/>
      <c r="QLY7" s="35"/>
      <c r="QLZ7" s="36"/>
      <c r="QMA7" s="37"/>
      <c r="QMB7" s="36"/>
      <c r="QMC7" s="37"/>
      <c r="QMD7" s="36"/>
      <c r="QME7" s="37"/>
      <c r="QMF7" s="36"/>
      <c r="QMG7" s="37"/>
      <c r="QMH7" s="36"/>
      <c r="QMI7" s="37"/>
      <c r="QMJ7" s="36"/>
      <c r="QMK7" s="37"/>
      <c r="QML7" s="36"/>
      <c r="QMM7" s="37"/>
      <c r="QMN7" s="36"/>
      <c r="QMO7" s="37"/>
      <c r="QMP7" s="36"/>
      <c r="QMQ7" s="37"/>
      <c r="QMR7" s="36"/>
      <c r="QMS7" s="36"/>
      <c r="QMT7" s="37"/>
      <c r="QMU7" s="37"/>
      <c r="QMW7" s="22"/>
      <c r="QMX7" s="35"/>
      <c r="QMY7" s="36"/>
      <c r="QMZ7" s="37"/>
      <c r="QNA7" s="36"/>
      <c r="QNB7" s="37"/>
      <c r="QNC7" s="36"/>
      <c r="QND7" s="37"/>
      <c r="QNE7" s="36"/>
      <c r="QNF7" s="37"/>
      <c r="QNG7" s="36"/>
      <c r="QNH7" s="37"/>
      <c r="QNI7" s="36"/>
      <c r="QNJ7" s="37"/>
      <c r="QNK7" s="36"/>
      <c r="QNL7" s="37"/>
      <c r="QNM7" s="36"/>
      <c r="QNN7" s="37"/>
      <c r="QNO7" s="36"/>
      <c r="QNP7" s="37"/>
      <c r="QNQ7" s="36"/>
      <c r="QNR7" s="36"/>
      <c r="QNS7" s="37"/>
      <c r="QNT7" s="37"/>
      <c r="QNV7" s="22"/>
      <c r="QNW7" s="35"/>
      <c r="QNX7" s="36"/>
      <c r="QNY7" s="37"/>
      <c r="QNZ7" s="36"/>
      <c r="QOA7" s="37"/>
      <c r="QOB7" s="36"/>
      <c r="QOC7" s="37"/>
      <c r="QOD7" s="36"/>
      <c r="QOE7" s="37"/>
      <c r="QOF7" s="36"/>
      <c r="QOG7" s="37"/>
      <c r="QOH7" s="36"/>
      <c r="QOI7" s="37"/>
      <c r="QOJ7" s="36"/>
      <c r="QOK7" s="37"/>
      <c r="QOL7" s="36"/>
      <c r="QOM7" s="37"/>
      <c r="QON7" s="36"/>
      <c r="QOO7" s="37"/>
      <c r="QOP7" s="36"/>
      <c r="QOQ7" s="36"/>
      <c r="QOR7" s="37"/>
      <c r="QOS7" s="37"/>
      <c r="QOU7" s="22"/>
      <c r="QOV7" s="35"/>
      <c r="QOW7" s="36"/>
      <c r="QOX7" s="37"/>
      <c r="QOY7" s="36"/>
      <c r="QOZ7" s="37"/>
      <c r="QPA7" s="36"/>
      <c r="QPB7" s="37"/>
      <c r="QPC7" s="36"/>
      <c r="QPD7" s="37"/>
      <c r="QPE7" s="36"/>
      <c r="QPF7" s="37"/>
      <c r="QPG7" s="36"/>
      <c r="QPH7" s="37"/>
      <c r="QPI7" s="36"/>
      <c r="QPJ7" s="37"/>
      <c r="QPK7" s="36"/>
      <c r="QPL7" s="37"/>
      <c r="QPM7" s="36"/>
      <c r="QPN7" s="37"/>
      <c r="QPO7" s="36"/>
      <c r="QPP7" s="36"/>
      <c r="QPQ7" s="37"/>
      <c r="QPR7" s="37"/>
      <c r="QPT7" s="22"/>
      <c r="QPU7" s="35"/>
      <c r="QPV7" s="36"/>
      <c r="QPW7" s="37"/>
      <c r="QPX7" s="36"/>
      <c r="QPY7" s="37"/>
      <c r="QPZ7" s="36"/>
      <c r="QQA7" s="37"/>
      <c r="QQB7" s="36"/>
      <c r="QQC7" s="37"/>
      <c r="QQD7" s="36"/>
      <c r="QQE7" s="37"/>
      <c r="QQF7" s="36"/>
      <c r="QQG7" s="37"/>
      <c r="QQH7" s="36"/>
      <c r="QQI7" s="37"/>
      <c r="QQJ7" s="36"/>
      <c r="QQK7" s="37"/>
      <c r="QQL7" s="36"/>
      <c r="QQM7" s="37"/>
      <c r="QQN7" s="36"/>
      <c r="QQO7" s="36"/>
      <c r="QQP7" s="37"/>
      <c r="QQQ7" s="37"/>
      <c r="QQS7" s="22"/>
      <c r="QQT7" s="35"/>
      <c r="QQU7" s="36"/>
      <c r="QQV7" s="37"/>
      <c r="QQW7" s="36"/>
      <c r="QQX7" s="37"/>
      <c r="QQY7" s="36"/>
      <c r="QQZ7" s="37"/>
      <c r="QRA7" s="36"/>
      <c r="QRB7" s="37"/>
      <c r="QRC7" s="36"/>
      <c r="QRD7" s="37"/>
      <c r="QRE7" s="36"/>
      <c r="QRF7" s="37"/>
      <c r="QRG7" s="36"/>
      <c r="QRH7" s="37"/>
      <c r="QRI7" s="36"/>
      <c r="QRJ7" s="37"/>
      <c r="QRK7" s="36"/>
      <c r="QRL7" s="37"/>
      <c r="QRM7" s="36"/>
      <c r="QRN7" s="36"/>
      <c r="QRO7" s="37"/>
      <c r="QRP7" s="37"/>
      <c r="QRR7" s="22"/>
      <c r="QRS7" s="35"/>
      <c r="QRT7" s="36"/>
      <c r="QRU7" s="37"/>
      <c r="QRV7" s="36"/>
      <c r="QRW7" s="37"/>
      <c r="QRX7" s="36"/>
      <c r="QRY7" s="37"/>
      <c r="QRZ7" s="36"/>
      <c r="QSA7" s="37"/>
      <c r="QSB7" s="36"/>
      <c r="QSC7" s="37"/>
      <c r="QSD7" s="36"/>
      <c r="QSE7" s="37"/>
      <c r="QSF7" s="36"/>
      <c r="QSG7" s="37"/>
      <c r="QSH7" s="36"/>
      <c r="QSI7" s="37"/>
      <c r="QSJ7" s="36"/>
      <c r="QSK7" s="37"/>
      <c r="QSL7" s="36"/>
      <c r="QSM7" s="36"/>
      <c r="QSN7" s="37"/>
      <c r="QSO7" s="37"/>
      <c r="QSQ7" s="22"/>
      <c r="QSR7" s="35"/>
      <c r="QSS7" s="36"/>
      <c r="QST7" s="37"/>
      <c r="QSU7" s="36"/>
      <c r="QSV7" s="37"/>
      <c r="QSW7" s="36"/>
      <c r="QSX7" s="37"/>
      <c r="QSY7" s="36"/>
      <c r="QSZ7" s="37"/>
      <c r="QTA7" s="36"/>
      <c r="QTB7" s="37"/>
      <c r="QTC7" s="36"/>
      <c r="QTD7" s="37"/>
      <c r="QTE7" s="36"/>
      <c r="QTF7" s="37"/>
      <c r="QTG7" s="36"/>
      <c r="QTH7" s="37"/>
      <c r="QTI7" s="36"/>
      <c r="QTJ7" s="37"/>
      <c r="QTK7" s="36"/>
      <c r="QTL7" s="36"/>
      <c r="QTM7" s="37"/>
      <c r="QTN7" s="37"/>
      <c r="QTP7" s="22"/>
      <c r="QTQ7" s="35"/>
      <c r="QTR7" s="36"/>
      <c r="QTS7" s="37"/>
      <c r="QTT7" s="36"/>
      <c r="QTU7" s="37"/>
      <c r="QTV7" s="36"/>
      <c r="QTW7" s="37"/>
      <c r="QTX7" s="36"/>
      <c r="QTY7" s="37"/>
      <c r="QTZ7" s="36"/>
      <c r="QUA7" s="37"/>
      <c r="QUB7" s="36"/>
      <c r="QUC7" s="37"/>
      <c r="QUD7" s="36"/>
      <c r="QUE7" s="37"/>
      <c r="QUF7" s="36"/>
      <c r="QUG7" s="37"/>
      <c r="QUH7" s="36"/>
      <c r="QUI7" s="37"/>
      <c r="QUJ7" s="36"/>
      <c r="QUK7" s="36"/>
      <c r="QUL7" s="37"/>
      <c r="QUM7" s="37"/>
      <c r="QUO7" s="22"/>
      <c r="QUP7" s="35"/>
      <c r="QUQ7" s="36"/>
      <c r="QUR7" s="37"/>
      <c r="QUS7" s="36"/>
      <c r="QUT7" s="37"/>
      <c r="QUU7" s="36"/>
      <c r="QUV7" s="37"/>
      <c r="QUW7" s="36"/>
      <c r="QUX7" s="37"/>
      <c r="QUY7" s="36"/>
      <c r="QUZ7" s="37"/>
      <c r="QVA7" s="36"/>
      <c r="QVB7" s="37"/>
      <c r="QVC7" s="36"/>
      <c r="QVD7" s="37"/>
      <c r="QVE7" s="36"/>
      <c r="QVF7" s="37"/>
      <c r="QVG7" s="36"/>
      <c r="QVH7" s="37"/>
      <c r="QVI7" s="36"/>
      <c r="QVJ7" s="36"/>
      <c r="QVK7" s="37"/>
      <c r="QVL7" s="37"/>
      <c r="QVN7" s="22"/>
      <c r="QVO7" s="35"/>
      <c r="QVP7" s="36"/>
      <c r="QVQ7" s="37"/>
      <c r="QVR7" s="36"/>
      <c r="QVS7" s="37"/>
      <c r="QVT7" s="36"/>
      <c r="QVU7" s="37"/>
      <c r="QVV7" s="36"/>
      <c r="QVW7" s="37"/>
      <c r="QVX7" s="36"/>
      <c r="QVY7" s="37"/>
      <c r="QVZ7" s="36"/>
      <c r="QWA7" s="37"/>
      <c r="QWB7" s="36"/>
      <c r="QWC7" s="37"/>
      <c r="QWD7" s="36"/>
      <c r="QWE7" s="37"/>
      <c r="QWF7" s="36"/>
      <c r="QWG7" s="37"/>
      <c r="QWH7" s="36"/>
      <c r="QWI7" s="36"/>
      <c r="QWJ7" s="37"/>
      <c r="QWK7" s="37"/>
      <c r="QWM7" s="22"/>
      <c r="QWN7" s="35"/>
      <c r="QWO7" s="36"/>
      <c r="QWP7" s="37"/>
      <c r="QWQ7" s="36"/>
      <c r="QWR7" s="37"/>
      <c r="QWS7" s="36"/>
      <c r="QWT7" s="37"/>
      <c r="QWU7" s="36"/>
      <c r="QWV7" s="37"/>
      <c r="QWW7" s="36"/>
      <c r="QWX7" s="37"/>
      <c r="QWY7" s="36"/>
      <c r="QWZ7" s="37"/>
      <c r="QXA7" s="36"/>
      <c r="QXB7" s="37"/>
      <c r="QXC7" s="36"/>
      <c r="QXD7" s="37"/>
      <c r="QXE7" s="36"/>
      <c r="QXF7" s="37"/>
      <c r="QXG7" s="36"/>
      <c r="QXH7" s="36"/>
      <c r="QXI7" s="37"/>
      <c r="QXJ7" s="37"/>
      <c r="QXL7" s="22"/>
      <c r="QXM7" s="35"/>
      <c r="QXN7" s="36"/>
      <c r="QXO7" s="37"/>
      <c r="QXP7" s="36"/>
      <c r="QXQ7" s="37"/>
      <c r="QXR7" s="36"/>
      <c r="QXS7" s="37"/>
      <c r="QXT7" s="36"/>
      <c r="QXU7" s="37"/>
      <c r="QXV7" s="36"/>
      <c r="QXW7" s="37"/>
      <c r="QXX7" s="36"/>
      <c r="QXY7" s="37"/>
      <c r="QXZ7" s="36"/>
      <c r="QYA7" s="37"/>
      <c r="QYB7" s="36"/>
      <c r="QYC7" s="37"/>
      <c r="QYD7" s="36"/>
      <c r="QYE7" s="37"/>
      <c r="QYF7" s="36"/>
      <c r="QYG7" s="36"/>
      <c r="QYH7" s="37"/>
      <c r="QYI7" s="37"/>
      <c r="QYK7" s="22"/>
      <c r="QYL7" s="35"/>
      <c r="QYM7" s="36"/>
      <c r="QYN7" s="37"/>
      <c r="QYO7" s="36"/>
      <c r="QYP7" s="37"/>
      <c r="QYQ7" s="36"/>
      <c r="QYR7" s="37"/>
      <c r="QYS7" s="36"/>
      <c r="QYT7" s="37"/>
      <c r="QYU7" s="36"/>
      <c r="QYV7" s="37"/>
      <c r="QYW7" s="36"/>
      <c r="QYX7" s="37"/>
      <c r="QYY7" s="36"/>
      <c r="QYZ7" s="37"/>
      <c r="QZA7" s="36"/>
      <c r="QZB7" s="37"/>
      <c r="QZC7" s="36"/>
      <c r="QZD7" s="37"/>
      <c r="QZE7" s="36"/>
      <c r="QZF7" s="36"/>
      <c r="QZG7" s="37"/>
      <c r="QZH7" s="37"/>
      <c r="QZJ7" s="22"/>
      <c r="QZK7" s="35"/>
      <c r="QZL7" s="36"/>
      <c r="QZM7" s="37"/>
      <c r="QZN7" s="36"/>
      <c r="QZO7" s="37"/>
      <c r="QZP7" s="36"/>
      <c r="QZQ7" s="37"/>
      <c r="QZR7" s="36"/>
      <c r="QZS7" s="37"/>
      <c r="QZT7" s="36"/>
      <c r="QZU7" s="37"/>
      <c r="QZV7" s="36"/>
      <c r="QZW7" s="37"/>
      <c r="QZX7" s="36"/>
      <c r="QZY7" s="37"/>
      <c r="QZZ7" s="36"/>
      <c r="RAA7" s="37"/>
      <c r="RAB7" s="36"/>
      <c r="RAC7" s="37"/>
      <c r="RAD7" s="36"/>
      <c r="RAE7" s="36"/>
      <c r="RAF7" s="37"/>
      <c r="RAG7" s="37"/>
      <c r="RAI7" s="22"/>
      <c r="RAJ7" s="35"/>
      <c r="RAK7" s="36"/>
      <c r="RAL7" s="37"/>
      <c r="RAM7" s="36"/>
      <c r="RAN7" s="37"/>
      <c r="RAO7" s="36"/>
      <c r="RAP7" s="37"/>
      <c r="RAQ7" s="36"/>
      <c r="RAR7" s="37"/>
      <c r="RAS7" s="36"/>
      <c r="RAT7" s="37"/>
      <c r="RAU7" s="36"/>
      <c r="RAV7" s="37"/>
      <c r="RAW7" s="36"/>
      <c r="RAX7" s="37"/>
      <c r="RAY7" s="36"/>
      <c r="RAZ7" s="37"/>
      <c r="RBA7" s="36"/>
      <c r="RBB7" s="37"/>
      <c r="RBC7" s="36"/>
      <c r="RBD7" s="36"/>
      <c r="RBE7" s="37"/>
      <c r="RBF7" s="37"/>
      <c r="RBH7" s="22"/>
      <c r="RBI7" s="35"/>
      <c r="RBJ7" s="36"/>
      <c r="RBK7" s="37"/>
      <c r="RBL7" s="36"/>
      <c r="RBM7" s="37"/>
      <c r="RBN7" s="36"/>
      <c r="RBO7" s="37"/>
      <c r="RBP7" s="36"/>
      <c r="RBQ7" s="37"/>
      <c r="RBR7" s="36"/>
      <c r="RBS7" s="37"/>
      <c r="RBT7" s="36"/>
      <c r="RBU7" s="37"/>
      <c r="RBV7" s="36"/>
      <c r="RBW7" s="37"/>
      <c r="RBX7" s="36"/>
      <c r="RBY7" s="37"/>
      <c r="RBZ7" s="36"/>
      <c r="RCA7" s="37"/>
      <c r="RCB7" s="36"/>
      <c r="RCC7" s="36"/>
      <c r="RCD7" s="37"/>
      <c r="RCE7" s="37"/>
      <c r="RCG7" s="22"/>
      <c r="RCH7" s="35"/>
      <c r="RCI7" s="36"/>
      <c r="RCJ7" s="37"/>
      <c r="RCK7" s="36"/>
      <c r="RCL7" s="37"/>
      <c r="RCM7" s="36"/>
      <c r="RCN7" s="37"/>
      <c r="RCO7" s="36"/>
      <c r="RCP7" s="37"/>
      <c r="RCQ7" s="36"/>
      <c r="RCR7" s="37"/>
      <c r="RCS7" s="36"/>
      <c r="RCT7" s="37"/>
      <c r="RCU7" s="36"/>
      <c r="RCV7" s="37"/>
      <c r="RCW7" s="36"/>
      <c r="RCX7" s="37"/>
      <c r="RCY7" s="36"/>
      <c r="RCZ7" s="37"/>
      <c r="RDA7" s="36"/>
      <c r="RDB7" s="36"/>
      <c r="RDC7" s="37"/>
      <c r="RDD7" s="37"/>
      <c r="RDF7" s="22"/>
      <c r="RDG7" s="35"/>
      <c r="RDH7" s="36"/>
      <c r="RDI7" s="37"/>
      <c r="RDJ7" s="36"/>
      <c r="RDK7" s="37"/>
      <c r="RDL7" s="36"/>
      <c r="RDM7" s="37"/>
      <c r="RDN7" s="36"/>
      <c r="RDO7" s="37"/>
      <c r="RDP7" s="36"/>
      <c r="RDQ7" s="37"/>
      <c r="RDR7" s="36"/>
      <c r="RDS7" s="37"/>
      <c r="RDT7" s="36"/>
      <c r="RDU7" s="37"/>
      <c r="RDV7" s="36"/>
      <c r="RDW7" s="37"/>
      <c r="RDX7" s="36"/>
      <c r="RDY7" s="37"/>
      <c r="RDZ7" s="36"/>
      <c r="REA7" s="36"/>
      <c r="REB7" s="37"/>
      <c r="REC7" s="37"/>
      <c r="REE7" s="22"/>
      <c r="REF7" s="35"/>
      <c r="REG7" s="36"/>
      <c r="REH7" s="37"/>
      <c r="REI7" s="36"/>
      <c r="REJ7" s="37"/>
      <c r="REK7" s="36"/>
      <c r="REL7" s="37"/>
      <c r="REM7" s="36"/>
      <c r="REN7" s="37"/>
      <c r="REO7" s="36"/>
      <c r="REP7" s="37"/>
      <c r="REQ7" s="36"/>
      <c r="RER7" s="37"/>
      <c r="RES7" s="36"/>
      <c r="RET7" s="37"/>
      <c r="REU7" s="36"/>
      <c r="REV7" s="37"/>
      <c r="REW7" s="36"/>
      <c r="REX7" s="37"/>
      <c r="REY7" s="36"/>
      <c r="REZ7" s="36"/>
      <c r="RFA7" s="37"/>
      <c r="RFB7" s="37"/>
      <c r="RFD7" s="22"/>
      <c r="RFE7" s="35"/>
      <c r="RFF7" s="36"/>
      <c r="RFG7" s="37"/>
      <c r="RFH7" s="36"/>
      <c r="RFI7" s="37"/>
      <c r="RFJ7" s="36"/>
      <c r="RFK7" s="37"/>
      <c r="RFL7" s="36"/>
      <c r="RFM7" s="37"/>
      <c r="RFN7" s="36"/>
      <c r="RFO7" s="37"/>
      <c r="RFP7" s="36"/>
      <c r="RFQ7" s="37"/>
      <c r="RFR7" s="36"/>
      <c r="RFS7" s="37"/>
      <c r="RFT7" s="36"/>
      <c r="RFU7" s="37"/>
      <c r="RFV7" s="36"/>
      <c r="RFW7" s="37"/>
      <c r="RFX7" s="36"/>
      <c r="RFY7" s="36"/>
      <c r="RFZ7" s="37"/>
      <c r="RGA7" s="37"/>
      <c r="RGC7" s="22"/>
      <c r="RGD7" s="35"/>
      <c r="RGE7" s="36"/>
      <c r="RGF7" s="37"/>
      <c r="RGG7" s="36"/>
      <c r="RGH7" s="37"/>
      <c r="RGI7" s="36"/>
      <c r="RGJ7" s="37"/>
      <c r="RGK7" s="36"/>
      <c r="RGL7" s="37"/>
      <c r="RGM7" s="36"/>
      <c r="RGN7" s="37"/>
      <c r="RGO7" s="36"/>
      <c r="RGP7" s="37"/>
      <c r="RGQ7" s="36"/>
      <c r="RGR7" s="37"/>
      <c r="RGS7" s="36"/>
      <c r="RGT7" s="37"/>
      <c r="RGU7" s="36"/>
      <c r="RGV7" s="37"/>
      <c r="RGW7" s="36"/>
      <c r="RGX7" s="36"/>
      <c r="RGY7" s="37"/>
      <c r="RGZ7" s="37"/>
      <c r="RHB7" s="22"/>
      <c r="RHC7" s="35"/>
      <c r="RHD7" s="36"/>
      <c r="RHE7" s="37"/>
      <c r="RHF7" s="36"/>
      <c r="RHG7" s="37"/>
      <c r="RHH7" s="36"/>
      <c r="RHI7" s="37"/>
      <c r="RHJ7" s="36"/>
      <c r="RHK7" s="37"/>
      <c r="RHL7" s="36"/>
      <c r="RHM7" s="37"/>
      <c r="RHN7" s="36"/>
      <c r="RHO7" s="37"/>
      <c r="RHP7" s="36"/>
      <c r="RHQ7" s="37"/>
      <c r="RHR7" s="36"/>
      <c r="RHS7" s="37"/>
      <c r="RHT7" s="36"/>
      <c r="RHU7" s="37"/>
      <c r="RHV7" s="36"/>
      <c r="RHW7" s="36"/>
      <c r="RHX7" s="37"/>
      <c r="RHY7" s="37"/>
      <c r="RIA7" s="22"/>
      <c r="RIB7" s="35"/>
      <c r="RIC7" s="36"/>
      <c r="RID7" s="37"/>
      <c r="RIE7" s="36"/>
      <c r="RIF7" s="37"/>
      <c r="RIG7" s="36"/>
      <c r="RIH7" s="37"/>
      <c r="RII7" s="36"/>
      <c r="RIJ7" s="37"/>
      <c r="RIK7" s="36"/>
      <c r="RIL7" s="37"/>
      <c r="RIM7" s="36"/>
      <c r="RIN7" s="37"/>
      <c r="RIO7" s="36"/>
      <c r="RIP7" s="37"/>
      <c r="RIQ7" s="36"/>
      <c r="RIR7" s="37"/>
      <c r="RIS7" s="36"/>
      <c r="RIT7" s="37"/>
      <c r="RIU7" s="36"/>
      <c r="RIV7" s="36"/>
      <c r="RIW7" s="37"/>
      <c r="RIX7" s="37"/>
      <c r="RIZ7" s="22"/>
      <c r="RJA7" s="35"/>
      <c r="RJB7" s="36"/>
      <c r="RJC7" s="37"/>
      <c r="RJD7" s="36"/>
      <c r="RJE7" s="37"/>
      <c r="RJF7" s="36"/>
      <c r="RJG7" s="37"/>
      <c r="RJH7" s="36"/>
      <c r="RJI7" s="37"/>
      <c r="RJJ7" s="36"/>
      <c r="RJK7" s="37"/>
      <c r="RJL7" s="36"/>
      <c r="RJM7" s="37"/>
      <c r="RJN7" s="36"/>
      <c r="RJO7" s="37"/>
      <c r="RJP7" s="36"/>
      <c r="RJQ7" s="37"/>
      <c r="RJR7" s="36"/>
      <c r="RJS7" s="37"/>
      <c r="RJT7" s="36"/>
      <c r="RJU7" s="36"/>
      <c r="RJV7" s="37"/>
      <c r="RJW7" s="37"/>
      <c r="RJY7" s="22"/>
      <c r="RJZ7" s="35"/>
      <c r="RKA7" s="36"/>
      <c r="RKB7" s="37"/>
      <c r="RKC7" s="36"/>
      <c r="RKD7" s="37"/>
      <c r="RKE7" s="36"/>
      <c r="RKF7" s="37"/>
      <c r="RKG7" s="36"/>
      <c r="RKH7" s="37"/>
      <c r="RKI7" s="36"/>
      <c r="RKJ7" s="37"/>
      <c r="RKK7" s="36"/>
      <c r="RKL7" s="37"/>
      <c r="RKM7" s="36"/>
      <c r="RKN7" s="37"/>
      <c r="RKO7" s="36"/>
      <c r="RKP7" s="37"/>
      <c r="RKQ7" s="36"/>
      <c r="RKR7" s="37"/>
      <c r="RKS7" s="36"/>
      <c r="RKT7" s="36"/>
      <c r="RKU7" s="37"/>
      <c r="RKV7" s="37"/>
      <c r="RKX7" s="22"/>
      <c r="RKY7" s="35"/>
      <c r="RKZ7" s="36"/>
      <c r="RLA7" s="37"/>
      <c r="RLB7" s="36"/>
      <c r="RLC7" s="37"/>
      <c r="RLD7" s="36"/>
      <c r="RLE7" s="37"/>
      <c r="RLF7" s="36"/>
      <c r="RLG7" s="37"/>
      <c r="RLH7" s="36"/>
      <c r="RLI7" s="37"/>
      <c r="RLJ7" s="36"/>
      <c r="RLK7" s="37"/>
      <c r="RLL7" s="36"/>
      <c r="RLM7" s="37"/>
      <c r="RLN7" s="36"/>
      <c r="RLO7" s="37"/>
      <c r="RLP7" s="36"/>
      <c r="RLQ7" s="37"/>
      <c r="RLR7" s="36"/>
      <c r="RLS7" s="36"/>
      <c r="RLT7" s="37"/>
      <c r="RLU7" s="37"/>
      <c r="RLW7" s="22"/>
      <c r="RLX7" s="35"/>
      <c r="RLY7" s="36"/>
      <c r="RLZ7" s="37"/>
      <c r="RMA7" s="36"/>
      <c r="RMB7" s="37"/>
      <c r="RMC7" s="36"/>
      <c r="RMD7" s="37"/>
      <c r="RME7" s="36"/>
      <c r="RMF7" s="37"/>
      <c r="RMG7" s="36"/>
      <c r="RMH7" s="37"/>
      <c r="RMI7" s="36"/>
      <c r="RMJ7" s="37"/>
      <c r="RMK7" s="36"/>
      <c r="RML7" s="37"/>
      <c r="RMM7" s="36"/>
      <c r="RMN7" s="37"/>
      <c r="RMO7" s="36"/>
      <c r="RMP7" s="37"/>
      <c r="RMQ7" s="36"/>
      <c r="RMR7" s="36"/>
      <c r="RMS7" s="37"/>
      <c r="RMT7" s="37"/>
      <c r="RMV7" s="22"/>
      <c r="RMW7" s="35"/>
      <c r="RMX7" s="36"/>
      <c r="RMY7" s="37"/>
      <c r="RMZ7" s="36"/>
      <c r="RNA7" s="37"/>
      <c r="RNB7" s="36"/>
      <c r="RNC7" s="37"/>
      <c r="RND7" s="36"/>
      <c r="RNE7" s="37"/>
      <c r="RNF7" s="36"/>
      <c r="RNG7" s="37"/>
      <c r="RNH7" s="36"/>
      <c r="RNI7" s="37"/>
      <c r="RNJ7" s="36"/>
      <c r="RNK7" s="37"/>
      <c r="RNL7" s="36"/>
      <c r="RNM7" s="37"/>
      <c r="RNN7" s="36"/>
      <c r="RNO7" s="37"/>
      <c r="RNP7" s="36"/>
      <c r="RNQ7" s="36"/>
      <c r="RNR7" s="37"/>
      <c r="RNS7" s="37"/>
      <c r="RNU7" s="22"/>
      <c r="RNV7" s="35"/>
      <c r="RNW7" s="36"/>
      <c r="RNX7" s="37"/>
      <c r="RNY7" s="36"/>
      <c r="RNZ7" s="37"/>
      <c r="ROA7" s="36"/>
      <c r="ROB7" s="37"/>
      <c r="ROC7" s="36"/>
      <c r="ROD7" s="37"/>
      <c r="ROE7" s="36"/>
      <c r="ROF7" s="37"/>
      <c r="ROG7" s="36"/>
      <c r="ROH7" s="37"/>
      <c r="ROI7" s="36"/>
      <c r="ROJ7" s="37"/>
      <c r="ROK7" s="36"/>
      <c r="ROL7" s="37"/>
      <c r="ROM7" s="36"/>
      <c r="RON7" s="37"/>
      <c r="ROO7" s="36"/>
      <c r="ROP7" s="36"/>
      <c r="ROQ7" s="37"/>
      <c r="ROR7" s="37"/>
      <c r="ROT7" s="22"/>
      <c r="ROU7" s="35"/>
      <c r="ROV7" s="36"/>
      <c r="ROW7" s="37"/>
      <c r="ROX7" s="36"/>
      <c r="ROY7" s="37"/>
      <c r="ROZ7" s="36"/>
      <c r="RPA7" s="37"/>
      <c r="RPB7" s="36"/>
      <c r="RPC7" s="37"/>
      <c r="RPD7" s="36"/>
      <c r="RPE7" s="37"/>
      <c r="RPF7" s="36"/>
      <c r="RPG7" s="37"/>
      <c r="RPH7" s="36"/>
      <c r="RPI7" s="37"/>
      <c r="RPJ7" s="36"/>
      <c r="RPK7" s="37"/>
      <c r="RPL7" s="36"/>
      <c r="RPM7" s="37"/>
      <c r="RPN7" s="36"/>
      <c r="RPO7" s="36"/>
      <c r="RPP7" s="37"/>
      <c r="RPQ7" s="37"/>
      <c r="RPS7" s="22"/>
      <c r="RPT7" s="35"/>
      <c r="RPU7" s="36"/>
      <c r="RPV7" s="37"/>
      <c r="RPW7" s="36"/>
      <c r="RPX7" s="37"/>
      <c r="RPY7" s="36"/>
      <c r="RPZ7" s="37"/>
      <c r="RQA7" s="36"/>
      <c r="RQB7" s="37"/>
      <c r="RQC7" s="36"/>
      <c r="RQD7" s="37"/>
      <c r="RQE7" s="36"/>
      <c r="RQF7" s="37"/>
      <c r="RQG7" s="36"/>
      <c r="RQH7" s="37"/>
      <c r="RQI7" s="36"/>
      <c r="RQJ7" s="37"/>
      <c r="RQK7" s="36"/>
      <c r="RQL7" s="37"/>
      <c r="RQM7" s="36"/>
      <c r="RQN7" s="36"/>
      <c r="RQO7" s="37"/>
      <c r="RQP7" s="37"/>
      <c r="RQR7" s="22"/>
      <c r="RQS7" s="35"/>
      <c r="RQT7" s="36"/>
      <c r="RQU7" s="37"/>
      <c r="RQV7" s="36"/>
      <c r="RQW7" s="37"/>
      <c r="RQX7" s="36"/>
      <c r="RQY7" s="37"/>
      <c r="RQZ7" s="36"/>
      <c r="RRA7" s="37"/>
      <c r="RRB7" s="36"/>
      <c r="RRC7" s="37"/>
      <c r="RRD7" s="36"/>
      <c r="RRE7" s="37"/>
      <c r="RRF7" s="36"/>
      <c r="RRG7" s="37"/>
      <c r="RRH7" s="36"/>
      <c r="RRI7" s="37"/>
      <c r="RRJ7" s="36"/>
      <c r="RRK7" s="37"/>
      <c r="RRL7" s="36"/>
      <c r="RRM7" s="36"/>
      <c r="RRN7" s="37"/>
      <c r="RRO7" s="37"/>
      <c r="RRQ7" s="22"/>
      <c r="RRR7" s="35"/>
      <c r="RRS7" s="36"/>
      <c r="RRT7" s="37"/>
      <c r="RRU7" s="36"/>
      <c r="RRV7" s="37"/>
      <c r="RRW7" s="36"/>
      <c r="RRX7" s="37"/>
      <c r="RRY7" s="36"/>
      <c r="RRZ7" s="37"/>
      <c r="RSA7" s="36"/>
      <c r="RSB7" s="37"/>
      <c r="RSC7" s="36"/>
      <c r="RSD7" s="37"/>
      <c r="RSE7" s="36"/>
      <c r="RSF7" s="37"/>
      <c r="RSG7" s="36"/>
      <c r="RSH7" s="37"/>
      <c r="RSI7" s="36"/>
      <c r="RSJ7" s="37"/>
      <c r="RSK7" s="36"/>
      <c r="RSL7" s="36"/>
      <c r="RSM7" s="37"/>
      <c r="RSN7" s="37"/>
      <c r="RSP7" s="22"/>
      <c r="RSQ7" s="35"/>
      <c r="RSR7" s="36"/>
      <c r="RSS7" s="37"/>
      <c r="RST7" s="36"/>
      <c r="RSU7" s="37"/>
      <c r="RSV7" s="36"/>
      <c r="RSW7" s="37"/>
      <c r="RSX7" s="36"/>
      <c r="RSY7" s="37"/>
      <c r="RSZ7" s="36"/>
      <c r="RTA7" s="37"/>
      <c r="RTB7" s="36"/>
      <c r="RTC7" s="37"/>
      <c r="RTD7" s="36"/>
      <c r="RTE7" s="37"/>
      <c r="RTF7" s="36"/>
      <c r="RTG7" s="37"/>
      <c r="RTH7" s="36"/>
      <c r="RTI7" s="37"/>
      <c r="RTJ7" s="36"/>
      <c r="RTK7" s="36"/>
      <c r="RTL7" s="37"/>
      <c r="RTM7" s="37"/>
      <c r="RTO7" s="22"/>
      <c r="RTP7" s="35"/>
      <c r="RTQ7" s="36"/>
      <c r="RTR7" s="37"/>
      <c r="RTS7" s="36"/>
      <c r="RTT7" s="37"/>
      <c r="RTU7" s="36"/>
      <c r="RTV7" s="37"/>
      <c r="RTW7" s="36"/>
      <c r="RTX7" s="37"/>
      <c r="RTY7" s="36"/>
      <c r="RTZ7" s="37"/>
      <c r="RUA7" s="36"/>
      <c r="RUB7" s="37"/>
      <c r="RUC7" s="36"/>
      <c r="RUD7" s="37"/>
      <c r="RUE7" s="36"/>
      <c r="RUF7" s="37"/>
      <c r="RUG7" s="36"/>
      <c r="RUH7" s="37"/>
      <c r="RUI7" s="36"/>
      <c r="RUJ7" s="36"/>
      <c r="RUK7" s="37"/>
      <c r="RUL7" s="37"/>
      <c r="RUN7" s="22"/>
      <c r="RUO7" s="35"/>
      <c r="RUP7" s="36"/>
      <c r="RUQ7" s="37"/>
      <c r="RUR7" s="36"/>
      <c r="RUS7" s="37"/>
      <c r="RUT7" s="36"/>
      <c r="RUU7" s="37"/>
      <c r="RUV7" s="36"/>
      <c r="RUW7" s="37"/>
      <c r="RUX7" s="36"/>
      <c r="RUY7" s="37"/>
      <c r="RUZ7" s="36"/>
      <c r="RVA7" s="37"/>
      <c r="RVB7" s="36"/>
      <c r="RVC7" s="37"/>
      <c r="RVD7" s="36"/>
      <c r="RVE7" s="37"/>
      <c r="RVF7" s="36"/>
      <c r="RVG7" s="37"/>
      <c r="RVH7" s="36"/>
      <c r="RVI7" s="36"/>
      <c r="RVJ7" s="37"/>
      <c r="RVK7" s="37"/>
      <c r="RVM7" s="22"/>
      <c r="RVN7" s="35"/>
      <c r="RVO7" s="36"/>
      <c r="RVP7" s="37"/>
      <c r="RVQ7" s="36"/>
      <c r="RVR7" s="37"/>
      <c r="RVS7" s="36"/>
      <c r="RVT7" s="37"/>
      <c r="RVU7" s="36"/>
      <c r="RVV7" s="37"/>
      <c r="RVW7" s="36"/>
      <c r="RVX7" s="37"/>
      <c r="RVY7" s="36"/>
      <c r="RVZ7" s="37"/>
      <c r="RWA7" s="36"/>
      <c r="RWB7" s="37"/>
      <c r="RWC7" s="36"/>
      <c r="RWD7" s="37"/>
      <c r="RWE7" s="36"/>
      <c r="RWF7" s="37"/>
      <c r="RWG7" s="36"/>
      <c r="RWH7" s="36"/>
      <c r="RWI7" s="37"/>
      <c r="RWJ7" s="37"/>
      <c r="RWL7" s="22"/>
      <c r="RWM7" s="35"/>
      <c r="RWN7" s="36"/>
      <c r="RWO7" s="37"/>
      <c r="RWP7" s="36"/>
      <c r="RWQ7" s="37"/>
      <c r="RWR7" s="36"/>
      <c r="RWS7" s="37"/>
      <c r="RWT7" s="36"/>
      <c r="RWU7" s="37"/>
      <c r="RWV7" s="36"/>
      <c r="RWW7" s="37"/>
      <c r="RWX7" s="36"/>
      <c r="RWY7" s="37"/>
      <c r="RWZ7" s="36"/>
      <c r="RXA7" s="37"/>
      <c r="RXB7" s="36"/>
      <c r="RXC7" s="37"/>
      <c r="RXD7" s="36"/>
      <c r="RXE7" s="37"/>
      <c r="RXF7" s="36"/>
      <c r="RXG7" s="36"/>
      <c r="RXH7" s="37"/>
      <c r="RXI7" s="37"/>
      <c r="RXK7" s="22"/>
      <c r="RXL7" s="35"/>
      <c r="RXM7" s="36"/>
      <c r="RXN7" s="37"/>
      <c r="RXO7" s="36"/>
      <c r="RXP7" s="37"/>
      <c r="RXQ7" s="36"/>
      <c r="RXR7" s="37"/>
      <c r="RXS7" s="36"/>
      <c r="RXT7" s="37"/>
      <c r="RXU7" s="36"/>
      <c r="RXV7" s="37"/>
      <c r="RXW7" s="36"/>
      <c r="RXX7" s="37"/>
      <c r="RXY7" s="36"/>
      <c r="RXZ7" s="37"/>
      <c r="RYA7" s="36"/>
      <c r="RYB7" s="37"/>
      <c r="RYC7" s="36"/>
      <c r="RYD7" s="37"/>
      <c r="RYE7" s="36"/>
      <c r="RYF7" s="36"/>
      <c r="RYG7" s="37"/>
      <c r="RYH7" s="37"/>
      <c r="RYJ7" s="22"/>
      <c r="RYK7" s="35"/>
      <c r="RYL7" s="36"/>
      <c r="RYM7" s="37"/>
      <c r="RYN7" s="36"/>
      <c r="RYO7" s="37"/>
      <c r="RYP7" s="36"/>
      <c r="RYQ7" s="37"/>
      <c r="RYR7" s="36"/>
      <c r="RYS7" s="37"/>
      <c r="RYT7" s="36"/>
      <c r="RYU7" s="37"/>
      <c r="RYV7" s="36"/>
      <c r="RYW7" s="37"/>
      <c r="RYX7" s="36"/>
      <c r="RYY7" s="37"/>
      <c r="RYZ7" s="36"/>
      <c r="RZA7" s="37"/>
      <c r="RZB7" s="36"/>
      <c r="RZC7" s="37"/>
      <c r="RZD7" s="36"/>
      <c r="RZE7" s="36"/>
      <c r="RZF7" s="37"/>
      <c r="RZG7" s="37"/>
      <c r="RZI7" s="22"/>
      <c r="RZJ7" s="35"/>
      <c r="RZK7" s="36"/>
      <c r="RZL7" s="37"/>
      <c r="RZM7" s="36"/>
      <c r="RZN7" s="37"/>
      <c r="RZO7" s="36"/>
      <c r="RZP7" s="37"/>
      <c r="RZQ7" s="36"/>
      <c r="RZR7" s="37"/>
      <c r="RZS7" s="36"/>
      <c r="RZT7" s="37"/>
      <c r="RZU7" s="36"/>
      <c r="RZV7" s="37"/>
      <c r="RZW7" s="36"/>
      <c r="RZX7" s="37"/>
      <c r="RZY7" s="36"/>
      <c r="RZZ7" s="37"/>
      <c r="SAA7" s="36"/>
      <c r="SAB7" s="37"/>
      <c r="SAC7" s="36"/>
      <c r="SAD7" s="36"/>
      <c r="SAE7" s="37"/>
      <c r="SAF7" s="37"/>
      <c r="SAH7" s="22"/>
      <c r="SAI7" s="35"/>
      <c r="SAJ7" s="36"/>
      <c r="SAK7" s="37"/>
      <c r="SAL7" s="36"/>
      <c r="SAM7" s="37"/>
      <c r="SAN7" s="36"/>
      <c r="SAO7" s="37"/>
      <c r="SAP7" s="36"/>
      <c r="SAQ7" s="37"/>
      <c r="SAR7" s="36"/>
      <c r="SAS7" s="37"/>
      <c r="SAT7" s="36"/>
      <c r="SAU7" s="37"/>
      <c r="SAV7" s="36"/>
      <c r="SAW7" s="37"/>
      <c r="SAX7" s="36"/>
      <c r="SAY7" s="37"/>
      <c r="SAZ7" s="36"/>
      <c r="SBA7" s="37"/>
      <c r="SBB7" s="36"/>
      <c r="SBC7" s="36"/>
      <c r="SBD7" s="37"/>
      <c r="SBE7" s="37"/>
      <c r="SBG7" s="22"/>
      <c r="SBH7" s="35"/>
      <c r="SBI7" s="36"/>
      <c r="SBJ7" s="37"/>
      <c r="SBK7" s="36"/>
      <c r="SBL7" s="37"/>
      <c r="SBM7" s="36"/>
      <c r="SBN7" s="37"/>
      <c r="SBO7" s="36"/>
      <c r="SBP7" s="37"/>
      <c r="SBQ7" s="36"/>
      <c r="SBR7" s="37"/>
      <c r="SBS7" s="36"/>
      <c r="SBT7" s="37"/>
      <c r="SBU7" s="36"/>
      <c r="SBV7" s="37"/>
      <c r="SBW7" s="36"/>
      <c r="SBX7" s="37"/>
      <c r="SBY7" s="36"/>
      <c r="SBZ7" s="37"/>
      <c r="SCA7" s="36"/>
      <c r="SCB7" s="36"/>
      <c r="SCC7" s="37"/>
      <c r="SCD7" s="37"/>
      <c r="SCF7" s="22"/>
      <c r="SCG7" s="35"/>
      <c r="SCH7" s="36"/>
      <c r="SCI7" s="37"/>
      <c r="SCJ7" s="36"/>
      <c r="SCK7" s="37"/>
      <c r="SCL7" s="36"/>
      <c r="SCM7" s="37"/>
      <c r="SCN7" s="36"/>
      <c r="SCO7" s="37"/>
      <c r="SCP7" s="36"/>
      <c r="SCQ7" s="37"/>
      <c r="SCR7" s="36"/>
      <c r="SCS7" s="37"/>
      <c r="SCT7" s="36"/>
      <c r="SCU7" s="37"/>
      <c r="SCV7" s="36"/>
      <c r="SCW7" s="37"/>
      <c r="SCX7" s="36"/>
      <c r="SCY7" s="37"/>
      <c r="SCZ7" s="36"/>
      <c r="SDA7" s="36"/>
      <c r="SDB7" s="37"/>
      <c r="SDC7" s="37"/>
      <c r="SDE7" s="22"/>
      <c r="SDF7" s="35"/>
      <c r="SDG7" s="36"/>
      <c r="SDH7" s="37"/>
      <c r="SDI7" s="36"/>
      <c r="SDJ7" s="37"/>
      <c r="SDK7" s="36"/>
      <c r="SDL7" s="37"/>
      <c r="SDM7" s="36"/>
      <c r="SDN7" s="37"/>
      <c r="SDO7" s="36"/>
      <c r="SDP7" s="37"/>
      <c r="SDQ7" s="36"/>
      <c r="SDR7" s="37"/>
      <c r="SDS7" s="36"/>
      <c r="SDT7" s="37"/>
      <c r="SDU7" s="36"/>
      <c r="SDV7" s="37"/>
      <c r="SDW7" s="36"/>
      <c r="SDX7" s="37"/>
      <c r="SDY7" s="36"/>
      <c r="SDZ7" s="36"/>
      <c r="SEA7" s="37"/>
      <c r="SEB7" s="37"/>
      <c r="SED7" s="22"/>
      <c r="SEE7" s="35"/>
      <c r="SEF7" s="36"/>
      <c r="SEG7" s="37"/>
      <c r="SEH7" s="36"/>
      <c r="SEI7" s="37"/>
      <c r="SEJ7" s="36"/>
      <c r="SEK7" s="37"/>
      <c r="SEL7" s="36"/>
      <c r="SEM7" s="37"/>
      <c r="SEN7" s="36"/>
      <c r="SEO7" s="37"/>
      <c r="SEP7" s="36"/>
      <c r="SEQ7" s="37"/>
      <c r="SER7" s="36"/>
      <c r="SES7" s="37"/>
      <c r="SET7" s="36"/>
      <c r="SEU7" s="37"/>
      <c r="SEV7" s="36"/>
      <c r="SEW7" s="37"/>
      <c r="SEX7" s="36"/>
      <c r="SEY7" s="36"/>
      <c r="SEZ7" s="37"/>
      <c r="SFA7" s="37"/>
      <c r="SFC7" s="22"/>
      <c r="SFD7" s="35"/>
      <c r="SFE7" s="36"/>
      <c r="SFF7" s="37"/>
      <c r="SFG7" s="36"/>
      <c r="SFH7" s="37"/>
      <c r="SFI7" s="36"/>
      <c r="SFJ7" s="37"/>
      <c r="SFK7" s="36"/>
      <c r="SFL7" s="37"/>
      <c r="SFM7" s="36"/>
      <c r="SFN7" s="37"/>
      <c r="SFO7" s="36"/>
      <c r="SFP7" s="37"/>
      <c r="SFQ7" s="36"/>
      <c r="SFR7" s="37"/>
      <c r="SFS7" s="36"/>
      <c r="SFT7" s="37"/>
      <c r="SFU7" s="36"/>
      <c r="SFV7" s="37"/>
      <c r="SFW7" s="36"/>
      <c r="SFX7" s="36"/>
      <c r="SFY7" s="37"/>
      <c r="SFZ7" s="37"/>
      <c r="SGB7" s="22"/>
      <c r="SGC7" s="35"/>
      <c r="SGD7" s="36"/>
      <c r="SGE7" s="37"/>
      <c r="SGF7" s="36"/>
      <c r="SGG7" s="37"/>
      <c r="SGH7" s="36"/>
      <c r="SGI7" s="37"/>
      <c r="SGJ7" s="36"/>
      <c r="SGK7" s="37"/>
      <c r="SGL7" s="36"/>
      <c r="SGM7" s="37"/>
      <c r="SGN7" s="36"/>
      <c r="SGO7" s="37"/>
      <c r="SGP7" s="36"/>
      <c r="SGQ7" s="37"/>
      <c r="SGR7" s="36"/>
      <c r="SGS7" s="37"/>
      <c r="SGT7" s="36"/>
      <c r="SGU7" s="37"/>
      <c r="SGV7" s="36"/>
      <c r="SGW7" s="36"/>
      <c r="SGX7" s="37"/>
      <c r="SGY7" s="37"/>
      <c r="SHA7" s="22"/>
      <c r="SHB7" s="35"/>
      <c r="SHC7" s="36"/>
      <c r="SHD7" s="37"/>
      <c r="SHE7" s="36"/>
      <c r="SHF7" s="37"/>
      <c r="SHG7" s="36"/>
      <c r="SHH7" s="37"/>
      <c r="SHI7" s="36"/>
      <c r="SHJ7" s="37"/>
      <c r="SHK7" s="36"/>
      <c r="SHL7" s="37"/>
      <c r="SHM7" s="36"/>
      <c r="SHN7" s="37"/>
      <c r="SHO7" s="36"/>
      <c r="SHP7" s="37"/>
      <c r="SHQ7" s="36"/>
      <c r="SHR7" s="37"/>
      <c r="SHS7" s="36"/>
      <c r="SHT7" s="37"/>
      <c r="SHU7" s="36"/>
      <c r="SHV7" s="36"/>
      <c r="SHW7" s="37"/>
      <c r="SHX7" s="37"/>
      <c r="SHZ7" s="22"/>
      <c r="SIA7" s="35"/>
      <c r="SIB7" s="36"/>
      <c r="SIC7" s="37"/>
      <c r="SID7" s="36"/>
      <c r="SIE7" s="37"/>
      <c r="SIF7" s="36"/>
      <c r="SIG7" s="37"/>
      <c r="SIH7" s="36"/>
      <c r="SII7" s="37"/>
      <c r="SIJ7" s="36"/>
      <c r="SIK7" s="37"/>
      <c r="SIL7" s="36"/>
      <c r="SIM7" s="37"/>
      <c r="SIN7" s="36"/>
      <c r="SIO7" s="37"/>
      <c r="SIP7" s="36"/>
      <c r="SIQ7" s="37"/>
      <c r="SIR7" s="36"/>
      <c r="SIS7" s="37"/>
      <c r="SIT7" s="36"/>
      <c r="SIU7" s="36"/>
      <c r="SIV7" s="37"/>
      <c r="SIW7" s="37"/>
      <c r="SIY7" s="22"/>
      <c r="SIZ7" s="35"/>
      <c r="SJA7" s="36"/>
      <c r="SJB7" s="37"/>
      <c r="SJC7" s="36"/>
      <c r="SJD7" s="37"/>
      <c r="SJE7" s="36"/>
      <c r="SJF7" s="37"/>
      <c r="SJG7" s="36"/>
      <c r="SJH7" s="37"/>
      <c r="SJI7" s="36"/>
      <c r="SJJ7" s="37"/>
      <c r="SJK7" s="36"/>
      <c r="SJL7" s="37"/>
      <c r="SJM7" s="36"/>
      <c r="SJN7" s="37"/>
      <c r="SJO7" s="36"/>
      <c r="SJP7" s="37"/>
      <c r="SJQ7" s="36"/>
      <c r="SJR7" s="37"/>
      <c r="SJS7" s="36"/>
      <c r="SJT7" s="36"/>
      <c r="SJU7" s="37"/>
      <c r="SJV7" s="37"/>
      <c r="SJX7" s="22"/>
      <c r="SJY7" s="35"/>
      <c r="SJZ7" s="36"/>
      <c r="SKA7" s="37"/>
      <c r="SKB7" s="36"/>
      <c r="SKC7" s="37"/>
      <c r="SKD7" s="36"/>
      <c r="SKE7" s="37"/>
      <c r="SKF7" s="36"/>
      <c r="SKG7" s="37"/>
      <c r="SKH7" s="36"/>
      <c r="SKI7" s="37"/>
      <c r="SKJ7" s="36"/>
      <c r="SKK7" s="37"/>
      <c r="SKL7" s="36"/>
      <c r="SKM7" s="37"/>
      <c r="SKN7" s="36"/>
      <c r="SKO7" s="37"/>
      <c r="SKP7" s="36"/>
      <c r="SKQ7" s="37"/>
      <c r="SKR7" s="36"/>
      <c r="SKS7" s="36"/>
      <c r="SKT7" s="37"/>
      <c r="SKU7" s="37"/>
      <c r="SKW7" s="22"/>
      <c r="SKX7" s="35"/>
      <c r="SKY7" s="36"/>
      <c r="SKZ7" s="37"/>
      <c r="SLA7" s="36"/>
      <c r="SLB7" s="37"/>
      <c r="SLC7" s="36"/>
      <c r="SLD7" s="37"/>
      <c r="SLE7" s="36"/>
      <c r="SLF7" s="37"/>
      <c r="SLG7" s="36"/>
      <c r="SLH7" s="37"/>
      <c r="SLI7" s="36"/>
      <c r="SLJ7" s="37"/>
      <c r="SLK7" s="36"/>
      <c r="SLL7" s="37"/>
      <c r="SLM7" s="36"/>
      <c r="SLN7" s="37"/>
      <c r="SLO7" s="36"/>
      <c r="SLP7" s="37"/>
      <c r="SLQ7" s="36"/>
      <c r="SLR7" s="36"/>
      <c r="SLS7" s="37"/>
      <c r="SLT7" s="37"/>
      <c r="SLV7" s="22"/>
      <c r="SLW7" s="35"/>
      <c r="SLX7" s="36"/>
      <c r="SLY7" s="37"/>
      <c r="SLZ7" s="36"/>
      <c r="SMA7" s="37"/>
      <c r="SMB7" s="36"/>
      <c r="SMC7" s="37"/>
      <c r="SMD7" s="36"/>
      <c r="SME7" s="37"/>
      <c r="SMF7" s="36"/>
      <c r="SMG7" s="37"/>
      <c r="SMH7" s="36"/>
      <c r="SMI7" s="37"/>
      <c r="SMJ7" s="36"/>
      <c r="SMK7" s="37"/>
      <c r="SML7" s="36"/>
      <c r="SMM7" s="37"/>
      <c r="SMN7" s="36"/>
      <c r="SMO7" s="37"/>
      <c r="SMP7" s="36"/>
      <c r="SMQ7" s="36"/>
      <c r="SMR7" s="37"/>
      <c r="SMS7" s="37"/>
      <c r="SMU7" s="22"/>
      <c r="SMV7" s="35"/>
      <c r="SMW7" s="36"/>
      <c r="SMX7" s="37"/>
      <c r="SMY7" s="36"/>
      <c r="SMZ7" s="37"/>
      <c r="SNA7" s="36"/>
      <c r="SNB7" s="37"/>
      <c r="SNC7" s="36"/>
      <c r="SND7" s="37"/>
      <c r="SNE7" s="36"/>
      <c r="SNF7" s="37"/>
      <c r="SNG7" s="36"/>
      <c r="SNH7" s="37"/>
      <c r="SNI7" s="36"/>
      <c r="SNJ7" s="37"/>
      <c r="SNK7" s="36"/>
      <c r="SNL7" s="37"/>
      <c r="SNM7" s="36"/>
      <c r="SNN7" s="37"/>
      <c r="SNO7" s="36"/>
      <c r="SNP7" s="36"/>
      <c r="SNQ7" s="37"/>
      <c r="SNR7" s="37"/>
      <c r="SNT7" s="22"/>
      <c r="SNU7" s="35"/>
      <c r="SNV7" s="36"/>
      <c r="SNW7" s="37"/>
      <c r="SNX7" s="36"/>
      <c r="SNY7" s="37"/>
      <c r="SNZ7" s="36"/>
      <c r="SOA7" s="37"/>
      <c r="SOB7" s="36"/>
      <c r="SOC7" s="37"/>
      <c r="SOD7" s="36"/>
      <c r="SOE7" s="37"/>
      <c r="SOF7" s="36"/>
      <c r="SOG7" s="37"/>
      <c r="SOH7" s="36"/>
      <c r="SOI7" s="37"/>
      <c r="SOJ7" s="36"/>
      <c r="SOK7" s="37"/>
      <c r="SOL7" s="36"/>
      <c r="SOM7" s="37"/>
      <c r="SON7" s="36"/>
      <c r="SOO7" s="36"/>
      <c r="SOP7" s="37"/>
      <c r="SOQ7" s="37"/>
      <c r="SOS7" s="22"/>
      <c r="SOT7" s="35"/>
      <c r="SOU7" s="36"/>
      <c r="SOV7" s="37"/>
      <c r="SOW7" s="36"/>
      <c r="SOX7" s="37"/>
      <c r="SOY7" s="36"/>
      <c r="SOZ7" s="37"/>
      <c r="SPA7" s="36"/>
      <c r="SPB7" s="37"/>
      <c r="SPC7" s="36"/>
      <c r="SPD7" s="37"/>
      <c r="SPE7" s="36"/>
      <c r="SPF7" s="37"/>
      <c r="SPG7" s="36"/>
      <c r="SPH7" s="37"/>
      <c r="SPI7" s="36"/>
      <c r="SPJ7" s="37"/>
      <c r="SPK7" s="36"/>
      <c r="SPL7" s="37"/>
      <c r="SPM7" s="36"/>
      <c r="SPN7" s="36"/>
      <c r="SPO7" s="37"/>
      <c r="SPP7" s="37"/>
      <c r="SPR7" s="22"/>
      <c r="SPS7" s="35"/>
      <c r="SPT7" s="36"/>
      <c r="SPU7" s="37"/>
      <c r="SPV7" s="36"/>
      <c r="SPW7" s="37"/>
      <c r="SPX7" s="36"/>
      <c r="SPY7" s="37"/>
      <c r="SPZ7" s="36"/>
      <c r="SQA7" s="37"/>
      <c r="SQB7" s="36"/>
      <c r="SQC7" s="37"/>
      <c r="SQD7" s="36"/>
      <c r="SQE7" s="37"/>
      <c r="SQF7" s="36"/>
      <c r="SQG7" s="37"/>
      <c r="SQH7" s="36"/>
      <c r="SQI7" s="37"/>
      <c r="SQJ7" s="36"/>
      <c r="SQK7" s="37"/>
      <c r="SQL7" s="36"/>
      <c r="SQM7" s="36"/>
      <c r="SQN7" s="37"/>
      <c r="SQO7" s="37"/>
      <c r="SQQ7" s="22"/>
      <c r="SQR7" s="35"/>
      <c r="SQS7" s="36"/>
      <c r="SQT7" s="37"/>
      <c r="SQU7" s="36"/>
      <c r="SQV7" s="37"/>
      <c r="SQW7" s="36"/>
      <c r="SQX7" s="37"/>
      <c r="SQY7" s="36"/>
      <c r="SQZ7" s="37"/>
      <c r="SRA7" s="36"/>
      <c r="SRB7" s="37"/>
      <c r="SRC7" s="36"/>
      <c r="SRD7" s="37"/>
      <c r="SRE7" s="36"/>
      <c r="SRF7" s="37"/>
      <c r="SRG7" s="36"/>
      <c r="SRH7" s="37"/>
      <c r="SRI7" s="36"/>
      <c r="SRJ7" s="37"/>
      <c r="SRK7" s="36"/>
      <c r="SRL7" s="36"/>
      <c r="SRM7" s="37"/>
      <c r="SRN7" s="37"/>
      <c r="SRP7" s="22"/>
      <c r="SRQ7" s="35"/>
      <c r="SRR7" s="36"/>
      <c r="SRS7" s="37"/>
      <c r="SRT7" s="36"/>
      <c r="SRU7" s="37"/>
      <c r="SRV7" s="36"/>
      <c r="SRW7" s="37"/>
      <c r="SRX7" s="36"/>
      <c r="SRY7" s="37"/>
      <c r="SRZ7" s="36"/>
      <c r="SSA7" s="37"/>
      <c r="SSB7" s="36"/>
      <c r="SSC7" s="37"/>
      <c r="SSD7" s="36"/>
      <c r="SSE7" s="37"/>
      <c r="SSF7" s="36"/>
      <c r="SSG7" s="37"/>
      <c r="SSH7" s="36"/>
      <c r="SSI7" s="37"/>
      <c r="SSJ7" s="36"/>
      <c r="SSK7" s="36"/>
      <c r="SSL7" s="37"/>
      <c r="SSM7" s="37"/>
      <c r="SSO7" s="22"/>
      <c r="SSP7" s="35"/>
      <c r="SSQ7" s="36"/>
      <c r="SSR7" s="37"/>
      <c r="SSS7" s="36"/>
      <c r="SST7" s="37"/>
      <c r="SSU7" s="36"/>
      <c r="SSV7" s="37"/>
      <c r="SSW7" s="36"/>
      <c r="SSX7" s="37"/>
      <c r="SSY7" s="36"/>
      <c r="SSZ7" s="37"/>
      <c r="STA7" s="36"/>
      <c r="STB7" s="37"/>
      <c r="STC7" s="36"/>
      <c r="STD7" s="37"/>
      <c r="STE7" s="36"/>
      <c r="STF7" s="37"/>
      <c r="STG7" s="36"/>
      <c r="STH7" s="37"/>
      <c r="STI7" s="36"/>
      <c r="STJ7" s="36"/>
      <c r="STK7" s="37"/>
      <c r="STL7" s="37"/>
      <c r="STN7" s="22"/>
      <c r="STO7" s="35"/>
      <c r="STP7" s="36"/>
      <c r="STQ7" s="37"/>
      <c r="STR7" s="36"/>
      <c r="STS7" s="37"/>
      <c r="STT7" s="36"/>
      <c r="STU7" s="37"/>
      <c r="STV7" s="36"/>
      <c r="STW7" s="37"/>
      <c r="STX7" s="36"/>
      <c r="STY7" s="37"/>
      <c r="STZ7" s="36"/>
      <c r="SUA7" s="37"/>
      <c r="SUB7" s="36"/>
      <c r="SUC7" s="37"/>
      <c r="SUD7" s="36"/>
      <c r="SUE7" s="37"/>
      <c r="SUF7" s="36"/>
      <c r="SUG7" s="37"/>
      <c r="SUH7" s="36"/>
      <c r="SUI7" s="36"/>
      <c r="SUJ7" s="37"/>
      <c r="SUK7" s="37"/>
      <c r="SUM7" s="22"/>
      <c r="SUN7" s="35"/>
      <c r="SUO7" s="36"/>
      <c r="SUP7" s="37"/>
      <c r="SUQ7" s="36"/>
      <c r="SUR7" s="37"/>
      <c r="SUS7" s="36"/>
      <c r="SUT7" s="37"/>
      <c r="SUU7" s="36"/>
      <c r="SUV7" s="37"/>
      <c r="SUW7" s="36"/>
      <c r="SUX7" s="37"/>
      <c r="SUY7" s="36"/>
      <c r="SUZ7" s="37"/>
      <c r="SVA7" s="36"/>
      <c r="SVB7" s="37"/>
      <c r="SVC7" s="36"/>
      <c r="SVD7" s="37"/>
      <c r="SVE7" s="36"/>
      <c r="SVF7" s="37"/>
      <c r="SVG7" s="36"/>
      <c r="SVH7" s="36"/>
      <c r="SVI7" s="37"/>
      <c r="SVJ7" s="37"/>
      <c r="SVL7" s="22"/>
      <c r="SVM7" s="35"/>
      <c r="SVN7" s="36"/>
      <c r="SVO7" s="37"/>
      <c r="SVP7" s="36"/>
      <c r="SVQ7" s="37"/>
      <c r="SVR7" s="36"/>
      <c r="SVS7" s="37"/>
      <c r="SVT7" s="36"/>
      <c r="SVU7" s="37"/>
      <c r="SVV7" s="36"/>
      <c r="SVW7" s="37"/>
      <c r="SVX7" s="36"/>
      <c r="SVY7" s="37"/>
      <c r="SVZ7" s="36"/>
      <c r="SWA7" s="37"/>
      <c r="SWB7" s="36"/>
      <c r="SWC7" s="37"/>
      <c r="SWD7" s="36"/>
      <c r="SWE7" s="37"/>
      <c r="SWF7" s="36"/>
      <c r="SWG7" s="36"/>
      <c r="SWH7" s="37"/>
      <c r="SWI7" s="37"/>
      <c r="SWK7" s="22"/>
      <c r="SWL7" s="35"/>
      <c r="SWM7" s="36"/>
      <c r="SWN7" s="37"/>
      <c r="SWO7" s="36"/>
      <c r="SWP7" s="37"/>
      <c r="SWQ7" s="36"/>
      <c r="SWR7" s="37"/>
      <c r="SWS7" s="36"/>
      <c r="SWT7" s="37"/>
      <c r="SWU7" s="36"/>
      <c r="SWV7" s="37"/>
      <c r="SWW7" s="36"/>
      <c r="SWX7" s="37"/>
      <c r="SWY7" s="36"/>
      <c r="SWZ7" s="37"/>
      <c r="SXA7" s="36"/>
      <c r="SXB7" s="37"/>
      <c r="SXC7" s="36"/>
      <c r="SXD7" s="37"/>
      <c r="SXE7" s="36"/>
      <c r="SXF7" s="36"/>
      <c r="SXG7" s="37"/>
      <c r="SXH7" s="37"/>
      <c r="SXJ7" s="22"/>
      <c r="SXK7" s="35"/>
      <c r="SXL7" s="36"/>
      <c r="SXM7" s="37"/>
      <c r="SXN7" s="36"/>
      <c r="SXO7" s="37"/>
      <c r="SXP7" s="36"/>
      <c r="SXQ7" s="37"/>
      <c r="SXR7" s="36"/>
      <c r="SXS7" s="37"/>
      <c r="SXT7" s="36"/>
      <c r="SXU7" s="37"/>
      <c r="SXV7" s="36"/>
      <c r="SXW7" s="37"/>
      <c r="SXX7" s="36"/>
      <c r="SXY7" s="37"/>
      <c r="SXZ7" s="36"/>
      <c r="SYA7" s="37"/>
      <c r="SYB7" s="36"/>
      <c r="SYC7" s="37"/>
      <c r="SYD7" s="36"/>
      <c r="SYE7" s="36"/>
      <c r="SYF7" s="37"/>
      <c r="SYG7" s="37"/>
      <c r="SYI7" s="22"/>
      <c r="SYJ7" s="35"/>
      <c r="SYK7" s="36"/>
      <c r="SYL7" s="37"/>
      <c r="SYM7" s="36"/>
      <c r="SYN7" s="37"/>
      <c r="SYO7" s="36"/>
      <c r="SYP7" s="37"/>
      <c r="SYQ7" s="36"/>
      <c r="SYR7" s="37"/>
      <c r="SYS7" s="36"/>
      <c r="SYT7" s="37"/>
      <c r="SYU7" s="36"/>
      <c r="SYV7" s="37"/>
      <c r="SYW7" s="36"/>
      <c r="SYX7" s="37"/>
      <c r="SYY7" s="36"/>
      <c r="SYZ7" s="37"/>
      <c r="SZA7" s="36"/>
      <c r="SZB7" s="37"/>
      <c r="SZC7" s="36"/>
      <c r="SZD7" s="36"/>
      <c r="SZE7" s="37"/>
      <c r="SZF7" s="37"/>
      <c r="SZH7" s="22"/>
      <c r="SZI7" s="35"/>
      <c r="SZJ7" s="36"/>
      <c r="SZK7" s="37"/>
      <c r="SZL7" s="36"/>
      <c r="SZM7" s="37"/>
      <c r="SZN7" s="36"/>
      <c r="SZO7" s="37"/>
      <c r="SZP7" s="36"/>
      <c r="SZQ7" s="37"/>
      <c r="SZR7" s="36"/>
      <c r="SZS7" s="37"/>
      <c r="SZT7" s="36"/>
      <c r="SZU7" s="37"/>
      <c r="SZV7" s="36"/>
      <c r="SZW7" s="37"/>
      <c r="SZX7" s="36"/>
      <c r="SZY7" s="37"/>
      <c r="SZZ7" s="36"/>
      <c r="TAA7" s="37"/>
      <c r="TAB7" s="36"/>
      <c r="TAC7" s="36"/>
      <c r="TAD7" s="37"/>
      <c r="TAE7" s="37"/>
      <c r="TAG7" s="22"/>
      <c r="TAH7" s="35"/>
      <c r="TAI7" s="36"/>
      <c r="TAJ7" s="37"/>
      <c r="TAK7" s="36"/>
      <c r="TAL7" s="37"/>
      <c r="TAM7" s="36"/>
      <c r="TAN7" s="37"/>
      <c r="TAO7" s="36"/>
      <c r="TAP7" s="37"/>
      <c r="TAQ7" s="36"/>
      <c r="TAR7" s="37"/>
      <c r="TAS7" s="36"/>
      <c r="TAT7" s="37"/>
      <c r="TAU7" s="36"/>
      <c r="TAV7" s="37"/>
      <c r="TAW7" s="36"/>
      <c r="TAX7" s="37"/>
      <c r="TAY7" s="36"/>
      <c r="TAZ7" s="37"/>
      <c r="TBA7" s="36"/>
      <c r="TBB7" s="36"/>
      <c r="TBC7" s="37"/>
      <c r="TBD7" s="37"/>
      <c r="TBF7" s="22"/>
      <c r="TBG7" s="35"/>
      <c r="TBH7" s="36"/>
      <c r="TBI7" s="37"/>
      <c r="TBJ7" s="36"/>
      <c r="TBK7" s="37"/>
      <c r="TBL7" s="36"/>
      <c r="TBM7" s="37"/>
      <c r="TBN7" s="36"/>
      <c r="TBO7" s="37"/>
      <c r="TBP7" s="36"/>
      <c r="TBQ7" s="37"/>
      <c r="TBR7" s="36"/>
      <c r="TBS7" s="37"/>
      <c r="TBT7" s="36"/>
      <c r="TBU7" s="37"/>
      <c r="TBV7" s="36"/>
      <c r="TBW7" s="37"/>
      <c r="TBX7" s="36"/>
      <c r="TBY7" s="37"/>
      <c r="TBZ7" s="36"/>
      <c r="TCA7" s="36"/>
      <c r="TCB7" s="37"/>
      <c r="TCC7" s="37"/>
      <c r="TCE7" s="22"/>
      <c r="TCF7" s="35"/>
      <c r="TCG7" s="36"/>
      <c r="TCH7" s="37"/>
      <c r="TCI7" s="36"/>
      <c r="TCJ7" s="37"/>
      <c r="TCK7" s="36"/>
      <c r="TCL7" s="37"/>
      <c r="TCM7" s="36"/>
      <c r="TCN7" s="37"/>
      <c r="TCO7" s="36"/>
      <c r="TCP7" s="37"/>
      <c r="TCQ7" s="36"/>
      <c r="TCR7" s="37"/>
      <c r="TCS7" s="36"/>
      <c r="TCT7" s="37"/>
      <c r="TCU7" s="36"/>
      <c r="TCV7" s="37"/>
      <c r="TCW7" s="36"/>
      <c r="TCX7" s="37"/>
      <c r="TCY7" s="36"/>
      <c r="TCZ7" s="36"/>
      <c r="TDA7" s="37"/>
      <c r="TDB7" s="37"/>
      <c r="TDD7" s="22"/>
      <c r="TDE7" s="35"/>
      <c r="TDF7" s="36"/>
      <c r="TDG7" s="37"/>
      <c r="TDH7" s="36"/>
      <c r="TDI7" s="37"/>
      <c r="TDJ7" s="36"/>
      <c r="TDK7" s="37"/>
      <c r="TDL7" s="36"/>
      <c r="TDM7" s="37"/>
      <c r="TDN7" s="36"/>
      <c r="TDO7" s="37"/>
      <c r="TDP7" s="36"/>
      <c r="TDQ7" s="37"/>
      <c r="TDR7" s="36"/>
      <c r="TDS7" s="37"/>
      <c r="TDT7" s="36"/>
      <c r="TDU7" s="37"/>
      <c r="TDV7" s="36"/>
      <c r="TDW7" s="37"/>
      <c r="TDX7" s="36"/>
      <c r="TDY7" s="36"/>
      <c r="TDZ7" s="37"/>
      <c r="TEA7" s="37"/>
      <c r="TEC7" s="22"/>
      <c r="TED7" s="35"/>
      <c r="TEE7" s="36"/>
      <c r="TEF7" s="37"/>
      <c r="TEG7" s="36"/>
      <c r="TEH7" s="37"/>
      <c r="TEI7" s="36"/>
      <c r="TEJ7" s="37"/>
      <c r="TEK7" s="36"/>
      <c r="TEL7" s="37"/>
      <c r="TEM7" s="36"/>
      <c r="TEN7" s="37"/>
      <c r="TEO7" s="36"/>
      <c r="TEP7" s="37"/>
      <c r="TEQ7" s="36"/>
      <c r="TER7" s="37"/>
      <c r="TES7" s="36"/>
      <c r="TET7" s="37"/>
      <c r="TEU7" s="36"/>
      <c r="TEV7" s="37"/>
      <c r="TEW7" s="36"/>
      <c r="TEX7" s="36"/>
      <c r="TEY7" s="37"/>
      <c r="TEZ7" s="37"/>
      <c r="TFB7" s="22"/>
      <c r="TFC7" s="35"/>
      <c r="TFD7" s="36"/>
      <c r="TFE7" s="37"/>
      <c r="TFF7" s="36"/>
      <c r="TFG7" s="37"/>
      <c r="TFH7" s="36"/>
      <c r="TFI7" s="37"/>
      <c r="TFJ7" s="36"/>
      <c r="TFK7" s="37"/>
      <c r="TFL7" s="36"/>
      <c r="TFM7" s="37"/>
      <c r="TFN7" s="36"/>
      <c r="TFO7" s="37"/>
      <c r="TFP7" s="36"/>
      <c r="TFQ7" s="37"/>
      <c r="TFR7" s="36"/>
      <c r="TFS7" s="37"/>
      <c r="TFT7" s="36"/>
      <c r="TFU7" s="37"/>
      <c r="TFV7" s="36"/>
      <c r="TFW7" s="36"/>
      <c r="TFX7" s="37"/>
      <c r="TFY7" s="37"/>
      <c r="TGA7" s="22"/>
      <c r="TGB7" s="35"/>
      <c r="TGC7" s="36"/>
      <c r="TGD7" s="37"/>
      <c r="TGE7" s="36"/>
      <c r="TGF7" s="37"/>
      <c r="TGG7" s="36"/>
      <c r="TGH7" s="37"/>
      <c r="TGI7" s="36"/>
      <c r="TGJ7" s="37"/>
      <c r="TGK7" s="36"/>
      <c r="TGL7" s="37"/>
      <c r="TGM7" s="36"/>
      <c r="TGN7" s="37"/>
      <c r="TGO7" s="36"/>
      <c r="TGP7" s="37"/>
      <c r="TGQ7" s="36"/>
      <c r="TGR7" s="37"/>
      <c r="TGS7" s="36"/>
      <c r="TGT7" s="37"/>
      <c r="TGU7" s="36"/>
      <c r="TGV7" s="36"/>
      <c r="TGW7" s="37"/>
      <c r="TGX7" s="37"/>
      <c r="TGZ7" s="22"/>
      <c r="THA7" s="35"/>
      <c r="THB7" s="36"/>
      <c r="THC7" s="37"/>
      <c r="THD7" s="36"/>
      <c r="THE7" s="37"/>
      <c r="THF7" s="36"/>
      <c r="THG7" s="37"/>
      <c r="THH7" s="36"/>
      <c r="THI7" s="37"/>
      <c r="THJ7" s="36"/>
      <c r="THK7" s="37"/>
      <c r="THL7" s="36"/>
      <c r="THM7" s="37"/>
      <c r="THN7" s="36"/>
      <c r="THO7" s="37"/>
      <c r="THP7" s="36"/>
      <c r="THQ7" s="37"/>
      <c r="THR7" s="36"/>
      <c r="THS7" s="37"/>
      <c r="THT7" s="36"/>
      <c r="THU7" s="36"/>
      <c r="THV7" s="37"/>
      <c r="THW7" s="37"/>
      <c r="THY7" s="22"/>
      <c r="THZ7" s="35"/>
      <c r="TIA7" s="36"/>
      <c r="TIB7" s="37"/>
      <c r="TIC7" s="36"/>
      <c r="TID7" s="37"/>
      <c r="TIE7" s="36"/>
      <c r="TIF7" s="37"/>
      <c r="TIG7" s="36"/>
      <c r="TIH7" s="37"/>
      <c r="TII7" s="36"/>
      <c r="TIJ7" s="37"/>
      <c r="TIK7" s="36"/>
      <c r="TIL7" s="37"/>
      <c r="TIM7" s="36"/>
      <c r="TIN7" s="37"/>
      <c r="TIO7" s="36"/>
      <c r="TIP7" s="37"/>
      <c r="TIQ7" s="36"/>
      <c r="TIR7" s="37"/>
      <c r="TIS7" s="36"/>
      <c r="TIT7" s="36"/>
      <c r="TIU7" s="37"/>
      <c r="TIV7" s="37"/>
      <c r="TIX7" s="22"/>
      <c r="TIY7" s="35"/>
      <c r="TIZ7" s="36"/>
      <c r="TJA7" s="37"/>
      <c r="TJB7" s="36"/>
      <c r="TJC7" s="37"/>
      <c r="TJD7" s="36"/>
      <c r="TJE7" s="37"/>
      <c r="TJF7" s="36"/>
      <c r="TJG7" s="37"/>
      <c r="TJH7" s="36"/>
      <c r="TJI7" s="37"/>
      <c r="TJJ7" s="36"/>
      <c r="TJK7" s="37"/>
      <c r="TJL7" s="36"/>
      <c r="TJM7" s="37"/>
      <c r="TJN7" s="36"/>
      <c r="TJO7" s="37"/>
      <c r="TJP7" s="36"/>
      <c r="TJQ7" s="37"/>
      <c r="TJR7" s="36"/>
      <c r="TJS7" s="36"/>
      <c r="TJT7" s="37"/>
      <c r="TJU7" s="37"/>
      <c r="TJW7" s="22"/>
      <c r="TJX7" s="35"/>
      <c r="TJY7" s="36"/>
      <c r="TJZ7" s="37"/>
      <c r="TKA7" s="36"/>
      <c r="TKB7" s="37"/>
      <c r="TKC7" s="36"/>
      <c r="TKD7" s="37"/>
      <c r="TKE7" s="36"/>
      <c r="TKF7" s="37"/>
      <c r="TKG7" s="36"/>
      <c r="TKH7" s="37"/>
      <c r="TKI7" s="36"/>
      <c r="TKJ7" s="37"/>
      <c r="TKK7" s="36"/>
      <c r="TKL7" s="37"/>
      <c r="TKM7" s="36"/>
      <c r="TKN7" s="37"/>
      <c r="TKO7" s="36"/>
      <c r="TKP7" s="37"/>
      <c r="TKQ7" s="36"/>
      <c r="TKR7" s="36"/>
      <c r="TKS7" s="37"/>
      <c r="TKT7" s="37"/>
      <c r="TKV7" s="22"/>
      <c r="TKW7" s="35"/>
      <c r="TKX7" s="36"/>
      <c r="TKY7" s="37"/>
      <c r="TKZ7" s="36"/>
      <c r="TLA7" s="37"/>
      <c r="TLB7" s="36"/>
      <c r="TLC7" s="37"/>
      <c r="TLD7" s="36"/>
      <c r="TLE7" s="37"/>
      <c r="TLF7" s="36"/>
      <c r="TLG7" s="37"/>
      <c r="TLH7" s="36"/>
      <c r="TLI7" s="37"/>
      <c r="TLJ7" s="36"/>
      <c r="TLK7" s="37"/>
      <c r="TLL7" s="36"/>
      <c r="TLM7" s="37"/>
      <c r="TLN7" s="36"/>
      <c r="TLO7" s="37"/>
      <c r="TLP7" s="36"/>
      <c r="TLQ7" s="36"/>
      <c r="TLR7" s="37"/>
      <c r="TLS7" s="37"/>
      <c r="TLU7" s="22"/>
      <c r="TLV7" s="35"/>
      <c r="TLW7" s="36"/>
      <c r="TLX7" s="37"/>
      <c r="TLY7" s="36"/>
      <c r="TLZ7" s="37"/>
      <c r="TMA7" s="36"/>
      <c r="TMB7" s="37"/>
      <c r="TMC7" s="36"/>
      <c r="TMD7" s="37"/>
      <c r="TME7" s="36"/>
      <c r="TMF7" s="37"/>
      <c r="TMG7" s="36"/>
      <c r="TMH7" s="37"/>
      <c r="TMI7" s="36"/>
      <c r="TMJ7" s="37"/>
      <c r="TMK7" s="36"/>
      <c r="TML7" s="37"/>
      <c r="TMM7" s="36"/>
      <c r="TMN7" s="37"/>
      <c r="TMO7" s="36"/>
      <c r="TMP7" s="36"/>
      <c r="TMQ7" s="37"/>
      <c r="TMR7" s="37"/>
      <c r="TMT7" s="22"/>
      <c r="TMU7" s="35"/>
      <c r="TMV7" s="36"/>
      <c r="TMW7" s="37"/>
      <c r="TMX7" s="36"/>
      <c r="TMY7" s="37"/>
      <c r="TMZ7" s="36"/>
      <c r="TNA7" s="37"/>
      <c r="TNB7" s="36"/>
      <c r="TNC7" s="37"/>
      <c r="TND7" s="36"/>
      <c r="TNE7" s="37"/>
      <c r="TNF7" s="36"/>
      <c r="TNG7" s="37"/>
      <c r="TNH7" s="36"/>
      <c r="TNI7" s="37"/>
      <c r="TNJ7" s="36"/>
      <c r="TNK7" s="37"/>
      <c r="TNL7" s="36"/>
      <c r="TNM7" s="37"/>
      <c r="TNN7" s="36"/>
      <c r="TNO7" s="36"/>
      <c r="TNP7" s="37"/>
      <c r="TNQ7" s="37"/>
      <c r="TNS7" s="22"/>
      <c r="TNT7" s="35"/>
      <c r="TNU7" s="36"/>
      <c r="TNV7" s="37"/>
      <c r="TNW7" s="36"/>
      <c r="TNX7" s="37"/>
      <c r="TNY7" s="36"/>
      <c r="TNZ7" s="37"/>
      <c r="TOA7" s="36"/>
      <c r="TOB7" s="37"/>
      <c r="TOC7" s="36"/>
      <c r="TOD7" s="37"/>
      <c r="TOE7" s="36"/>
      <c r="TOF7" s="37"/>
      <c r="TOG7" s="36"/>
      <c r="TOH7" s="37"/>
      <c r="TOI7" s="36"/>
      <c r="TOJ7" s="37"/>
      <c r="TOK7" s="36"/>
      <c r="TOL7" s="37"/>
      <c r="TOM7" s="36"/>
      <c r="TON7" s="36"/>
      <c r="TOO7" s="37"/>
      <c r="TOP7" s="37"/>
      <c r="TOR7" s="22"/>
      <c r="TOS7" s="35"/>
      <c r="TOT7" s="36"/>
      <c r="TOU7" s="37"/>
      <c r="TOV7" s="36"/>
      <c r="TOW7" s="37"/>
      <c r="TOX7" s="36"/>
      <c r="TOY7" s="37"/>
      <c r="TOZ7" s="36"/>
      <c r="TPA7" s="37"/>
      <c r="TPB7" s="36"/>
      <c r="TPC7" s="37"/>
      <c r="TPD7" s="36"/>
      <c r="TPE7" s="37"/>
      <c r="TPF7" s="36"/>
      <c r="TPG7" s="37"/>
      <c r="TPH7" s="36"/>
      <c r="TPI7" s="37"/>
      <c r="TPJ7" s="36"/>
      <c r="TPK7" s="37"/>
      <c r="TPL7" s="36"/>
      <c r="TPM7" s="36"/>
      <c r="TPN7" s="37"/>
      <c r="TPO7" s="37"/>
      <c r="TPQ7" s="22"/>
      <c r="TPR7" s="35"/>
      <c r="TPS7" s="36"/>
      <c r="TPT7" s="37"/>
      <c r="TPU7" s="36"/>
      <c r="TPV7" s="37"/>
      <c r="TPW7" s="36"/>
      <c r="TPX7" s="37"/>
      <c r="TPY7" s="36"/>
      <c r="TPZ7" s="37"/>
      <c r="TQA7" s="36"/>
      <c r="TQB7" s="37"/>
      <c r="TQC7" s="36"/>
      <c r="TQD7" s="37"/>
      <c r="TQE7" s="36"/>
      <c r="TQF7" s="37"/>
      <c r="TQG7" s="36"/>
      <c r="TQH7" s="37"/>
      <c r="TQI7" s="36"/>
      <c r="TQJ7" s="37"/>
      <c r="TQK7" s="36"/>
      <c r="TQL7" s="36"/>
      <c r="TQM7" s="37"/>
      <c r="TQN7" s="37"/>
      <c r="TQP7" s="22"/>
      <c r="TQQ7" s="35"/>
      <c r="TQR7" s="36"/>
      <c r="TQS7" s="37"/>
      <c r="TQT7" s="36"/>
      <c r="TQU7" s="37"/>
      <c r="TQV7" s="36"/>
      <c r="TQW7" s="37"/>
      <c r="TQX7" s="36"/>
      <c r="TQY7" s="37"/>
      <c r="TQZ7" s="36"/>
      <c r="TRA7" s="37"/>
      <c r="TRB7" s="36"/>
      <c r="TRC7" s="37"/>
      <c r="TRD7" s="36"/>
      <c r="TRE7" s="37"/>
      <c r="TRF7" s="36"/>
      <c r="TRG7" s="37"/>
      <c r="TRH7" s="36"/>
      <c r="TRI7" s="37"/>
      <c r="TRJ7" s="36"/>
      <c r="TRK7" s="36"/>
      <c r="TRL7" s="37"/>
      <c r="TRM7" s="37"/>
      <c r="TRO7" s="22"/>
      <c r="TRP7" s="35"/>
      <c r="TRQ7" s="36"/>
      <c r="TRR7" s="37"/>
      <c r="TRS7" s="36"/>
      <c r="TRT7" s="37"/>
      <c r="TRU7" s="36"/>
      <c r="TRV7" s="37"/>
      <c r="TRW7" s="36"/>
      <c r="TRX7" s="37"/>
      <c r="TRY7" s="36"/>
      <c r="TRZ7" s="37"/>
      <c r="TSA7" s="36"/>
      <c r="TSB7" s="37"/>
      <c r="TSC7" s="36"/>
      <c r="TSD7" s="37"/>
      <c r="TSE7" s="36"/>
      <c r="TSF7" s="37"/>
      <c r="TSG7" s="36"/>
      <c r="TSH7" s="37"/>
      <c r="TSI7" s="36"/>
      <c r="TSJ7" s="36"/>
      <c r="TSK7" s="37"/>
      <c r="TSL7" s="37"/>
      <c r="TSN7" s="22"/>
      <c r="TSO7" s="35"/>
      <c r="TSP7" s="36"/>
      <c r="TSQ7" s="37"/>
      <c r="TSR7" s="36"/>
      <c r="TSS7" s="37"/>
      <c r="TST7" s="36"/>
      <c r="TSU7" s="37"/>
      <c r="TSV7" s="36"/>
      <c r="TSW7" s="37"/>
      <c r="TSX7" s="36"/>
      <c r="TSY7" s="37"/>
      <c r="TSZ7" s="36"/>
      <c r="TTA7" s="37"/>
      <c r="TTB7" s="36"/>
      <c r="TTC7" s="37"/>
      <c r="TTD7" s="36"/>
      <c r="TTE7" s="37"/>
      <c r="TTF7" s="36"/>
      <c r="TTG7" s="37"/>
      <c r="TTH7" s="36"/>
      <c r="TTI7" s="36"/>
      <c r="TTJ7" s="37"/>
      <c r="TTK7" s="37"/>
      <c r="TTM7" s="22"/>
      <c r="TTN7" s="35"/>
      <c r="TTO7" s="36"/>
      <c r="TTP7" s="37"/>
      <c r="TTQ7" s="36"/>
      <c r="TTR7" s="37"/>
      <c r="TTS7" s="36"/>
      <c r="TTT7" s="37"/>
      <c r="TTU7" s="36"/>
      <c r="TTV7" s="37"/>
      <c r="TTW7" s="36"/>
      <c r="TTX7" s="37"/>
      <c r="TTY7" s="36"/>
      <c r="TTZ7" s="37"/>
      <c r="TUA7" s="36"/>
      <c r="TUB7" s="37"/>
      <c r="TUC7" s="36"/>
      <c r="TUD7" s="37"/>
      <c r="TUE7" s="36"/>
      <c r="TUF7" s="37"/>
      <c r="TUG7" s="36"/>
      <c r="TUH7" s="36"/>
      <c r="TUI7" s="37"/>
      <c r="TUJ7" s="37"/>
      <c r="TUL7" s="22"/>
      <c r="TUM7" s="35"/>
      <c r="TUN7" s="36"/>
      <c r="TUO7" s="37"/>
      <c r="TUP7" s="36"/>
      <c r="TUQ7" s="37"/>
      <c r="TUR7" s="36"/>
      <c r="TUS7" s="37"/>
      <c r="TUT7" s="36"/>
      <c r="TUU7" s="37"/>
      <c r="TUV7" s="36"/>
      <c r="TUW7" s="37"/>
      <c r="TUX7" s="36"/>
      <c r="TUY7" s="37"/>
      <c r="TUZ7" s="36"/>
      <c r="TVA7" s="37"/>
      <c r="TVB7" s="36"/>
      <c r="TVC7" s="37"/>
      <c r="TVD7" s="36"/>
      <c r="TVE7" s="37"/>
      <c r="TVF7" s="36"/>
      <c r="TVG7" s="36"/>
      <c r="TVH7" s="37"/>
      <c r="TVI7" s="37"/>
      <c r="TVK7" s="22"/>
      <c r="TVL7" s="35"/>
      <c r="TVM7" s="36"/>
      <c r="TVN7" s="37"/>
      <c r="TVO7" s="36"/>
      <c r="TVP7" s="37"/>
      <c r="TVQ7" s="36"/>
      <c r="TVR7" s="37"/>
      <c r="TVS7" s="36"/>
      <c r="TVT7" s="37"/>
      <c r="TVU7" s="36"/>
      <c r="TVV7" s="37"/>
      <c r="TVW7" s="36"/>
      <c r="TVX7" s="37"/>
      <c r="TVY7" s="36"/>
      <c r="TVZ7" s="37"/>
      <c r="TWA7" s="36"/>
      <c r="TWB7" s="37"/>
      <c r="TWC7" s="36"/>
      <c r="TWD7" s="37"/>
      <c r="TWE7" s="36"/>
      <c r="TWF7" s="36"/>
      <c r="TWG7" s="37"/>
      <c r="TWH7" s="37"/>
      <c r="TWJ7" s="22"/>
      <c r="TWK7" s="35"/>
      <c r="TWL7" s="36"/>
      <c r="TWM7" s="37"/>
      <c r="TWN7" s="36"/>
      <c r="TWO7" s="37"/>
      <c r="TWP7" s="36"/>
      <c r="TWQ7" s="37"/>
      <c r="TWR7" s="36"/>
      <c r="TWS7" s="37"/>
      <c r="TWT7" s="36"/>
      <c r="TWU7" s="37"/>
      <c r="TWV7" s="36"/>
      <c r="TWW7" s="37"/>
      <c r="TWX7" s="36"/>
      <c r="TWY7" s="37"/>
      <c r="TWZ7" s="36"/>
      <c r="TXA7" s="37"/>
      <c r="TXB7" s="36"/>
      <c r="TXC7" s="37"/>
      <c r="TXD7" s="36"/>
      <c r="TXE7" s="36"/>
      <c r="TXF7" s="37"/>
      <c r="TXG7" s="37"/>
      <c r="TXI7" s="22"/>
      <c r="TXJ7" s="35"/>
      <c r="TXK7" s="36"/>
      <c r="TXL7" s="37"/>
      <c r="TXM7" s="36"/>
      <c r="TXN7" s="37"/>
      <c r="TXO7" s="36"/>
      <c r="TXP7" s="37"/>
      <c r="TXQ7" s="36"/>
      <c r="TXR7" s="37"/>
      <c r="TXS7" s="36"/>
      <c r="TXT7" s="37"/>
      <c r="TXU7" s="36"/>
      <c r="TXV7" s="37"/>
      <c r="TXW7" s="36"/>
      <c r="TXX7" s="37"/>
      <c r="TXY7" s="36"/>
      <c r="TXZ7" s="37"/>
      <c r="TYA7" s="36"/>
      <c r="TYB7" s="37"/>
      <c r="TYC7" s="36"/>
      <c r="TYD7" s="36"/>
      <c r="TYE7" s="37"/>
      <c r="TYF7" s="37"/>
      <c r="TYH7" s="22"/>
      <c r="TYI7" s="35"/>
      <c r="TYJ7" s="36"/>
      <c r="TYK7" s="37"/>
      <c r="TYL7" s="36"/>
      <c r="TYM7" s="37"/>
      <c r="TYN7" s="36"/>
      <c r="TYO7" s="37"/>
      <c r="TYP7" s="36"/>
      <c r="TYQ7" s="37"/>
      <c r="TYR7" s="36"/>
      <c r="TYS7" s="37"/>
      <c r="TYT7" s="36"/>
      <c r="TYU7" s="37"/>
      <c r="TYV7" s="36"/>
      <c r="TYW7" s="37"/>
      <c r="TYX7" s="36"/>
      <c r="TYY7" s="37"/>
      <c r="TYZ7" s="36"/>
      <c r="TZA7" s="37"/>
      <c r="TZB7" s="36"/>
      <c r="TZC7" s="36"/>
      <c r="TZD7" s="37"/>
      <c r="TZE7" s="37"/>
      <c r="TZG7" s="22"/>
      <c r="TZH7" s="35"/>
      <c r="TZI7" s="36"/>
      <c r="TZJ7" s="37"/>
      <c r="TZK7" s="36"/>
      <c r="TZL7" s="37"/>
      <c r="TZM7" s="36"/>
      <c r="TZN7" s="37"/>
      <c r="TZO7" s="36"/>
      <c r="TZP7" s="37"/>
      <c r="TZQ7" s="36"/>
      <c r="TZR7" s="37"/>
      <c r="TZS7" s="36"/>
      <c r="TZT7" s="37"/>
      <c r="TZU7" s="36"/>
      <c r="TZV7" s="37"/>
      <c r="TZW7" s="36"/>
      <c r="TZX7" s="37"/>
      <c r="TZY7" s="36"/>
      <c r="TZZ7" s="37"/>
      <c r="UAA7" s="36"/>
      <c r="UAB7" s="36"/>
      <c r="UAC7" s="37"/>
      <c r="UAD7" s="37"/>
      <c r="UAF7" s="22"/>
      <c r="UAG7" s="35"/>
      <c r="UAH7" s="36"/>
      <c r="UAI7" s="37"/>
      <c r="UAJ7" s="36"/>
      <c r="UAK7" s="37"/>
      <c r="UAL7" s="36"/>
      <c r="UAM7" s="37"/>
      <c r="UAN7" s="36"/>
      <c r="UAO7" s="37"/>
      <c r="UAP7" s="36"/>
      <c r="UAQ7" s="37"/>
      <c r="UAR7" s="36"/>
      <c r="UAS7" s="37"/>
      <c r="UAT7" s="36"/>
      <c r="UAU7" s="37"/>
      <c r="UAV7" s="36"/>
      <c r="UAW7" s="37"/>
      <c r="UAX7" s="36"/>
      <c r="UAY7" s="37"/>
      <c r="UAZ7" s="36"/>
      <c r="UBA7" s="36"/>
      <c r="UBB7" s="37"/>
      <c r="UBC7" s="37"/>
      <c r="UBE7" s="22"/>
      <c r="UBF7" s="35"/>
      <c r="UBG7" s="36"/>
      <c r="UBH7" s="37"/>
      <c r="UBI7" s="36"/>
      <c r="UBJ7" s="37"/>
      <c r="UBK7" s="36"/>
      <c r="UBL7" s="37"/>
      <c r="UBM7" s="36"/>
      <c r="UBN7" s="37"/>
      <c r="UBO7" s="36"/>
      <c r="UBP7" s="37"/>
      <c r="UBQ7" s="36"/>
      <c r="UBR7" s="37"/>
      <c r="UBS7" s="36"/>
      <c r="UBT7" s="37"/>
      <c r="UBU7" s="36"/>
      <c r="UBV7" s="37"/>
      <c r="UBW7" s="36"/>
      <c r="UBX7" s="37"/>
      <c r="UBY7" s="36"/>
      <c r="UBZ7" s="36"/>
      <c r="UCA7" s="37"/>
      <c r="UCB7" s="37"/>
      <c r="UCD7" s="22"/>
      <c r="UCE7" s="35"/>
      <c r="UCF7" s="36"/>
      <c r="UCG7" s="37"/>
      <c r="UCH7" s="36"/>
      <c r="UCI7" s="37"/>
      <c r="UCJ7" s="36"/>
      <c r="UCK7" s="37"/>
      <c r="UCL7" s="36"/>
      <c r="UCM7" s="37"/>
      <c r="UCN7" s="36"/>
      <c r="UCO7" s="37"/>
      <c r="UCP7" s="36"/>
      <c r="UCQ7" s="37"/>
      <c r="UCR7" s="36"/>
      <c r="UCS7" s="37"/>
      <c r="UCT7" s="36"/>
      <c r="UCU7" s="37"/>
      <c r="UCV7" s="36"/>
      <c r="UCW7" s="37"/>
      <c r="UCX7" s="36"/>
      <c r="UCY7" s="36"/>
      <c r="UCZ7" s="37"/>
      <c r="UDA7" s="37"/>
      <c r="UDC7" s="22"/>
      <c r="UDD7" s="35"/>
      <c r="UDE7" s="36"/>
      <c r="UDF7" s="37"/>
      <c r="UDG7" s="36"/>
      <c r="UDH7" s="37"/>
      <c r="UDI7" s="36"/>
      <c r="UDJ7" s="37"/>
      <c r="UDK7" s="36"/>
      <c r="UDL7" s="37"/>
      <c r="UDM7" s="36"/>
      <c r="UDN7" s="37"/>
      <c r="UDO7" s="36"/>
      <c r="UDP7" s="37"/>
      <c r="UDQ7" s="36"/>
      <c r="UDR7" s="37"/>
      <c r="UDS7" s="36"/>
      <c r="UDT7" s="37"/>
      <c r="UDU7" s="36"/>
      <c r="UDV7" s="37"/>
      <c r="UDW7" s="36"/>
      <c r="UDX7" s="36"/>
      <c r="UDY7" s="37"/>
      <c r="UDZ7" s="37"/>
      <c r="UEB7" s="22"/>
      <c r="UEC7" s="35"/>
      <c r="UED7" s="36"/>
      <c r="UEE7" s="37"/>
      <c r="UEF7" s="36"/>
      <c r="UEG7" s="37"/>
      <c r="UEH7" s="36"/>
      <c r="UEI7" s="37"/>
      <c r="UEJ7" s="36"/>
      <c r="UEK7" s="37"/>
      <c r="UEL7" s="36"/>
      <c r="UEM7" s="37"/>
      <c r="UEN7" s="36"/>
      <c r="UEO7" s="37"/>
      <c r="UEP7" s="36"/>
      <c r="UEQ7" s="37"/>
      <c r="UER7" s="36"/>
      <c r="UES7" s="37"/>
      <c r="UET7" s="36"/>
      <c r="UEU7" s="37"/>
      <c r="UEV7" s="36"/>
      <c r="UEW7" s="36"/>
      <c r="UEX7" s="37"/>
      <c r="UEY7" s="37"/>
      <c r="UFA7" s="22"/>
      <c r="UFB7" s="35"/>
      <c r="UFC7" s="36"/>
      <c r="UFD7" s="37"/>
      <c r="UFE7" s="36"/>
      <c r="UFF7" s="37"/>
      <c r="UFG7" s="36"/>
      <c r="UFH7" s="37"/>
      <c r="UFI7" s="36"/>
      <c r="UFJ7" s="37"/>
      <c r="UFK7" s="36"/>
      <c r="UFL7" s="37"/>
      <c r="UFM7" s="36"/>
      <c r="UFN7" s="37"/>
      <c r="UFO7" s="36"/>
      <c r="UFP7" s="37"/>
      <c r="UFQ7" s="36"/>
      <c r="UFR7" s="37"/>
      <c r="UFS7" s="36"/>
      <c r="UFT7" s="37"/>
      <c r="UFU7" s="36"/>
      <c r="UFV7" s="36"/>
      <c r="UFW7" s="37"/>
      <c r="UFX7" s="37"/>
      <c r="UFZ7" s="22"/>
      <c r="UGA7" s="35"/>
      <c r="UGB7" s="36"/>
      <c r="UGC7" s="37"/>
      <c r="UGD7" s="36"/>
      <c r="UGE7" s="37"/>
      <c r="UGF7" s="36"/>
      <c r="UGG7" s="37"/>
      <c r="UGH7" s="36"/>
      <c r="UGI7" s="37"/>
      <c r="UGJ7" s="36"/>
      <c r="UGK7" s="37"/>
      <c r="UGL7" s="36"/>
      <c r="UGM7" s="37"/>
      <c r="UGN7" s="36"/>
      <c r="UGO7" s="37"/>
      <c r="UGP7" s="36"/>
      <c r="UGQ7" s="37"/>
      <c r="UGR7" s="36"/>
      <c r="UGS7" s="37"/>
      <c r="UGT7" s="36"/>
      <c r="UGU7" s="36"/>
      <c r="UGV7" s="37"/>
      <c r="UGW7" s="37"/>
      <c r="UGY7" s="22"/>
      <c r="UGZ7" s="35"/>
      <c r="UHA7" s="36"/>
      <c r="UHB7" s="37"/>
      <c r="UHC7" s="36"/>
      <c r="UHD7" s="37"/>
      <c r="UHE7" s="36"/>
      <c r="UHF7" s="37"/>
      <c r="UHG7" s="36"/>
      <c r="UHH7" s="37"/>
      <c r="UHI7" s="36"/>
      <c r="UHJ7" s="37"/>
      <c r="UHK7" s="36"/>
      <c r="UHL7" s="37"/>
      <c r="UHM7" s="36"/>
      <c r="UHN7" s="37"/>
      <c r="UHO7" s="36"/>
      <c r="UHP7" s="37"/>
      <c r="UHQ7" s="36"/>
      <c r="UHR7" s="37"/>
      <c r="UHS7" s="36"/>
      <c r="UHT7" s="36"/>
      <c r="UHU7" s="37"/>
      <c r="UHV7" s="37"/>
      <c r="UHX7" s="22"/>
      <c r="UHY7" s="35"/>
      <c r="UHZ7" s="36"/>
      <c r="UIA7" s="37"/>
      <c r="UIB7" s="36"/>
      <c r="UIC7" s="37"/>
      <c r="UID7" s="36"/>
      <c r="UIE7" s="37"/>
      <c r="UIF7" s="36"/>
      <c r="UIG7" s="37"/>
      <c r="UIH7" s="36"/>
      <c r="UII7" s="37"/>
      <c r="UIJ7" s="36"/>
      <c r="UIK7" s="37"/>
      <c r="UIL7" s="36"/>
      <c r="UIM7" s="37"/>
      <c r="UIN7" s="36"/>
      <c r="UIO7" s="37"/>
      <c r="UIP7" s="36"/>
      <c r="UIQ7" s="37"/>
      <c r="UIR7" s="36"/>
      <c r="UIS7" s="36"/>
      <c r="UIT7" s="37"/>
      <c r="UIU7" s="37"/>
      <c r="UIW7" s="22"/>
      <c r="UIX7" s="35"/>
      <c r="UIY7" s="36"/>
      <c r="UIZ7" s="37"/>
      <c r="UJA7" s="36"/>
      <c r="UJB7" s="37"/>
      <c r="UJC7" s="36"/>
      <c r="UJD7" s="37"/>
      <c r="UJE7" s="36"/>
      <c r="UJF7" s="37"/>
      <c r="UJG7" s="36"/>
      <c r="UJH7" s="37"/>
      <c r="UJI7" s="36"/>
      <c r="UJJ7" s="37"/>
      <c r="UJK7" s="36"/>
      <c r="UJL7" s="37"/>
      <c r="UJM7" s="36"/>
      <c r="UJN7" s="37"/>
      <c r="UJO7" s="36"/>
      <c r="UJP7" s="37"/>
      <c r="UJQ7" s="36"/>
      <c r="UJR7" s="36"/>
      <c r="UJS7" s="37"/>
      <c r="UJT7" s="37"/>
      <c r="UJV7" s="22"/>
      <c r="UJW7" s="35"/>
      <c r="UJX7" s="36"/>
      <c r="UJY7" s="37"/>
      <c r="UJZ7" s="36"/>
      <c r="UKA7" s="37"/>
      <c r="UKB7" s="36"/>
      <c r="UKC7" s="37"/>
      <c r="UKD7" s="36"/>
      <c r="UKE7" s="37"/>
      <c r="UKF7" s="36"/>
      <c r="UKG7" s="37"/>
      <c r="UKH7" s="36"/>
      <c r="UKI7" s="37"/>
      <c r="UKJ7" s="36"/>
      <c r="UKK7" s="37"/>
      <c r="UKL7" s="36"/>
      <c r="UKM7" s="37"/>
      <c r="UKN7" s="36"/>
      <c r="UKO7" s="37"/>
      <c r="UKP7" s="36"/>
      <c r="UKQ7" s="36"/>
      <c r="UKR7" s="37"/>
      <c r="UKS7" s="37"/>
      <c r="UKU7" s="22"/>
      <c r="UKV7" s="35"/>
      <c r="UKW7" s="36"/>
      <c r="UKX7" s="37"/>
      <c r="UKY7" s="36"/>
      <c r="UKZ7" s="37"/>
      <c r="ULA7" s="36"/>
      <c r="ULB7" s="37"/>
      <c r="ULC7" s="36"/>
      <c r="ULD7" s="37"/>
      <c r="ULE7" s="36"/>
      <c r="ULF7" s="37"/>
      <c r="ULG7" s="36"/>
      <c r="ULH7" s="37"/>
      <c r="ULI7" s="36"/>
      <c r="ULJ7" s="37"/>
      <c r="ULK7" s="36"/>
      <c r="ULL7" s="37"/>
      <c r="ULM7" s="36"/>
      <c r="ULN7" s="37"/>
      <c r="ULO7" s="36"/>
      <c r="ULP7" s="36"/>
      <c r="ULQ7" s="37"/>
      <c r="ULR7" s="37"/>
      <c r="ULT7" s="22"/>
      <c r="ULU7" s="35"/>
      <c r="ULV7" s="36"/>
      <c r="ULW7" s="37"/>
      <c r="ULX7" s="36"/>
      <c r="ULY7" s="37"/>
      <c r="ULZ7" s="36"/>
      <c r="UMA7" s="37"/>
      <c r="UMB7" s="36"/>
      <c r="UMC7" s="37"/>
      <c r="UMD7" s="36"/>
      <c r="UME7" s="37"/>
      <c r="UMF7" s="36"/>
      <c r="UMG7" s="37"/>
      <c r="UMH7" s="36"/>
      <c r="UMI7" s="37"/>
      <c r="UMJ7" s="36"/>
      <c r="UMK7" s="37"/>
      <c r="UML7" s="36"/>
      <c r="UMM7" s="37"/>
      <c r="UMN7" s="36"/>
      <c r="UMO7" s="36"/>
      <c r="UMP7" s="37"/>
      <c r="UMQ7" s="37"/>
      <c r="UMS7" s="22"/>
      <c r="UMT7" s="35"/>
      <c r="UMU7" s="36"/>
      <c r="UMV7" s="37"/>
      <c r="UMW7" s="36"/>
      <c r="UMX7" s="37"/>
      <c r="UMY7" s="36"/>
      <c r="UMZ7" s="37"/>
      <c r="UNA7" s="36"/>
      <c r="UNB7" s="37"/>
      <c r="UNC7" s="36"/>
      <c r="UND7" s="37"/>
      <c r="UNE7" s="36"/>
      <c r="UNF7" s="37"/>
      <c r="UNG7" s="36"/>
      <c r="UNH7" s="37"/>
      <c r="UNI7" s="36"/>
      <c r="UNJ7" s="37"/>
      <c r="UNK7" s="36"/>
      <c r="UNL7" s="37"/>
      <c r="UNM7" s="36"/>
      <c r="UNN7" s="36"/>
      <c r="UNO7" s="37"/>
      <c r="UNP7" s="37"/>
      <c r="UNR7" s="22"/>
      <c r="UNS7" s="35"/>
      <c r="UNT7" s="36"/>
      <c r="UNU7" s="37"/>
      <c r="UNV7" s="36"/>
      <c r="UNW7" s="37"/>
      <c r="UNX7" s="36"/>
      <c r="UNY7" s="37"/>
      <c r="UNZ7" s="36"/>
      <c r="UOA7" s="37"/>
      <c r="UOB7" s="36"/>
      <c r="UOC7" s="37"/>
      <c r="UOD7" s="36"/>
      <c r="UOE7" s="37"/>
      <c r="UOF7" s="36"/>
      <c r="UOG7" s="37"/>
      <c r="UOH7" s="36"/>
      <c r="UOI7" s="37"/>
      <c r="UOJ7" s="36"/>
      <c r="UOK7" s="37"/>
      <c r="UOL7" s="36"/>
      <c r="UOM7" s="36"/>
      <c r="UON7" s="37"/>
      <c r="UOO7" s="37"/>
      <c r="UOQ7" s="22"/>
      <c r="UOR7" s="35"/>
      <c r="UOS7" s="36"/>
      <c r="UOT7" s="37"/>
      <c r="UOU7" s="36"/>
      <c r="UOV7" s="37"/>
      <c r="UOW7" s="36"/>
      <c r="UOX7" s="37"/>
      <c r="UOY7" s="36"/>
      <c r="UOZ7" s="37"/>
      <c r="UPA7" s="36"/>
      <c r="UPB7" s="37"/>
      <c r="UPC7" s="36"/>
      <c r="UPD7" s="37"/>
      <c r="UPE7" s="36"/>
      <c r="UPF7" s="37"/>
      <c r="UPG7" s="36"/>
      <c r="UPH7" s="37"/>
      <c r="UPI7" s="36"/>
      <c r="UPJ7" s="37"/>
      <c r="UPK7" s="36"/>
      <c r="UPL7" s="36"/>
      <c r="UPM7" s="37"/>
      <c r="UPN7" s="37"/>
      <c r="UPP7" s="22"/>
      <c r="UPQ7" s="35"/>
      <c r="UPR7" s="36"/>
      <c r="UPS7" s="37"/>
      <c r="UPT7" s="36"/>
      <c r="UPU7" s="37"/>
      <c r="UPV7" s="36"/>
      <c r="UPW7" s="37"/>
      <c r="UPX7" s="36"/>
      <c r="UPY7" s="37"/>
      <c r="UPZ7" s="36"/>
      <c r="UQA7" s="37"/>
      <c r="UQB7" s="36"/>
      <c r="UQC7" s="37"/>
      <c r="UQD7" s="36"/>
      <c r="UQE7" s="37"/>
      <c r="UQF7" s="36"/>
      <c r="UQG7" s="37"/>
      <c r="UQH7" s="36"/>
      <c r="UQI7" s="37"/>
      <c r="UQJ7" s="36"/>
      <c r="UQK7" s="36"/>
      <c r="UQL7" s="37"/>
      <c r="UQM7" s="37"/>
      <c r="UQO7" s="22"/>
      <c r="UQP7" s="35"/>
      <c r="UQQ7" s="36"/>
      <c r="UQR7" s="37"/>
      <c r="UQS7" s="36"/>
      <c r="UQT7" s="37"/>
      <c r="UQU7" s="36"/>
      <c r="UQV7" s="37"/>
      <c r="UQW7" s="36"/>
      <c r="UQX7" s="37"/>
      <c r="UQY7" s="36"/>
      <c r="UQZ7" s="37"/>
      <c r="URA7" s="36"/>
      <c r="URB7" s="37"/>
      <c r="URC7" s="36"/>
      <c r="URD7" s="37"/>
      <c r="URE7" s="36"/>
      <c r="URF7" s="37"/>
      <c r="URG7" s="36"/>
      <c r="URH7" s="37"/>
      <c r="URI7" s="36"/>
      <c r="URJ7" s="36"/>
      <c r="URK7" s="37"/>
      <c r="URL7" s="37"/>
      <c r="URN7" s="22"/>
      <c r="URO7" s="35"/>
      <c r="URP7" s="36"/>
      <c r="URQ7" s="37"/>
      <c r="URR7" s="36"/>
      <c r="URS7" s="37"/>
      <c r="URT7" s="36"/>
      <c r="URU7" s="37"/>
      <c r="URV7" s="36"/>
      <c r="URW7" s="37"/>
      <c r="URX7" s="36"/>
      <c r="URY7" s="37"/>
      <c r="URZ7" s="36"/>
      <c r="USA7" s="37"/>
      <c r="USB7" s="36"/>
      <c r="USC7" s="37"/>
      <c r="USD7" s="36"/>
      <c r="USE7" s="37"/>
      <c r="USF7" s="36"/>
      <c r="USG7" s="37"/>
      <c r="USH7" s="36"/>
      <c r="USI7" s="36"/>
      <c r="USJ7" s="37"/>
      <c r="USK7" s="37"/>
      <c r="USM7" s="22"/>
      <c r="USN7" s="35"/>
      <c r="USO7" s="36"/>
      <c r="USP7" s="37"/>
      <c r="USQ7" s="36"/>
      <c r="USR7" s="37"/>
      <c r="USS7" s="36"/>
      <c r="UST7" s="37"/>
      <c r="USU7" s="36"/>
      <c r="USV7" s="37"/>
      <c r="USW7" s="36"/>
      <c r="USX7" s="37"/>
      <c r="USY7" s="36"/>
      <c r="USZ7" s="37"/>
      <c r="UTA7" s="36"/>
      <c r="UTB7" s="37"/>
      <c r="UTC7" s="36"/>
      <c r="UTD7" s="37"/>
      <c r="UTE7" s="36"/>
      <c r="UTF7" s="37"/>
      <c r="UTG7" s="36"/>
      <c r="UTH7" s="36"/>
      <c r="UTI7" s="37"/>
      <c r="UTJ7" s="37"/>
      <c r="UTL7" s="22"/>
      <c r="UTM7" s="35"/>
      <c r="UTN7" s="36"/>
      <c r="UTO7" s="37"/>
      <c r="UTP7" s="36"/>
      <c r="UTQ7" s="37"/>
      <c r="UTR7" s="36"/>
      <c r="UTS7" s="37"/>
      <c r="UTT7" s="36"/>
      <c r="UTU7" s="37"/>
      <c r="UTV7" s="36"/>
      <c r="UTW7" s="37"/>
      <c r="UTX7" s="36"/>
      <c r="UTY7" s="37"/>
      <c r="UTZ7" s="36"/>
      <c r="UUA7" s="37"/>
      <c r="UUB7" s="36"/>
      <c r="UUC7" s="37"/>
      <c r="UUD7" s="36"/>
      <c r="UUE7" s="37"/>
      <c r="UUF7" s="36"/>
      <c r="UUG7" s="36"/>
      <c r="UUH7" s="37"/>
      <c r="UUI7" s="37"/>
      <c r="UUK7" s="22"/>
      <c r="UUL7" s="35"/>
      <c r="UUM7" s="36"/>
      <c r="UUN7" s="37"/>
      <c r="UUO7" s="36"/>
      <c r="UUP7" s="37"/>
      <c r="UUQ7" s="36"/>
      <c r="UUR7" s="37"/>
      <c r="UUS7" s="36"/>
      <c r="UUT7" s="37"/>
      <c r="UUU7" s="36"/>
      <c r="UUV7" s="37"/>
      <c r="UUW7" s="36"/>
      <c r="UUX7" s="37"/>
      <c r="UUY7" s="36"/>
      <c r="UUZ7" s="37"/>
      <c r="UVA7" s="36"/>
      <c r="UVB7" s="37"/>
      <c r="UVC7" s="36"/>
      <c r="UVD7" s="37"/>
      <c r="UVE7" s="36"/>
      <c r="UVF7" s="36"/>
      <c r="UVG7" s="37"/>
      <c r="UVH7" s="37"/>
      <c r="UVJ7" s="22"/>
      <c r="UVK7" s="35"/>
      <c r="UVL7" s="36"/>
      <c r="UVM7" s="37"/>
      <c r="UVN7" s="36"/>
      <c r="UVO7" s="37"/>
      <c r="UVP7" s="36"/>
      <c r="UVQ7" s="37"/>
      <c r="UVR7" s="36"/>
      <c r="UVS7" s="37"/>
      <c r="UVT7" s="36"/>
      <c r="UVU7" s="37"/>
      <c r="UVV7" s="36"/>
      <c r="UVW7" s="37"/>
      <c r="UVX7" s="36"/>
      <c r="UVY7" s="37"/>
      <c r="UVZ7" s="36"/>
      <c r="UWA7" s="37"/>
      <c r="UWB7" s="36"/>
      <c r="UWC7" s="37"/>
      <c r="UWD7" s="36"/>
      <c r="UWE7" s="36"/>
      <c r="UWF7" s="37"/>
      <c r="UWG7" s="37"/>
      <c r="UWI7" s="22"/>
      <c r="UWJ7" s="35"/>
      <c r="UWK7" s="36"/>
      <c r="UWL7" s="37"/>
      <c r="UWM7" s="36"/>
      <c r="UWN7" s="37"/>
      <c r="UWO7" s="36"/>
      <c r="UWP7" s="37"/>
      <c r="UWQ7" s="36"/>
      <c r="UWR7" s="37"/>
      <c r="UWS7" s="36"/>
      <c r="UWT7" s="37"/>
      <c r="UWU7" s="36"/>
      <c r="UWV7" s="37"/>
      <c r="UWW7" s="36"/>
      <c r="UWX7" s="37"/>
      <c r="UWY7" s="36"/>
      <c r="UWZ7" s="37"/>
      <c r="UXA7" s="36"/>
      <c r="UXB7" s="37"/>
      <c r="UXC7" s="36"/>
      <c r="UXD7" s="36"/>
      <c r="UXE7" s="37"/>
      <c r="UXF7" s="37"/>
      <c r="UXH7" s="22"/>
      <c r="UXI7" s="35"/>
      <c r="UXJ7" s="36"/>
      <c r="UXK7" s="37"/>
      <c r="UXL7" s="36"/>
      <c r="UXM7" s="37"/>
      <c r="UXN7" s="36"/>
      <c r="UXO7" s="37"/>
      <c r="UXP7" s="36"/>
      <c r="UXQ7" s="37"/>
      <c r="UXR7" s="36"/>
      <c r="UXS7" s="37"/>
      <c r="UXT7" s="36"/>
      <c r="UXU7" s="37"/>
      <c r="UXV7" s="36"/>
      <c r="UXW7" s="37"/>
      <c r="UXX7" s="36"/>
      <c r="UXY7" s="37"/>
      <c r="UXZ7" s="36"/>
      <c r="UYA7" s="37"/>
      <c r="UYB7" s="36"/>
      <c r="UYC7" s="36"/>
      <c r="UYD7" s="37"/>
      <c r="UYE7" s="37"/>
      <c r="UYG7" s="22"/>
      <c r="UYH7" s="35"/>
      <c r="UYI7" s="36"/>
      <c r="UYJ7" s="37"/>
      <c r="UYK7" s="36"/>
      <c r="UYL7" s="37"/>
      <c r="UYM7" s="36"/>
      <c r="UYN7" s="37"/>
      <c r="UYO7" s="36"/>
      <c r="UYP7" s="37"/>
      <c r="UYQ7" s="36"/>
      <c r="UYR7" s="37"/>
      <c r="UYS7" s="36"/>
      <c r="UYT7" s="37"/>
      <c r="UYU7" s="36"/>
      <c r="UYV7" s="37"/>
      <c r="UYW7" s="36"/>
      <c r="UYX7" s="37"/>
      <c r="UYY7" s="36"/>
      <c r="UYZ7" s="37"/>
      <c r="UZA7" s="36"/>
      <c r="UZB7" s="36"/>
      <c r="UZC7" s="37"/>
      <c r="UZD7" s="37"/>
      <c r="UZF7" s="22"/>
      <c r="UZG7" s="35"/>
      <c r="UZH7" s="36"/>
      <c r="UZI7" s="37"/>
      <c r="UZJ7" s="36"/>
      <c r="UZK7" s="37"/>
      <c r="UZL7" s="36"/>
      <c r="UZM7" s="37"/>
      <c r="UZN7" s="36"/>
      <c r="UZO7" s="37"/>
      <c r="UZP7" s="36"/>
      <c r="UZQ7" s="37"/>
      <c r="UZR7" s="36"/>
      <c r="UZS7" s="37"/>
      <c r="UZT7" s="36"/>
      <c r="UZU7" s="37"/>
      <c r="UZV7" s="36"/>
      <c r="UZW7" s="37"/>
      <c r="UZX7" s="36"/>
      <c r="UZY7" s="37"/>
      <c r="UZZ7" s="36"/>
      <c r="VAA7" s="36"/>
      <c r="VAB7" s="37"/>
      <c r="VAC7" s="37"/>
      <c r="VAE7" s="22"/>
      <c r="VAF7" s="35"/>
      <c r="VAG7" s="36"/>
      <c r="VAH7" s="37"/>
      <c r="VAI7" s="36"/>
      <c r="VAJ7" s="37"/>
      <c r="VAK7" s="36"/>
      <c r="VAL7" s="37"/>
      <c r="VAM7" s="36"/>
      <c r="VAN7" s="37"/>
      <c r="VAO7" s="36"/>
      <c r="VAP7" s="37"/>
      <c r="VAQ7" s="36"/>
      <c r="VAR7" s="37"/>
      <c r="VAS7" s="36"/>
      <c r="VAT7" s="37"/>
      <c r="VAU7" s="36"/>
      <c r="VAV7" s="37"/>
      <c r="VAW7" s="36"/>
      <c r="VAX7" s="37"/>
      <c r="VAY7" s="36"/>
      <c r="VAZ7" s="36"/>
      <c r="VBA7" s="37"/>
      <c r="VBB7" s="37"/>
      <c r="VBD7" s="22"/>
      <c r="VBE7" s="35"/>
      <c r="VBF7" s="36"/>
      <c r="VBG7" s="37"/>
      <c r="VBH7" s="36"/>
      <c r="VBI7" s="37"/>
      <c r="VBJ7" s="36"/>
      <c r="VBK7" s="37"/>
      <c r="VBL7" s="36"/>
      <c r="VBM7" s="37"/>
      <c r="VBN7" s="36"/>
      <c r="VBO7" s="37"/>
      <c r="VBP7" s="36"/>
      <c r="VBQ7" s="37"/>
      <c r="VBR7" s="36"/>
      <c r="VBS7" s="37"/>
      <c r="VBT7" s="36"/>
      <c r="VBU7" s="37"/>
      <c r="VBV7" s="36"/>
      <c r="VBW7" s="37"/>
      <c r="VBX7" s="36"/>
      <c r="VBY7" s="36"/>
      <c r="VBZ7" s="37"/>
      <c r="VCA7" s="37"/>
      <c r="VCC7" s="22"/>
      <c r="VCD7" s="35"/>
      <c r="VCE7" s="36"/>
      <c r="VCF7" s="37"/>
      <c r="VCG7" s="36"/>
      <c r="VCH7" s="37"/>
      <c r="VCI7" s="36"/>
      <c r="VCJ7" s="37"/>
      <c r="VCK7" s="36"/>
      <c r="VCL7" s="37"/>
      <c r="VCM7" s="36"/>
      <c r="VCN7" s="37"/>
      <c r="VCO7" s="36"/>
      <c r="VCP7" s="37"/>
      <c r="VCQ7" s="36"/>
      <c r="VCR7" s="37"/>
      <c r="VCS7" s="36"/>
      <c r="VCT7" s="37"/>
      <c r="VCU7" s="36"/>
      <c r="VCV7" s="37"/>
      <c r="VCW7" s="36"/>
      <c r="VCX7" s="36"/>
      <c r="VCY7" s="37"/>
      <c r="VCZ7" s="37"/>
      <c r="VDB7" s="22"/>
      <c r="VDC7" s="35"/>
      <c r="VDD7" s="36"/>
      <c r="VDE7" s="37"/>
      <c r="VDF7" s="36"/>
      <c r="VDG7" s="37"/>
      <c r="VDH7" s="36"/>
      <c r="VDI7" s="37"/>
      <c r="VDJ7" s="36"/>
      <c r="VDK7" s="37"/>
      <c r="VDL7" s="36"/>
      <c r="VDM7" s="37"/>
      <c r="VDN7" s="36"/>
      <c r="VDO7" s="37"/>
      <c r="VDP7" s="36"/>
      <c r="VDQ7" s="37"/>
      <c r="VDR7" s="36"/>
      <c r="VDS7" s="37"/>
      <c r="VDT7" s="36"/>
      <c r="VDU7" s="37"/>
      <c r="VDV7" s="36"/>
      <c r="VDW7" s="36"/>
      <c r="VDX7" s="37"/>
      <c r="VDY7" s="37"/>
      <c r="VEA7" s="22"/>
      <c r="VEB7" s="35"/>
      <c r="VEC7" s="36"/>
      <c r="VED7" s="37"/>
      <c r="VEE7" s="36"/>
      <c r="VEF7" s="37"/>
      <c r="VEG7" s="36"/>
      <c r="VEH7" s="37"/>
      <c r="VEI7" s="36"/>
      <c r="VEJ7" s="37"/>
      <c r="VEK7" s="36"/>
      <c r="VEL7" s="37"/>
      <c r="VEM7" s="36"/>
      <c r="VEN7" s="37"/>
      <c r="VEO7" s="36"/>
      <c r="VEP7" s="37"/>
      <c r="VEQ7" s="36"/>
      <c r="VER7" s="37"/>
      <c r="VES7" s="36"/>
      <c r="VET7" s="37"/>
      <c r="VEU7" s="36"/>
      <c r="VEV7" s="36"/>
      <c r="VEW7" s="37"/>
      <c r="VEX7" s="37"/>
      <c r="VEZ7" s="22"/>
      <c r="VFA7" s="35"/>
      <c r="VFB7" s="36"/>
      <c r="VFC7" s="37"/>
      <c r="VFD7" s="36"/>
      <c r="VFE7" s="37"/>
      <c r="VFF7" s="36"/>
      <c r="VFG7" s="37"/>
      <c r="VFH7" s="36"/>
      <c r="VFI7" s="37"/>
      <c r="VFJ7" s="36"/>
      <c r="VFK7" s="37"/>
      <c r="VFL7" s="36"/>
      <c r="VFM7" s="37"/>
      <c r="VFN7" s="36"/>
      <c r="VFO7" s="37"/>
      <c r="VFP7" s="36"/>
      <c r="VFQ7" s="37"/>
      <c r="VFR7" s="36"/>
      <c r="VFS7" s="37"/>
      <c r="VFT7" s="36"/>
      <c r="VFU7" s="36"/>
      <c r="VFV7" s="37"/>
      <c r="VFW7" s="37"/>
      <c r="VFY7" s="22"/>
      <c r="VFZ7" s="35"/>
      <c r="VGA7" s="36"/>
      <c r="VGB7" s="37"/>
      <c r="VGC7" s="36"/>
      <c r="VGD7" s="37"/>
      <c r="VGE7" s="36"/>
      <c r="VGF7" s="37"/>
      <c r="VGG7" s="36"/>
      <c r="VGH7" s="37"/>
      <c r="VGI7" s="36"/>
      <c r="VGJ7" s="37"/>
      <c r="VGK7" s="36"/>
      <c r="VGL7" s="37"/>
      <c r="VGM7" s="36"/>
      <c r="VGN7" s="37"/>
      <c r="VGO7" s="36"/>
      <c r="VGP7" s="37"/>
      <c r="VGQ7" s="36"/>
      <c r="VGR7" s="37"/>
      <c r="VGS7" s="36"/>
      <c r="VGT7" s="36"/>
      <c r="VGU7" s="37"/>
      <c r="VGV7" s="37"/>
      <c r="VGX7" s="22"/>
      <c r="VGY7" s="35"/>
      <c r="VGZ7" s="36"/>
      <c r="VHA7" s="37"/>
      <c r="VHB7" s="36"/>
      <c r="VHC7" s="37"/>
      <c r="VHD7" s="36"/>
      <c r="VHE7" s="37"/>
      <c r="VHF7" s="36"/>
      <c r="VHG7" s="37"/>
      <c r="VHH7" s="36"/>
      <c r="VHI7" s="37"/>
      <c r="VHJ7" s="36"/>
      <c r="VHK7" s="37"/>
      <c r="VHL7" s="36"/>
      <c r="VHM7" s="37"/>
      <c r="VHN7" s="36"/>
      <c r="VHO7" s="37"/>
      <c r="VHP7" s="36"/>
      <c r="VHQ7" s="37"/>
      <c r="VHR7" s="36"/>
      <c r="VHS7" s="36"/>
      <c r="VHT7" s="37"/>
      <c r="VHU7" s="37"/>
      <c r="VHW7" s="22"/>
      <c r="VHX7" s="35"/>
      <c r="VHY7" s="36"/>
      <c r="VHZ7" s="37"/>
      <c r="VIA7" s="36"/>
      <c r="VIB7" s="37"/>
      <c r="VIC7" s="36"/>
      <c r="VID7" s="37"/>
      <c r="VIE7" s="36"/>
      <c r="VIF7" s="37"/>
      <c r="VIG7" s="36"/>
      <c r="VIH7" s="37"/>
      <c r="VII7" s="36"/>
      <c r="VIJ7" s="37"/>
      <c r="VIK7" s="36"/>
      <c r="VIL7" s="37"/>
      <c r="VIM7" s="36"/>
      <c r="VIN7" s="37"/>
      <c r="VIO7" s="36"/>
      <c r="VIP7" s="37"/>
      <c r="VIQ7" s="36"/>
      <c r="VIR7" s="36"/>
      <c r="VIS7" s="37"/>
      <c r="VIT7" s="37"/>
      <c r="VIV7" s="22"/>
      <c r="VIW7" s="35"/>
      <c r="VIX7" s="36"/>
      <c r="VIY7" s="37"/>
      <c r="VIZ7" s="36"/>
      <c r="VJA7" s="37"/>
      <c r="VJB7" s="36"/>
      <c r="VJC7" s="37"/>
      <c r="VJD7" s="36"/>
      <c r="VJE7" s="37"/>
      <c r="VJF7" s="36"/>
      <c r="VJG7" s="37"/>
      <c r="VJH7" s="36"/>
      <c r="VJI7" s="37"/>
      <c r="VJJ7" s="36"/>
      <c r="VJK7" s="37"/>
      <c r="VJL7" s="36"/>
      <c r="VJM7" s="37"/>
      <c r="VJN7" s="36"/>
      <c r="VJO7" s="37"/>
      <c r="VJP7" s="36"/>
      <c r="VJQ7" s="36"/>
      <c r="VJR7" s="37"/>
      <c r="VJS7" s="37"/>
      <c r="VJU7" s="22"/>
      <c r="VJV7" s="35"/>
      <c r="VJW7" s="36"/>
      <c r="VJX7" s="37"/>
      <c r="VJY7" s="36"/>
      <c r="VJZ7" s="37"/>
      <c r="VKA7" s="36"/>
      <c r="VKB7" s="37"/>
      <c r="VKC7" s="36"/>
      <c r="VKD7" s="37"/>
      <c r="VKE7" s="36"/>
      <c r="VKF7" s="37"/>
      <c r="VKG7" s="36"/>
      <c r="VKH7" s="37"/>
      <c r="VKI7" s="36"/>
      <c r="VKJ7" s="37"/>
      <c r="VKK7" s="36"/>
      <c r="VKL7" s="37"/>
      <c r="VKM7" s="36"/>
      <c r="VKN7" s="37"/>
      <c r="VKO7" s="36"/>
      <c r="VKP7" s="36"/>
      <c r="VKQ7" s="37"/>
      <c r="VKR7" s="37"/>
      <c r="VKT7" s="22"/>
      <c r="VKU7" s="35"/>
      <c r="VKV7" s="36"/>
      <c r="VKW7" s="37"/>
      <c r="VKX7" s="36"/>
      <c r="VKY7" s="37"/>
      <c r="VKZ7" s="36"/>
      <c r="VLA7" s="37"/>
      <c r="VLB7" s="36"/>
      <c r="VLC7" s="37"/>
      <c r="VLD7" s="36"/>
      <c r="VLE7" s="37"/>
      <c r="VLF7" s="36"/>
      <c r="VLG7" s="37"/>
      <c r="VLH7" s="36"/>
      <c r="VLI7" s="37"/>
      <c r="VLJ7" s="36"/>
      <c r="VLK7" s="37"/>
      <c r="VLL7" s="36"/>
      <c r="VLM7" s="37"/>
      <c r="VLN7" s="36"/>
      <c r="VLO7" s="36"/>
      <c r="VLP7" s="37"/>
      <c r="VLQ7" s="37"/>
      <c r="VLS7" s="22"/>
      <c r="VLT7" s="35"/>
      <c r="VLU7" s="36"/>
      <c r="VLV7" s="37"/>
      <c r="VLW7" s="36"/>
      <c r="VLX7" s="37"/>
      <c r="VLY7" s="36"/>
      <c r="VLZ7" s="37"/>
      <c r="VMA7" s="36"/>
      <c r="VMB7" s="37"/>
      <c r="VMC7" s="36"/>
      <c r="VMD7" s="37"/>
      <c r="VME7" s="36"/>
      <c r="VMF7" s="37"/>
      <c r="VMG7" s="36"/>
      <c r="VMH7" s="37"/>
      <c r="VMI7" s="36"/>
      <c r="VMJ7" s="37"/>
      <c r="VMK7" s="36"/>
      <c r="VML7" s="37"/>
      <c r="VMM7" s="36"/>
      <c r="VMN7" s="36"/>
      <c r="VMO7" s="37"/>
      <c r="VMP7" s="37"/>
      <c r="VMR7" s="22"/>
      <c r="VMS7" s="35"/>
      <c r="VMT7" s="36"/>
      <c r="VMU7" s="37"/>
      <c r="VMV7" s="36"/>
      <c r="VMW7" s="37"/>
      <c r="VMX7" s="36"/>
      <c r="VMY7" s="37"/>
      <c r="VMZ7" s="36"/>
      <c r="VNA7" s="37"/>
      <c r="VNB7" s="36"/>
      <c r="VNC7" s="37"/>
      <c r="VND7" s="36"/>
      <c r="VNE7" s="37"/>
      <c r="VNF7" s="36"/>
      <c r="VNG7" s="37"/>
      <c r="VNH7" s="36"/>
      <c r="VNI7" s="37"/>
      <c r="VNJ7" s="36"/>
      <c r="VNK7" s="37"/>
      <c r="VNL7" s="36"/>
      <c r="VNM7" s="36"/>
      <c r="VNN7" s="37"/>
      <c r="VNO7" s="37"/>
      <c r="VNQ7" s="22"/>
      <c r="VNR7" s="35"/>
      <c r="VNS7" s="36"/>
      <c r="VNT7" s="37"/>
      <c r="VNU7" s="36"/>
      <c r="VNV7" s="37"/>
      <c r="VNW7" s="36"/>
      <c r="VNX7" s="37"/>
      <c r="VNY7" s="36"/>
      <c r="VNZ7" s="37"/>
      <c r="VOA7" s="36"/>
      <c r="VOB7" s="37"/>
      <c r="VOC7" s="36"/>
      <c r="VOD7" s="37"/>
      <c r="VOE7" s="36"/>
      <c r="VOF7" s="37"/>
      <c r="VOG7" s="36"/>
      <c r="VOH7" s="37"/>
      <c r="VOI7" s="36"/>
      <c r="VOJ7" s="37"/>
      <c r="VOK7" s="36"/>
      <c r="VOL7" s="36"/>
      <c r="VOM7" s="37"/>
      <c r="VON7" s="37"/>
      <c r="VOP7" s="22"/>
      <c r="VOQ7" s="35"/>
      <c r="VOR7" s="36"/>
      <c r="VOS7" s="37"/>
      <c r="VOT7" s="36"/>
      <c r="VOU7" s="37"/>
      <c r="VOV7" s="36"/>
      <c r="VOW7" s="37"/>
      <c r="VOX7" s="36"/>
      <c r="VOY7" s="37"/>
      <c r="VOZ7" s="36"/>
      <c r="VPA7" s="37"/>
      <c r="VPB7" s="36"/>
      <c r="VPC7" s="37"/>
      <c r="VPD7" s="36"/>
      <c r="VPE7" s="37"/>
      <c r="VPF7" s="36"/>
      <c r="VPG7" s="37"/>
      <c r="VPH7" s="36"/>
      <c r="VPI7" s="37"/>
      <c r="VPJ7" s="36"/>
      <c r="VPK7" s="36"/>
      <c r="VPL7" s="37"/>
      <c r="VPM7" s="37"/>
      <c r="VPO7" s="22"/>
      <c r="VPP7" s="35"/>
      <c r="VPQ7" s="36"/>
      <c r="VPR7" s="37"/>
      <c r="VPS7" s="36"/>
      <c r="VPT7" s="37"/>
      <c r="VPU7" s="36"/>
      <c r="VPV7" s="37"/>
      <c r="VPW7" s="36"/>
      <c r="VPX7" s="37"/>
      <c r="VPY7" s="36"/>
      <c r="VPZ7" s="37"/>
      <c r="VQA7" s="36"/>
      <c r="VQB7" s="37"/>
      <c r="VQC7" s="36"/>
      <c r="VQD7" s="37"/>
      <c r="VQE7" s="36"/>
      <c r="VQF7" s="37"/>
      <c r="VQG7" s="36"/>
      <c r="VQH7" s="37"/>
      <c r="VQI7" s="36"/>
      <c r="VQJ7" s="36"/>
      <c r="VQK7" s="37"/>
      <c r="VQL7" s="37"/>
      <c r="VQN7" s="22"/>
      <c r="VQO7" s="35"/>
      <c r="VQP7" s="36"/>
      <c r="VQQ7" s="37"/>
      <c r="VQR7" s="36"/>
      <c r="VQS7" s="37"/>
      <c r="VQT7" s="36"/>
      <c r="VQU7" s="37"/>
      <c r="VQV7" s="36"/>
      <c r="VQW7" s="37"/>
      <c r="VQX7" s="36"/>
      <c r="VQY7" s="37"/>
      <c r="VQZ7" s="36"/>
      <c r="VRA7" s="37"/>
      <c r="VRB7" s="36"/>
      <c r="VRC7" s="37"/>
      <c r="VRD7" s="36"/>
      <c r="VRE7" s="37"/>
      <c r="VRF7" s="36"/>
      <c r="VRG7" s="37"/>
      <c r="VRH7" s="36"/>
      <c r="VRI7" s="36"/>
      <c r="VRJ7" s="37"/>
      <c r="VRK7" s="37"/>
      <c r="VRM7" s="22"/>
      <c r="VRN7" s="35"/>
      <c r="VRO7" s="36"/>
      <c r="VRP7" s="37"/>
      <c r="VRQ7" s="36"/>
      <c r="VRR7" s="37"/>
      <c r="VRS7" s="36"/>
      <c r="VRT7" s="37"/>
      <c r="VRU7" s="36"/>
      <c r="VRV7" s="37"/>
      <c r="VRW7" s="36"/>
      <c r="VRX7" s="37"/>
      <c r="VRY7" s="36"/>
      <c r="VRZ7" s="37"/>
      <c r="VSA7" s="36"/>
      <c r="VSB7" s="37"/>
      <c r="VSC7" s="36"/>
      <c r="VSD7" s="37"/>
      <c r="VSE7" s="36"/>
      <c r="VSF7" s="37"/>
      <c r="VSG7" s="36"/>
      <c r="VSH7" s="36"/>
      <c r="VSI7" s="37"/>
      <c r="VSJ7" s="37"/>
      <c r="VSL7" s="22"/>
      <c r="VSM7" s="35"/>
      <c r="VSN7" s="36"/>
      <c r="VSO7" s="37"/>
      <c r="VSP7" s="36"/>
      <c r="VSQ7" s="37"/>
      <c r="VSR7" s="36"/>
      <c r="VSS7" s="37"/>
      <c r="VST7" s="36"/>
      <c r="VSU7" s="37"/>
      <c r="VSV7" s="36"/>
      <c r="VSW7" s="37"/>
      <c r="VSX7" s="36"/>
      <c r="VSY7" s="37"/>
      <c r="VSZ7" s="36"/>
      <c r="VTA7" s="37"/>
      <c r="VTB7" s="36"/>
      <c r="VTC7" s="37"/>
      <c r="VTD7" s="36"/>
      <c r="VTE7" s="37"/>
      <c r="VTF7" s="36"/>
      <c r="VTG7" s="36"/>
      <c r="VTH7" s="37"/>
      <c r="VTI7" s="37"/>
      <c r="VTK7" s="22"/>
      <c r="VTL7" s="35"/>
      <c r="VTM7" s="36"/>
      <c r="VTN7" s="37"/>
      <c r="VTO7" s="36"/>
      <c r="VTP7" s="37"/>
      <c r="VTQ7" s="36"/>
      <c r="VTR7" s="37"/>
      <c r="VTS7" s="36"/>
      <c r="VTT7" s="37"/>
      <c r="VTU7" s="36"/>
      <c r="VTV7" s="37"/>
      <c r="VTW7" s="36"/>
      <c r="VTX7" s="37"/>
      <c r="VTY7" s="36"/>
      <c r="VTZ7" s="37"/>
      <c r="VUA7" s="36"/>
      <c r="VUB7" s="37"/>
      <c r="VUC7" s="36"/>
      <c r="VUD7" s="37"/>
      <c r="VUE7" s="36"/>
      <c r="VUF7" s="36"/>
      <c r="VUG7" s="37"/>
      <c r="VUH7" s="37"/>
      <c r="VUJ7" s="22"/>
      <c r="VUK7" s="35"/>
      <c r="VUL7" s="36"/>
      <c r="VUM7" s="37"/>
      <c r="VUN7" s="36"/>
      <c r="VUO7" s="37"/>
      <c r="VUP7" s="36"/>
      <c r="VUQ7" s="37"/>
      <c r="VUR7" s="36"/>
      <c r="VUS7" s="37"/>
      <c r="VUT7" s="36"/>
      <c r="VUU7" s="37"/>
      <c r="VUV7" s="36"/>
      <c r="VUW7" s="37"/>
      <c r="VUX7" s="36"/>
      <c r="VUY7" s="37"/>
      <c r="VUZ7" s="36"/>
      <c r="VVA7" s="37"/>
      <c r="VVB7" s="36"/>
      <c r="VVC7" s="37"/>
      <c r="VVD7" s="36"/>
      <c r="VVE7" s="36"/>
      <c r="VVF7" s="37"/>
      <c r="VVG7" s="37"/>
      <c r="VVI7" s="22"/>
      <c r="VVJ7" s="35"/>
      <c r="VVK7" s="36"/>
      <c r="VVL7" s="37"/>
      <c r="VVM7" s="36"/>
      <c r="VVN7" s="37"/>
      <c r="VVO7" s="36"/>
      <c r="VVP7" s="37"/>
      <c r="VVQ7" s="36"/>
      <c r="VVR7" s="37"/>
      <c r="VVS7" s="36"/>
      <c r="VVT7" s="37"/>
      <c r="VVU7" s="36"/>
      <c r="VVV7" s="37"/>
      <c r="VVW7" s="36"/>
      <c r="VVX7" s="37"/>
      <c r="VVY7" s="36"/>
      <c r="VVZ7" s="37"/>
      <c r="VWA7" s="36"/>
      <c r="VWB7" s="37"/>
      <c r="VWC7" s="36"/>
      <c r="VWD7" s="36"/>
      <c r="VWE7" s="37"/>
      <c r="VWF7" s="37"/>
      <c r="VWH7" s="22"/>
      <c r="VWI7" s="35"/>
      <c r="VWJ7" s="36"/>
      <c r="VWK7" s="37"/>
      <c r="VWL7" s="36"/>
      <c r="VWM7" s="37"/>
      <c r="VWN7" s="36"/>
      <c r="VWO7" s="37"/>
      <c r="VWP7" s="36"/>
      <c r="VWQ7" s="37"/>
      <c r="VWR7" s="36"/>
      <c r="VWS7" s="37"/>
      <c r="VWT7" s="36"/>
      <c r="VWU7" s="37"/>
      <c r="VWV7" s="36"/>
      <c r="VWW7" s="37"/>
      <c r="VWX7" s="36"/>
      <c r="VWY7" s="37"/>
      <c r="VWZ7" s="36"/>
      <c r="VXA7" s="37"/>
      <c r="VXB7" s="36"/>
      <c r="VXC7" s="36"/>
      <c r="VXD7" s="37"/>
      <c r="VXE7" s="37"/>
      <c r="VXG7" s="22"/>
      <c r="VXH7" s="35"/>
      <c r="VXI7" s="36"/>
      <c r="VXJ7" s="37"/>
      <c r="VXK7" s="36"/>
      <c r="VXL7" s="37"/>
      <c r="VXM7" s="36"/>
      <c r="VXN7" s="37"/>
      <c r="VXO7" s="36"/>
      <c r="VXP7" s="37"/>
      <c r="VXQ7" s="36"/>
      <c r="VXR7" s="37"/>
      <c r="VXS7" s="36"/>
      <c r="VXT7" s="37"/>
      <c r="VXU7" s="36"/>
      <c r="VXV7" s="37"/>
      <c r="VXW7" s="36"/>
      <c r="VXX7" s="37"/>
      <c r="VXY7" s="36"/>
      <c r="VXZ7" s="37"/>
      <c r="VYA7" s="36"/>
      <c r="VYB7" s="36"/>
      <c r="VYC7" s="37"/>
      <c r="VYD7" s="37"/>
      <c r="VYF7" s="22"/>
      <c r="VYG7" s="35"/>
      <c r="VYH7" s="36"/>
      <c r="VYI7" s="37"/>
      <c r="VYJ7" s="36"/>
      <c r="VYK7" s="37"/>
      <c r="VYL7" s="36"/>
      <c r="VYM7" s="37"/>
      <c r="VYN7" s="36"/>
      <c r="VYO7" s="37"/>
      <c r="VYP7" s="36"/>
      <c r="VYQ7" s="37"/>
      <c r="VYR7" s="36"/>
      <c r="VYS7" s="37"/>
      <c r="VYT7" s="36"/>
      <c r="VYU7" s="37"/>
      <c r="VYV7" s="36"/>
      <c r="VYW7" s="37"/>
      <c r="VYX7" s="36"/>
      <c r="VYY7" s="37"/>
      <c r="VYZ7" s="36"/>
      <c r="VZA7" s="36"/>
      <c r="VZB7" s="37"/>
      <c r="VZC7" s="37"/>
      <c r="VZE7" s="22"/>
      <c r="VZF7" s="35"/>
      <c r="VZG7" s="36"/>
      <c r="VZH7" s="37"/>
      <c r="VZI7" s="36"/>
      <c r="VZJ7" s="37"/>
      <c r="VZK7" s="36"/>
      <c r="VZL7" s="37"/>
      <c r="VZM7" s="36"/>
      <c r="VZN7" s="37"/>
      <c r="VZO7" s="36"/>
      <c r="VZP7" s="37"/>
      <c r="VZQ7" s="36"/>
      <c r="VZR7" s="37"/>
      <c r="VZS7" s="36"/>
      <c r="VZT7" s="37"/>
      <c r="VZU7" s="36"/>
      <c r="VZV7" s="37"/>
      <c r="VZW7" s="36"/>
      <c r="VZX7" s="37"/>
      <c r="VZY7" s="36"/>
      <c r="VZZ7" s="36"/>
      <c r="WAA7" s="37"/>
      <c r="WAB7" s="37"/>
      <c r="WAD7" s="22"/>
      <c r="WAE7" s="35"/>
      <c r="WAF7" s="36"/>
      <c r="WAG7" s="37"/>
      <c r="WAH7" s="36"/>
      <c r="WAI7" s="37"/>
      <c r="WAJ7" s="36"/>
      <c r="WAK7" s="37"/>
      <c r="WAL7" s="36"/>
      <c r="WAM7" s="37"/>
      <c r="WAN7" s="36"/>
      <c r="WAO7" s="37"/>
      <c r="WAP7" s="36"/>
      <c r="WAQ7" s="37"/>
      <c r="WAR7" s="36"/>
      <c r="WAS7" s="37"/>
      <c r="WAT7" s="36"/>
      <c r="WAU7" s="37"/>
      <c r="WAV7" s="36"/>
      <c r="WAW7" s="37"/>
      <c r="WAX7" s="36"/>
      <c r="WAY7" s="36"/>
      <c r="WAZ7" s="37"/>
      <c r="WBA7" s="37"/>
      <c r="WBC7" s="22"/>
      <c r="WBD7" s="35"/>
      <c r="WBE7" s="36"/>
      <c r="WBF7" s="37"/>
      <c r="WBG7" s="36"/>
      <c r="WBH7" s="37"/>
      <c r="WBI7" s="36"/>
      <c r="WBJ7" s="37"/>
      <c r="WBK7" s="36"/>
      <c r="WBL7" s="37"/>
      <c r="WBM7" s="36"/>
      <c r="WBN7" s="37"/>
      <c r="WBO7" s="36"/>
      <c r="WBP7" s="37"/>
      <c r="WBQ7" s="36"/>
      <c r="WBR7" s="37"/>
      <c r="WBS7" s="36"/>
      <c r="WBT7" s="37"/>
      <c r="WBU7" s="36"/>
      <c r="WBV7" s="37"/>
      <c r="WBW7" s="36"/>
      <c r="WBX7" s="36"/>
      <c r="WBY7" s="37"/>
      <c r="WBZ7" s="37"/>
      <c r="WCB7" s="22"/>
      <c r="WCC7" s="35"/>
      <c r="WCD7" s="36"/>
      <c r="WCE7" s="37"/>
      <c r="WCF7" s="36"/>
      <c r="WCG7" s="37"/>
      <c r="WCH7" s="36"/>
      <c r="WCI7" s="37"/>
      <c r="WCJ7" s="36"/>
      <c r="WCK7" s="37"/>
      <c r="WCL7" s="36"/>
      <c r="WCM7" s="37"/>
      <c r="WCN7" s="36"/>
      <c r="WCO7" s="37"/>
      <c r="WCP7" s="36"/>
      <c r="WCQ7" s="37"/>
      <c r="WCR7" s="36"/>
      <c r="WCS7" s="37"/>
      <c r="WCT7" s="36"/>
      <c r="WCU7" s="37"/>
      <c r="WCV7" s="36"/>
      <c r="WCW7" s="36"/>
      <c r="WCX7" s="37"/>
      <c r="WCY7" s="37"/>
      <c r="WDA7" s="22"/>
      <c r="WDB7" s="35"/>
      <c r="WDC7" s="36"/>
      <c r="WDD7" s="37"/>
      <c r="WDE7" s="36"/>
      <c r="WDF7" s="37"/>
      <c r="WDG7" s="36"/>
      <c r="WDH7" s="37"/>
      <c r="WDI7" s="36"/>
      <c r="WDJ7" s="37"/>
      <c r="WDK7" s="36"/>
      <c r="WDL7" s="37"/>
      <c r="WDM7" s="36"/>
      <c r="WDN7" s="37"/>
      <c r="WDO7" s="36"/>
      <c r="WDP7" s="37"/>
      <c r="WDQ7" s="36"/>
      <c r="WDR7" s="37"/>
      <c r="WDS7" s="36"/>
      <c r="WDT7" s="37"/>
      <c r="WDU7" s="36"/>
      <c r="WDV7" s="36"/>
      <c r="WDW7" s="37"/>
      <c r="WDX7" s="37"/>
      <c r="WDZ7" s="22"/>
      <c r="WEA7" s="35"/>
      <c r="WEB7" s="36"/>
      <c r="WEC7" s="37"/>
      <c r="WED7" s="36"/>
      <c r="WEE7" s="37"/>
      <c r="WEF7" s="36"/>
      <c r="WEG7" s="37"/>
      <c r="WEH7" s="36"/>
      <c r="WEI7" s="37"/>
      <c r="WEJ7" s="36"/>
      <c r="WEK7" s="37"/>
      <c r="WEL7" s="36"/>
      <c r="WEM7" s="37"/>
      <c r="WEN7" s="36"/>
      <c r="WEO7" s="37"/>
      <c r="WEP7" s="36"/>
      <c r="WEQ7" s="37"/>
      <c r="WER7" s="36"/>
      <c r="WES7" s="37"/>
      <c r="WET7" s="36"/>
      <c r="WEU7" s="36"/>
      <c r="WEV7" s="37"/>
      <c r="WEW7" s="37"/>
      <c r="WEY7" s="22"/>
      <c r="WEZ7" s="35"/>
      <c r="WFA7" s="36"/>
      <c r="WFB7" s="37"/>
      <c r="WFC7" s="36"/>
      <c r="WFD7" s="37"/>
      <c r="WFE7" s="36"/>
      <c r="WFF7" s="37"/>
      <c r="WFG7" s="36"/>
      <c r="WFH7" s="37"/>
      <c r="WFI7" s="36"/>
      <c r="WFJ7" s="37"/>
      <c r="WFK7" s="36"/>
      <c r="WFL7" s="37"/>
      <c r="WFM7" s="36"/>
      <c r="WFN7" s="37"/>
      <c r="WFO7" s="36"/>
      <c r="WFP7" s="37"/>
      <c r="WFQ7" s="36"/>
      <c r="WFR7" s="37"/>
      <c r="WFS7" s="36"/>
      <c r="WFT7" s="36"/>
      <c r="WFU7" s="37"/>
      <c r="WFV7" s="37"/>
      <c r="WFX7" s="22"/>
      <c r="WFY7" s="35"/>
      <c r="WFZ7" s="36"/>
      <c r="WGA7" s="37"/>
      <c r="WGB7" s="36"/>
      <c r="WGC7" s="37"/>
      <c r="WGD7" s="36"/>
      <c r="WGE7" s="37"/>
      <c r="WGF7" s="36"/>
      <c r="WGG7" s="37"/>
      <c r="WGH7" s="36"/>
      <c r="WGI7" s="37"/>
      <c r="WGJ7" s="36"/>
      <c r="WGK7" s="37"/>
      <c r="WGL7" s="36"/>
      <c r="WGM7" s="37"/>
      <c r="WGN7" s="36"/>
      <c r="WGO7" s="37"/>
      <c r="WGP7" s="36"/>
      <c r="WGQ7" s="37"/>
      <c r="WGR7" s="36"/>
      <c r="WGS7" s="36"/>
      <c r="WGT7" s="37"/>
      <c r="WGU7" s="37"/>
      <c r="WGW7" s="22"/>
      <c r="WGX7" s="35"/>
      <c r="WGY7" s="36"/>
      <c r="WGZ7" s="37"/>
      <c r="WHA7" s="36"/>
      <c r="WHB7" s="37"/>
      <c r="WHC7" s="36"/>
      <c r="WHD7" s="37"/>
      <c r="WHE7" s="36"/>
      <c r="WHF7" s="37"/>
      <c r="WHG7" s="36"/>
      <c r="WHH7" s="37"/>
      <c r="WHI7" s="36"/>
      <c r="WHJ7" s="37"/>
      <c r="WHK7" s="36"/>
      <c r="WHL7" s="37"/>
      <c r="WHM7" s="36"/>
      <c r="WHN7" s="37"/>
      <c r="WHO7" s="36"/>
      <c r="WHP7" s="37"/>
      <c r="WHQ7" s="36"/>
      <c r="WHR7" s="36"/>
      <c r="WHS7" s="37"/>
      <c r="WHT7" s="37"/>
      <c r="WHV7" s="22"/>
      <c r="WHW7" s="35"/>
      <c r="WHX7" s="36"/>
      <c r="WHY7" s="37"/>
      <c r="WHZ7" s="36"/>
      <c r="WIA7" s="37"/>
      <c r="WIB7" s="36"/>
      <c r="WIC7" s="37"/>
      <c r="WID7" s="36"/>
      <c r="WIE7" s="37"/>
      <c r="WIF7" s="36"/>
      <c r="WIG7" s="37"/>
      <c r="WIH7" s="36"/>
      <c r="WII7" s="37"/>
      <c r="WIJ7" s="36"/>
      <c r="WIK7" s="37"/>
      <c r="WIL7" s="36"/>
      <c r="WIM7" s="37"/>
      <c r="WIN7" s="36"/>
      <c r="WIO7" s="37"/>
      <c r="WIP7" s="36"/>
      <c r="WIQ7" s="36"/>
      <c r="WIR7" s="37"/>
      <c r="WIS7" s="37"/>
      <c r="WIU7" s="22"/>
      <c r="WIV7" s="35"/>
      <c r="WIW7" s="36"/>
      <c r="WIX7" s="37"/>
      <c r="WIY7" s="36"/>
      <c r="WIZ7" s="37"/>
      <c r="WJA7" s="36"/>
      <c r="WJB7" s="37"/>
      <c r="WJC7" s="36"/>
      <c r="WJD7" s="37"/>
      <c r="WJE7" s="36"/>
      <c r="WJF7" s="37"/>
      <c r="WJG7" s="36"/>
      <c r="WJH7" s="37"/>
      <c r="WJI7" s="36"/>
      <c r="WJJ7" s="37"/>
      <c r="WJK7" s="36"/>
      <c r="WJL7" s="37"/>
      <c r="WJM7" s="36"/>
      <c r="WJN7" s="37"/>
      <c r="WJO7" s="36"/>
      <c r="WJP7" s="36"/>
      <c r="WJQ7" s="37"/>
      <c r="WJR7" s="37"/>
      <c r="WJT7" s="22"/>
      <c r="WJU7" s="35"/>
      <c r="WJV7" s="36"/>
      <c r="WJW7" s="37"/>
      <c r="WJX7" s="36"/>
      <c r="WJY7" s="37"/>
      <c r="WJZ7" s="36"/>
      <c r="WKA7" s="37"/>
      <c r="WKB7" s="36"/>
      <c r="WKC7" s="37"/>
      <c r="WKD7" s="36"/>
      <c r="WKE7" s="37"/>
      <c r="WKF7" s="36"/>
      <c r="WKG7" s="37"/>
      <c r="WKH7" s="36"/>
      <c r="WKI7" s="37"/>
      <c r="WKJ7" s="36"/>
      <c r="WKK7" s="37"/>
      <c r="WKL7" s="36"/>
      <c r="WKM7" s="37"/>
      <c r="WKN7" s="36"/>
      <c r="WKO7" s="36"/>
      <c r="WKP7" s="37"/>
      <c r="WKQ7" s="37"/>
      <c r="WKS7" s="22"/>
      <c r="WKT7" s="35"/>
      <c r="WKU7" s="36"/>
      <c r="WKV7" s="37"/>
      <c r="WKW7" s="36"/>
      <c r="WKX7" s="37"/>
      <c r="WKY7" s="36"/>
      <c r="WKZ7" s="37"/>
      <c r="WLA7" s="36"/>
      <c r="WLB7" s="37"/>
      <c r="WLC7" s="36"/>
      <c r="WLD7" s="37"/>
      <c r="WLE7" s="36"/>
      <c r="WLF7" s="37"/>
      <c r="WLG7" s="36"/>
      <c r="WLH7" s="37"/>
      <c r="WLI7" s="36"/>
      <c r="WLJ7" s="37"/>
      <c r="WLK7" s="36"/>
      <c r="WLL7" s="37"/>
      <c r="WLM7" s="36"/>
      <c r="WLN7" s="36"/>
      <c r="WLO7" s="37"/>
      <c r="WLP7" s="37"/>
      <c r="WLR7" s="22"/>
      <c r="WLS7" s="35"/>
      <c r="WLT7" s="36"/>
      <c r="WLU7" s="37"/>
      <c r="WLV7" s="36"/>
      <c r="WLW7" s="37"/>
      <c r="WLX7" s="36"/>
      <c r="WLY7" s="37"/>
      <c r="WLZ7" s="36"/>
      <c r="WMA7" s="37"/>
      <c r="WMB7" s="36"/>
      <c r="WMC7" s="37"/>
      <c r="WMD7" s="36"/>
      <c r="WME7" s="37"/>
      <c r="WMF7" s="36"/>
      <c r="WMG7" s="37"/>
      <c r="WMH7" s="36"/>
      <c r="WMI7" s="37"/>
      <c r="WMJ7" s="36"/>
      <c r="WMK7" s="37"/>
      <c r="WML7" s="36"/>
      <c r="WMM7" s="36"/>
      <c r="WMN7" s="37"/>
      <c r="WMO7" s="37"/>
      <c r="WMQ7" s="22"/>
      <c r="WMR7" s="35"/>
      <c r="WMS7" s="36"/>
      <c r="WMT7" s="37"/>
      <c r="WMU7" s="36"/>
      <c r="WMV7" s="37"/>
      <c r="WMW7" s="36"/>
      <c r="WMX7" s="37"/>
      <c r="WMY7" s="36"/>
      <c r="WMZ7" s="37"/>
      <c r="WNA7" s="36"/>
      <c r="WNB7" s="37"/>
      <c r="WNC7" s="36"/>
      <c r="WND7" s="37"/>
      <c r="WNE7" s="36"/>
      <c r="WNF7" s="37"/>
      <c r="WNG7" s="36"/>
      <c r="WNH7" s="37"/>
      <c r="WNI7" s="36"/>
      <c r="WNJ7" s="37"/>
      <c r="WNK7" s="36"/>
      <c r="WNL7" s="36"/>
      <c r="WNM7" s="37"/>
      <c r="WNN7" s="37"/>
      <c r="WNP7" s="22"/>
      <c r="WNQ7" s="35"/>
      <c r="WNR7" s="36"/>
      <c r="WNS7" s="37"/>
      <c r="WNT7" s="36"/>
      <c r="WNU7" s="37"/>
      <c r="WNV7" s="36"/>
      <c r="WNW7" s="37"/>
      <c r="WNX7" s="36"/>
      <c r="WNY7" s="37"/>
      <c r="WNZ7" s="36"/>
      <c r="WOA7" s="37"/>
      <c r="WOB7" s="36"/>
      <c r="WOC7" s="37"/>
      <c r="WOD7" s="36"/>
      <c r="WOE7" s="37"/>
      <c r="WOF7" s="36"/>
      <c r="WOG7" s="37"/>
      <c r="WOH7" s="36"/>
      <c r="WOI7" s="37"/>
      <c r="WOJ7" s="36"/>
      <c r="WOK7" s="36"/>
      <c r="WOL7" s="37"/>
      <c r="WOM7" s="37"/>
      <c r="WOO7" s="22"/>
      <c r="WOP7" s="35"/>
      <c r="WOQ7" s="36"/>
      <c r="WOR7" s="37"/>
      <c r="WOS7" s="36"/>
      <c r="WOT7" s="37"/>
      <c r="WOU7" s="36"/>
      <c r="WOV7" s="37"/>
      <c r="WOW7" s="36"/>
      <c r="WOX7" s="37"/>
      <c r="WOY7" s="36"/>
      <c r="WOZ7" s="37"/>
      <c r="WPA7" s="36"/>
      <c r="WPB7" s="37"/>
      <c r="WPC7" s="36"/>
      <c r="WPD7" s="37"/>
      <c r="WPE7" s="36"/>
      <c r="WPF7" s="37"/>
      <c r="WPG7" s="36"/>
      <c r="WPH7" s="37"/>
      <c r="WPI7" s="36"/>
      <c r="WPJ7" s="36"/>
      <c r="WPK7" s="37"/>
      <c r="WPL7" s="37"/>
      <c r="WPN7" s="22"/>
      <c r="WPO7" s="35"/>
      <c r="WPP7" s="36"/>
      <c r="WPQ7" s="37"/>
      <c r="WPR7" s="36"/>
      <c r="WPS7" s="37"/>
      <c r="WPT7" s="36"/>
      <c r="WPU7" s="37"/>
      <c r="WPV7" s="36"/>
      <c r="WPW7" s="37"/>
      <c r="WPX7" s="36"/>
      <c r="WPY7" s="37"/>
      <c r="WPZ7" s="36"/>
      <c r="WQA7" s="37"/>
      <c r="WQB7" s="36"/>
      <c r="WQC7" s="37"/>
      <c r="WQD7" s="36"/>
      <c r="WQE7" s="37"/>
      <c r="WQF7" s="36"/>
      <c r="WQG7" s="37"/>
      <c r="WQH7" s="36"/>
      <c r="WQI7" s="36"/>
      <c r="WQJ7" s="37"/>
      <c r="WQK7" s="37"/>
      <c r="WQM7" s="22"/>
      <c r="WQN7" s="35"/>
      <c r="WQO7" s="36"/>
      <c r="WQP7" s="37"/>
      <c r="WQQ7" s="36"/>
      <c r="WQR7" s="37"/>
      <c r="WQS7" s="36"/>
      <c r="WQT7" s="37"/>
      <c r="WQU7" s="36"/>
      <c r="WQV7" s="37"/>
      <c r="WQW7" s="36"/>
      <c r="WQX7" s="37"/>
      <c r="WQY7" s="36"/>
      <c r="WQZ7" s="37"/>
      <c r="WRA7" s="36"/>
      <c r="WRB7" s="37"/>
      <c r="WRC7" s="36"/>
      <c r="WRD7" s="37"/>
      <c r="WRE7" s="36"/>
      <c r="WRF7" s="37"/>
      <c r="WRG7" s="36"/>
      <c r="WRH7" s="36"/>
      <c r="WRI7" s="37"/>
      <c r="WRJ7" s="37"/>
      <c r="WRL7" s="22"/>
      <c r="WRM7" s="35"/>
      <c r="WRN7" s="36"/>
      <c r="WRO7" s="37"/>
      <c r="WRP7" s="36"/>
      <c r="WRQ7" s="37"/>
      <c r="WRR7" s="36"/>
      <c r="WRS7" s="37"/>
      <c r="WRT7" s="36"/>
      <c r="WRU7" s="37"/>
      <c r="WRV7" s="36"/>
      <c r="WRW7" s="37"/>
      <c r="WRX7" s="36"/>
      <c r="WRY7" s="37"/>
      <c r="WRZ7" s="36"/>
      <c r="WSA7" s="37"/>
      <c r="WSB7" s="36"/>
      <c r="WSC7" s="37"/>
      <c r="WSD7" s="36"/>
      <c r="WSE7" s="37"/>
      <c r="WSF7" s="36"/>
      <c r="WSG7" s="36"/>
      <c r="WSH7" s="37"/>
      <c r="WSI7" s="37"/>
      <c r="WSK7" s="22"/>
      <c r="WSL7" s="35"/>
      <c r="WSM7" s="36"/>
      <c r="WSN7" s="37"/>
      <c r="WSO7" s="36"/>
      <c r="WSP7" s="37"/>
      <c r="WSQ7" s="36"/>
      <c r="WSR7" s="37"/>
      <c r="WSS7" s="36"/>
      <c r="WST7" s="37"/>
      <c r="WSU7" s="36"/>
      <c r="WSV7" s="37"/>
      <c r="WSW7" s="36"/>
      <c r="WSX7" s="37"/>
      <c r="WSY7" s="36"/>
      <c r="WSZ7" s="37"/>
      <c r="WTA7" s="36"/>
      <c r="WTB7" s="37"/>
      <c r="WTC7" s="36"/>
      <c r="WTD7" s="37"/>
      <c r="WTE7" s="36"/>
      <c r="WTF7" s="36"/>
      <c r="WTG7" s="37"/>
      <c r="WTH7" s="37"/>
      <c r="WTJ7" s="22"/>
      <c r="WTK7" s="35"/>
      <c r="WTL7" s="36"/>
      <c r="WTM7" s="37"/>
      <c r="WTN7" s="36"/>
      <c r="WTO7" s="37"/>
      <c r="WTP7" s="36"/>
      <c r="WTQ7" s="37"/>
      <c r="WTR7" s="36"/>
      <c r="WTS7" s="37"/>
      <c r="WTT7" s="36"/>
      <c r="WTU7" s="37"/>
      <c r="WTV7" s="36"/>
      <c r="WTW7" s="37"/>
      <c r="WTX7" s="36"/>
      <c r="WTY7" s="37"/>
      <c r="WTZ7" s="36"/>
      <c r="WUA7" s="37"/>
      <c r="WUB7" s="36"/>
      <c r="WUC7" s="37"/>
      <c r="WUD7" s="36"/>
      <c r="WUE7" s="36"/>
      <c r="WUF7" s="37"/>
      <c r="WUG7" s="37"/>
      <c r="WUI7" s="22"/>
      <c r="WUJ7" s="35"/>
      <c r="WUK7" s="36"/>
      <c r="WUL7" s="37"/>
      <c r="WUM7" s="36"/>
      <c r="WUN7" s="37"/>
      <c r="WUO7" s="36"/>
      <c r="WUP7" s="37"/>
      <c r="WUQ7" s="36"/>
      <c r="WUR7" s="37"/>
      <c r="WUS7" s="36"/>
      <c r="WUT7" s="37"/>
      <c r="WUU7" s="36"/>
      <c r="WUV7" s="37"/>
      <c r="WUW7" s="36"/>
      <c r="WUX7" s="37"/>
      <c r="WUY7" s="36"/>
      <c r="WUZ7" s="37"/>
      <c r="WVA7" s="36"/>
      <c r="WVB7" s="37"/>
      <c r="WVC7" s="36"/>
      <c r="WVD7" s="36"/>
      <c r="WVE7" s="37"/>
      <c r="WVF7" s="37"/>
      <c r="WVH7" s="22"/>
      <c r="WVI7" s="35"/>
      <c r="WVJ7" s="36"/>
      <c r="WVK7" s="37"/>
      <c r="WVL7" s="36"/>
      <c r="WVM7" s="37"/>
      <c r="WVN7" s="36"/>
      <c r="WVO7" s="37"/>
      <c r="WVP7" s="36"/>
      <c r="WVQ7" s="37"/>
      <c r="WVR7" s="36"/>
      <c r="WVS7" s="37"/>
      <c r="WVT7" s="36"/>
      <c r="WVU7" s="37"/>
      <c r="WVV7" s="36"/>
      <c r="WVW7" s="37"/>
      <c r="WVX7" s="36"/>
      <c r="WVY7" s="37"/>
      <c r="WVZ7" s="36"/>
      <c r="WWA7" s="37"/>
      <c r="WWB7" s="36"/>
      <c r="WWC7" s="36"/>
      <c r="WWD7" s="37"/>
      <c r="WWE7" s="37"/>
      <c r="WWG7" s="22"/>
      <c r="WWH7" s="35"/>
      <c r="WWI7" s="36"/>
      <c r="WWJ7" s="37"/>
      <c r="WWK7" s="36"/>
      <c r="WWL7" s="37"/>
      <c r="WWM7" s="36"/>
      <c r="WWN7" s="37"/>
      <c r="WWO7" s="36"/>
      <c r="WWP7" s="37"/>
      <c r="WWQ7" s="36"/>
      <c r="WWR7" s="37"/>
      <c r="WWS7" s="36"/>
      <c r="WWT7" s="37"/>
      <c r="WWU7" s="36"/>
      <c r="WWV7" s="37"/>
      <c r="WWW7" s="36"/>
      <c r="WWX7" s="37"/>
      <c r="WWY7" s="36"/>
      <c r="WWZ7" s="37"/>
      <c r="WXA7" s="36"/>
      <c r="WXB7" s="36"/>
      <c r="WXC7" s="37"/>
      <c r="WXD7" s="37"/>
      <c r="WXF7" s="22"/>
      <c r="WXG7" s="35"/>
      <c r="WXH7" s="36"/>
      <c r="WXI7" s="37"/>
      <c r="WXJ7" s="36"/>
      <c r="WXK7" s="37"/>
      <c r="WXL7" s="36"/>
      <c r="WXM7" s="37"/>
      <c r="WXN7" s="36"/>
      <c r="WXO7" s="37"/>
      <c r="WXP7" s="36"/>
      <c r="WXQ7" s="37"/>
      <c r="WXR7" s="36"/>
      <c r="WXS7" s="37"/>
      <c r="WXT7" s="36"/>
      <c r="WXU7" s="37"/>
      <c r="WXV7" s="36"/>
      <c r="WXW7" s="37"/>
      <c r="WXX7" s="36"/>
      <c r="WXY7" s="37"/>
      <c r="WXZ7" s="36"/>
      <c r="WYA7" s="36"/>
      <c r="WYB7" s="37"/>
      <c r="WYC7" s="37"/>
      <c r="WYE7" s="22"/>
      <c r="WYF7" s="35"/>
      <c r="WYG7" s="36"/>
      <c r="WYH7" s="37"/>
      <c r="WYI7" s="36"/>
      <c r="WYJ7" s="37"/>
      <c r="WYK7" s="36"/>
      <c r="WYL7" s="37"/>
      <c r="WYM7" s="36"/>
      <c r="WYN7" s="37"/>
      <c r="WYO7" s="36"/>
      <c r="WYP7" s="37"/>
      <c r="WYQ7" s="36"/>
      <c r="WYR7" s="37"/>
      <c r="WYS7" s="36"/>
      <c r="WYT7" s="37"/>
      <c r="WYU7" s="36"/>
      <c r="WYV7" s="37"/>
      <c r="WYW7" s="36"/>
      <c r="WYX7" s="37"/>
      <c r="WYY7" s="36"/>
      <c r="WYZ7" s="36"/>
      <c r="WZA7" s="37"/>
      <c r="WZB7" s="37"/>
      <c r="WZD7" s="22"/>
      <c r="WZE7" s="35"/>
      <c r="WZF7" s="36"/>
      <c r="WZG7" s="37"/>
      <c r="WZH7" s="36"/>
      <c r="WZI7" s="37"/>
      <c r="WZJ7" s="36"/>
      <c r="WZK7" s="37"/>
      <c r="WZL7" s="36"/>
      <c r="WZM7" s="37"/>
      <c r="WZN7" s="36"/>
      <c r="WZO7" s="37"/>
      <c r="WZP7" s="36"/>
      <c r="WZQ7" s="37"/>
      <c r="WZR7" s="36"/>
      <c r="WZS7" s="37"/>
      <c r="WZT7" s="36"/>
      <c r="WZU7" s="37"/>
      <c r="WZV7" s="36"/>
      <c r="WZW7" s="37"/>
      <c r="WZX7" s="36"/>
      <c r="WZY7" s="36"/>
      <c r="WZZ7" s="37"/>
      <c r="XAA7" s="37"/>
      <c r="XAC7" s="22"/>
      <c r="XAD7" s="35"/>
      <c r="XAE7" s="36"/>
      <c r="XAF7" s="37"/>
      <c r="XAG7" s="36"/>
      <c r="XAH7" s="37"/>
      <c r="XAI7" s="36"/>
      <c r="XAJ7" s="37"/>
      <c r="XAK7" s="36"/>
      <c r="XAL7" s="37"/>
      <c r="XAM7" s="36"/>
      <c r="XAN7" s="37"/>
      <c r="XAO7" s="36"/>
      <c r="XAP7" s="37"/>
      <c r="XAQ7" s="36"/>
      <c r="XAR7" s="37"/>
      <c r="XAS7" s="36"/>
      <c r="XAT7" s="37"/>
      <c r="XAU7" s="36"/>
      <c r="XAV7" s="37"/>
      <c r="XAW7" s="36"/>
      <c r="XAX7" s="36"/>
      <c r="XAY7" s="37"/>
      <c r="XAZ7" s="37"/>
      <c r="XBB7" s="22"/>
      <c r="XBC7" s="35"/>
      <c r="XBD7" s="36"/>
      <c r="XBE7" s="37"/>
      <c r="XBF7" s="36"/>
      <c r="XBG7" s="37"/>
      <c r="XBH7" s="36"/>
      <c r="XBI7" s="37"/>
      <c r="XBJ7" s="36"/>
      <c r="XBK7" s="37"/>
      <c r="XBL7" s="36"/>
      <c r="XBM7" s="37"/>
      <c r="XBN7" s="36"/>
      <c r="XBO7" s="37"/>
      <c r="XBP7" s="36"/>
      <c r="XBQ7" s="37"/>
      <c r="XBR7" s="36"/>
      <c r="XBS7" s="37"/>
      <c r="XBT7" s="36"/>
      <c r="XBU7" s="37"/>
      <c r="XBV7" s="36"/>
      <c r="XBW7" s="36"/>
      <c r="XBX7" s="37"/>
      <c r="XBY7" s="37"/>
      <c r="XCA7" s="22"/>
      <c r="XCB7" s="35"/>
      <c r="XCC7" s="36"/>
      <c r="XCD7" s="37"/>
      <c r="XCE7" s="36"/>
      <c r="XCF7" s="37"/>
      <c r="XCG7" s="36"/>
      <c r="XCH7" s="37"/>
      <c r="XCI7" s="36"/>
      <c r="XCJ7" s="37"/>
      <c r="XCK7" s="36"/>
      <c r="XCL7" s="37"/>
      <c r="XCM7" s="36"/>
      <c r="XCN7" s="37"/>
      <c r="XCO7" s="36"/>
      <c r="XCP7" s="37"/>
      <c r="XCQ7" s="36"/>
      <c r="XCR7" s="37"/>
      <c r="XCS7" s="36"/>
      <c r="XCT7" s="37"/>
      <c r="XCU7" s="36"/>
      <c r="XCV7" s="36"/>
      <c r="XCW7" s="37"/>
      <c r="XCX7" s="37"/>
      <c r="XCZ7" s="22"/>
      <c r="XDA7" s="35"/>
      <c r="XDB7" s="36"/>
      <c r="XDC7" s="37"/>
      <c r="XDD7" s="36"/>
      <c r="XDE7" s="37"/>
      <c r="XDF7" s="36"/>
      <c r="XDG7" s="37"/>
      <c r="XDH7" s="36"/>
      <c r="XDI7" s="37"/>
      <c r="XDJ7" s="36"/>
      <c r="XDK7" s="37"/>
      <c r="XDL7" s="36"/>
      <c r="XDM7" s="37"/>
      <c r="XDN7" s="36"/>
      <c r="XDO7" s="37"/>
      <c r="XDP7" s="36"/>
      <c r="XDQ7" s="37"/>
      <c r="XDR7" s="36"/>
      <c r="XDS7" s="37"/>
      <c r="XDT7" s="36"/>
      <c r="XDU7" s="36"/>
      <c r="XDV7" s="37"/>
      <c r="XDW7" s="37"/>
      <c r="XDY7" s="22"/>
      <c r="XDZ7" s="35"/>
      <c r="XEA7" s="36"/>
      <c r="XEB7" s="37"/>
      <c r="XEC7" s="36"/>
      <c r="XED7" s="37"/>
      <c r="XEE7" s="36"/>
      <c r="XEF7" s="37"/>
      <c r="XEG7" s="36"/>
      <c r="XEH7" s="37"/>
      <c r="XEI7" s="36"/>
      <c r="XEJ7" s="37"/>
      <c r="XEK7" s="36"/>
      <c r="XEL7" s="37"/>
      <c r="XEM7" s="36"/>
      <c r="XEN7" s="37"/>
      <c r="XEO7" s="36"/>
      <c r="XEP7" s="37"/>
      <c r="XEQ7" s="36"/>
      <c r="XER7" s="37"/>
      <c r="XES7" s="36"/>
      <c r="XET7" s="36"/>
      <c r="XEU7" s="37"/>
      <c r="XEV7" s="37"/>
      <c r="XEX7" s="22"/>
      <c r="XEY7" s="35"/>
      <c r="XEZ7" s="36"/>
      <c r="XFA7" s="37"/>
      <c r="XFB7" s="36"/>
      <c r="XFC7" s="37"/>
      <c r="XFD7" s="36"/>
    </row>
    <row r="8" spans="1:16384" s="129" customFormat="1" ht="16.5" customHeight="1" thickBot="1" x14ac:dyDescent="0.25">
      <c r="A8" s="9"/>
      <c r="B8" s="9"/>
      <c r="C8" s="22"/>
      <c r="D8" s="35">
        <f t="shared" si="0"/>
        <v>1</v>
      </c>
      <c r="E8" s="35" t="s">
        <v>403</v>
      </c>
      <c r="F8" s="226">
        <f>'INPUT Capex'!AC260-(SA!G26+GA!G26+GR!G26+WR!G26)</f>
        <v>0</v>
      </c>
      <c r="G8" s="226">
        <f>'INPUT Capex'!AD260-(SA!H26+GA!H26+GR!H26+WR!H26)</f>
        <v>0</v>
      </c>
      <c r="H8" s="226">
        <f>'INPUT Capex'!AE260-(SA!I26+GA!I26+GR!I26+WR!I26)</f>
        <v>0</v>
      </c>
      <c r="I8" s="226">
        <f>'INPUT Capex'!AF260-(SA!J26+GA!J26+GR!J26+WR!J26)</f>
        <v>0</v>
      </c>
      <c r="J8" s="226">
        <f>'INPUT Capex'!AG260-(SA!K26+GA!K26+GR!K26+WR!K26)</f>
        <v>0</v>
      </c>
      <c r="K8" s="226">
        <f>'INPUT Capex'!AH260-(SA!L26+GA!L26+GR!L26+WR!L26)</f>
        <v>0</v>
      </c>
      <c r="L8" s="226">
        <f>'INPUT Capex'!AI260-(SA!M26+GA!M26+GR!M26+WR!M26)</f>
        <v>0</v>
      </c>
      <c r="M8" s="226">
        <f>'INPUT Capex'!AJ260-(SA!N26+GA!N26+GR!N26+WR!N26)</f>
        <v>0</v>
      </c>
      <c r="N8" s="226">
        <f>'INPUT Capex'!AK260-(SA!O26+GA!O26+GR!O26+WR!O26)</f>
        <v>0</v>
      </c>
      <c r="O8" s="226">
        <f>'INPUT Capex'!AL260-(SA!P26+GA!P26+GR!P26+WR!P26)</f>
        <v>0</v>
      </c>
      <c r="P8" s="226">
        <f>'INPUT Capex'!AM260-(SA!Q26+GA!Q26+GR!Q26+WR!Q26)</f>
        <v>0</v>
      </c>
      <c r="Q8" s="226">
        <f>'INPUT Capex'!AN260-(SA!R26+GA!R26+GR!R26+WR!R26)</f>
        <v>0</v>
      </c>
      <c r="R8" s="226">
        <f>'INPUT Capex'!AO260-(SA!S26+GA!S26+GR!S26+WR!S26)</f>
        <v>0</v>
      </c>
      <c r="S8" s="226">
        <f>'INPUT Capex'!AP260-(SA!T26+GA!T26+GR!T26+WR!T26)</f>
        <v>0</v>
      </c>
      <c r="T8" s="226">
        <f>'INPUT Capex'!AQ260-(SA!U26+GA!U26+GR!U26+WR!U26)</f>
        <v>0</v>
      </c>
      <c r="U8" s="226">
        <f>'INPUT Capex'!AR260-(SA!V26+GA!V26+GR!V26+WR!V26)</f>
        <v>0</v>
      </c>
      <c r="V8" s="226">
        <f>'INPUT Capex'!AS260-(SA!W26+GA!W26+GR!W26+WR!W26)</f>
        <v>0</v>
      </c>
      <c r="W8" s="226">
        <f>'INPUT Capex'!AT260-(SA!X26+GA!X26+GR!X26+WR!X26)</f>
        <v>0</v>
      </c>
      <c r="X8" s="226">
        <f>'INPUT Capex'!AU260-(SA!Y26+GA!Y26+GR!Y26+WR!Y26)</f>
        <v>0</v>
      </c>
      <c r="Y8" s="226">
        <f>'INPUT Capex'!AV260-(SA!Z26+GA!Z26+GR!Z26+WR!Z26)</f>
        <v>0</v>
      </c>
      <c r="Z8" s="226">
        <f>'INPUT Capex'!AW260-(SA!AA26+GA!AA26+GR!AA26+WR!AA26)</f>
        <v>0</v>
      </c>
      <c r="AA8" s="226">
        <f>SUM(F8:Z8)</f>
        <v>0</v>
      </c>
      <c r="AB8" s="22"/>
      <c r="AC8" s="35"/>
      <c r="AD8" s="36"/>
      <c r="AE8" s="37"/>
      <c r="AF8" s="36"/>
      <c r="AG8" s="37"/>
      <c r="AH8" s="36"/>
      <c r="AI8" s="37"/>
      <c r="AJ8" s="36"/>
      <c r="AK8" s="37"/>
      <c r="AL8" s="36"/>
      <c r="AM8" s="37"/>
      <c r="AN8" s="36"/>
      <c r="AO8" s="37"/>
      <c r="AP8" s="36"/>
      <c r="AQ8" s="37"/>
      <c r="AR8" s="36"/>
      <c r="AS8" s="37"/>
      <c r="AT8" s="36"/>
      <c r="AU8" s="37"/>
      <c r="AV8" s="36"/>
      <c r="AW8" s="36"/>
      <c r="AX8" s="37"/>
      <c r="AY8" s="37"/>
      <c r="BA8" s="22"/>
      <c r="BB8" s="35"/>
      <c r="BC8" s="36"/>
      <c r="BD8" s="37"/>
      <c r="BE8" s="36"/>
      <c r="BF8" s="37"/>
      <c r="BG8" s="36"/>
      <c r="BH8" s="37"/>
      <c r="BI8" s="36"/>
      <c r="BJ8" s="37"/>
      <c r="BK8" s="36"/>
      <c r="BL8" s="37"/>
      <c r="BM8" s="36"/>
      <c r="BN8" s="37"/>
      <c r="BO8" s="36"/>
      <c r="BP8" s="37"/>
      <c r="BQ8" s="36"/>
      <c r="BR8" s="37"/>
      <c r="BS8" s="36"/>
      <c r="BT8" s="37"/>
      <c r="BU8" s="36"/>
      <c r="BV8" s="36"/>
      <c r="BW8" s="37"/>
      <c r="BX8" s="37"/>
      <c r="BZ8" s="22"/>
      <c r="CA8" s="35"/>
      <c r="CB8" s="36"/>
      <c r="CC8" s="37"/>
      <c r="CD8" s="36"/>
      <c r="CE8" s="37"/>
      <c r="CF8" s="36"/>
      <c r="CG8" s="37"/>
      <c r="CH8" s="36"/>
      <c r="CI8" s="37"/>
      <c r="CJ8" s="36"/>
      <c r="CK8" s="37"/>
      <c r="CL8" s="36"/>
      <c r="CM8" s="37"/>
      <c r="CN8" s="36"/>
      <c r="CO8" s="37"/>
      <c r="CP8" s="36"/>
      <c r="CQ8" s="37"/>
      <c r="CR8" s="36"/>
      <c r="CS8" s="37"/>
      <c r="CT8" s="36"/>
      <c r="CU8" s="36"/>
      <c r="CV8" s="37"/>
      <c r="CW8" s="37"/>
      <c r="CY8" s="22"/>
      <c r="CZ8" s="35"/>
      <c r="DA8" s="36"/>
      <c r="DB8" s="37"/>
      <c r="DC8" s="36"/>
      <c r="DD8" s="37"/>
      <c r="DE8" s="36"/>
      <c r="DF8" s="37"/>
      <c r="DG8" s="36"/>
      <c r="DH8" s="37"/>
      <c r="DI8" s="36"/>
      <c r="DJ8" s="37"/>
      <c r="DK8" s="36"/>
      <c r="DL8" s="37"/>
      <c r="DM8" s="36"/>
      <c r="DN8" s="37"/>
      <c r="DO8" s="36"/>
      <c r="DP8" s="37"/>
      <c r="DQ8" s="36"/>
      <c r="DR8" s="37"/>
      <c r="DS8" s="36"/>
      <c r="DT8" s="36"/>
      <c r="DU8" s="37"/>
      <c r="DV8" s="37"/>
      <c r="DX8" s="22"/>
      <c r="DY8" s="35"/>
      <c r="DZ8" s="36"/>
      <c r="EA8" s="37"/>
      <c r="EB8" s="36"/>
      <c r="EC8" s="37"/>
      <c r="ED8" s="36"/>
      <c r="EE8" s="37"/>
      <c r="EF8" s="36"/>
      <c r="EG8" s="37"/>
      <c r="EH8" s="36"/>
      <c r="EI8" s="37"/>
      <c r="EJ8" s="36"/>
      <c r="EK8" s="37"/>
      <c r="EL8" s="36"/>
      <c r="EM8" s="37"/>
      <c r="EN8" s="36"/>
      <c r="EO8" s="37"/>
      <c r="EP8" s="36"/>
      <c r="EQ8" s="37"/>
      <c r="ER8" s="36"/>
      <c r="ES8" s="36"/>
      <c r="ET8" s="37"/>
      <c r="EU8" s="37"/>
      <c r="EW8" s="22"/>
      <c r="EX8" s="35"/>
      <c r="EY8" s="36"/>
      <c r="EZ8" s="37"/>
      <c r="FA8" s="36"/>
      <c r="FB8" s="37"/>
      <c r="FC8" s="36"/>
      <c r="FD8" s="37"/>
      <c r="FE8" s="36"/>
      <c r="FF8" s="37"/>
      <c r="FG8" s="36"/>
      <c r="FH8" s="37"/>
      <c r="FI8" s="36"/>
      <c r="FJ8" s="37"/>
      <c r="FK8" s="36"/>
      <c r="FL8" s="37"/>
      <c r="FM8" s="36"/>
      <c r="FN8" s="37"/>
      <c r="FO8" s="36"/>
      <c r="FP8" s="37"/>
      <c r="FQ8" s="36"/>
      <c r="FR8" s="36"/>
      <c r="FS8" s="37"/>
      <c r="FT8" s="37"/>
      <c r="FV8" s="22"/>
      <c r="FW8" s="35"/>
      <c r="FX8" s="36"/>
      <c r="FY8" s="37"/>
      <c r="FZ8" s="36"/>
      <c r="GA8" s="37"/>
      <c r="GB8" s="36"/>
      <c r="GC8" s="37"/>
      <c r="GD8" s="36"/>
      <c r="GE8" s="37"/>
      <c r="GF8" s="36"/>
      <c r="GG8" s="37"/>
      <c r="GH8" s="36"/>
      <c r="GI8" s="37"/>
      <c r="GJ8" s="36"/>
      <c r="GK8" s="37"/>
      <c r="GL8" s="36"/>
      <c r="GM8" s="37"/>
      <c r="GN8" s="36"/>
      <c r="GO8" s="37"/>
      <c r="GP8" s="36"/>
      <c r="GQ8" s="36"/>
      <c r="GR8" s="37"/>
      <c r="GS8" s="37"/>
      <c r="GU8" s="22"/>
      <c r="GV8" s="35"/>
      <c r="GW8" s="36"/>
      <c r="GX8" s="37"/>
      <c r="GY8" s="36"/>
      <c r="GZ8" s="37"/>
      <c r="HA8" s="36"/>
      <c r="HB8" s="37"/>
      <c r="HC8" s="36"/>
      <c r="HD8" s="37"/>
      <c r="HE8" s="36"/>
      <c r="HF8" s="37"/>
      <c r="HG8" s="36"/>
      <c r="HH8" s="37"/>
      <c r="HI8" s="36"/>
      <c r="HJ8" s="37"/>
      <c r="HK8" s="36"/>
      <c r="HL8" s="37"/>
      <c r="HM8" s="36"/>
      <c r="HN8" s="37"/>
      <c r="HO8" s="36"/>
      <c r="HP8" s="36"/>
      <c r="HQ8" s="37"/>
      <c r="HR8" s="37"/>
      <c r="HT8" s="22"/>
      <c r="HU8" s="35"/>
      <c r="HV8" s="36"/>
      <c r="HW8" s="37"/>
      <c r="HX8" s="36"/>
      <c r="HY8" s="37"/>
      <c r="HZ8" s="36"/>
      <c r="IA8" s="37"/>
      <c r="IB8" s="36"/>
      <c r="IC8" s="37"/>
      <c r="ID8" s="36"/>
      <c r="IE8" s="37"/>
      <c r="IF8" s="36"/>
      <c r="IG8" s="37"/>
      <c r="IH8" s="36"/>
      <c r="II8" s="37"/>
      <c r="IJ8" s="36"/>
      <c r="IK8" s="37"/>
      <c r="IL8" s="36"/>
      <c r="IM8" s="37"/>
      <c r="IN8" s="36"/>
      <c r="IO8" s="36"/>
      <c r="IP8" s="37"/>
      <c r="IQ8" s="37"/>
      <c r="IS8" s="22"/>
      <c r="IT8" s="35"/>
      <c r="IU8" s="36"/>
      <c r="IV8" s="37"/>
      <c r="IW8" s="36"/>
      <c r="IX8" s="37"/>
      <c r="IY8" s="36"/>
      <c r="IZ8" s="37"/>
      <c r="JA8" s="36"/>
      <c r="JB8" s="37"/>
      <c r="JC8" s="36"/>
      <c r="JD8" s="37"/>
      <c r="JE8" s="36"/>
      <c r="JF8" s="37"/>
      <c r="JG8" s="36"/>
      <c r="JH8" s="37"/>
      <c r="JI8" s="36"/>
      <c r="JJ8" s="37"/>
      <c r="JK8" s="36"/>
      <c r="JL8" s="37"/>
      <c r="JM8" s="36"/>
      <c r="JN8" s="36"/>
      <c r="JO8" s="37"/>
      <c r="JP8" s="37"/>
      <c r="JR8" s="22"/>
      <c r="JS8" s="35"/>
      <c r="JT8" s="36"/>
      <c r="JU8" s="37"/>
      <c r="JV8" s="36"/>
      <c r="JW8" s="37"/>
      <c r="JX8" s="36"/>
      <c r="JY8" s="37"/>
      <c r="JZ8" s="36"/>
      <c r="KA8" s="37"/>
      <c r="KB8" s="36"/>
      <c r="KC8" s="37"/>
      <c r="KD8" s="36"/>
      <c r="KE8" s="37"/>
      <c r="KF8" s="36"/>
      <c r="KG8" s="37"/>
      <c r="KH8" s="36"/>
      <c r="KI8" s="37"/>
      <c r="KJ8" s="36"/>
      <c r="KK8" s="37"/>
      <c r="KL8" s="36"/>
      <c r="KM8" s="36"/>
      <c r="KN8" s="37"/>
      <c r="KO8" s="37"/>
      <c r="KQ8" s="22"/>
      <c r="KR8" s="35"/>
      <c r="KS8" s="36"/>
      <c r="KT8" s="37"/>
      <c r="KU8" s="36"/>
      <c r="KV8" s="37"/>
      <c r="KW8" s="36"/>
      <c r="KX8" s="37"/>
      <c r="KY8" s="36"/>
      <c r="KZ8" s="37"/>
      <c r="LA8" s="36"/>
      <c r="LB8" s="37"/>
      <c r="LC8" s="36"/>
      <c r="LD8" s="37"/>
      <c r="LE8" s="36"/>
      <c r="LF8" s="37"/>
      <c r="LG8" s="36"/>
      <c r="LH8" s="37"/>
      <c r="LI8" s="36"/>
      <c r="LJ8" s="37"/>
      <c r="LK8" s="36"/>
      <c r="LL8" s="36"/>
      <c r="LM8" s="37"/>
      <c r="LN8" s="37"/>
      <c r="LP8" s="22"/>
      <c r="LQ8" s="35"/>
      <c r="LR8" s="36"/>
      <c r="LS8" s="37"/>
      <c r="LT8" s="36"/>
      <c r="LU8" s="37"/>
      <c r="LV8" s="36"/>
      <c r="LW8" s="37"/>
      <c r="LX8" s="36"/>
      <c r="LY8" s="37"/>
      <c r="LZ8" s="36"/>
      <c r="MA8" s="37"/>
      <c r="MB8" s="36"/>
      <c r="MC8" s="37"/>
      <c r="MD8" s="36"/>
      <c r="ME8" s="37"/>
      <c r="MF8" s="36"/>
      <c r="MG8" s="37"/>
      <c r="MH8" s="36"/>
      <c r="MI8" s="37"/>
      <c r="MJ8" s="36"/>
      <c r="MK8" s="36"/>
      <c r="ML8" s="37"/>
      <c r="MM8" s="37"/>
      <c r="MO8" s="22"/>
      <c r="MP8" s="35"/>
      <c r="MQ8" s="36"/>
      <c r="MR8" s="37"/>
      <c r="MS8" s="36"/>
      <c r="MT8" s="37"/>
      <c r="MU8" s="36"/>
      <c r="MV8" s="37"/>
      <c r="MW8" s="36"/>
      <c r="MX8" s="37"/>
      <c r="MY8" s="36"/>
      <c r="MZ8" s="37"/>
      <c r="NA8" s="36"/>
      <c r="NB8" s="37"/>
      <c r="NC8" s="36"/>
      <c r="ND8" s="37"/>
      <c r="NE8" s="36"/>
      <c r="NF8" s="37"/>
      <c r="NG8" s="36"/>
      <c r="NH8" s="37"/>
      <c r="NI8" s="36"/>
      <c r="NJ8" s="36"/>
      <c r="NK8" s="37"/>
      <c r="NL8" s="37"/>
      <c r="NN8" s="22"/>
      <c r="NO8" s="35"/>
      <c r="NP8" s="36"/>
      <c r="NQ8" s="37"/>
      <c r="NR8" s="36"/>
      <c r="NS8" s="37"/>
      <c r="NT8" s="36"/>
      <c r="NU8" s="37"/>
      <c r="NV8" s="36"/>
      <c r="NW8" s="37"/>
      <c r="NX8" s="36"/>
      <c r="NY8" s="37"/>
      <c r="NZ8" s="36"/>
      <c r="OA8" s="37"/>
      <c r="OB8" s="36"/>
      <c r="OC8" s="37"/>
      <c r="OD8" s="36"/>
      <c r="OE8" s="37"/>
      <c r="OF8" s="36"/>
      <c r="OG8" s="37"/>
      <c r="OH8" s="36"/>
      <c r="OI8" s="36"/>
      <c r="OJ8" s="37"/>
      <c r="OK8" s="37"/>
      <c r="OM8" s="22"/>
      <c r="ON8" s="35"/>
      <c r="OO8" s="36"/>
      <c r="OP8" s="37"/>
      <c r="OQ8" s="36"/>
      <c r="OR8" s="37"/>
      <c r="OS8" s="36"/>
      <c r="OT8" s="37"/>
      <c r="OU8" s="36"/>
      <c r="OV8" s="37"/>
      <c r="OW8" s="36"/>
      <c r="OX8" s="37"/>
      <c r="OY8" s="36"/>
      <c r="OZ8" s="37"/>
      <c r="PA8" s="36"/>
      <c r="PB8" s="37"/>
      <c r="PC8" s="36"/>
      <c r="PD8" s="37"/>
      <c r="PE8" s="36"/>
      <c r="PF8" s="37"/>
      <c r="PG8" s="36"/>
      <c r="PH8" s="36"/>
      <c r="PI8" s="37"/>
      <c r="PJ8" s="37"/>
      <c r="PL8" s="22"/>
      <c r="PM8" s="35"/>
      <c r="PN8" s="36"/>
      <c r="PO8" s="37"/>
      <c r="PP8" s="36"/>
      <c r="PQ8" s="37"/>
      <c r="PR8" s="36"/>
      <c r="PS8" s="37"/>
      <c r="PT8" s="36"/>
      <c r="PU8" s="37"/>
      <c r="PV8" s="36"/>
      <c r="PW8" s="37"/>
      <c r="PX8" s="36"/>
      <c r="PY8" s="37"/>
      <c r="PZ8" s="36"/>
      <c r="QA8" s="37"/>
      <c r="QB8" s="36"/>
      <c r="QC8" s="37"/>
      <c r="QD8" s="36"/>
      <c r="QE8" s="37"/>
      <c r="QF8" s="36"/>
      <c r="QG8" s="36"/>
      <c r="QH8" s="37"/>
      <c r="QI8" s="37"/>
      <c r="QK8" s="22"/>
      <c r="QL8" s="35"/>
      <c r="QM8" s="36"/>
      <c r="QN8" s="37"/>
      <c r="QO8" s="36"/>
      <c r="QP8" s="37"/>
      <c r="QQ8" s="36"/>
      <c r="QR8" s="37"/>
      <c r="QS8" s="36"/>
      <c r="QT8" s="37"/>
      <c r="QU8" s="36"/>
      <c r="QV8" s="37"/>
      <c r="QW8" s="36"/>
      <c r="QX8" s="37"/>
      <c r="QY8" s="36"/>
      <c r="QZ8" s="37"/>
      <c r="RA8" s="36"/>
      <c r="RB8" s="37"/>
      <c r="RC8" s="36"/>
      <c r="RD8" s="37"/>
      <c r="RE8" s="36"/>
      <c r="RF8" s="36"/>
      <c r="RG8" s="37"/>
      <c r="RH8" s="37"/>
      <c r="RJ8" s="22"/>
      <c r="RK8" s="35"/>
      <c r="RL8" s="36"/>
      <c r="RM8" s="37"/>
      <c r="RN8" s="36"/>
      <c r="RO8" s="37"/>
      <c r="RP8" s="36"/>
      <c r="RQ8" s="37"/>
      <c r="RR8" s="36"/>
      <c r="RS8" s="37"/>
      <c r="RT8" s="36"/>
      <c r="RU8" s="37"/>
      <c r="RV8" s="36"/>
      <c r="RW8" s="37"/>
      <c r="RX8" s="36"/>
      <c r="RY8" s="37"/>
      <c r="RZ8" s="36"/>
      <c r="SA8" s="37"/>
      <c r="SB8" s="36"/>
      <c r="SC8" s="37"/>
      <c r="SD8" s="36"/>
      <c r="SE8" s="36"/>
      <c r="SF8" s="37"/>
      <c r="SG8" s="37"/>
      <c r="SI8" s="22"/>
      <c r="SJ8" s="35"/>
      <c r="SK8" s="36"/>
      <c r="SL8" s="37"/>
      <c r="SM8" s="36"/>
      <c r="SN8" s="37"/>
      <c r="SO8" s="36"/>
      <c r="SP8" s="37"/>
      <c r="SQ8" s="36"/>
      <c r="SR8" s="37"/>
      <c r="SS8" s="36"/>
      <c r="ST8" s="37"/>
      <c r="SU8" s="36"/>
      <c r="SV8" s="37"/>
      <c r="SW8" s="36"/>
      <c r="SX8" s="37"/>
      <c r="SY8" s="36"/>
      <c r="SZ8" s="37"/>
      <c r="TA8" s="36"/>
      <c r="TB8" s="37"/>
      <c r="TC8" s="36"/>
      <c r="TD8" s="36"/>
      <c r="TE8" s="37"/>
      <c r="TF8" s="37"/>
      <c r="TH8" s="22"/>
      <c r="TI8" s="35"/>
      <c r="TJ8" s="36"/>
      <c r="TK8" s="37"/>
      <c r="TL8" s="36"/>
      <c r="TM8" s="37"/>
      <c r="TN8" s="36"/>
      <c r="TO8" s="37"/>
      <c r="TP8" s="36"/>
      <c r="TQ8" s="37"/>
      <c r="TR8" s="36"/>
      <c r="TS8" s="37"/>
      <c r="TT8" s="36"/>
      <c r="TU8" s="37"/>
      <c r="TV8" s="36"/>
      <c r="TW8" s="37"/>
      <c r="TX8" s="36"/>
      <c r="TY8" s="37"/>
      <c r="TZ8" s="36"/>
      <c r="UA8" s="37"/>
      <c r="UB8" s="36"/>
      <c r="UC8" s="36"/>
      <c r="UD8" s="37"/>
      <c r="UE8" s="37"/>
      <c r="UG8" s="22"/>
      <c r="UH8" s="35"/>
      <c r="UI8" s="36"/>
      <c r="UJ8" s="37"/>
      <c r="UK8" s="36"/>
      <c r="UL8" s="37"/>
      <c r="UM8" s="36"/>
      <c r="UN8" s="37"/>
      <c r="UO8" s="36"/>
      <c r="UP8" s="37"/>
      <c r="UQ8" s="36"/>
      <c r="UR8" s="37"/>
      <c r="US8" s="36"/>
      <c r="UT8" s="37"/>
      <c r="UU8" s="36"/>
      <c r="UV8" s="37"/>
      <c r="UW8" s="36"/>
      <c r="UX8" s="37"/>
      <c r="UY8" s="36"/>
      <c r="UZ8" s="37"/>
      <c r="VA8" s="36"/>
      <c r="VB8" s="36"/>
      <c r="VC8" s="37"/>
      <c r="VD8" s="37"/>
      <c r="VF8" s="22"/>
      <c r="VG8" s="35"/>
      <c r="VH8" s="36"/>
      <c r="VI8" s="37"/>
      <c r="VJ8" s="36"/>
      <c r="VK8" s="37"/>
      <c r="VL8" s="36"/>
      <c r="VM8" s="37"/>
      <c r="VN8" s="36"/>
      <c r="VO8" s="37"/>
      <c r="VP8" s="36"/>
      <c r="VQ8" s="37"/>
      <c r="VR8" s="36"/>
      <c r="VS8" s="37"/>
      <c r="VT8" s="36"/>
      <c r="VU8" s="37"/>
      <c r="VV8" s="36"/>
      <c r="VW8" s="37"/>
      <c r="VX8" s="36"/>
      <c r="VY8" s="37"/>
      <c r="VZ8" s="36"/>
      <c r="WA8" s="36"/>
      <c r="WB8" s="37"/>
      <c r="WC8" s="37"/>
      <c r="WE8" s="22"/>
      <c r="WF8" s="35"/>
      <c r="WG8" s="36"/>
      <c r="WH8" s="37"/>
      <c r="WI8" s="36"/>
      <c r="WJ8" s="37"/>
      <c r="WK8" s="36"/>
      <c r="WL8" s="37"/>
      <c r="WM8" s="36"/>
      <c r="WN8" s="37"/>
      <c r="WO8" s="36"/>
      <c r="WP8" s="37"/>
      <c r="WQ8" s="36"/>
      <c r="WR8" s="37"/>
      <c r="WS8" s="36"/>
      <c r="WT8" s="37"/>
      <c r="WU8" s="36"/>
      <c r="WV8" s="37"/>
      <c r="WW8" s="36"/>
      <c r="WX8" s="37"/>
      <c r="WY8" s="36"/>
      <c r="WZ8" s="36"/>
      <c r="XA8" s="37"/>
      <c r="XB8" s="37"/>
      <c r="XD8" s="22"/>
      <c r="XE8" s="35"/>
      <c r="XF8" s="36"/>
      <c r="XG8" s="37"/>
      <c r="XH8" s="36"/>
      <c r="XI8" s="37"/>
      <c r="XJ8" s="36"/>
      <c r="XK8" s="37"/>
      <c r="XL8" s="36"/>
      <c r="XM8" s="37"/>
      <c r="XN8" s="36"/>
      <c r="XO8" s="37"/>
      <c r="XP8" s="36"/>
      <c r="XQ8" s="37"/>
      <c r="XR8" s="36"/>
      <c r="XS8" s="37"/>
      <c r="XT8" s="36"/>
      <c r="XU8" s="37"/>
      <c r="XV8" s="36"/>
      <c r="XW8" s="37"/>
      <c r="XX8" s="36"/>
      <c r="XY8" s="36"/>
      <c r="XZ8" s="37"/>
      <c r="YA8" s="37"/>
      <c r="YC8" s="22"/>
      <c r="YD8" s="35"/>
      <c r="YE8" s="36"/>
      <c r="YF8" s="37"/>
      <c r="YG8" s="36"/>
      <c r="YH8" s="37"/>
      <c r="YI8" s="36"/>
      <c r="YJ8" s="37"/>
      <c r="YK8" s="36"/>
      <c r="YL8" s="37"/>
      <c r="YM8" s="36"/>
      <c r="YN8" s="37"/>
      <c r="YO8" s="36"/>
      <c r="YP8" s="37"/>
      <c r="YQ8" s="36"/>
      <c r="YR8" s="37"/>
      <c r="YS8" s="36"/>
      <c r="YT8" s="37"/>
      <c r="YU8" s="36"/>
      <c r="YV8" s="37"/>
      <c r="YW8" s="36"/>
      <c r="YX8" s="36"/>
      <c r="YY8" s="37"/>
      <c r="YZ8" s="37"/>
      <c r="ZB8" s="22"/>
      <c r="ZC8" s="35"/>
      <c r="ZD8" s="36"/>
      <c r="ZE8" s="37"/>
      <c r="ZF8" s="36"/>
      <c r="ZG8" s="37"/>
      <c r="ZH8" s="36"/>
      <c r="ZI8" s="37"/>
      <c r="ZJ8" s="36"/>
      <c r="ZK8" s="37"/>
      <c r="ZL8" s="36"/>
      <c r="ZM8" s="37"/>
      <c r="ZN8" s="36"/>
      <c r="ZO8" s="37"/>
      <c r="ZP8" s="36"/>
      <c r="ZQ8" s="37"/>
      <c r="ZR8" s="36"/>
      <c r="ZS8" s="37"/>
      <c r="ZT8" s="36"/>
      <c r="ZU8" s="37"/>
      <c r="ZV8" s="36"/>
      <c r="ZW8" s="36"/>
      <c r="ZX8" s="37"/>
      <c r="ZY8" s="37"/>
      <c r="AAA8" s="22"/>
      <c r="AAB8" s="35"/>
      <c r="AAC8" s="36"/>
      <c r="AAD8" s="37"/>
      <c r="AAE8" s="36"/>
      <c r="AAF8" s="37"/>
      <c r="AAG8" s="36"/>
      <c r="AAH8" s="37"/>
      <c r="AAI8" s="36"/>
      <c r="AAJ8" s="37"/>
      <c r="AAK8" s="36"/>
      <c r="AAL8" s="37"/>
      <c r="AAM8" s="36"/>
      <c r="AAN8" s="37"/>
      <c r="AAO8" s="36"/>
      <c r="AAP8" s="37"/>
      <c r="AAQ8" s="36"/>
      <c r="AAR8" s="37"/>
      <c r="AAS8" s="36"/>
      <c r="AAT8" s="37"/>
      <c r="AAU8" s="36"/>
      <c r="AAV8" s="36"/>
      <c r="AAW8" s="37"/>
      <c r="AAX8" s="37"/>
      <c r="AAZ8" s="22"/>
      <c r="ABA8" s="35"/>
      <c r="ABB8" s="36"/>
      <c r="ABC8" s="37"/>
      <c r="ABD8" s="36"/>
      <c r="ABE8" s="37"/>
      <c r="ABF8" s="36"/>
      <c r="ABG8" s="37"/>
      <c r="ABH8" s="36"/>
      <c r="ABI8" s="37"/>
      <c r="ABJ8" s="36"/>
      <c r="ABK8" s="37"/>
      <c r="ABL8" s="36"/>
      <c r="ABM8" s="37"/>
      <c r="ABN8" s="36"/>
      <c r="ABO8" s="37"/>
      <c r="ABP8" s="36"/>
      <c r="ABQ8" s="37"/>
      <c r="ABR8" s="36"/>
      <c r="ABS8" s="37"/>
      <c r="ABT8" s="36"/>
      <c r="ABU8" s="36"/>
      <c r="ABV8" s="37"/>
      <c r="ABW8" s="37"/>
      <c r="ABY8" s="22"/>
      <c r="ABZ8" s="35"/>
      <c r="ACA8" s="36"/>
      <c r="ACB8" s="37"/>
      <c r="ACC8" s="36"/>
      <c r="ACD8" s="37"/>
      <c r="ACE8" s="36"/>
      <c r="ACF8" s="37"/>
      <c r="ACG8" s="36"/>
      <c r="ACH8" s="37"/>
      <c r="ACI8" s="36"/>
      <c r="ACJ8" s="37"/>
      <c r="ACK8" s="36"/>
      <c r="ACL8" s="37"/>
      <c r="ACM8" s="36"/>
      <c r="ACN8" s="37"/>
      <c r="ACO8" s="36"/>
      <c r="ACP8" s="37"/>
      <c r="ACQ8" s="36"/>
      <c r="ACR8" s="37"/>
      <c r="ACS8" s="36"/>
      <c r="ACT8" s="36"/>
      <c r="ACU8" s="37"/>
      <c r="ACV8" s="37"/>
      <c r="ACX8" s="22"/>
      <c r="ACY8" s="35"/>
      <c r="ACZ8" s="36"/>
      <c r="ADA8" s="37"/>
      <c r="ADB8" s="36"/>
      <c r="ADC8" s="37"/>
      <c r="ADD8" s="36"/>
      <c r="ADE8" s="37"/>
      <c r="ADF8" s="36"/>
      <c r="ADG8" s="37"/>
      <c r="ADH8" s="36"/>
      <c r="ADI8" s="37"/>
      <c r="ADJ8" s="36"/>
      <c r="ADK8" s="37"/>
      <c r="ADL8" s="36"/>
      <c r="ADM8" s="37"/>
      <c r="ADN8" s="36"/>
      <c r="ADO8" s="37"/>
      <c r="ADP8" s="36"/>
      <c r="ADQ8" s="37"/>
      <c r="ADR8" s="36"/>
      <c r="ADS8" s="36"/>
      <c r="ADT8" s="37"/>
      <c r="ADU8" s="37"/>
      <c r="ADW8" s="22"/>
      <c r="ADX8" s="35"/>
      <c r="ADY8" s="36"/>
      <c r="ADZ8" s="37"/>
      <c r="AEA8" s="36"/>
      <c r="AEB8" s="37"/>
      <c r="AEC8" s="36"/>
      <c r="AED8" s="37"/>
      <c r="AEE8" s="36"/>
      <c r="AEF8" s="37"/>
      <c r="AEG8" s="36"/>
      <c r="AEH8" s="37"/>
      <c r="AEI8" s="36"/>
      <c r="AEJ8" s="37"/>
      <c r="AEK8" s="36"/>
      <c r="AEL8" s="37"/>
      <c r="AEM8" s="36"/>
      <c r="AEN8" s="37"/>
      <c r="AEO8" s="36"/>
      <c r="AEP8" s="37"/>
      <c r="AEQ8" s="36"/>
      <c r="AER8" s="36"/>
      <c r="AES8" s="37"/>
      <c r="AET8" s="37"/>
      <c r="AEV8" s="22"/>
      <c r="AEW8" s="35"/>
      <c r="AEX8" s="36"/>
      <c r="AEY8" s="37"/>
      <c r="AEZ8" s="36"/>
      <c r="AFA8" s="37"/>
      <c r="AFB8" s="36"/>
      <c r="AFC8" s="37"/>
      <c r="AFD8" s="36"/>
      <c r="AFE8" s="37"/>
      <c r="AFF8" s="36"/>
      <c r="AFG8" s="37"/>
      <c r="AFH8" s="36"/>
      <c r="AFI8" s="37"/>
      <c r="AFJ8" s="36"/>
      <c r="AFK8" s="37"/>
      <c r="AFL8" s="36"/>
      <c r="AFM8" s="37"/>
      <c r="AFN8" s="36"/>
      <c r="AFO8" s="37"/>
      <c r="AFP8" s="36"/>
      <c r="AFQ8" s="36"/>
      <c r="AFR8" s="37"/>
      <c r="AFS8" s="37"/>
      <c r="AFU8" s="22"/>
      <c r="AFV8" s="35"/>
      <c r="AFW8" s="36"/>
      <c r="AFX8" s="37"/>
      <c r="AFY8" s="36"/>
      <c r="AFZ8" s="37"/>
      <c r="AGA8" s="36"/>
      <c r="AGB8" s="37"/>
      <c r="AGC8" s="36"/>
      <c r="AGD8" s="37"/>
      <c r="AGE8" s="36"/>
      <c r="AGF8" s="37"/>
      <c r="AGG8" s="36"/>
      <c r="AGH8" s="37"/>
      <c r="AGI8" s="36"/>
      <c r="AGJ8" s="37"/>
      <c r="AGK8" s="36"/>
      <c r="AGL8" s="37"/>
      <c r="AGM8" s="36"/>
      <c r="AGN8" s="37"/>
      <c r="AGO8" s="36"/>
      <c r="AGP8" s="36"/>
      <c r="AGQ8" s="37"/>
      <c r="AGR8" s="37"/>
      <c r="AGT8" s="22"/>
      <c r="AGU8" s="35"/>
      <c r="AGV8" s="36"/>
      <c r="AGW8" s="37"/>
      <c r="AGX8" s="36"/>
      <c r="AGY8" s="37"/>
      <c r="AGZ8" s="36"/>
      <c r="AHA8" s="37"/>
      <c r="AHB8" s="36"/>
      <c r="AHC8" s="37"/>
      <c r="AHD8" s="36"/>
      <c r="AHE8" s="37"/>
      <c r="AHF8" s="36"/>
      <c r="AHG8" s="37"/>
      <c r="AHH8" s="36"/>
      <c r="AHI8" s="37"/>
      <c r="AHJ8" s="36"/>
      <c r="AHK8" s="37"/>
      <c r="AHL8" s="36"/>
      <c r="AHM8" s="37"/>
      <c r="AHN8" s="36"/>
      <c r="AHO8" s="36"/>
      <c r="AHP8" s="37"/>
      <c r="AHQ8" s="37"/>
      <c r="AHS8" s="22"/>
      <c r="AHT8" s="35"/>
      <c r="AHU8" s="36"/>
      <c r="AHV8" s="37"/>
      <c r="AHW8" s="36"/>
      <c r="AHX8" s="37"/>
      <c r="AHY8" s="36"/>
      <c r="AHZ8" s="37"/>
      <c r="AIA8" s="36"/>
      <c r="AIB8" s="37"/>
      <c r="AIC8" s="36"/>
      <c r="AID8" s="37"/>
      <c r="AIE8" s="36"/>
      <c r="AIF8" s="37"/>
      <c r="AIG8" s="36"/>
      <c r="AIH8" s="37"/>
      <c r="AII8" s="36"/>
      <c r="AIJ8" s="37"/>
      <c r="AIK8" s="36"/>
      <c r="AIL8" s="37"/>
      <c r="AIM8" s="36"/>
      <c r="AIN8" s="36"/>
      <c r="AIO8" s="37"/>
      <c r="AIP8" s="37"/>
      <c r="AIR8" s="22"/>
      <c r="AIS8" s="35"/>
      <c r="AIT8" s="36"/>
      <c r="AIU8" s="37"/>
      <c r="AIV8" s="36"/>
      <c r="AIW8" s="37"/>
      <c r="AIX8" s="36"/>
      <c r="AIY8" s="37"/>
      <c r="AIZ8" s="36"/>
      <c r="AJA8" s="37"/>
      <c r="AJB8" s="36"/>
      <c r="AJC8" s="37"/>
      <c r="AJD8" s="36"/>
      <c r="AJE8" s="37"/>
      <c r="AJF8" s="36"/>
      <c r="AJG8" s="37"/>
      <c r="AJH8" s="36"/>
      <c r="AJI8" s="37"/>
      <c r="AJJ8" s="36"/>
      <c r="AJK8" s="37"/>
      <c r="AJL8" s="36"/>
      <c r="AJM8" s="36"/>
      <c r="AJN8" s="37"/>
      <c r="AJO8" s="37"/>
      <c r="AJQ8" s="22"/>
      <c r="AJR8" s="35"/>
      <c r="AJS8" s="36"/>
      <c r="AJT8" s="37"/>
      <c r="AJU8" s="36"/>
      <c r="AJV8" s="37"/>
      <c r="AJW8" s="36"/>
      <c r="AJX8" s="37"/>
      <c r="AJY8" s="36"/>
      <c r="AJZ8" s="37"/>
      <c r="AKA8" s="36"/>
      <c r="AKB8" s="37"/>
      <c r="AKC8" s="36"/>
      <c r="AKD8" s="37"/>
      <c r="AKE8" s="36"/>
      <c r="AKF8" s="37"/>
      <c r="AKG8" s="36"/>
      <c r="AKH8" s="37"/>
      <c r="AKI8" s="36"/>
      <c r="AKJ8" s="37"/>
      <c r="AKK8" s="36"/>
      <c r="AKL8" s="36"/>
      <c r="AKM8" s="37"/>
      <c r="AKN8" s="37"/>
      <c r="AKP8" s="22"/>
      <c r="AKQ8" s="35"/>
      <c r="AKR8" s="36"/>
      <c r="AKS8" s="37"/>
      <c r="AKT8" s="36"/>
      <c r="AKU8" s="37"/>
      <c r="AKV8" s="36"/>
      <c r="AKW8" s="37"/>
      <c r="AKX8" s="36"/>
      <c r="AKY8" s="37"/>
      <c r="AKZ8" s="36"/>
      <c r="ALA8" s="37"/>
      <c r="ALB8" s="36"/>
      <c r="ALC8" s="37"/>
      <c r="ALD8" s="36"/>
      <c r="ALE8" s="37"/>
      <c r="ALF8" s="36"/>
      <c r="ALG8" s="37"/>
      <c r="ALH8" s="36"/>
      <c r="ALI8" s="37"/>
      <c r="ALJ8" s="36"/>
      <c r="ALK8" s="36"/>
      <c r="ALL8" s="37"/>
      <c r="ALM8" s="37"/>
      <c r="ALO8" s="22"/>
      <c r="ALP8" s="35"/>
      <c r="ALQ8" s="36"/>
      <c r="ALR8" s="37"/>
      <c r="ALS8" s="36"/>
      <c r="ALT8" s="37"/>
      <c r="ALU8" s="36"/>
      <c r="ALV8" s="37"/>
      <c r="ALW8" s="36"/>
      <c r="ALX8" s="37"/>
      <c r="ALY8" s="36"/>
      <c r="ALZ8" s="37"/>
      <c r="AMA8" s="36"/>
      <c r="AMB8" s="37"/>
      <c r="AMC8" s="36"/>
      <c r="AMD8" s="37"/>
      <c r="AME8" s="36"/>
      <c r="AMF8" s="37"/>
      <c r="AMG8" s="36"/>
      <c r="AMH8" s="37"/>
      <c r="AMI8" s="36"/>
      <c r="AMJ8" s="36"/>
      <c r="AMK8" s="37"/>
      <c r="AML8" s="37"/>
      <c r="AMN8" s="22"/>
      <c r="AMO8" s="35"/>
      <c r="AMP8" s="36"/>
      <c r="AMQ8" s="37"/>
      <c r="AMR8" s="36"/>
      <c r="AMS8" s="37"/>
      <c r="AMT8" s="36"/>
      <c r="AMU8" s="37"/>
      <c r="AMV8" s="36"/>
      <c r="AMW8" s="37"/>
      <c r="AMX8" s="36"/>
      <c r="AMY8" s="37"/>
      <c r="AMZ8" s="36"/>
      <c r="ANA8" s="37"/>
      <c r="ANB8" s="36"/>
      <c r="ANC8" s="37"/>
      <c r="AND8" s="36"/>
      <c r="ANE8" s="37"/>
      <c r="ANF8" s="36"/>
      <c r="ANG8" s="37"/>
      <c r="ANH8" s="36"/>
      <c r="ANI8" s="36"/>
      <c r="ANJ8" s="37"/>
      <c r="ANK8" s="37"/>
      <c r="ANM8" s="22"/>
      <c r="ANN8" s="35"/>
      <c r="ANO8" s="36"/>
      <c r="ANP8" s="37"/>
      <c r="ANQ8" s="36"/>
      <c r="ANR8" s="37"/>
      <c r="ANS8" s="36"/>
      <c r="ANT8" s="37"/>
      <c r="ANU8" s="36"/>
      <c r="ANV8" s="37"/>
      <c r="ANW8" s="36"/>
      <c r="ANX8" s="37"/>
      <c r="ANY8" s="36"/>
      <c r="ANZ8" s="37"/>
      <c r="AOA8" s="36"/>
      <c r="AOB8" s="37"/>
      <c r="AOC8" s="36"/>
      <c r="AOD8" s="37"/>
      <c r="AOE8" s="36"/>
      <c r="AOF8" s="37"/>
      <c r="AOG8" s="36"/>
      <c r="AOH8" s="36"/>
      <c r="AOI8" s="37"/>
      <c r="AOJ8" s="37"/>
      <c r="AOL8" s="22"/>
      <c r="AOM8" s="35"/>
      <c r="AON8" s="36"/>
      <c r="AOO8" s="37"/>
      <c r="AOP8" s="36"/>
      <c r="AOQ8" s="37"/>
      <c r="AOR8" s="36"/>
      <c r="AOS8" s="37"/>
      <c r="AOT8" s="36"/>
      <c r="AOU8" s="37"/>
      <c r="AOV8" s="36"/>
      <c r="AOW8" s="37"/>
      <c r="AOX8" s="36"/>
      <c r="AOY8" s="37"/>
      <c r="AOZ8" s="36"/>
      <c r="APA8" s="37"/>
      <c r="APB8" s="36"/>
      <c r="APC8" s="37"/>
      <c r="APD8" s="36"/>
      <c r="APE8" s="37"/>
      <c r="APF8" s="36"/>
      <c r="APG8" s="36"/>
      <c r="APH8" s="37"/>
      <c r="API8" s="37"/>
      <c r="APK8" s="22"/>
      <c r="APL8" s="35"/>
      <c r="APM8" s="36"/>
      <c r="APN8" s="37"/>
      <c r="APO8" s="36"/>
      <c r="APP8" s="37"/>
      <c r="APQ8" s="36"/>
      <c r="APR8" s="37"/>
      <c r="APS8" s="36"/>
      <c r="APT8" s="37"/>
      <c r="APU8" s="36"/>
      <c r="APV8" s="37"/>
      <c r="APW8" s="36"/>
      <c r="APX8" s="37"/>
      <c r="APY8" s="36"/>
      <c r="APZ8" s="37"/>
      <c r="AQA8" s="36"/>
      <c r="AQB8" s="37"/>
      <c r="AQC8" s="36"/>
      <c r="AQD8" s="37"/>
      <c r="AQE8" s="36"/>
      <c r="AQF8" s="36"/>
      <c r="AQG8" s="37"/>
      <c r="AQH8" s="37"/>
      <c r="AQJ8" s="22"/>
      <c r="AQK8" s="35"/>
      <c r="AQL8" s="36"/>
      <c r="AQM8" s="37"/>
      <c r="AQN8" s="36"/>
      <c r="AQO8" s="37"/>
      <c r="AQP8" s="36"/>
      <c r="AQQ8" s="37"/>
      <c r="AQR8" s="36"/>
      <c r="AQS8" s="37"/>
      <c r="AQT8" s="36"/>
      <c r="AQU8" s="37"/>
      <c r="AQV8" s="36"/>
      <c r="AQW8" s="37"/>
      <c r="AQX8" s="36"/>
      <c r="AQY8" s="37"/>
      <c r="AQZ8" s="36"/>
      <c r="ARA8" s="37"/>
      <c r="ARB8" s="36"/>
      <c r="ARC8" s="37"/>
      <c r="ARD8" s="36"/>
      <c r="ARE8" s="36"/>
      <c r="ARF8" s="37"/>
      <c r="ARG8" s="37"/>
      <c r="ARI8" s="22"/>
      <c r="ARJ8" s="35"/>
      <c r="ARK8" s="36"/>
      <c r="ARL8" s="37"/>
      <c r="ARM8" s="36"/>
      <c r="ARN8" s="37"/>
      <c r="ARO8" s="36"/>
      <c r="ARP8" s="37"/>
      <c r="ARQ8" s="36"/>
      <c r="ARR8" s="37"/>
      <c r="ARS8" s="36"/>
      <c r="ART8" s="37"/>
      <c r="ARU8" s="36"/>
      <c r="ARV8" s="37"/>
      <c r="ARW8" s="36"/>
      <c r="ARX8" s="37"/>
      <c r="ARY8" s="36"/>
      <c r="ARZ8" s="37"/>
      <c r="ASA8" s="36"/>
      <c r="ASB8" s="37"/>
      <c r="ASC8" s="36"/>
      <c r="ASD8" s="36"/>
      <c r="ASE8" s="37"/>
      <c r="ASF8" s="37"/>
      <c r="ASH8" s="22"/>
      <c r="ASI8" s="35"/>
      <c r="ASJ8" s="36"/>
      <c r="ASK8" s="37"/>
      <c r="ASL8" s="36"/>
      <c r="ASM8" s="37"/>
      <c r="ASN8" s="36"/>
      <c r="ASO8" s="37"/>
      <c r="ASP8" s="36"/>
      <c r="ASQ8" s="37"/>
      <c r="ASR8" s="36"/>
      <c r="ASS8" s="37"/>
      <c r="AST8" s="36"/>
      <c r="ASU8" s="37"/>
      <c r="ASV8" s="36"/>
      <c r="ASW8" s="37"/>
      <c r="ASX8" s="36"/>
      <c r="ASY8" s="37"/>
      <c r="ASZ8" s="36"/>
      <c r="ATA8" s="37"/>
      <c r="ATB8" s="36"/>
      <c r="ATC8" s="36"/>
      <c r="ATD8" s="37"/>
      <c r="ATE8" s="37"/>
      <c r="ATG8" s="22"/>
      <c r="ATH8" s="35"/>
      <c r="ATI8" s="36"/>
      <c r="ATJ8" s="37"/>
      <c r="ATK8" s="36"/>
      <c r="ATL8" s="37"/>
      <c r="ATM8" s="36"/>
      <c r="ATN8" s="37"/>
      <c r="ATO8" s="36"/>
      <c r="ATP8" s="37"/>
      <c r="ATQ8" s="36"/>
      <c r="ATR8" s="37"/>
      <c r="ATS8" s="36"/>
      <c r="ATT8" s="37"/>
      <c r="ATU8" s="36"/>
      <c r="ATV8" s="37"/>
      <c r="ATW8" s="36"/>
      <c r="ATX8" s="37"/>
      <c r="ATY8" s="36"/>
      <c r="ATZ8" s="37"/>
      <c r="AUA8" s="36"/>
      <c r="AUB8" s="36"/>
      <c r="AUC8" s="37"/>
      <c r="AUD8" s="37"/>
      <c r="AUF8" s="22"/>
      <c r="AUG8" s="35"/>
      <c r="AUH8" s="36"/>
      <c r="AUI8" s="37"/>
      <c r="AUJ8" s="36"/>
      <c r="AUK8" s="37"/>
      <c r="AUL8" s="36"/>
      <c r="AUM8" s="37"/>
      <c r="AUN8" s="36"/>
      <c r="AUO8" s="37"/>
      <c r="AUP8" s="36"/>
      <c r="AUQ8" s="37"/>
      <c r="AUR8" s="36"/>
      <c r="AUS8" s="37"/>
      <c r="AUT8" s="36"/>
      <c r="AUU8" s="37"/>
      <c r="AUV8" s="36"/>
      <c r="AUW8" s="37"/>
      <c r="AUX8" s="36"/>
      <c r="AUY8" s="37"/>
      <c r="AUZ8" s="36"/>
      <c r="AVA8" s="36"/>
      <c r="AVB8" s="37"/>
      <c r="AVC8" s="37"/>
      <c r="AVE8" s="22"/>
      <c r="AVF8" s="35"/>
      <c r="AVG8" s="36"/>
      <c r="AVH8" s="37"/>
      <c r="AVI8" s="36"/>
      <c r="AVJ8" s="37"/>
      <c r="AVK8" s="36"/>
      <c r="AVL8" s="37"/>
      <c r="AVM8" s="36"/>
      <c r="AVN8" s="37"/>
      <c r="AVO8" s="36"/>
      <c r="AVP8" s="37"/>
      <c r="AVQ8" s="36"/>
      <c r="AVR8" s="37"/>
      <c r="AVS8" s="36"/>
      <c r="AVT8" s="37"/>
      <c r="AVU8" s="36"/>
      <c r="AVV8" s="37"/>
      <c r="AVW8" s="36"/>
      <c r="AVX8" s="37"/>
      <c r="AVY8" s="36"/>
      <c r="AVZ8" s="36"/>
      <c r="AWA8" s="37"/>
      <c r="AWB8" s="37"/>
      <c r="AWD8" s="22"/>
      <c r="AWE8" s="35"/>
      <c r="AWF8" s="36"/>
      <c r="AWG8" s="37"/>
      <c r="AWH8" s="36"/>
      <c r="AWI8" s="37"/>
      <c r="AWJ8" s="36"/>
      <c r="AWK8" s="37"/>
      <c r="AWL8" s="36"/>
      <c r="AWM8" s="37"/>
      <c r="AWN8" s="36"/>
      <c r="AWO8" s="37"/>
      <c r="AWP8" s="36"/>
      <c r="AWQ8" s="37"/>
      <c r="AWR8" s="36"/>
      <c r="AWS8" s="37"/>
      <c r="AWT8" s="36"/>
      <c r="AWU8" s="37"/>
      <c r="AWV8" s="36"/>
      <c r="AWW8" s="37"/>
      <c r="AWX8" s="36"/>
      <c r="AWY8" s="36"/>
      <c r="AWZ8" s="37"/>
      <c r="AXA8" s="37"/>
      <c r="AXC8" s="22"/>
      <c r="AXD8" s="35"/>
      <c r="AXE8" s="36"/>
      <c r="AXF8" s="37"/>
      <c r="AXG8" s="36"/>
      <c r="AXH8" s="37"/>
      <c r="AXI8" s="36"/>
      <c r="AXJ8" s="37"/>
      <c r="AXK8" s="36"/>
      <c r="AXL8" s="37"/>
      <c r="AXM8" s="36"/>
      <c r="AXN8" s="37"/>
      <c r="AXO8" s="36"/>
      <c r="AXP8" s="37"/>
      <c r="AXQ8" s="36"/>
      <c r="AXR8" s="37"/>
      <c r="AXS8" s="36"/>
      <c r="AXT8" s="37"/>
      <c r="AXU8" s="36"/>
      <c r="AXV8" s="37"/>
      <c r="AXW8" s="36"/>
      <c r="AXX8" s="36"/>
      <c r="AXY8" s="37"/>
      <c r="AXZ8" s="37"/>
      <c r="AYB8" s="22"/>
      <c r="AYC8" s="35"/>
      <c r="AYD8" s="36"/>
      <c r="AYE8" s="37"/>
      <c r="AYF8" s="36"/>
      <c r="AYG8" s="37"/>
      <c r="AYH8" s="36"/>
      <c r="AYI8" s="37"/>
      <c r="AYJ8" s="36"/>
      <c r="AYK8" s="37"/>
      <c r="AYL8" s="36"/>
      <c r="AYM8" s="37"/>
      <c r="AYN8" s="36"/>
      <c r="AYO8" s="37"/>
      <c r="AYP8" s="36"/>
      <c r="AYQ8" s="37"/>
      <c r="AYR8" s="36"/>
      <c r="AYS8" s="37"/>
      <c r="AYT8" s="36"/>
      <c r="AYU8" s="37"/>
      <c r="AYV8" s="36"/>
      <c r="AYW8" s="36"/>
      <c r="AYX8" s="37"/>
      <c r="AYY8" s="37"/>
      <c r="AZA8" s="22"/>
      <c r="AZB8" s="35"/>
      <c r="AZC8" s="36"/>
      <c r="AZD8" s="37"/>
      <c r="AZE8" s="36"/>
      <c r="AZF8" s="37"/>
      <c r="AZG8" s="36"/>
      <c r="AZH8" s="37"/>
      <c r="AZI8" s="36"/>
      <c r="AZJ8" s="37"/>
      <c r="AZK8" s="36"/>
      <c r="AZL8" s="37"/>
      <c r="AZM8" s="36"/>
      <c r="AZN8" s="37"/>
      <c r="AZO8" s="36"/>
      <c r="AZP8" s="37"/>
      <c r="AZQ8" s="36"/>
      <c r="AZR8" s="37"/>
      <c r="AZS8" s="36"/>
      <c r="AZT8" s="37"/>
      <c r="AZU8" s="36"/>
      <c r="AZV8" s="36"/>
      <c r="AZW8" s="37"/>
      <c r="AZX8" s="37"/>
      <c r="AZZ8" s="22"/>
      <c r="BAA8" s="35"/>
      <c r="BAB8" s="36"/>
      <c r="BAC8" s="37"/>
      <c r="BAD8" s="36"/>
      <c r="BAE8" s="37"/>
      <c r="BAF8" s="36"/>
      <c r="BAG8" s="37"/>
      <c r="BAH8" s="36"/>
      <c r="BAI8" s="37"/>
      <c r="BAJ8" s="36"/>
      <c r="BAK8" s="37"/>
      <c r="BAL8" s="36"/>
      <c r="BAM8" s="37"/>
      <c r="BAN8" s="36"/>
      <c r="BAO8" s="37"/>
      <c r="BAP8" s="36"/>
      <c r="BAQ8" s="37"/>
      <c r="BAR8" s="36"/>
      <c r="BAS8" s="37"/>
      <c r="BAT8" s="36"/>
      <c r="BAU8" s="36"/>
      <c r="BAV8" s="37"/>
      <c r="BAW8" s="37"/>
      <c r="BAY8" s="22"/>
      <c r="BAZ8" s="35"/>
      <c r="BBA8" s="36"/>
      <c r="BBB8" s="37"/>
      <c r="BBC8" s="36"/>
      <c r="BBD8" s="37"/>
      <c r="BBE8" s="36"/>
      <c r="BBF8" s="37"/>
      <c r="BBG8" s="36"/>
      <c r="BBH8" s="37"/>
      <c r="BBI8" s="36"/>
      <c r="BBJ8" s="37"/>
      <c r="BBK8" s="36"/>
      <c r="BBL8" s="37"/>
      <c r="BBM8" s="36"/>
      <c r="BBN8" s="37"/>
      <c r="BBO8" s="36"/>
      <c r="BBP8" s="37"/>
      <c r="BBQ8" s="36"/>
      <c r="BBR8" s="37"/>
      <c r="BBS8" s="36"/>
      <c r="BBT8" s="36"/>
      <c r="BBU8" s="37"/>
      <c r="BBV8" s="37"/>
      <c r="BBX8" s="22"/>
      <c r="BBY8" s="35"/>
      <c r="BBZ8" s="36"/>
      <c r="BCA8" s="37"/>
      <c r="BCB8" s="36"/>
      <c r="BCC8" s="37"/>
      <c r="BCD8" s="36"/>
      <c r="BCE8" s="37"/>
      <c r="BCF8" s="36"/>
      <c r="BCG8" s="37"/>
      <c r="BCH8" s="36"/>
      <c r="BCI8" s="37"/>
      <c r="BCJ8" s="36"/>
      <c r="BCK8" s="37"/>
      <c r="BCL8" s="36"/>
      <c r="BCM8" s="37"/>
      <c r="BCN8" s="36"/>
      <c r="BCO8" s="37"/>
      <c r="BCP8" s="36"/>
      <c r="BCQ8" s="37"/>
      <c r="BCR8" s="36"/>
      <c r="BCS8" s="36"/>
      <c r="BCT8" s="37"/>
      <c r="BCU8" s="37"/>
      <c r="BCW8" s="22"/>
      <c r="BCX8" s="35"/>
      <c r="BCY8" s="36"/>
      <c r="BCZ8" s="37"/>
      <c r="BDA8" s="36"/>
      <c r="BDB8" s="37"/>
      <c r="BDC8" s="36"/>
      <c r="BDD8" s="37"/>
      <c r="BDE8" s="36"/>
      <c r="BDF8" s="37"/>
      <c r="BDG8" s="36"/>
      <c r="BDH8" s="37"/>
      <c r="BDI8" s="36"/>
      <c r="BDJ8" s="37"/>
      <c r="BDK8" s="36"/>
      <c r="BDL8" s="37"/>
      <c r="BDM8" s="36"/>
      <c r="BDN8" s="37"/>
      <c r="BDO8" s="36"/>
      <c r="BDP8" s="37"/>
      <c r="BDQ8" s="36"/>
      <c r="BDR8" s="36"/>
      <c r="BDS8" s="37"/>
      <c r="BDT8" s="37"/>
      <c r="BDV8" s="22"/>
      <c r="BDW8" s="35"/>
      <c r="BDX8" s="36"/>
      <c r="BDY8" s="37"/>
      <c r="BDZ8" s="36"/>
      <c r="BEA8" s="37"/>
      <c r="BEB8" s="36"/>
      <c r="BEC8" s="37"/>
      <c r="BED8" s="36"/>
      <c r="BEE8" s="37"/>
      <c r="BEF8" s="36"/>
      <c r="BEG8" s="37"/>
      <c r="BEH8" s="36"/>
      <c r="BEI8" s="37"/>
      <c r="BEJ8" s="36"/>
      <c r="BEK8" s="37"/>
      <c r="BEL8" s="36"/>
      <c r="BEM8" s="37"/>
      <c r="BEN8" s="36"/>
      <c r="BEO8" s="37"/>
      <c r="BEP8" s="36"/>
      <c r="BEQ8" s="36"/>
      <c r="BER8" s="37"/>
      <c r="BES8" s="37"/>
      <c r="BEU8" s="22"/>
      <c r="BEV8" s="35"/>
      <c r="BEW8" s="36"/>
      <c r="BEX8" s="37"/>
      <c r="BEY8" s="36"/>
      <c r="BEZ8" s="37"/>
      <c r="BFA8" s="36"/>
      <c r="BFB8" s="37"/>
      <c r="BFC8" s="36"/>
      <c r="BFD8" s="37"/>
      <c r="BFE8" s="36"/>
      <c r="BFF8" s="37"/>
      <c r="BFG8" s="36"/>
      <c r="BFH8" s="37"/>
      <c r="BFI8" s="36"/>
      <c r="BFJ8" s="37"/>
      <c r="BFK8" s="36"/>
      <c r="BFL8" s="37"/>
      <c r="BFM8" s="36"/>
      <c r="BFN8" s="37"/>
      <c r="BFO8" s="36"/>
      <c r="BFP8" s="36"/>
      <c r="BFQ8" s="37"/>
      <c r="BFR8" s="37"/>
      <c r="BFT8" s="22"/>
      <c r="BFU8" s="35"/>
      <c r="BFV8" s="36"/>
      <c r="BFW8" s="37"/>
      <c r="BFX8" s="36"/>
      <c r="BFY8" s="37"/>
      <c r="BFZ8" s="36"/>
      <c r="BGA8" s="37"/>
      <c r="BGB8" s="36"/>
      <c r="BGC8" s="37"/>
      <c r="BGD8" s="36"/>
      <c r="BGE8" s="37"/>
      <c r="BGF8" s="36"/>
      <c r="BGG8" s="37"/>
      <c r="BGH8" s="36"/>
      <c r="BGI8" s="37"/>
      <c r="BGJ8" s="36"/>
      <c r="BGK8" s="37"/>
      <c r="BGL8" s="36"/>
      <c r="BGM8" s="37"/>
      <c r="BGN8" s="36"/>
      <c r="BGO8" s="36"/>
      <c r="BGP8" s="37"/>
      <c r="BGQ8" s="37"/>
      <c r="BGS8" s="22"/>
      <c r="BGT8" s="35"/>
      <c r="BGU8" s="36"/>
      <c r="BGV8" s="37"/>
      <c r="BGW8" s="36"/>
      <c r="BGX8" s="37"/>
      <c r="BGY8" s="36"/>
      <c r="BGZ8" s="37"/>
      <c r="BHA8" s="36"/>
      <c r="BHB8" s="37"/>
      <c r="BHC8" s="36"/>
      <c r="BHD8" s="37"/>
      <c r="BHE8" s="36"/>
      <c r="BHF8" s="37"/>
      <c r="BHG8" s="36"/>
      <c r="BHH8" s="37"/>
      <c r="BHI8" s="36"/>
      <c r="BHJ8" s="37"/>
      <c r="BHK8" s="36"/>
      <c r="BHL8" s="37"/>
      <c r="BHM8" s="36"/>
      <c r="BHN8" s="36"/>
      <c r="BHO8" s="37"/>
      <c r="BHP8" s="37"/>
      <c r="BHR8" s="22"/>
      <c r="BHS8" s="35"/>
      <c r="BHT8" s="36"/>
      <c r="BHU8" s="37"/>
      <c r="BHV8" s="36"/>
      <c r="BHW8" s="37"/>
      <c r="BHX8" s="36"/>
      <c r="BHY8" s="37"/>
      <c r="BHZ8" s="36"/>
      <c r="BIA8" s="37"/>
      <c r="BIB8" s="36"/>
      <c r="BIC8" s="37"/>
      <c r="BID8" s="36"/>
      <c r="BIE8" s="37"/>
      <c r="BIF8" s="36"/>
      <c r="BIG8" s="37"/>
      <c r="BIH8" s="36"/>
      <c r="BII8" s="37"/>
      <c r="BIJ8" s="36"/>
      <c r="BIK8" s="37"/>
      <c r="BIL8" s="36"/>
      <c r="BIM8" s="36"/>
      <c r="BIN8" s="37"/>
      <c r="BIO8" s="37"/>
      <c r="BIQ8" s="22"/>
      <c r="BIR8" s="35"/>
      <c r="BIS8" s="36"/>
      <c r="BIT8" s="37"/>
      <c r="BIU8" s="36"/>
      <c r="BIV8" s="37"/>
      <c r="BIW8" s="36"/>
      <c r="BIX8" s="37"/>
      <c r="BIY8" s="36"/>
      <c r="BIZ8" s="37"/>
      <c r="BJA8" s="36"/>
      <c r="BJB8" s="37"/>
      <c r="BJC8" s="36"/>
      <c r="BJD8" s="37"/>
      <c r="BJE8" s="36"/>
      <c r="BJF8" s="37"/>
      <c r="BJG8" s="36"/>
      <c r="BJH8" s="37"/>
      <c r="BJI8" s="36"/>
      <c r="BJJ8" s="37"/>
      <c r="BJK8" s="36"/>
      <c r="BJL8" s="36"/>
      <c r="BJM8" s="37"/>
      <c r="BJN8" s="37"/>
      <c r="BJP8" s="22"/>
      <c r="BJQ8" s="35"/>
      <c r="BJR8" s="36"/>
      <c r="BJS8" s="37"/>
      <c r="BJT8" s="36"/>
      <c r="BJU8" s="37"/>
      <c r="BJV8" s="36"/>
      <c r="BJW8" s="37"/>
      <c r="BJX8" s="36"/>
      <c r="BJY8" s="37"/>
      <c r="BJZ8" s="36"/>
      <c r="BKA8" s="37"/>
      <c r="BKB8" s="36"/>
      <c r="BKC8" s="37"/>
      <c r="BKD8" s="36"/>
      <c r="BKE8" s="37"/>
      <c r="BKF8" s="36"/>
      <c r="BKG8" s="37"/>
      <c r="BKH8" s="36"/>
      <c r="BKI8" s="37"/>
      <c r="BKJ8" s="36"/>
      <c r="BKK8" s="36"/>
      <c r="BKL8" s="37"/>
      <c r="BKM8" s="37"/>
      <c r="BKO8" s="22"/>
      <c r="BKP8" s="35"/>
      <c r="BKQ8" s="36"/>
      <c r="BKR8" s="37"/>
      <c r="BKS8" s="36"/>
      <c r="BKT8" s="37"/>
      <c r="BKU8" s="36"/>
      <c r="BKV8" s="37"/>
      <c r="BKW8" s="36"/>
      <c r="BKX8" s="37"/>
      <c r="BKY8" s="36"/>
      <c r="BKZ8" s="37"/>
      <c r="BLA8" s="36"/>
      <c r="BLB8" s="37"/>
      <c r="BLC8" s="36"/>
      <c r="BLD8" s="37"/>
      <c r="BLE8" s="36"/>
      <c r="BLF8" s="37"/>
      <c r="BLG8" s="36"/>
      <c r="BLH8" s="37"/>
      <c r="BLI8" s="36"/>
      <c r="BLJ8" s="36"/>
      <c r="BLK8" s="37"/>
      <c r="BLL8" s="37"/>
      <c r="BLN8" s="22"/>
      <c r="BLO8" s="35"/>
      <c r="BLP8" s="36"/>
      <c r="BLQ8" s="37"/>
      <c r="BLR8" s="36"/>
      <c r="BLS8" s="37"/>
      <c r="BLT8" s="36"/>
      <c r="BLU8" s="37"/>
      <c r="BLV8" s="36"/>
      <c r="BLW8" s="37"/>
      <c r="BLX8" s="36"/>
      <c r="BLY8" s="37"/>
      <c r="BLZ8" s="36"/>
      <c r="BMA8" s="37"/>
      <c r="BMB8" s="36"/>
      <c r="BMC8" s="37"/>
      <c r="BMD8" s="36"/>
      <c r="BME8" s="37"/>
      <c r="BMF8" s="36"/>
      <c r="BMG8" s="37"/>
      <c r="BMH8" s="36"/>
      <c r="BMI8" s="36"/>
      <c r="BMJ8" s="37"/>
      <c r="BMK8" s="37"/>
      <c r="BMM8" s="22"/>
      <c r="BMN8" s="35"/>
      <c r="BMO8" s="36"/>
      <c r="BMP8" s="37"/>
      <c r="BMQ8" s="36"/>
      <c r="BMR8" s="37"/>
      <c r="BMS8" s="36"/>
      <c r="BMT8" s="37"/>
      <c r="BMU8" s="36"/>
      <c r="BMV8" s="37"/>
      <c r="BMW8" s="36"/>
      <c r="BMX8" s="37"/>
      <c r="BMY8" s="36"/>
      <c r="BMZ8" s="37"/>
      <c r="BNA8" s="36"/>
      <c r="BNB8" s="37"/>
      <c r="BNC8" s="36"/>
      <c r="BND8" s="37"/>
      <c r="BNE8" s="36"/>
      <c r="BNF8" s="37"/>
      <c r="BNG8" s="36"/>
      <c r="BNH8" s="36"/>
      <c r="BNI8" s="37"/>
      <c r="BNJ8" s="37"/>
      <c r="BNL8" s="22"/>
      <c r="BNM8" s="35"/>
      <c r="BNN8" s="36"/>
      <c r="BNO8" s="37"/>
      <c r="BNP8" s="36"/>
      <c r="BNQ8" s="37"/>
      <c r="BNR8" s="36"/>
      <c r="BNS8" s="37"/>
      <c r="BNT8" s="36"/>
      <c r="BNU8" s="37"/>
      <c r="BNV8" s="36"/>
      <c r="BNW8" s="37"/>
      <c r="BNX8" s="36"/>
      <c r="BNY8" s="37"/>
      <c r="BNZ8" s="36"/>
      <c r="BOA8" s="37"/>
      <c r="BOB8" s="36"/>
      <c r="BOC8" s="37"/>
      <c r="BOD8" s="36"/>
      <c r="BOE8" s="37"/>
      <c r="BOF8" s="36"/>
      <c r="BOG8" s="36"/>
      <c r="BOH8" s="37"/>
      <c r="BOI8" s="37"/>
      <c r="BOK8" s="22"/>
      <c r="BOL8" s="35"/>
      <c r="BOM8" s="36"/>
      <c r="BON8" s="37"/>
      <c r="BOO8" s="36"/>
      <c r="BOP8" s="37"/>
      <c r="BOQ8" s="36"/>
      <c r="BOR8" s="37"/>
      <c r="BOS8" s="36"/>
      <c r="BOT8" s="37"/>
      <c r="BOU8" s="36"/>
      <c r="BOV8" s="37"/>
      <c r="BOW8" s="36"/>
      <c r="BOX8" s="37"/>
      <c r="BOY8" s="36"/>
      <c r="BOZ8" s="37"/>
      <c r="BPA8" s="36"/>
      <c r="BPB8" s="37"/>
      <c r="BPC8" s="36"/>
      <c r="BPD8" s="37"/>
      <c r="BPE8" s="36"/>
      <c r="BPF8" s="36"/>
      <c r="BPG8" s="37"/>
      <c r="BPH8" s="37"/>
      <c r="BPJ8" s="22"/>
      <c r="BPK8" s="35"/>
      <c r="BPL8" s="36"/>
      <c r="BPM8" s="37"/>
      <c r="BPN8" s="36"/>
      <c r="BPO8" s="37"/>
      <c r="BPP8" s="36"/>
      <c r="BPQ8" s="37"/>
      <c r="BPR8" s="36"/>
      <c r="BPS8" s="37"/>
      <c r="BPT8" s="36"/>
      <c r="BPU8" s="37"/>
      <c r="BPV8" s="36"/>
      <c r="BPW8" s="37"/>
      <c r="BPX8" s="36"/>
      <c r="BPY8" s="37"/>
      <c r="BPZ8" s="36"/>
      <c r="BQA8" s="37"/>
      <c r="BQB8" s="36"/>
      <c r="BQC8" s="37"/>
      <c r="BQD8" s="36"/>
      <c r="BQE8" s="36"/>
      <c r="BQF8" s="37"/>
      <c r="BQG8" s="37"/>
      <c r="BQI8" s="22"/>
      <c r="BQJ8" s="35"/>
      <c r="BQK8" s="36"/>
      <c r="BQL8" s="37"/>
      <c r="BQM8" s="36"/>
      <c r="BQN8" s="37"/>
      <c r="BQO8" s="36"/>
      <c r="BQP8" s="37"/>
      <c r="BQQ8" s="36"/>
      <c r="BQR8" s="37"/>
      <c r="BQS8" s="36"/>
      <c r="BQT8" s="37"/>
      <c r="BQU8" s="36"/>
      <c r="BQV8" s="37"/>
      <c r="BQW8" s="36"/>
      <c r="BQX8" s="37"/>
      <c r="BQY8" s="36"/>
      <c r="BQZ8" s="37"/>
      <c r="BRA8" s="36"/>
      <c r="BRB8" s="37"/>
      <c r="BRC8" s="36"/>
      <c r="BRD8" s="36"/>
      <c r="BRE8" s="37"/>
      <c r="BRF8" s="37"/>
      <c r="BRH8" s="22"/>
      <c r="BRI8" s="35"/>
      <c r="BRJ8" s="36"/>
      <c r="BRK8" s="37"/>
      <c r="BRL8" s="36"/>
      <c r="BRM8" s="37"/>
      <c r="BRN8" s="36"/>
      <c r="BRO8" s="37"/>
      <c r="BRP8" s="36"/>
      <c r="BRQ8" s="37"/>
      <c r="BRR8" s="36"/>
      <c r="BRS8" s="37"/>
      <c r="BRT8" s="36"/>
      <c r="BRU8" s="37"/>
      <c r="BRV8" s="36"/>
      <c r="BRW8" s="37"/>
      <c r="BRX8" s="36"/>
      <c r="BRY8" s="37"/>
      <c r="BRZ8" s="36"/>
      <c r="BSA8" s="37"/>
      <c r="BSB8" s="36"/>
      <c r="BSC8" s="36"/>
      <c r="BSD8" s="37"/>
      <c r="BSE8" s="37"/>
      <c r="BSG8" s="22"/>
      <c r="BSH8" s="35"/>
      <c r="BSI8" s="36"/>
      <c r="BSJ8" s="37"/>
      <c r="BSK8" s="36"/>
      <c r="BSL8" s="37"/>
      <c r="BSM8" s="36"/>
      <c r="BSN8" s="37"/>
      <c r="BSO8" s="36"/>
      <c r="BSP8" s="37"/>
      <c r="BSQ8" s="36"/>
      <c r="BSR8" s="37"/>
      <c r="BSS8" s="36"/>
      <c r="BST8" s="37"/>
      <c r="BSU8" s="36"/>
      <c r="BSV8" s="37"/>
      <c r="BSW8" s="36"/>
      <c r="BSX8" s="37"/>
      <c r="BSY8" s="36"/>
      <c r="BSZ8" s="37"/>
      <c r="BTA8" s="36"/>
      <c r="BTB8" s="36"/>
      <c r="BTC8" s="37"/>
      <c r="BTD8" s="37"/>
      <c r="BTF8" s="22"/>
      <c r="BTG8" s="35"/>
      <c r="BTH8" s="36"/>
      <c r="BTI8" s="37"/>
      <c r="BTJ8" s="36"/>
      <c r="BTK8" s="37"/>
      <c r="BTL8" s="36"/>
      <c r="BTM8" s="37"/>
      <c r="BTN8" s="36"/>
      <c r="BTO8" s="37"/>
      <c r="BTP8" s="36"/>
      <c r="BTQ8" s="37"/>
      <c r="BTR8" s="36"/>
      <c r="BTS8" s="37"/>
      <c r="BTT8" s="36"/>
      <c r="BTU8" s="37"/>
      <c r="BTV8" s="36"/>
      <c r="BTW8" s="37"/>
      <c r="BTX8" s="36"/>
      <c r="BTY8" s="37"/>
      <c r="BTZ8" s="36"/>
      <c r="BUA8" s="36"/>
      <c r="BUB8" s="37"/>
      <c r="BUC8" s="37"/>
      <c r="BUE8" s="22"/>
      <c r="BUF8" s="35"/>
      <c r="BUG8" s="36"/>
      <c r="BUH8" s="37"/>
      <c r="BUI8" s="36"/>
      <c r="BUJ8" s="37"/>
      <c r="BUK8" s="36"/>
      <c r="BUL8" s="37"/>
      <c r="BUM8" s="36"/>
      <c r="BUN8" s="37"/>
      <c r="BUO8" s="36"/>
      <c r="BUP8" s="37"/>
      <c r="BUQ8" s="36"/>
      <c r="BUR8" s="37"/>
      <c r="BUS8" s="36"/>
      <c r="BUT8" s="37"/>
      <c r="BUU8" s="36"/>
      <c r="BUV8" s="37"/>
      <c r="BUW8" s="36"/>
      <c r="BUX8" s="37"/>
      <c r="BUY8" s="36"/>
      <c r="BUZ8" s="36"/>
      <c r="BVA8" s="37"/>
      <c r="BVB8" s="37"/>
      <c r="BVD8" s="22"/>
      <c r="BVE8" s="35"/>
      <c r="BVF8" s="36"/>
      <c r="BVG8" s="37"/>
      <c r="BVH8" s="36"/>
      <c r="BVI8" s="37"/>
      <c r="BVJ8" s="36"/>
      <c r="BVK8" s="37"/>
      <c r="BVL8" s="36"/>
      <c r="BVM8" s="37"/>
      <c r="BVN8" s="36"/>
      <c r="BVO8" s="37"/>
      <c r="BVP8" s="36"/>
      <c r="BVQ8" s="37"/>
      <c r="BVR8" s="36"/>
      <c r="BVS8" s="37"/>
      <c r="BVT8" s="36"/>
      <c r="BVU8" s="37"/>
      <c r="BVV8" s="36"/>
      <c r="BVW8" s="37"/>
      <c r="BVX8" s="36"/>
      <c r="BVY8" s="36"/>
      <c r="BVZ8" s="37"/>
      <c r="BWA8" s="37"/>
      <c r="BWC8" s="22"/>
      <c r="BWD8" s="35"/>
      <c r="BWE8" s="36"/>
      <c r="BWF8" s="37"/>
      <c r="BWG8" s="36"/>
      <c r="BWH8" s="37"/>
      <c r="BWI8" s="36"/>
      <c r="BWJ8" s="37"/>
      <c r="BWK8" s="36"/>
      <c r="BWL8" s="37"/>
      <c r="BWM8" s="36"/>
      <c r="BWN8" s="37"/>
      <c r="BWO8" s="36"/>
      <c r="BWP8" s="37"/>
      <c r="BWQ8" s="36"/>
      <c r="BWR8" s="37"/>
      <c r="BWS8" s="36"/>
      <c r="BWT8" s="37"/>
      <c r="BWU8" s="36"/>
      <c r="BWV8" s="37"/>
      <c r="BWW8" s="36"/>
      <c r="BWX8" s="36"/>
      <c r="BWY8" s="37"/>
      <c r="BWZ8" s="37"/>
      <c r="BXB8" s="22"/>
      <c r="BXC8" s="35"/>
      <c r="BXD8" s="36"/>
      <c r="BXE8" s="37"/>
      <c r="BXF8" s="36"/>
      <c r="BXG8" s="37"/>
      <c r="BXH8" s="36"/>
      <c r="BXI8" s="37"/>
      <c r="BXJ8" s="36"/>
      <c r="BXK8" s="37"/>
      <c r="BXL8" s="36"/>
      <c r="BXM8" s="37"/>
      <c r="BXN8" s="36"/>
      <c r="BXO8" s="37"/>
      <c r="BXP8" s="36"/>
      <c r="BXQ8" s="37"/>
      <c r="BXR8" s="36"/>
      <c r="BXS8" s="37"/>
      <c r="BXT8" s="36"/>
      <c r="BXU8" s="37"/>
      <c r="BXV8" s="36"/>
      <c r="BXW8" s="36"/>
      <c r="BXX8" s="37"/>
      <c r="BXY8" s="37"/>
      <c r="BYA8" s="22"/>
      <c r="BYB8" s="35"/>
      <c r="BYC8" s="36"/>
      <c r="BYD8" s="37"/>
      <c r="BYE8" s="36"/>
      <c r="BYF8" s="37"/>
      <c r="BYG8" s="36"/>
      <c r="BYH8" s="37"/>
      <c r="BYI8" s="36"/>
      <c r="BYJ8" s="37"/>
      <c r="BYK8" s="36"/>
      <c r="BYL8" s="37"/>
      <c r="BYM8" s="36"/>
      <c r="BYN8" s="37"/>
      <c r="BYO8" s="36"/>
      <c r="BYP8" s="37"/>
      <c r="BYQ8" s="36"/>
      <c r="BYR8" s="37"/>
      <c r="BYS8" s="36"/>
      <c r="BYT8" s="37"/>
      <c r="BYU8" s="36"/>
      <c r="BYV8" s="36"/>
      <c r="BYW8" s="37"/>
      <c r="BYX8" s="37"/>
      <c r="BYZ8" s="22"/>
      <c r="BZA8" s="35"/>
      <c r="BZB8" s="36"/>
      <c r="BZC8" s="37"/>
      <c r="BZD8" s="36"/>
      <c r="BZE8" s="37"/>
      <c r="BZF8" s="36"/>
      <c r="BZG8" s="37"/>
      <c r="BZH8" s="36"/>
      <c r="BZI8" s="37"/>
      <c r="BZJ8" s="36"/>
      <c r="BZK8" s="37"/>
      <c r="BZL8" s="36"/>
      <c r="BZM8" s="37"/>
      <c r="BZN8" s="36"/>
      <c r="BZO8" s="37"/>
      <c r="BZP8" s="36"/>
      <c r="BZQ8" s="37"/>
      <c r="BZR8" s="36"/>
      <c r="BZS8" s="37"/>
      <c r="BZT8" s="36"/>
      <c r="BZU8" s="36"/>
      <c r="BZV8" s="37"/>
      <c r="BZW8" s="37"/>
      <c r="BZY8" s="22"/>
      <c r="BZZ8" s="35"/>
      <c r="CAA8" s="36"/>
      <c r="CAB8" s="37"/>
      <c r="CAC8" s="36"/>
      <c r="CAD8" s="37"/>
      <c r="CAE8" s="36"/>
      <c r="CAF8" s="37"/>
      <c r="CAG8" s="36"/>
      <c r="CAH8" s="37"/>
      <c r="CAI8" s="36"/>
      <c r="CAJ8" s="37"/>
      <c r="CAK8" s="36"/>
      <c r="CAL8" s="37"/>
      <c r="CAM8" s="36"/>
      <c r="CAN8" s="37"/>
      <c r="CAO8" s="36"/>
      <c r="CAP8" s="37"/>
      <c r="CAQ8" s="36"/>
      <c r="CAR8" s="37"/>
      <c r="CAS8" s="36"/>
      <c r="CAT8" s="36"/>
      <c r="CAU8" s="37"/>
      <c r="CAV8" s="37"/>
      <c r="CAX8" s="22"/>
      <c r="CAY8" s="35"/>
      <c r="CAZ8" s="36"/>
      <c r="CBA8" s="37"/>
      <c r="CBB8" s="36"/>
      <c r="CBC8" s="37"/>
      <c r="CBD8" s="36"/>
      <c r="CBE8" s="37"/>
      <c r="CBF8" s="36"/>
      <c r="CBG8" s="37"/>
      <c r="CBH8" s="36"/>
      <c r="CBI8" s="37"/>
      <c r="CBJ8" s="36"/>
      <c r="CBK8" s="37"/>
      <c r="CBL8" s="36"/>
      <c r="CBM8" s="37"/>
      <c r="CBN8" s="36"/>
      <c r="CBO8" s="37"/>
      <c r="CBP8" s="36"/>
      <c r="CBQ8" s="37"/>
      <c r="CBR8" s="36"/>
      <c r="CBS8" s="36"/>
      <c r="CBT8" s="37"/>
      <c r="CBU8" s="37"/>
      <c r="CBW8" s="22"/>
      <c r="CBX8" s="35"/>
      <c r="CBY8" s="36"/>
      <c r="CBZ8" s="37"/>
      <c r="CCA8" s="36"/>
      <c r="CCB8" s="37"/>
      <c r="CCC8" s="36"/>
      <c r="CCD8" s="37"/>
      <c r="CCE8" s="36"/>
      <c r="CCF8" s="37"/>
      <c r="CCG8" s="36"/>
      <c r="CCH8" s="37"/>
      <c r="CCI8" s="36"/>
      <c r="CCJ8" s="37"/>
      <c r="CCK8" s="36"/>
      <c r="CCL8" s="37"/>
      <c r="CCM8" s="36"/>
      <c r="CCN8" s="37"/>
      <c r="CCO8" s="36"/>
      <c r="CCP8" s="37"/>
      <c r="CCQ8" s="36"/>
      <c r="CCR8" s="36"/>
      <c r="CCS8" s="37"/>
      <c r="CCT8" s="37"/>
      <c r="CCV8" s="22"/>
      <c r="CCW8" s="35"/>
      <c r="CCX8" s="36"/>
      <c r="CCY8" s="37"/>
      <c r="CCZ8" s="36"/>
      <c r="CDA8" s="37"/>
      <c r="CDB8" s="36"/>
      <c r="CDC8" s="37"/>
      <c r="CDD8" s="36"/>
      <c r="CDE8" s="37"/>
      <c r="CDF8" s="36"/>
      <c r="CDG8" s="37"/>
      <c r="CDH8" s="36"/>
      <c r="CDI8" s="37"/>
      <c r="CDJ8" s="36"/>
      <c r="CDK8" s="37"/>
      <c r="CDL8" s="36"/>
      <c r="CDM8" s="37"/>
      <c r="CDN8" s="36"/>
      <c r="CDO8" s="37"/>
      <c r="CDP8" s="36"/>
      <c r="CDQ8" s="36"/>
      <c r="CDR8" s="37"/>
      <c r="CDS8" s="37"/>
      <c r="CDU8" s="22"/>
      <c r="CDV8" s="35"/>
      <c r="CDW8" s="36"/>
      <c r="CDX8" s="37"/>
      <c r="CDY8" s="36"/>
      <c r="CDZ8" s="37"/>
      <c r="CEA8" s="36"/>
      <c r="CEB8" s="37"/>
      <c r="CEC8" s="36"/>
      <c r="CED8" s="37"/>
      <c r="CEE8" s="36"/>
      <c r="CEF8" s="37"/>
      <c r="CEG8" s="36"/>
      <c r="CEH8" s="37"/>
      <c r="CEI8" s="36"/>
      <c r="CEJ8" s="37"/>
      <c r="CEK8" s="36"/>
      <c r="CEL8" s="37"/>
      <c r="CEM8" s="36"/>
      <c r="CEN8" s="37"/>
      <c r="CEO8" s="36"/>
      <c r="CEP8" s="36"/>
      <c r="CEQ8" s="37"/>
      <c r="CER8" s="37"/>
      <c r="CET8" s="22"/>
      <c r="CEU8" s="35"/>
      <c r="CEV8" s="36"/>
      <c r="CEW8" s="37"/>
      <c r="CEX8" s="36"/>
      <c r="CEY8" s="37"/>
      <c r="CEZ8" s="36"/>
      <c r="CFA8" s="37"/>
      <c r="CFB8" s="36"/>
      <c r="CFC8" s="37"/>
      <c r="CFD8" s="36"/>
      <c r="CFE8" s="37"/>
      <c r="CFF8" s="36"/>
      <c r="CFG8" s="37"/>
      <c r="CFH8" s="36"/>
      <c r="CFI8" s="37"/>
      <c r="CFJ8" s="36"/>
      <c r="CFK8" s="37"/>
      <c r="CFL8" s="36"/>
      <c r="CFM8" s="37"/>
      <c r="CFN8" s="36"/>
      <c r="CFO8" s="36"/>
      <c r="CFP8" s="37"/>
      <c r="CFQ8" s="37"/>
      <c r="CFS8" s="22"/>
      <c r="CFT8" s="35"/>
      <c r="CFU8" s="36"/>
      <c r="CFV8" s="37"/>
      <c r="CFW8" s="36"/>
      <c r="CFX8" s="37"/>
      <c r="CFY8" s="36"/>
      <c r="CFZ8" s="37"/>
      <c r="CGA8" s="36"/>
      <c r="CGB8" s="37"/>
      <c r="CGC8" s="36"/>
      <c r="CGD8" s="37"/>
      <c r="CGE8" s="36"/>
      <c r="CGF8" s="37"/>
      <c r="CGG8" s="36"/>
      <c r="CGH8" s="37"/>
      <c r="CGI8" s="36"/>
      <c r="CGJ8" s="37"/>
      <c r="CGK8" s="36"/>
      <c r="CGL8" s="37"/>
      <c r="CGM8" s="36"/>
      <c r="CGN8" s="36"/>
      <c r="CGO8" s="37"/>
      <c r="CGP8" s="37"/>
      <c r="CGR8" s="22"/>
      <c r="CGS8" s="35"/>
      <c r="CGT8" s="36"/>
      <c r="CGU8" s="37"/>
      <c r="CGV8" s="36"/>
      <c r="CGW8" s="37"/>
      <c r="CGX8" s="36"/>
      <c r="CGY8" s="37"/>
      <c r="CGZ8" s="36"/>
      <c r="CHA8" s="37"/>
      <c r="CHB8" s="36"/>
      <c r="CHC8" s="37"/>
      <c r="CHD8" s="36"/>
      <c r="CHE8" s="37"/>
      <c r="CHF8" s="36"/>
      <c r="CHG8" s="37"/>
      <c r="CHH8" s="36"/>
      <c r="CHI8" s="37"/>
      <c r="CHJ8" s="36"/>
      <c r="CHK8" s="37"/>
      <c r="CHL8" s="36"/>
      <c r="CHM8" s="36"/>
      <c r="CHN8" s="37"/>
      <c r="CHO8" s="37"/>
      <c r="CHQ8" s="22"/>
      <c r="CHR8" s="35"/>
      <c r="CHS8" s="36"/>
      <c r="CHT8" s="37"/>
      <c r="CHU8" s="36"/>
      <c r="CHV8" s="37"/>
      <c r="CHW8" s="36"/>
      <c r="CHX8" s="37"/>
      <c r="CHY8" s="36"/>
      <c r="CHZ8" s="37"/>
      <c r="CIA8" s="36"/>
      <c r="CIB8" s="37"/>
      <c r="CIC8" s="36"/>
      <c r="CID8" s="37"/>
      <c r="CIE8" s="36"/>
      <c r="CIF8" s="37"/>
      <c r="CIG8" s="36"/>
      <c r="CIH8" s="37"/>
      <c r="CII8" s="36"/>
      <c r="CIJ8" s="37"/>
      <c r="CIK8" s="36"/>
      <c r="CIL8" s="36"/>
      <c r="CIM8" s="37"/>
      <c r="CIN8" s="37"/>
      <c r="CIP8" s="22"/>
      <c r="CIQ8" s="35"/>
      <c r="CIR8" s="36"/>
      <c r="CIS8" s="37"/>
      <c r="CIT8" s="36"/>
      <c r="CIU8" s="37"/>
      <c r="CIV8" s="36"/>
      <c r="CIW8" s="37"/>
      <c r="CIX8" s="36"/>
      <c r="CIY8" s="37"/>
      <c r="CIZ8" s="36"/>
      <c r="CJA8" s="37"/>
      <c r="CJB8" s="36"/>
      <c r="CJC8" s="37"/>
      <c r="CJD8" s="36"/>
      <c r="CJE8" s="37"/>
      <c r="CJF8" s="36"/>
      <c r="CJG8" s="37"/>
      <c r="CJH8" s="36"/>
      <c r="CJI8" s="37"/>
      <c r="CJJ8" s="36"/>
      <c r="CJK8" s="36"/>
      <c r="CJL8" s="37"/>
      <c r="CJM8" s="37"/>
      <c r="CJO8" s="22"/>
      <c r="CJP8" s="35"/>
      <c r="CJQ8" s="36"/>
      <c r="CJR8" s="37"/>
      <c r="CJS8" s="36"/>
      <c r="CJT8" s="37"/>
      <c r="CJU8" s="36"/>
      <c r="CJV8" s="37"/>
      <c r="CJW8" s="36"/>
      <c r="CJX8" s="37"/>
      <c r="CJY8" s="36"/>
      <c r="CJZ8" s="37"/>
      <c r="CKA8" s="36"/>
      <c r="CKB8" s="37"/>
      <c r="CKC8" s="36"/>
      <c r="CKD8" s="37"/>
      <c r="CKE8" s="36"/>
      <c r="CKF8" s="37"/>
      <c r="CKG8" s="36"/>
      <c r="CKH8" s="37"/>
      <c r="CKI8" s="36"/>
      <c r="CKJ8" s="36"/>
      <c r="CKK8" s="37"/>
      <c r="CKL8" s="37"/>
      <c r="CKN8" s="22"/>
      <c r="CKO8" s="35"/>
      <c r="CKP8" s="36"/>
      <c r="CKQ8" s="37"/>
      <c r="CKR8" s="36"/>
      <c r="CKS8" s="37"/>
      <c r="CKT8" s="36"/>
      <c r="CKU8" s="37"/>
      <c r="CKV8" s="36"/>
      <c r="CKW8" s="37"/>
      <c r="CKX8" s="36"/>
      <c r="CKY8" s="37"/>
      <c r="CKZ8" s="36"/>
      <c r="CLA8" s="37"/>
      <c r="CLB8" s="36"/>
      <c r="CLC8" s="37"/>
      <c r="CLD8" s="36"/>
      <c r="CLE8" s="37"/>
      <c r="CLF8" s="36"/>
      <c r="CLG8" s="37"/>
      <c r="CLH8" s="36"/>
      <c r="CLI8" s="36"/>
      <c r="CLJ8" s="37"/>
      <c r="CLK8" s="37"/>
      <c r="CLM8" s="22"/>
      <c r="CLN8" s="35"/>
      <c r="CLO8" s="36"/>
      <c r="CLP8" s="37"/>
      <c r="CLQ8" s="36"/>
      <c r="CLR8" s="37"/>
      <c r="CLS8" s="36"/>
      <c r="CLT8" s="37"/>
      <c r="CLU8" s="36"/>
      <c r="CLV8" s="37"/>
      <c r="CLW8" s="36"/>
      <c r="CLX8" s="37"/>
      <c r="CLY8" s="36"/>
      <c r="CLZ8" s="37"/>
      <c r="CMA8" s="36"/>
      <c r="CMB8" s="37"/>
      <c r="CMC8" s="36"/>
      <c r="CMD8" s="37"/>
      <c r="CME8" s="36"/>
      <c r="CMF8" s="37"/>
      <c r="CMG8" s="36"/>
      <c r="CMH8" s="36"/>
      <c r="CMI8" s="37"/>
      <c r="CMJ8" s="37"/>
      <c r="CML8" s="22"/>
      <c r="CMM8" s="35"/>
      <c r="CMN8" s="36"/>
      <c r="CMO8" s="37"/>
      <c r="CMP8" s="36"/>
      <c r="CMQ8" s="37"/>
      <c r="CMR8" s="36"/>
      <c r="CMS8" s="37"/>
      <c r="CMT8" s="36"/>
      <c r="CMU8" s="37"/>
      <c r="CMV8" s="36"/>
      <c r="CMW8" s="37"/>
      <c r="CMX8" s="36"/>
      <c r="CMY8" s="37"/>
      <c r="CMZ8" s="36"/>
      <c r="CNA8" s="37"/>
      <c r="CNB8" s="36"/>
      <c r="CNC8" s="37"/>
      <c r="CND8" s="36"/>
      <c r="CNE8" s="37"/>
      <c r="CNF8" s="36"/>
      <c r="CNG8" s="36"/>
      <c r="CNH8" s="37"/>
      <c r="CNI8" s="37"/>
      <c r="CNK8" s="22"/>
      <c r="CNL8" s="35"/>
      <c r="CNM8" s="36"/>
      <c r="CNN8" s="37"/>
      <c r="CNO8" s="36"/>
      <c r="CNP8" s="37"/>
      <c r="CNQ8" s="36"/>
      <c r="CNR8" s="37"/>
      <c r="CNS8" s="36"/>
      <c r="CNT8" s="37"/>
      <c r="CNU8" s="36"/>
      <c r="CNV8" s="37"/>
      <c r="CNW8" s="36"/>
      <c r="CNX8" s="37"/>
      <c r="CNY8" s="36"/>
      <c r="CNZ8" s="37"/>
      <c r="COA8" s="36"/>
      <c r="COB8" s="37"/>
      <c r="COC8" s="36"/>
      <c r="COD8" s="37"/>
      <c r="COE8" s="36"/>
      <c r="COF8" s="36"/>
      <c r="COG8" s="37"/>
      <c r="COH8" s="37"/>
      <c r="COJ8" s="22"/>
      <c r="COK8" s="35"/>
      <c r="COL8" s="36"/>
      <c r="COM8" s="37"/>
      <c r="CON8" s="36"/>
      <c r="COO8" s="37"/>
      <c r="COP8" s="36"/>
      <c r="COQ8" s="37"/>
      <c r="COR8" s="36"/>
      <c r="COS8" s="37"/>
      <c r="COT8" s="36"/>
      <c r="COU8" s="37"/>
      <c r="COV8" s="36"/>
      <c r="COW8" s="37"/>
      <c r="COX8" s="36"/>
      <c r="COY8" s="37"/>
      <c r="COZ8" s="36"/>
      <c r="CPA8" s="37"/>
      <c r="CPB8" s="36"/>
      <c r="CPC8" s="37"/>
      <c r="CPD8" s="36"/>
      <c r="CPE8" s="36"/>
      <c r="CPF8" s="37"/>
      <c r="CPG8" s="37"/>
      <c r="CPI8" s="22"/>
      <c r="CPJ8" s="35"/>
      <c r="CPK8" s="36"/>
      <c r="CPL8" s="37"/>
      <c r="CPM8" s="36"/>
      <c r="CPN8" s="37"/>
      <c r="CPO8" s="36"/>
      <c r="CPP8" s="37"/>
      <c r="CPQ8" s="36"/>
      <c r="CPR8" s="37"/>
      <c r="CPS8" s="36"/>
      <c r="CPT8" s="37"/>
      <c r="CPU8" s="36"/>
      <c r="CPV8" s="37"/>
      <c r="CPW8" s="36"/>
      <c r="CPX8" s="37"/>
      <c r="CPY8" s="36"/>
      <c r="CPZ8" s="37"/>
      <c r="CQA8" s="36"/>
      <c r="CQB8" s="37"/>
      <c r="CQC8" s="36"/>
      <c r="CQD8" s="36"/>
      <c r="CQE8" s="37"/>
      <c r="CQF8" s="37"/>
      <c r="CQH8" s="22"/>
      <c r="CQI8" s="35"/>
      <c r="CQJ8" s="36"/>
      <c r="CQK8" s="37"/>
      <c r="CQL8" s="36"/>
      <c r="CQM8" s="37"/>
      <c r="CQN8" s="36"/>
      <c r="CQO8" s="37"/>
      <c r="CQP8" s="36"/>
      <c r="CQQ8" s="37"/>
      <c r="CQR8" s="36"/>
      <c r="CQS8" s="37"/>
      <c r="CQT8" s="36"/>
      <c r="CQU8" s="37"/>
      <c r="CQV8" s="36"/>
      <c r="CQW8" s="37"/>
      <c r="CQX8" s="36"/>
      <c r="CQY8" s="37"/>
      <c r="CQZ8" s="36"/>
      <c r="CRA8" s="37"/>
      <c r="CRB8" s="36"/>
      <c r="CRC8" s="36"/>
      <c r="CRD8" s="37"/>
      <c r="CRE8" s="37"/>
      <c r="CRG8" s="22"/>
      <c r="CRH8" s="35"/>
      <c r="CRI8" s="36"/>
      <c r="CRJ8" s="37"/>
      <c r="CRK8" s="36"/>
      <c r="CRL8" s="37"/>
      <c r="CRM8" s="36"/>
      <c r="CRN8" s="37"/>
      <c r="CRO8" s="36"/>
      <c r="CRP8" s="37"/>
      <c r="CRQ8" s="36"/>
      <c r="CRR8" s="37"/>
      <c r="CRS8" s="36"/>
      <c r="CRT8" s="37"/>
      <c r="CRU8" s="36"/>
      <c r="CRV8" s="37"/>
      <c r="CRW8" s="36"/>
      <c r="CRX8" s="37"/>
      <c r="CRY8" s="36"/>
      <c r="CRZ8" s="37"/>
      <c r="CSA8" s="36"/>
      <c r="CSB8" s="36"/>
      <c r="CSC8" s="37"/>
      <c r="CSD8" s="37"/>
      <c r="CSF8" s="22"/>
      <c r="CSG8" s="35"/>
      <c r="CSH8" s="36"/>
      <c r="CSI8" s="37"/>
      <c r="CSJ8" s="36"/>
      <c r="CSK8" s="37"/>
      <c r="CSL8" s="36"/>
      <c r="CSM8" s="37"/>
      <c r="CSN8" s="36"/>
      <c r="CSO8" s="37"/>
      <c r="CSP8" s="36"/>
      <c r="CSQ8" s="37"/>
      <c r="CSR8" s="36"/>
      <c r="CSS8" s="37"/>
      <c r="CST8" s="36"/>
      <c r="CSU8" s="37"/>
      <c r="CSV8" s="36"/>
      <c r="CSW8" s="37"/>
      <c r="CSX8" s="36"/>
      <c r="CSY8" s="37"/>
      <c r="CSZ8" s="36"/>
      <c r="CTA8" s="36"/>
      <c r="CTB8" s="37"/>
      <c r="CTC8" s="37"/>
      <c r="CTE8" s="22"/>
      <c r="CTF8" s="35"/>
      <c r="CTG8" s="36"/>
      <c r="CTH8" s="37"/>
      <c r="CTI8" s="36"/>
      <c r="CTJ8" s="37"/>
      <c r="CTK8" s="36"/>
      <c r="CTL8" s="37"/>
      <c r="CTM8" s="36"/>
      <c r="CTN8" s="37"/>
      <c r="CTO8" s="36"/>
      <c r="CTP8" s="37"/>
      <c r="CTQ8" s="36"/>
      <c r="CTR8" s="37"/>
      <c r="CTS8" s="36"/>
      <c r="CTT8" s="37"/>
      <c r="CTU8" s="36"/>
      <c r="CTV8" s="37"/>
      <c r="CTW8" s="36"/>
      <c r="CTX8" s="37"/>
      <c r="CTY8" s="36"/>
      <c r="CTZ8" s="36"/>
      <c r="CUA8" s="37"/>
      <c r="CUB8" s="37"/>
      <c r="CUD8" s="22"/>
      <c r="CUE8" s="35"/>
      <c r="CUF8" s="36"/>
      <c r="CUG8" s="37"/>
      <c r="CUH8" s="36"/>
      <c r="CUI8" s="37"/>
      <c r="CUJ8" s="36"/>
      <c r="CUK8" s="37"/>
      <c r="CUL8" s="36"/>
      <c r="CUM8" s="37"/>
      <c r="CUN8" s="36"/>
      <c r="CUO8" s="37"/>
      <c r="CUP8" s="36"/>
      <c r="CUQ8" s="37"/>
      <c r="CUR8" s="36"/>
      <c r="CUS8" s="37"/>
      <c r="CUT8" s="36"/>
      <c r="CUU8" s="37"/>
      <c r="CUV8" s="36"/>
      <c r="CUW8" s="37"/>
      <c r="CUX8" s="36"/>
      <c r="CUY8" s="36"/>
      <c r="CUZ8" s="37"/>
      <c r="CVA8" s="37"/>
      <c r="CVC8" s="22"/>
      <c r="CVD8" s="35"/>
      <c r="CVE8" s="36"/>
      <c r="CVF8" s="37"/>
      <c r="CVG8" s="36"/>
      <c r="CVH8" s="37"/>
      <c r="CVI8" s="36"/>
      <c r="CVJ8" s="37"/>
      <c r="CVK8" s="36"/>
      <c r="CVL8" s="37"/>
      <c r="CVM8" s="36"/>
      <c r="CVN8" s="37"/>
      <c r="CVO8" s="36"/>
      <c r="CVP8" s="37"/>
      <c r="CVQ8" s="36"/>
      <c r="CVR8" s="37"/>
      <c r="CVS8" s="36"/>
      <c r="CVT8" s="37"/>
      <c r="CVU8" s="36"/>
      <c r="CVV8" s="37"/>
      <c r="CVW8" s="36"/>
      <c r="CVX8" s="36"/>
      <c r="CVY8" s="37"/>
      <c r="CVZ8" s="37"/>
      <c r="CWB8" s="22"/>
      <c r="CWC8" s="35"/>
      <c r="CWD8" s="36"/>
      <c r="CWE8" s="37"/>
      <c r="CWF8" s="36"/>
      <c r="CWG8" s="37"/>
      <c r="CWH8" s="36"/>
      <c r="CWI8" s="37"/>
      <c r="CWJ8" s="36"/>
      <c r="CWK8" s="37"/>
      <c r="CWL8" s="36"/>
      <c r="CWM8" s="37"/>
      <c r="CWN8" s="36"/>
      <c r="CWO8" s="37"/>
      <c r="CWP8" s="36"/>
      <c r="CWQ8" s="37"/>
      <c r="CWR8" s="36"/>
      <c r="CWS8" s="37"/>
      <c r="CWT8" s="36"/>
      <c r="CWU8" s="37"/>
      <c r="CWV8" s="36"/>
      <c r="CWW8" s="36"/>
      <c r="CWX8" s="37"/>
      <c r="CWY8" s="37"/>
      <c r="CXA8" s="22"/>
      <c r="CXB8" s="35"/>
      <c r="CXC8" s="36"/>
      <c r="CXD8" s="37"/>
      <c r="CXE8" s="36"/>
      <c r="CXF8" s="37"/>
      <c r="CXG8" s="36"/>
      <c r="CXH8" s="37"/>
      <c r="CXI8" s="36"/>
      <c r="CXJ8" s="37"/>
      <c r="CXK8" s="36"/>
      <c r="CXL8" s="37"/>
      <c r="CXM8" s="36"/>
      <c r="CXN8" s="37"/>
      <c r="CXO8" s="36"/>
      <c r="CXP8" s="37"/>
      <c r="CXQ8" s="36"/>
      <c r="CXR8" s="37"/>
      <c r="CXS8" s="36"/>
      <c r="CXT8" s="37"/>
      <c r="CXU8" s="36"/>
      <c r="CXV8" s="36"/>
      <c r="CXW8" s="37"/>
      <c r="CXX8" s="37"/>
      <c r="CXZ8" s="22"/>
      <c r="CYA8" s="35"/>
      <c r="CYB8" s="36"/>
      <c r="CYC8" s="37"/>
      <c r="CYD8" s="36"/>
      <c r="CYE8" s="37"/>
      <c r="CYF8" s="36"/>
      <c r="CYG8" s="37"/>
      <c r="CYH8" s="36"/>
      <c r="CYI8" s="37"/>
      <c r="CYJ8" s="36"/>
      <c r="CYK8" s="37"/>
      <c r="CYL8" s="36"/>
      <c r="CYM8" s="37"/>
      <c r="CYN8" s="36"/>
      <c r="CYO8" s="37"/>
      <c r="CYP8" s="36"/>
      <c r="CYQ8" s="37"/>
      <c r="CYR8" s="36"/>
      <c r="CYS8" s="37"/>
      <c r="CYT8" s="36"/>
      <c r="CYU8" s="36"/>
      <c r="CYV8" s="37"/>
      <c r="CYW8" s="37"/>
      <c r="CYY8" s="22"/>
      <c r="CYZ8" s="35"/>
      <c r="CZA8" s="36"/>
      <c r="CZB8" s="37"/>
      <c r="CZC8" s="36"/>
      <c r="CZD8" s="37"/>
      <c r="CZE8" s="36"/>
      <c r="CZF8" s="37"/>
      <c r="CZG8" s="36"/>
      <c r="CZH8" s="37"/>
      <c r="CZI8" s="36"/>
      <c r="CZJ8" s="37"/>
      <c r="CZK8" s="36"/>
      <c r="CZL8" s="37"/>
      <c r="CZM8" s="36"/>
      <c r="CZN8" s="37"/>
      <c r="CZO8" s="36"/>
      <c r="CZP8" s="37"/>
      <c r="CZQ8" s="36"/>
      <c r="CZR8" s="37"/>
      <c r="CZS8" s="36"/>
      <c r="CZT8" s="36"/>
      <c r="CZU8" s="37"/>
      <c r="CZV8" s="37"/>
      <c r="CZX8" s="22"/>
      <c r="CZY8" s="35"/>
      <c r="CZZ8" s="36"/>
      <c r="DAA8" s="37"/>
      <c r="DAB8" s="36"/>
      <c r="DAC8" s="37"/>
      <c r="DAD8" s="36"/>
      <c r="DAE8" s="37"/>
      <c r="DAF8" s="36"/>
      <c r="DAG8" s="37"/>
      <c r="DAH8" s="36"/>
      <c r="DAI8" s="37"/>
      <c r="DAJ8" s="36"/>
      <c r="DAK8" s="37"/>
      <c r="DAL8" s="36"/>
      <c r="DAM8" s="37"/>
      <c r="DAN8" s="36"/>
      <c r="DAO8" s="37"/>
      <c r="DAP8" s="36"/>
      <c r="DAQ8" s="37"/>
      <c r="DAR8" s="36"/>
      <c r="DAS8" s="36"/>
      <c r="DAT8" s="37"/>
      <c r="DAU8" s="37"/>
      <c r="DAW8" s="22"/>
      <c r="DAX8" s="35"/>
      <c r="DAY8" s="36"/>
      <c r="DAZ8" s="37"/>
      <c r="DBA8" s="36"/>
      <c r="DBB8" s="37"/>
      <c r="DBC8" s="36"/>
      <c r="DBD8" s="37"/>
      <c r="DBE8" s="36"/>
      <c r="DBF8" s="37"/>
      <c r="DBG8" s="36"/>
      <c r="DBH8" s="37"/>
      <c r="DBI8" s="36"/>
      <c r="DBJ8" s="37"/>
      <c r="DBK8" s="36"/>
      <c r="DBL8" s="37"/>
      <c r="DBM8" s="36"/>
      <c r="DBN8" s="37"/>
      <c r="DBO8" s="36"/>
      <c r="DBP8" s="37"/>
      <c r="DBQ8" s="36"/>
      <c r="DBR8" s="36"/>
      <c r="DBS8" s="37"/>
      <c r="DBT8" s="37"/>
      <c r="DBV8" s="22"/>
      <c r="DBW8" s="35"/>
      <c r="DBX8" s="36"/>
      <c r="DBY8" s="37"/>
      <c r="DBZ8" s="36"/>
      <c r="DCA8" s="37"/>
      <c r="DCB8" s="36"/>
      <c r="DCC8" s="37"/>
      <c r="DCD8" s="36"/>
      <c r="DCE8" s="37"/>
      <c r="DCF8" s="36"/>
      <c r="DCG8" s="37"/>
      <c r="DCH8" s="36"/>
      <c r="DCI8" s="37"/>
      <c r="DCJ8" s="36"/>
      <c r="DCK8" s="37"/>
      <c r="DCL8" s="36"/>
      <c r="DCM8" s="37"/>
      <c r="DCN8" s="36"/>
      <c r="DCO8" s="37"/>
      <c r="DCP8" s="36"/>
      <c r="DCQ8" s="36"/>
      <c r="DCR8" s="37"/>
      <c r="DCS8" s="37"/>
      <c r="DCU8" s="22"/>
      <c r="DCV8" s="35"/>
      <c r="DCW8" s="36"/>
      <c r="DCX8" s="37"/>
      <c r="DCY8" s="36"/>
      <c r="DCZ8" s="37"/>
      <c r="DDA8" s="36"/>
      <c r="DDB8" s="37"/>
      <c r="DDC8" s="36"/>
      <c r="DDD8" s="37"/>
      <c r="DDE8" s="36"/>
      <c r="DDF8" s="37"/>
      <c r="DDG8" s="36"/>
      <c r="DDH8" s="37"/>
      <c r="DDI8" s="36"/>
      <c r="DDJ8" s="37"/>
      <c r="DDK8" s="36"/>
      <c r="DDL8" s="37"/>
      <c r="DDM8" s="36"/>
      <c r="DDN8" s="37"/>
      <c r="DDO8" s="36"/>
      <c r="DDP8" s="36"/>
      <c r="DDQ8" s="37"/>
      <c r="DDR8" s="37"/>
      <c r="DDT8" s="22"/>
      <c r="DDU8" s="35"/>
      <c r="DDV8" s="36"/>
      <c r="DDW8" s="37"/>
      <c r="DDX8" s="36"/>
      <c r="DDY8" s="37"/>
      <c r="DDZ8" s="36"/>
      <c r="DEA8" s="37"/>
      <c r="DEB8" s="36"/>
      <c r="DEC8" s="37"/>
      <c r="DED8" s="36"/>
      <c r="DEE8" s="37"/>
      <c r="DEF8" s="36"/>
      <c r="DEG8" s="37"/>
      <c r="DEH8" s="36"/>
      <c r="DEI8" s="37"/>
      <c r="DEJ8" s="36"/>
      <c r="DEK8" s="37"/>
      <c r="DEL8" s="36"/>
      <c r="DEM8" s="37"/>
      <c r="DEN8" s="36"/>
      <c r="DEO8" s="36"/>
      <c r="DEP8" s="37"/>
      <c r="DEQ8" s="37"/>
      <c r="DES8" s="22"/>
      <c r="DET8" s="35"/>
      <c r="DEU8" s="36"/>
      <c r="DEV8" s="37"/>
      <c r="DEW8" s="36"/>
      <c r="DEX8" s="37"/>
      <c r="DEY8" s="36"/>
      <c r="DEZ8" s="37"/>
      <c r="DFA8" s="36"/>
      <c r="DFB8" s="37"/>
      <c r="DFC8" s="36"/>
      <c r="DFD8" s="37"/>
      <c r="DFE8" s="36"/>
      <c r="DFF8" s="37"/>
      <c r="DFG8" s="36"/>
      <c r="DFH8" s="37"/>
      <c r="DFI8" s="36"/>
      <c r="DFJ8" s="37"/>
      <c r="DFK8" s="36"/>
      <c r="DFL8" s="37"/>
      <c r="DFM8" s="36"/>
      <c r="DFN8" s="36"/>
      <c r="DFO8" s="37"/>
      <c r="DFP8" s="37"/>
      <c r="DFR8" s="22"/>
      <c r="DFS8" s="35"/>
      <c r="DFT8" s="36"/>
      <c r="DFU8" s="37"/>
      <c r="DFV8" s="36"/>
      <c r="DFW8" s="37"/>
      <c r="DFX8" s="36"/>
      <c r="DFY8" s="37"/>
      <c r="DFZ8" s="36"/>
      <c r="DGA8" s="37"/>
      <c r="DGB8" s="36"/>
      <c r="DGC8" s="37"/>
      <c r="DGD8" s="36"/>
      <c r="DGE8" s="37"/>
      <c r="DGF8" s="36"/>
      <c r="DGG8" s="37"/>
      <c r="DGH8" s="36"/>
      <c r="DGI8" s="37"/>
      <c r="DGJ8" s="36"/>
      <c r="DGK8" s="37"/>
      <c r="DGL8" s="36"/>
      <c r="DGM8" s="36"/>
      <c r="DGN8" s="37"/>
      <c r="DGO8" s="37"/>
      <c r="DGQ8" s="22"/>
      <c r="DGR8" s="35"/>
      <c r="DGS8" s="36"/>
      <c r="DGT8" s="37"/>
      <c r="DGU8" s="36"/>
      <c r="DGV8" s="37"/>
      <c r="DGW8" s="36"/>
      <c r="DGX8" s="37"/>
      <c r="DGY8" s="36"/>
      <c r="DGZ8" s="37"/>
      <c r="DHA8" s="36"/>
      <c r="DHB8" s="37"/>
      <c r="DHC8" s="36"/>
      <c r="DHD8" s="37"/>
      <c r="DHE8" s="36"/>
      <c r="DHF8" s="37"/>
      <c r="DHG8" s="36"/>
      <c r="DHH8" s="37"/>
      <c r="DHI8" s="36"/>
      <c r="DHJ8" s="37"/>
      <c r="DHK8" s="36"/>
      <c r="DHL8" s="36"/>
      <c r="DHM8" s="37"/>
      <c r="DHN8" s="37"/>
      <c r="DHP8" s="22"/>
      <c r="DHQ8" s="35"/>
      <c r="DHR8" s="36"/>
      <c r="DHS8" s="37"/>
      <c r="DHT8" s="36"/>
      <c r="DHU8" s="37"/>
      <c r="DHV8" s="36"/>
      <c r="DHW8" s="37"/>
      <c r="DHX8" s="36"/>
      <c r="DHY8" s="37"/>
      <c r="DHZ8" s="36"/>
      <c r="DIA8" s="37"/>
      <c r="DIB8" s="36"/>
      <c r="DIC8" s="37"/>
      <c r="DID8" s="36"/>
      <c r="DIE8" s="37"/>
      <c r="DIF8" s="36"/>
      <c r="DIG8" s="37"/>
      <c r="DIH8" s="36"/>
      <c r="DII8" s="37"/>
      <c r="DIJ8" s="36"/>
      <c r="DIK8" s="36"/>
      <c r="DIL8" s="37"/>
      <c r="DIM8" s="37"/>
      <c r="DIO8" s="22"/>
      <c r="DIP8" s="35"/>
      <c r="DIQ8" s="36"/>
      <c r="DIR8" s="37"/>
      <c r="DIS8" s="36"/>
      <c r="DIT8" s="37"/>
      <c r="DIU8" s="36"/>
      <c r="DIV8" s="37"/>
      <c r="DIW8" s="36"/>
      <c r="DIX8" s="37"/>
      <c r="DIY8" s="36"/>
      <c r="DIZ8" s="37"/>
      <c r="DJA8" s="36"/>
      <c r="DJB8" s="37"/>
      <c r="DJC8" s="36"/>
      <c r="DJD8" s="37"/>
      <c r="DJE8" s="36"/>
      <c r="DJF8" s="37"/>
      <c r="DJG8" s="36"/>
      <c r="DJH8" s="37"/>
      <c r="DJI8" s="36"/>
      <c r="DJJ8" s="36"/>
      <c r="DJK8" s="37"/>
      <c r="DJL8" s="37"/>
      <c r="DJN8" s="22"/>
      <c r="DJO8" s="35"/>
      <c r="DJP8" s="36"/>
      <c r="DJQ8" s="37"/>
      <c r="DJR8" s="36"/>
      <c r="DJS8" s="37"/>
      <c r="DJT8" s="36"/>
      <c r="DJU8" s="37"/>
      <c r="DJV8" s="36"/>
      <c r="DJW8" s="37"/>
      <c r="DJX8" s="36"/>
      <c r="DJY8" s="37"/>
      <c r="DJZ8" s="36"/>
      <c r="DKA8" s="37"/>
      <c r="DKB8" s="36"/>
      <c r="DKC8" s="37"/>
      <c r="DKD8" s="36"/>
      <c r="DKE8" s="37"/>
      <c r="DKF8" s="36"/>
      <c r="DKG8" s="37"/>
      <c r="DKH8" s="36"/>
      <c r="DKI8" s="36"/>
      <c r="DKJ8" s="37"/>
      <c r="DKK8" s="37"/>
      <c r="DKM8" s="22"/>
      <c r="DKN8" s="35"/>
      <c r="DKO8" s="36"/>
      <c r="DKP8" s="37"/>
      <c r="DKQ8" s="36"/>
      <c r="DKR8" s="37"/>
      <c r="DKS8" s="36"/>
      <c r="DKT8" s="37"/>
      <c r="DKU8" s="36"/>
      <c r="DKV8" s="37"/>
      <c r="DKW8" s="36"/>
      <c r="DKX8" s="37"/>
      <c r="DKY8" s="36"/>
      <c r="DKZ8" s="37"/>
      <c r="DLA8" s="36"/>
      <c r="DLB8" s="37"/>
      <c r="DLC8" s="36"/>
      <c r="DLD8" s="37"/>
      <c r="DLE8" s="36"/>
      <c r="DLF8" s="37"/>
      <c r="DLG8" s="36"/>
      <c r="DLH8" s="36"/>
      <c r="DLI8" s="37"/>
      <c r="DLJ8" s="37"/>
      <c r="DLL8" s="22"/>
      <c r="DLM8" s="35"/>
      <c r="DLN8" s="36"/>
      <c r="DLO8" s="37"/>
      <c r="DLP8" s="36"/>
      <c r="DLQ8" s="37"/>
      <c r="DLR8" s="36"/>
      <c r="DLS8" s="37"/>
      <c r="DLT8" s="36"/>
      <c r="DLU8" s="37"/>
      <c r="DLV8" s="36"/>
      <c r="DLW8" s="37"/>
      <c r="DLX8" s="36"/>
      <c r="DLY8" s="37"/>
      <c r="DLZ8" s="36"/>
      <c r="DMA8" s="37"/>
      <c r="DMB8" s="36"/>
      <c r="DMC8" s="37"/>
      <c r="DMD8" s="36"/>
      <c r="DME8" s="37"/>
      <c r="DMF8" s="36"/>
      <c r="DMG8" s="36"/>
      <c r="DMH8" s="37"/>
      <c r="DMI8" s="37"/>
      <c r="DMK8" s="22"/>
      <c r="DML8" s="35"/>
      <c r="DMM8" s="36"/>
      <c r="DMN8" s="37"/>
      <c r="DMO8" s="36"/>
      <c r="DMP8" s="37"/>
      <c r="DMQ8" s="36"/>
      <c r="DMR8" s="37"/>
      <c r="DMS8" s="36"/>
      <c r="DMT8" s="37"/>
      <c r="DMU8" s="36"/>
      <c r="DMV8" s="37"/>
      <c r="DMW8" s="36"/>
      <c r="DMX8" s="37"/>
      <c r="DMY8" s="36"/>
      <c r="DMZ8" s="37"/>
      <c r="DNA8" s="36"/>
      <c r="DNB8" s="37"/>
      <c r="DNC8" s="36"/>
      <c r="DND8" s="37"/>
      <c r="DNE8" s="36"/>
      <c r="DNF8" s="36"/>
      <c r="DNG8" s="37"/>
      <c r="DNH8" s="37"/>
      <c r="DNJ8" s="22"/>
      <c r="DNK8" s="35"/>
      <c r="DNL8" s="36"/>
      <c r="DNM8" s="37"/>
      <c r="DNN8" s="36"/>
      <c r="DNO8" s="37"/>
      <c r="DNP8" s="36"/>
      <c r="DNQ8" s="37"/>
      <c r="DNR8" s="36"/>
      <c r="DNS8" s="37"/>
      <c r="DNT8" s="36"/>
      <c r="DNU8" s="37"/>
      <c r="DNV8" s="36"/>
      <c r="DNW8" s="37"/>
      <c r="DNX8" s="36"/>
      <c r="DNY8" s="37"/>
      <c r="DNZ8" s="36"/>
      <c r="DOA8" s="37"/>
      <c r="DOB8" s="36"/>
      <c r="DOC8" s="37"/>
      <c r="DOD8" s="36"/>
      <c r="DOE8" s="36"/>
      <c r="DOF8" s="37"/>
      <c r="DOG8" s="37"/>
      <c r="DOI8" s="22"/>
      <c r="DOJ8" s="35"/>
      <c r="DOK8" s="36"/>
      <c r="DOL8" s="37"/>
      <c r="DOM8" s="36"/>
      <c r="DON8" s="37"/>
      <c r="DOO8" s="36"/>
      <c r="DOP8" s="37"/>
      <c r="DOQ8" s="36"/>
      <c r="DOR8" s="37"/>
      <c r="DOS8" s="36"/>
      <c r="DOT8" s="37"/>
      <c r="DOU8" s="36"/>
      <c r="DOV8" s="37"/>
      <c r="DOW8" s="36"/>
      <c r="DOX8" s="37"/>
      <c r="DOY8" s="36"/>
      <c r="DOZ8" s="37"/>
      <c r="DPA8" s="36"/>
      <c r="DPB8" s="37"/>
      <c r="DPC8" s="36"/>
      <c r="DPD8" s="36"/>
      <c r="DPE8" s="37"/>
      <c r="DPF8" s="37"/>
      <c r="DPH8" s="22"/>
      <c r="DPI8" s="35"/>
      <c r="DPJ8" s="36"/>
      <c r="DPK8" s="37"/>
      <c r="DPL8" s="36"/>
      <c r="DPM8" s="37"/>
      <c r="DPN8" s="36"/>
      <c r="DPO8" s="37"/>
      <c r="DPP8" s="36"/>
      <c r="DPQ8" s="37"/>
      <c r="DPR8" s="36"/>
      <c r="DPS8" s="37"/>
      <c r="DPT8" s="36"/>
      <c r="DPU8" s="37"/>
      <c r="DPV8" s="36"/>
      <c r="DPW8" s="37"/>
      <c r="DPX8" s="36"/>
      <c r="DPY8" s="37"/>
      <c r="DPZ8" s="36"/>
      <c r="DQA8" s="37"/>
      <c r="DQB8" s="36"/>
      <c r="DQC8" s="36"/>
      <c r="DQD8" s="37"/>
      <c r="DQE8" s="37"/>
      <c r="DQG8" s="22"/>
      <c r="DQH8" s="35"/>
      <c r="DQI8" s="36"/>
      <c r="DQJ8" s="37"/>
      <c r="DQK8" s="36"/>
      <c r="DQL8" s="37"/>
      <c r="DQM8" s="36"/>
      <c r="DQN8" s="37"/>
      <c r="DQO8" s="36"/>
      <c r="DQP8" s="37"/>
      <c r="DQQ8" s="36"/>
      <c r="DQR8" s="37"/>
      <c r="DQS8" s="36"/>
      <c r="DQT8" s="37"/>
      <c r="DQU8" s="36"/>
      <c r="DQV8" s="37"/>
      <c r="DQW8" s="36"/>
      <c r="DQX8" s="37"/>
      <c r="DQY8" s="36"/>
      <c r="DQZ8" s="37"/>
      <c r="DRA8" s="36"/>
      <c r="DRB8" s="36"/>
      <c r="DRC8" s="37"/>
      <c r="DRD8" s="37"/>
      <c r="DRF8" s="22"/>
      <c r="DRG8" s="35"/>
      <c r="DRH8" s="36"/>
      <c r="DRI8" s="37"/>
      <c r="DRJ8" s="36"/>
      <c r="DRK8" s="37"/>
      <c r="DRL8" s="36"/>
      <c r="DRM8" s="37"/>
      <c r="DRN8" s="36"/>
      <c r="DRO8" s="37"/>
      <c r="DRP8" s="36"/>
      <c r="DRQ8" s="37"/>
      <c r="DRR8" s="36"/>
      <c r="DRS8" s="37"/>
      <c r="DRT8" s="36"/>
      <c r="DRU8" s="37"/>
      <c r="DRV8" s="36"/>
      <c r="DRW8" s="37"/>
      <c r="DRX8" s="36"/>
      <c r="DRY8" s="37"/>
      <c r="DRZ8" s="36"/>
      <c r="DSA8" s="36"/>
      <c r="DSB8" s="37"/>
      <c r="DSC8" s="37"/>
      <c r="DSE8" s="22"/>
      <c r="DSF8" s="35"/>
      <c r="DSG8" s="36"/>
      <c r="DSH8" s="37"/>
      <c r="DSI8" s="36"/>
      <c r="DSJ8" s="37"/>
      <c r="DSK8" s="36"/>
      <c r="DSL8" s="37"/>
      <c r="DSM8" s="36"/>
      <c r="DSN8" s="37"/>
      <c r="DSO8" s="36"/>
      <c r="DSP8" s="37"/>
      <c r="DSQ8" s="36"/>
      <c r="DSR8" s="37"/>
      <c r="DSS8" s="36"/>
      <c r="DST8" s="37"/>
      <c r="DSU8" s="36"/>
      <c r="DSV8" s="37"/>
      <c r="DSW8" s="36"/>
      <c r="DSX8" s="37"/>
      <c r="DSY8" s="36"/>
      <c r="DSZ8" s="36"/>
      <c r="DTA8" s="37"/>
      <c r="DTB8" s="37"/>
      <c r="DTD8" s="22"/>
      <c r="DTE8" s="35"/>
      <c r="DTF8" s="36"/>
      <c r="DTG8" s="37"/>
      <c r="DTH8" s="36"/>
      <c r="DTI8" s="37"/>
      <c r="DTJ8" s="36"/>
      <c r="DTK8" s="37"/>
      <c r="DTL8" s="36"/>
      <c r="DTM8" s="37"/>
      <c r="DTN8" s="36"/>
      <c r="DTO8" s="37"/>
      <c r="DTP8" s="36"/>
      <c r="DTQ8" s="37"/>
      <c r="DTR8" s="36"/>
      <c r="DTS8" s="37"/>
      <c r="DTT8" s="36"/>
      <c r="DTU8" s="37"/>
      <c r="DTV8" s="36"/>
      <c r="DTW8" s="37"/>
      <c r="DTX8" s="36"/>
      <c r="DTY8" s="36"/>
      <c r="DTZ8" s="37"/>
      <c r="DUA8" s="37"/>
      <c r="DUC8" s="22"/>
      <c r="DUD8" s="35"/>
      <c r="DUE8" s="36"/>
      <c r="DUF8" s="37"/>
      <c r="DUG8" s="36"/>
      <c r="DUH8" s="37"/>
      <c r="DUI8" s="36"/>
      <c r="DUJ8" s="37"/>
      <c r="DUK8" s="36"/>
      <c r="DUL8" s="37"/>
      <c r="DUM8" s="36"/>
      <c r="DUN8" s="37"/>
      <c r="DUO8" s="36"/>
      <c r="DUP8" s="37"/>
      <c r="DUQ8" s="36"/>
      <c r="DUR8" s="37"/>
      <c r="DUS8" s="36"/>
      <c r="DUT8" s="37"/>
      <c r="DUU8" s="36"/>
      <c r="DUV8" s="37"/>
      <c r="DUW8" s="36"/>
      <c r="DUX8" s="36"/>
      <c r="DUY8" s="37"/>
      <c r="DUZ8" s="37"/>
      <c r="DVB8" s="22"/>
      <c r="DVC8" s="35"/>
      <c r="DVD8" s="36"/>
      <c r="DVE8" s="37"/>
      <c r="DVF8" s="36"/>
      <c r="DVG8" s="37"/>
      <c r="DVH8" s="36"/>
      <c r="DVI8" s="37"/>
      <c r="DVJ8" s="36"/>
      <c r="DVK8" s="37"/>
      <c r="DVL8" s="36"/>
      <c r="DVM8" s="37"/>
      <c r="DVN8" s="36"/>
      <c r="DVO8" s="37"/>
      <c r="DVP8" s="36"/>
      <c r="DVQ8" s="37"/>
      <c r="DVR8" s="36"/>
      <c r="DVS8" s="37"/>
      <c r="DVT8" s="36"/>
      <c r="DVU8" s="37"/>
      <c r="DVV8" s="36"/>
      <c r="DVW8" s="36"/>
      <c r="DVX8" s="37"/>
      <c r="DVY8" s="37"/>
      <c r="DWA8" s="22"/>
      <c r="DWB8" s="35"/>
      <c r="DWC8" s="36"/>
      <c r="DWD8" s="37"/>
      <c r="DWE8" s="36"/>
      <c r="DWF8" s="37"/>
      <c r="DWG8" s="36"/>
      <c r="DWH8" s="37"/>
      <c r="DWI8" s="36"/>
      <c r="DWJ8" s="37"/>
      <c r="DWK8" s="36"/>
      <c r="DWL8" s="37"/>
      <c r="DWM8" s="36"/>
      <c r="DWN8" s="37"/>
      <c r="DWO8" s="36"/>
      <c r="DWP8" s="37"/>
      <c r="DWQ8" s="36"/>
      <c r="DWR8" s="37"/>
      <c r="DWS8" s="36"/>
      <c r="DWT8" s="37"/>
      <c r="DWU8" s="36"/>
      <c r="DWV8" s="36"/>
      <c r="DWW8" s="37"/>
      <c r="DWX8" s="37"/>
      <c r="DWZ8" s="22"/>
      <c r="DXA8" s="35"/>
      <c r="DXB8" s="36"/>
      <c r="DXC8" s="37"/>
      <c r="DXD8" s="36"/>
      <c r="DXE8" s="37"/>
      <c r="DXF8" s="36"/>
      <c r="DXG8" s="37"/>
      <c r="DXH8" s="36"/>
      <c r="DXI8" s="37"/>
      <c r="DXJ8" s="36"/>
      <c r="DXK8" s="37"/>
      <c r="DXL8" s="36"/>
      <c r="DXM8" s="37"/>
      <c r="DXN8" s="36"/>
      <c r="DXO8" s="37"/>
      <c r="DXP8" s="36"/>
      <c r="DXQ8" s="37"/>
      <c r="DXR8" s="36"/>
      <c r="DXS8" s="37"/>
      <c r="DXT8" s="36"/>
      <c r="DXU8" s="36"/>
      <c r="DXV8" s="37"/>
      <c r="DXW8" s="37"/>
      <c r="DXY8" s="22"/>
      <c r="DXZ8" s="35"/>
      <c r="DYA8" s="36"/>
      <c r="DYB8" s="37"/>
      <c r="DYC8" s="36"/>
      <c r="DYD8" s="37"/>
      <c r="DYE8" s="36"/>
      <c r="DYF8" s="37"/>
      <c r="DYG8" s="36"/>
      <c r="DYH8" s="37"/>
      <c r="DYI8" s="36"/>
      <c r="DYJ8" s="37"/>
      <c r="DYK8" s="36"/>
      <c r="DYL8" s="37"/>
      <c r="DYM8" s="36"/>
      <c r="DYN8" s="37"/>
      <c r="DYO8" s="36"/>
      <c r="DYP8" s="37"/>
      <c r="DYQ8" s="36"/>
      <c r="DYR8" s="37"/>
      <c r="DYS8" s="36"/>
      <c r="DYT8" s="36"/>
      <c r="DYU8" s="37"/>
      <c r="DYV8" s="37"/>
      <c r="DYX8" s="22"/>
      <c r="DYY8" s="35"/>
      <c r="DYZ8" s="36"/>
      <c r="DZA8" s="37"/>
      <c r="DZB8" s="36"/>
      <c r="DZC8" s="37"/>
      <c r="DZD8" s="36"/>
      <c r="DZE8" s="37"/>
      <c r="DZF8" s="36"/>
      <c r="DZG8" s="37"/>
      <c r="DZH8" s="36"/>
      <c r="DZI8" s="37"/>
      <c r="DZJ8" s="36"/>
      <c r="DZK8" s="37"/>
      <c r="DZL8" s="36"/>
      <c r="DZM8" s="37"/>
      <c r="DZN8" s="36"/>
      <c r="DZO8" s="37"/>
      <c r="DZP8" s="36"/>
      <c r="DZQ8" s="37"/>
      <c r="DZR8" s="36"/>
      <c r="DZS8" s="36"/>
      <c r="DZT8" s="37"/>
      <c r="DZU8" s="37"/>
      <c r="DZW8" s="22"/>
      <c r="DZX8" s="35"/>
      <c r="DZY8" s="36"/>
      <c r="DZZ8" s="37"/>
      <c r="EAA8" s="36"/>
      <c r="EAB8" s="37"/>
      <c r="EAC8" s="36"/>
      <c r="EAD8" s="37"/>
      <c r="EAE8" s="36"/>
      <c r="EAF8" s="37"/>
      <c r="EAG8" s="36"/>
      <c r="EAH8" s="37"/>
      <c r="EAI8" s="36"/>
      <c r="EAJ8" s="37"/>
      <c r="EAK8" s="36"/>
      <c r="EAL8" s="37"/>
      <c r="EAM8" s="36"/>
      <c r="EAN8" s="37"/>
      <c r="EAO8" s="36"/>
      <c r="EAP8" s="37"/>
      <c r="EAQ8" s="36"/>
      <c r="EAR8" s="36"/>
      <c r="EAS8" s="37"/>
      <c r="EAT8" s="37"/>
      <c r="EAV8" s="22"/>
      <c r="EAW8" s="35"/>
      <c r="EAX8" s="36"/>
      <c r="EAY8" s="37"/>
      <c r="EAZ8" s="36"/>
      <c r="EBA8" s="37"/>
      <c r="EBB8" s="36"/>
      <c r="EBC8" s="37"/>
      <c r="EBD8" s="36"/>
      <c r="EBE8" s="37"/>
      <c r="EBF8" s="36"/>
      <c r="EBG8" s="37"/>
      <c r="EBH8" s="36"/>
      <c r="EBI8" s="37"/>
      <c r="EBJ8" s="36"/>
      <c r="EBK8" s="37"/>
      <c r="EBL8" s="36"/>
      <c r="EBM8" s="37"/>
      <c r="EBN8" s="36"/>
      <c r="EBO8" s="37"/>
      <c r="EBP8" s="36"/>
      <c r="EBQ8" s="36"/>
      <c r="EBR8" s="37"/>
      <c r="EBS8" s="37"/>
      <c r="EBU8" s="22"/>
      <c r="EBV8" s="35"/>
      <c r="EBW8" s="36"/>
      <c r="EBX8" s="37"/>
      <c r="EBY8" s="36"/>
      <c r="EBZ8" s="37"/>
      <c r="ECA8" s="36"/>
      <c r="ECB8" s="37"/>
      <c r="ECC8" s="36"/>
      <c r="ECD8" s="37"/>
      <c r="ECE8" s="36"/>
      <c r="ECF8" s="37"/>
      <c r="ECG8" s="36"/>
      <c r="ECH8" s="37"/>
      <c r="ECI8" s="36"/>
      <c r="ECJ8" s="37"/>
      <c r="ECK8" s="36"/>
      <c r="ECL8" s="37"/>
      <c r="ECM8" s="36"/>
      <c r="ECN8" s="37"/>
      <c r="ECO8" s="36"/>
      <c r="ECP8" s="36"/>
      <c r="ECQ8" s="37"/>
      <c r="ECR8" s="37"/>
      <c r="ECT8" s="22"/>
      <c r="ECU8" s="35"/>
      <c r="ECV8" s="36"/>
      <c r="ECW8" s="37"/>
      <c r="ECX8" s="36"/>
      <c r="ECY8" s="37"/>
      <c r="ECZ8" s="36"/>
      <c r="EDA8" s="37"/>
      <c r="EDB8" s="36"/>
      <c r="EDC8" s="37"/>
      <c r="EDD8" s="36"/>
      <c r="EDE8" s="37"/>
      <c r="EDF8" s="36"/>
      <c r="EDG8" s="37"/>
      <c r="EDH8" s="36"/>
      <c r="EDI8" s="37"/>
      <c r="EDJ8" s="36"/>
      <c r="EDK8" s="37"/>
      <c r="EDL8" s="36"/>
      <c r="EDM8" s="37"/>
      <c r="EDN8" s="36"/>
      <c r="EDO8" s="36"/>
      <c r="EDP8" s="37"/>
      <c r="EDQ8" s="37"/>
      <c r="EDS8" s="22"/>
      <c r="EDT8" s="35"/>
      <c r="EDU8" s="36"/>
      <c r="EDV8" s="37"/>
      <c r="EDW8" s="36"/>
      <c r="EDX8" s="37"/>
      <c r="EDY8" s="36"/>
      <c r="EDZ8" s="37"/>
      <c r="EEA8" s="36"/>
      <c r="EEB8" s="37"/>
      <c r="EEC8" s="36"/>
      <c r="EED8" s="37"/>
      <c r="EEE8" s="36"/>
      <c r="EEF8" s="37"/>
      <c r="EEG8" s="36"/>
      <c r="EEH8" s="37"/>
      <c r="EEI8" s="36"/>
      <c r="EEJ8" s="37"/>
      <c r="EEK8" s="36"/>
      <c r="EEL8" s="37"/>
      <c r="EEM8" s="36"/>
      <c r="EEN8" s="36"/>
      <c r="EEO8" s="37"/>
      <c r="EEP8" s="37"/>
      <c r="EER8" s="22"/>
      <c r="EES8" s="35"/>
      <c r="EET8" s="36"/>
      <c r="EEU8" s="37"/>
      <c r="EEV8" s="36"/>
      <c r="EEW8" s="37"/>
      <c r="EEX8" s="36"/>
      <c r="EEY8" s="37"/>
      <c r="EEZ8" s="36"/>
      <c r="EFA8" s="37"/>
      <c r="EFB8" s="36"/>
      <c r="EFC8" s="37"/>
      <c r="EFD8" s="36"/>
      <c r="EFE8" s="37"/>
      <c r="EFF8" s="36"/>
      <c r="EFG8" s="37"/>
      <c r="EFH8" s="36"/>
      <c r="EFI8" s="37"/>
      <c r="EFJ8" s="36"/>
      <c r="EFK8" s="37"/>
      <c r="EFL8" s="36"/>
      <c r="EFM8" s="36"/>
      <c r="EFN8" s="37"/>
      <c r="EFO8" s="37"/>
      <c r="EFQ8" s="22"/>
      <c r="EFR8" s="35"/>
      <c r="EFS8" s="36"/>
      <c r="EFT8" s="37"/>
      <c r="EFU8" s="36"/>
      <c r="EFV8" s="37"/>
      <c r="EFW8" s="36"/>
      <c r="EFX8" s="37"/>
      <c r="EFY8" s="36"/>
      <c r="EFZ8" s="37"/>
      <c r="EGA8" s="36"/>
      <c r="EGB8" s="37"/>
      <c r="EGC8" s="36"/>
      <c r="EGD8" s="37"/>
      <c r="EGE8" s="36"/>
      <c r="EGF8" s="37"/>
      <c r="EGG8" s="36"/>
      <c r="EGH8" s="37"/>
      <c r="EGI8" s="36"/>
      <c r="EGJ8" s="37"/>
      <c r="EGK8" s="36"/>
      <c r="EGL8" s="36"/>
      <c r="EGM8" s="37"/>
      <c r="EGN8" s="37"/>
      <c r="EGP8" s="22"/>
      <c r="EGQ8" s="35"/>
      <c r="EGR8" s="36"/>
      <c r="EGS8" s="37"/>
      <c r="EGT8" s="36"/>
      <c r="EGU8" s="37"/>
      <c r="EGV8" s="36"/>
      <c r="EGW8" s="37"/>
      <c r="EGX8" s="36"/>
      <c r="EGY8" s="37"/>
      <c r="EGZ8" s="36"/>
      <c r="EHA8" s="37"/>
      <c r="EHB8" s="36"/>
      <c r="EHC8" s="37"/>
      <c r="EHD8" s="36"/>
      <c r="EHE8" s="37"/>
      <c r="EHF8" s="36"/>
      <c r="EHG8" s="37"/>
      <c r="EHH8" s="36"/>
      <c r="EHI8" s="37"/>
      <c r="EHJ8" s="36"/>
      <c r="EHK8" s="36"/>
      <c r="EHL8" s="37"/>
      <c r="EHM8" s="37"/>
      <c r="EHO8" s="22"/>
      <c r="EHP8" s="35"/>
      <c r="EHQ8" s="36"/>
      <c r="EHR8" s="37"/>
      <c r="EHS8" s="36"/>
      <c r="EHT8" s="37"/>
      <c r="EHU8" s="36"/>
      <c r="EHV8" s="37"/>
      <c r="EHW8" s="36"/>
      <c r="EHX8" s="37"/>
      <c r="EHY8" s="36"/>
      <c r="EHZ8" s="37"/>
      <c r="EIA8" s="36"/>
      <c r="EIB8" s="37"/>
      <c r="EIC8" s="36"/>
      <c r="EID8" s="37"/>
      <c r="EIE8" s="36"/>
      <c r="EIF8" s="37"/>
      <c r="EIG8" s="36"/>
      <c r="EIH8" s="37"/>
      <c r="EII8" s="36"/>
      <c r="EIJ8" s="36"/>
      <c r="EIK8" s="37"/>
      <c r="EIL8" s="37"/>
      <c r="EIN8" s="22"/>
      <c r="EIO8" s="35"/>
      <c r="EIP8" s="36"/>
      <c r="EIQ8" s="37"/>
      <c r="EIR8" s="36"/>
      <c r="EIS8" s="37"/>
      <c r="EIT8" s="36"/>
      <c r="EIU8" s="37"/>
      <c r="EIV8" s="36"/>
      <c r="EIW8" s="37"/>
      <c r="EIX8" s="36"/>
      <c r="EIY8" s="37"/>
      <c r="EIZ8" s="36"/>
      <c r="EJA8" s="37"/>
      <c r="EJB8" s="36"/>
      <c r="EJC8" s="37"/>
      <c r="EJD8" s="36"/>
      <c r="EJE8" s="37"/>
      <c r="EJF8" s="36"/>
      <c r="EJG8" s="37"/>
      <c r="EJH8" s="36"/>
      <c r="EJI8" s="36"/>
      <c r="EJJ8" s="37"/>
      <c r="EJK8" s="37"/>
      <c r="EJM8" s="22"/>
      <c r="EJN8" s="35"/>
      <c r="EJO8" s="36"/>
      <c r="EJP8" s="37"/>
      <c r="EJQ8" s="36"/>
      <c r="EJR8" s="37"/>
      <c r="EJS8" s="36"/>
      <c r="EJT8" s="37"/>
      <c r="EJU8" s="36"/>
      <c r="EJV8" s="37"/>
      <c r="EJW8" s="36"/>
      <c r="EJX8" s="37"/>
      <c r="EJY8" s="36"/>
      <c r="EJZ8" s="37"/>
      <c r="EKA8" s="36"/>
      <c r="EKB8" s="37"/>
      <c r="EKC8" s="36"/>
      <c r="EKD8" s="37"/>
      <c r="EKE8" s="36"/>
      <c r="EKF8" s="37"/>
      <c r="EKG8" s="36"/>
      <c r="EKH8" s="36"/>
      <c r="EKI8" s="37"/>
      <c r="EKJ8" s="37"/>
      <c r="EKL8" s="22"/>
      <c r="EKM8" s="35"/>
      <c r="EKN8" s="36"/>
      <c r="EKO8" s="37"/>
      <c r="EKP8" s="36"/>
      <c r="EKQ8" s="37"/>
      <c r="EKR8" s="36"/>
      <c r="EKS8" s="37"/>
      <c r="EKT8" s="36"/>
      <c r="EKU8" s="37"/>
      <c r="EKV8" s="36"/>
      <c r="EKW8" s="37"/>
      <c r="EKX8" s="36"/>
      <c r="EKY8" s="37"/>
      <c r="EKZ8" s="36"/>
      <c r="ELA8" s="37"/>
      <c r="ELB8" s="36"/>
      <c r="ELC8" s="37"/>
      <c r="ELD8" s="36"/>
      <c r="ELE8" s="37"/>
      <c r="ELF8" s="36"/>
      <c r="ELG8" s="36"/>
      <c r="ELH8" s="37"/>
      <c r="ELI8" s="37"/>
      <c r="ELK8" s="22"/>
      <c r="ELL8" s="35"/>
      <c r="ELM8" s="36"/>
      <c r="ELN8" s="37"/>
      <c r="ELO8" s="36"/>
      <c r="ELP8" s="37"/>
      <c r="ELQ8" s="36"/>
      <c r="ELR8" s="37"/>
      <c r="ELS8" s="36"/>
      <c r="ELT8" s="37"/>
      <c r="ELU8" s="36"/>
      <c r="ELV8" s="37"/>
      <c r="ELW8" s="36"/>
      <c r="ELX8" s="37"/>
      <c r="ELY8" s="36"/>
      <c r="ELZ8" s="37"/>
      <c r="EMA8" s="36"/>
      <c r="EMB8" s="37"/>
      <c r="EMC8" s="36"/>
      <c r="EMD8" s="37"/>
      <c r="EME8" s="36"/>
      <c r="EMF8" s="36"/>
      <c r="EMG8" s="37"/>
      <c r="EMH8" s="37"/>
      <c r="EMJ8" s="22"/>
      <c r="EMK8" s="35"/>
      <c r="EML8" s="36"/>
      <c r="EMM8" s="37"/>
      <c r="EMN8" s="36"/>
      <c r="EMO8" s="37"/>
      <c r="EMP8" s="36"/>
      <c r="EMQ8" s="37"/>
      <c r="EMR8" s="36"/>
      <c r="EMS8" s="37"/>
      <c r="EMT8" s="36"/>
      <c r="EMU8" s="37"/>
      <c r="EMV8" s="36"/>
      <c r="EMW8" s="37"/>
      <c r="EMX8" s="36"/>
      <c r="EMY8" s="37"/>
      <c r="EMZ8" s="36"/>
      <c r="ENA8" s="37"/>
      <c r="ENB8" s="36"/>
      <c r="ENC8" s="37"/>
      <c r="END8" s="36"/>
      <c r="ENE8" s="36"/>
      <c r="ENF8" s="37"/>
      <c r="ENG8" s="37"/>
      <c r="ENI8" s="22"/>
      <c r="ENJ8" s="35"/>
      <c r="ENK8" s="36"/>
      <c r="ENL8" s="37"/>
      <c r="ENM8" s="36"/>
      <c r="ENN8" s="37"/>
      <c r="ENO8" s="36"/>
      <c r="ENP8" s="37"/>
      <c r="ENQ8" s="36"/>
      <c r="ENR8" s="37"/>
      <c r="ENS8" s="36"/>
      <c r="ENT8" s="37"/>
      <c r="ENU8" s="36"/>
      <c r="ENV8" s="37"/>
      <c r="ENW8" s="36"/>
      <c r="ENX8" s="37"/>
      <c r="ENY8" s="36"/>
      <c r="ENZ8" s="37"/>
      <c r="EOA8" s="36"/>
      <c r="EOB8" s="37"/>
      <c r="EOC8" s="36"/>
      <c r="EOD8" s="36"/>
      <c r="EOE8" s="37"/>
      <c r="EOF8" s="37"/>
      <c r="EOH8" s="22"/>
      <c r="EOI8" s="35"/>
      <c r="EOJ8" s="36"/>
      <c r="EOK8" s="37"/>
      <c r="EOL8" s="36"/>
      <c r="EOM8" s="37"/>
      <c r="EON8" s="36"/>
      <c r="EOO8" s="37"/>
      <c r="EOP8" s="36"/>
      <c r="EOQ8" s="37"/>
      <c r="EOR8" s="36"/>
      <c r="EOS8" s="37"/>
      <c r="EOT8" s="36"/>
      <c r="EOU8" s="37"/>
      <c r="EOV8" s="36"/>
      <c r="EOW8" s="37"/>
      <c r="EOX8" s="36"/>
      <c r="EOY8" s="37"/>
      <c r="EOZ8" s="36"/>
      <c r="EPA8" s="37"/>
      <c r="EPB8" s="36"/>
      <c r="EPC8" s="36"/>
      <c r="EPD8" s="37"/>
      <c r="EPE8" s="37"/>
      <c r="EPG8" s="22"/>
      <c r="EPH8" s="35"/>
      <c r="EPI8" s="36"/>
      <c r="EPJ8" s="37"/>
      <c r="EPK8" s="36"/>
      <c r="EPL8" s="37"/>
      <c r="EPM8" s="36"/>
      <c r="EPN8" s="37"/>
      <c r="EPO8" s="36"/>
      <c r="EPP8" s="37"/>
      <c r="EPQ8" s="36"/>
      <c r="EPR8" s="37"/>
      <c r="EPS8" s="36"/>
      <c r="EPT8" s="37"/>
      <c r="EPU8" s="36"/>
      <c r="EPV8" s="37"/>
      <c r="EPW8" s="36"/>
      <c r="EPX8" s="37"/>
      <c r="EPY8" s="36"/>
      <c r="EPZ8" s="37"/>
      <c r="EQA8" s="36"/>
      <c r="EQB8" s="36"/>
      <c r="EQC8" s="37"/>
      <c r="EQD8" s="37"/>
      <c r="EQF8" s="22"/>
      <c r="EQG8" s="35"/>
      <c r="EQH8" s="36"/>
      <c r="EQI8" s="37"/>
      <c r="EQJ8" s="36"/>
      <c r="EQK8" s="37"/>
      <c r="EQL8" s="36"/>
      <c r="EQM8" s="37"/>
      <c r="EQN8" s="36"/>
      <c r="EQO8" s="37"/>
      <c r="EQP8" s="36"/>
      <c r="EQQ8" s="37"/>
      <c r="EQR8" s="36"/>
      <c r="EQS8" s="37"/>
      <c r="EQT8" s="36"/>
      <c r="EQU8" s="37"/>
      <c r="EQV8" s="36"/>
      <c r="EQW8" s="37"/>
      <c r="EQX8" s="36"/>
      <c r="EQY8" s="37"/>
      <c r="EQZ8" s="36"/>
      <c r="ERA8" s="36"/>
      <c r="ERB8" s="37"/>
      <c r="ERC8" s="37"/>
      <c r="ERE8" s="22"/>
      <c r="ERF8" s="35"/>
      <c r="ERG8" s="36"/>
      <c r="ERH8" s="37"/>
      <c r="ERI8" s="36"/>
      <c r="ERJ8" s="37"/>
      <c r="ERK8" s="36"/>
      <c r="ERL8" s="37"/>
      <c r="ERM8" s="36"/>
      <c r="ERN8" s="37"/>
      <c r="ERO8" s="36"/>
      <c r="ERP8" s="37"/>
      <c r="ERQ8" s="36"/>
      <c r="ERR8" s="37"/>
      <c r="ERS8" s="36"/>
      <c r="ERT8" s="37"/>
      <c r="ERU8" s="36"/>
      <c r="ERV8" s="37"/>
      <c r="ERW8" s="36"/>
      <c r="ERX8" s="37"/>
      <c r="ERY8" s="36"/>
      <c r="ERZ8" s="36"/>
      <c r="ESA8" s="37"/>
      <c r="ESB8" s="37"/>
      <c r="ESD8" s="22"/>
      <c r="ESE8" s="35"/>
      <c r="ESF8" s="36"/>
      <c r="ESG8" s="37"/>
      <c r="ESH8" s="36"/>
      <c r="ESI8" s="37"/>
      <c r="ESJ8" s="36"/>
      <c r="ESK8" s="37"/>
      <c r="ESL8" s="36"/>
      <c r="ESM8" s="37"/>
      <c r="ESN8" s="36"/>
      <c r="ESO8" s="37"/>
      <c r="ESP8" s="36"/>
      <c r="ESQ8" s="37"/>
      <c r="ESR8" s="36"/>
      <c r="ESS8" s="37"/>
      <c r="EST8" s="36"/>
      <c r="ESU8" s="37"/>
      <c r="ESV8" s="36"/>
      <c r="ESW8" s="37"/>
      <c r="ESX8" s="36"/>
      <c r="ESY8" s="36"/>
      <c r="ESZ8" s="37"/>
      <c r="ETA8" s="37"/>
      <c r="ETC8" s="22"/>
      <c r="ETD8" s="35"/>
      <c r="ETE8" s="36"/>
      <c r="ETF8" s="37"/>
      <c r="ETG8" s="36"/>
      <c r="ETH8" s="37"/>
      <c r="ETI8" s="36"/>
      <c r="ETJ8" s="37"/>
      <c r="ETK8" s="36"/>
      <c r="ETL8" s="37"/>
      <c r="ETM8" s="36"/>
      <c r="ETN8" s="37"/>
      <c r="ETO8" s="36"/>
      <c r="ETP8" s="37"/>
      <c r="ETQ8" s="36"/>
      <c r="ETR8" s="37"/>
      <c r="ETS8" s="36"/>
      <c r="ETT8" s="37"/>
      <c r="ETU8" s="36"/>
      <c r="ETV8" s="37"/>
      <c r="ETW8" s="36"/>
      <c r="ETX8" s="36"/>
      <c r="ETY8" s="37"/>
      <c r="ETZ8" s="37"/>
      <c r="EUB8" s="22"/>
      <c r="EUC8" s="35"/>
      <c r="EUD8" s="36"/>
      <c r="EUE8" s="37"/>
      <c r="EUF8" s="36"/>
      <c r="EUG8" s="37"/>
      <c r="EUH8" s="36"/>
      <c r="EUI8" s="37"/>
      <c r="EUJ8" s="36"/>
      <c r="EUK8" s="37"/>
      <c r="EUL8" s="36"/>
      <c r="EUM8" s="37"/>
      <c r="EUN8" s="36"/>
      <c r="EUO8" s="37"/>
      <c r="EUP8" s="36"/>
      <c r="EUQ8" s="37"/>
      <c r="EUR8" s="36"/>
      <c r="EUS8" s="37"/>
      <c r="EUT8" s="36"/>
      <c r="EUU8" s="37"/>
      <c r="EUV8" s="36"/>
      <c r="EUW8" s="36"/>
      <c r="EUX8" s="37"/>
      <c r="EUY8" s="37"/>
      <c r="EVA8" s="22"/>
      <c r="EVB8" s="35"/>
      <c r="EVC8" s="36"/>
      <c r="EVD8" s="37"/>
      <c r="EVE8" s="36"/>
      <c r="EVF8" s="37"/>
      <c r="EVG8" s="36"/>
      <c r="EVH8" s="37"/>
      <c r="EVI8" s="36"/>
      <c r="EVJ8" s="37"/>
      <c r="EVK8" s="36"/>
      <c r="EVL8" s="37"/>
      <c r="EVM8" s="36"/>
      <c r="EVN8" s="37"/>
      <c r="EVO8" s="36"/>
      <c r="EVP8" s="37"/>
      <c r="EVQ8" s="36"/>
      <c r="EVR8" s="37"/>
      <c r="EVS8" s="36"/>
      <c r="EVT8" s="37"/>
      <c r="EVU8" s="36"/>
      <c r="EVV8" s="36"/>
      <c r="EVW8" s="37"/>
      <c r="EVX8" s="37"/>
      <c r="EVZ8" s="22"/>
      <c r="EWA8" s="35"/>
      <c r="EWB8" s="36"/>
      <c r="EWC8" s="37"/>
      <c r="EWD8" s="36"/>
      <c r="EWE8" s="37"/>
      <c r="EWF8" s="36"/>
      <c r="EWG8" s="37"/>
      <c r="EWH8" s="36"/>
      <c r="EWI8" s="37"/>
      <c r="EWJ8" s="36"/>
      <c r="EWK8" s="37"/>
      <c r="EWL8" s="36"/>
      <c r="EWM8" s="37"/>
      <c r="EWN8" s="36"/>
      <c r="EWO8" s="37"/>
      <c r="EWP8" s="36"/>
      <c r="EWQ8" s="37"/>
      <c r="EWR8" s="36"/>
      <c r="EWS8" s="37"/>
      <c r="EWT8" s="36"/>
      <c r="EWU8" s="36"/>
      <c r="EWV8" s="37"/>
      <c r="EWW8" s="37"/>
      <c r="EWY8" s="22"/>
      <c r="EWZ8" s="35"/>
      <c r="EXA8" s="36"/>
      <c r="EXB8" s="37"/>
      <c r="EXC8" s="36"/>
      <c r="EXD8" s="37"/>
      <c r="EXE8" s="36"/>
      <c r="EXF8" s="37"/>
      <c r="EXG8" s="36"/>
      <c r="EXH8" s="37"/>
      <c r="EXI8" s="36"/>
      <c r="EXJ8" s="37"/>
      <c r="EXK8" s="36"/>
      <c r="EXL8" s="37"/>
      <c r="EXM8" s="36"/>
      <c r="EXN8" s="37"/>
      <c r="EXO8" s="36"/>
      <c r="EXP8" s="37"/>
      <c r="EXQ8" s="36"/>
      <c r="EXR8" s="37"/>
      <c r="EXS8" s="36"/>
      <c r="EXT8" s="36"/>
      <c r="EXU8" s="37"/>
      <c r="EXV8" s="37"/>
      <c r="EXX8" s="22"/>
      <c r="EXY8" s="35"/>
      <c r="EXZ8" s="36"/>
      <c r="EYA8" s="37"/>
      <c r="EYB8" s="36"/>
      <c r="EYC8" s="37"/>
      <c r="EYD8" s="36"/>
      <c r="EYE8" s="37"/>
      <c r="EYF8" s="36"/>
      <c r="EYG8" s="37"/>
      <c r="EYH8" s="36"/>
      <c r="EYI8" s="37"/>
      <c r="EYJ8" s="36"/>
      <c r="EYK8" s="37"/>
      <c r="EYL8" s="36"/>
      <c r="EYM8" s="37"/>
      <c r="EYN8" s="36"/>
      <c r="EYO8" s="37"/>
      <c r="EYP8" s="36"/>
      <c r="EYQ8" s="37"/>
      <c r="EYR8" s="36"/>
      <c r="EYS8" s="36"/>
      <c r="EYT8" s="37"/>
      <c r="EYU8" s="37"/>
      <c r="EYW8" s="22"/>
      <c r="EYX8" s="35"/>
      <c r="EYY8" s="36"/>
      <c r="EYZ8" s="37"/>
      <c r="EZA8" s="36"/>
      <c r="EZB8" s="37"/>
      <c r="EZC8" s="36"/>
      <c r="EZD8" s="37"/>
      <c r="EZE8" s="36"/>
      <c r="EZF8" s="37"/>
      <c r="EZG8" s="36"/>
      <c r="EZH8" s="37"/>
      <c r="EZI8" s="36"/>
      <c r="EZJ8" s="37"/>
      <c r="EZK8" s="36"/>
      <c r="EZL8" s="37"/>
      <c r="EZM8" s="36"/>
      <c r="EZN8" s="37"/>
      <c r="EZO8" s="36"/>
      <c r="EZP8" s="37"/>
      <c r="EZQ8" s="36"/>
      <c r="EZR8" s="36"/>
      <c r="EZS8" s="37"/>
      <c r="EZT8" s="37"/>
      <c r="EZV8" s="22"/>
      <c r="EZW8" s="35"/>
      <c r="EZX8" s="36"/>
      <c r="EZY8" s="37"/>
      <c r="EZZ8" s="36"/>
      <c r="FAA8" s="37"/>
      <c r="FAB8" s="36"/>
      <c r="FAC8" s="37"/>
      <c r="FAD8" s="36"/>
      <c r="FAE8" s="37"/>
      <c r="FAF8" s="36"/>
      <c r="FAG8" s="37"/>
      <c r="FAH8" s="36"/>
      <c r="FAI8" s="37"/>
      <c r="FAJ8" s="36"/>
      <c r="FAK8" s="37"/>
      <c r="FAL8" s="36"/>
      <c r="FAM8" s="37"/>
      <c r="FAN8" s="36"/>
      <c r="FAO8" s="37"/>
      <c r="FAP8" s="36"/>
      <c r="FAQ8" s="36"/>
      <c r="FAR8" s="37"/>
      <c r="FAS8" s="37"/>
      <c r="FAU8" s="22"/>
      <c r="FAV8" s="35"/>
      <c r="FAW8" s="36"/>
      <c r="FAX8" s="37"/>
      <c r="FAY8" s="36"/>
      <c r="FAZ8" s="37"/>
      <c r="FBA8" s="36"/>
      <c r="FBB8" s="37"/>
      <c r="FBC8" s="36"/>
      <c r="FBD8" s="37"/>
      <c r="FBE8" s="36"/>
      <c r="FBF8" s="37"/>
      <c r="FBG8" s="36"/>
      <c r="FBH8" s="37"/>
      <c r="FBI8" s="36"/>
      <c r="FBJ8" s="37"/>
      <c r="FBK8" s="36"/>
      <c r="FBL8" s="37"/>
      <c r="FBM8" s="36"/>
      <c r="FBN8" s="37"/>
      <c r="FBO8" s="36"/>
      <c r="FBP8" s="36"/>
      <c r="FBQ8" s="37"/>
      <c r="FBR8" s="37"/>
      <c r="FBT8" s="22"/>
      <c r="FBU8" s="35"/>
      <c r="FBV8" s="36"/>
      <c r="FBW8" s="37"/>
      <c r="FBX8" s="36"/>
      <c r="FBY8" s="37"/>
      <c r="FBZ8" s="36"/>
      <c r="FCA8" s="37"/>
      <c r="FCB8" s="36"/>
      <c r="FCC8" s="37"/>
      <c r="FCD8" s="36"/>
      <c r="FCE8" s="37"/>
      <c r="FCF8" s="36"/>
      <c r="FCG8" s="37"/>
      <c r="FCH8" s="36"/>
      <c r="FCI8" s="37"/>
      <c r="FCJ8" s="36"/>
      <c r="FCK8" s="37"/>
      <c r="FCL8" s="36"/>
      <c r="FCM8" s="37"/>
      <c r="FCN8" s="36"/>
      <c r="FCO8" s="36"/>
      <c r="FCP8" s="37"/>
      <c r="FCQ8" s="37"/>
      <c r="FCS8" s="22"/>
      <c r="FCT8" s="35"/>
      <c r="FCU8" s="36"/>
      <c r="FCV8" s="37"/>
      <c r="FCW8" s="36"/>
      <c r="FCX8" s="37"/>
      <c r="FCY8" s="36"/>
      <c r="FCZ8" s="37"/>
      <c r="FDA8" s="36"/>
      <c r="FDB8" s="37"/>
      <c r="FDC8" s="36"/>
      <c r="FDD8" s="37"/>
      <c r="FDE8" s="36"/>
      <c r="FDF8" s="37"/>
      <c r="FDG8" s="36"/>
      <c r="FDH8" s="37"/>
      <c r="FDI8" s="36"/>
      <c r="FDJ8" s="37"/>
      <c r="FDK8" s="36"/>
      <c r="FDL8" s="37"/>
      <c r="FDM8" s="36"/>
      <c r="FDN8" s="36"/>
      <c r="FDO8" s="37"/>
      <c r="FDP8" s="37"/>
      <c r="FDR8" s="22"/>
      <c r="FDS8" s="35"/>
      <c r="FDT8" s="36"/>
      <c r="FDU8" s="37"/>
      <c r="FDV8" s="36"/>
      <c r="FDW8" s="37"/>
      <c r="FDX8" s="36"/>
      <c r="FDY8" s="37"/>
      <c r="FDZ8" s="36"/>
      <c r="FEA8" s="37"/>
      <c r="FEB8" s="36"/>
      <c r="FEC8" s="37"/>
      <c r="FED8" s="36"/>
      <c r="FEE8" s="37"/>
      <c r="FEF8" s="36"/>
      <c r="FEG8" s="37"/>
      <c r="FEH8" s="36"/>
      <c r="FEI8" s="37"/>
      <c r="FEJ8" s="36"/>
      <c r="FEK8" s="37"/>
      <c r="FEL8" s="36"/>
      <c r="FEM8" s="36"/>
      <c r="FEN8" s="37"/>
      <c r="FEO8" s="37"/>
      <c r="FEQ8" s="22"/>
      <c r="FER8" s="35"/>
      <c r="FES8" s="36"/>
      <c r="FET8" s="37"/>
      <c r="FEU8" s="36"/>
      <c r="FEV8" s="37"/>
      <c r="FEW8" s="36"/>
      <c r="FEX8" s="37"/>
      <c r="FEY8" s="36"/>
      <c r="FEZ8" s="37"/>
      <c r="FFA8" s="36"/>
      <c r="FFB8" s="37"/>
      <c r="FFC8" s="36"/>
      <c r="FFD8" s="37"/>
      <c r="FFE8" s="36"/>
      <c r="FFF8" s="37"/>
      <c r="FFG8" s="36"/>
      <c r="FFH8" s="37"/>
      <c r="FFI8" s="36"/>
      <c r="FFJ8" s="37"/>
      <c r="FFK8" s="36"/>
      <c r="FFL8" s="36"/>
      <c r="FFM8" s="37"/>
      <c r="FFN8" s="37"/>
      <c r="FFP8" s="22"/>
      <c r="FFQ8" s="35"/>
      <c r="FFR8" s="36"/>
      <c r="FFS8" s="37"/>
      <c r="FFT8" s="36"/>
      <c r="FFU8" s="37"/>
      <c r="FFV8" s="36"/>
      <c r="FFW8" s="37"/>
      <c r="FFX8" s="36"/>
      <c r="FFY8" s="37"/>
      <c r="FFZ8" s="36"/>
      <c r="FGA8" s="37"/>
      <c r="FGB8" s="36"/>
      <c r="FGC8" s="37"/>
      <c r="FGD8" s="36"/>
      <c r="FGE8" s="37"/>
      <c r="FGF8" s="36"/>
      <c r="FGG8" s="37"/>
      <c r="FGH8" s="36"/>
      <c r="FGI8" s="37"/>
      <c r="FGJ8" s="36"/>
      <c r="FGK8" s="36"/>
      <c r="FGL8" s="37"/>
      <c r="FGM8" s="37"/>
      <c r="FGO8" s="22"/>
      <c r="FGP8" s="35"/>
      <c r="FGQ8" s="36"/>
      <c r="FGR8" s="37"/>
      <c r="FGS8" s="36"/>
      <c r="FGT8" s="37"/>
      <c r="FGU8" s="36"/>
      <c r="FGV8" s="37"/>
      <c r="FGW8" s="36"/>
      <c r="FGX8" s="37"/>
      <c r="FGY8" s="36"/>
      <c r="FGZ8" s="37"/>
      <c r="FHA8" s="36"/>
      <c r="FHB8" s="37"/>
      <c r="FHC8" s="36"/>
      <c r="FHD8" s="37"/>
      <c r="FHE8" s="36"/>
      <c r="FHF8" s="37"/>
      <c r="FHG8" s="36"/>
      <c r="FHH8" s="37"/>
      <c r="FHI8" s="36"/>
      <c r="FHJ8" s="36"/>
      <c r="FHK8" s="37"/>
      <c r="FHL8" s="37"/>
      <c r="FHN8" s="22"/>
      <c r="FHO8" s="35"/>
      <c r="FHP8" s="36"/>
      <c r="FHQ8" s="37"/>
      <c r="FHR8" s="36"/>
      <c r="FHS8" s="37"/>
      <c r="FHT8" s="36"/>
      <c r="FHU8" s="37"/>
      <c r="FHV8" s="36"/>
      <c r="FHW8" s="37"/>
      <c r="FHX8" s="36"/>
      <c r="FHY8" s="37"/>
      <c r="FHZ8" s="36"/>
      <c r="FIA8" s="37"/>
      <c r="FIB8" s="36"/>
      <c r="FIC8" s="37"/>
      <c r="FID8" s="36"/>
      <c r="FIE8" s="37"/>
      <c r="FIF8" s="36"/>
      <c r="FIG8" s="37"/>
      <c r="FIH8" s="36"/>
      <c r="FII8" s="36"/>
      <c r="FIJ8" s="37"/>
      <c r="FIK8" s="37"/>
      <c r="FIM8" s="22"/>
      <c r="FIN8" s="35"/>
      <c r="FIO8" s="36"/>
      <c r="FIP8" s="37"/>
      <c r="FIQ8" s="36"/>
      <c r="FIR8" s="37"/>
      <c r="FIS8" s="36"/>
      <c r="FIT8" s="37"/>
      <c r="FIU8" s="36"/>
      <c r="FIV8" s="37"/>
      <c r="FIW8" s="36"/>
      <c r="FIX8" s="37"/>
      <c r="FIY8" s="36"/>
      <c r="FIZ8" s="37"/>
      <c r="FJA8" s="36"/>
      <c r="FJB8" s="37"/>
      <c r="FJC8" s="36"/>
      <c r="FJD8" s="37"/>
      <c r="FJE8" s="36"/>
      <c r="FJF8" s="37"/>
      <c r="FJG8" s="36"/>
      <c r="FJH8" s="36"/>
      <c r="FJI8" s="37"/>
      <c r="FJJ8" s="37"/>
      <c r="FJL8" s="22"/>
      <c r="FJM8" s="35"/>
      <c r="FJN8" s="36"/>
      <c r="FJO8" s="37"/>
      <c r="FJP8" s="36"/>
      <c r="FJQ8" s="37"/>
      <c r="FJR8" s="36"/>
      <c r="FJS8" s="37"/>
      <c r="FJT8" s="36"/>
      <c r="FJU8" s="37"/>
      <c r="FJV8" s="36"/>
      <c r="FJW8" s="37"/>
      <c r="FJX8" s="36"/>
      <c r="FJY8" s="37"/>
      <c r="FJZ8" s="36"/>
      <c r="FKA8" s="37"/>
      <c r="FKB8" s="36"/>
      <c r="FKC8" s="37"/>
      <c r="FKD8" s="36"/>
      <c r="FKE8" s="37"/>
      <c r="FKF8" s="36"/>
      <c r="FKG8" s="36"/>
      <c r="FKH8" s="37"/>
      <c r="FKI8" s="37"/>
      <c r="FKK8" s="22"/>
      <c r="FKL8" s="35"/>
      <c r="FKM8" s="36"/>
      <c r="FKN8" s="37"/>
      <c r="FKO8" s="36"/>
      <c r="FKP8" s="37"/>
      <c r="FKQ8" s="36"/>
      <c r="FKR8" s="37"/>
      <c r="FKS8" s="36"/>
      <c r="FKT8" s="37"/>
      <c r="FKU8" s="36"/>
      <c r="FKV8" s="37"/>
      <c r="FKW8" s="36"/>
      <c r="FKX8" s="37"/>
      <c r="FKY8" s="36"/>
      <c r="FKZ8" s="37"/>
      <c r="FLA8" s="36"/>
      <c r="FLB8" s="37"/>
      <c r="FLC8" s="36"/>
      <c r="FLD8" s="37"/>
      <c r="FLE8" s="36"/>
      <c r="FLF8" s="36"/>
      <c r="FLG8" s="37"/>
      <c r="FLH8" s="37"/>
      <c r="FLJ8" s="22"/>
      <c r="FLK8" s="35"/>
      <c r="FLL8" s="36"/>
      <c r="FLM8" s="37"/>
      <c r="FLN8" s="36"/>
      <c r="FLO8" s="37"/>
      <c r="FLP8" s="36"/>
      <c r="FLQ8" s="37"/>
      <c r="FLR8" s="36"/>
      <c r="FLS8" s="37"/>
      <c r="FLT8" s="36"/>
      <c r="FLU8" s="37"/>
      <c r="FLV8" s="36"/>
      <c r="FLW8" s="37"/>
      <c r="FLX8" s="36"/>
      <c r="FLY8" s="37"/>
      <c r="FLZ8" s="36"/>
      <c r="FMA8" s="37"/>
      <c r="FMB8" s="36"/>
      <c r="FMC8" s="37"/>
      <c r="FMD8" s="36"/>
      <c r="FME8" s="36"/>
      <c r="FMF8" s="37"/>
      <c r="FMG8" s="37"/>
      <c r="FMI8" s="22"/>
      <c r="FMJ8" s="35"/>
      <c r="FMK8" s="36"/>
      <c r="FML8" s="37"/>
      <c r="FMM8" s="36"/>
      <c r="FMN8" s="37"/>
      <c r="FMO8" s="36"/>
      <c r="FMP8" s="37"/>
      <c r="FMQ8" s="36"/>
      <c r="FMR8" s="37"/>
      <c r="FMS8" s="36"/>
      <c r="FMT8" s="37"/>
      <c r="FMU8" s="36"/>
      <c r="FMV8" s="37"/>
      <c r="FMW8" s="36"/>
      <c r="FMX8" s="37"/>
      <c r="FMY8" s="36"/>
      <c r="FMZ8" s="37"/>
      <c r="FNA8" s="36"/>
      <c r="FNB8" s="37"/>
      <c r="FNC8" s="36"/>
      <c r="FND8" s="36"/>
      <c r="FNE8" s="37"/>
      <c r="FNF8" s="37"/>
      <c r="FNH8" s="22"/>
      <c r="FNI8" s="35"/>
      <c r="FNJ8" s="36"/>
      <c r="FNK8" s="37"/>
      <c r="FNL8" s="36"/>
      <c r="FNM8" s="37"/>
      <c r="FNN8" s="36"/>
      <c r="FNO8" s="37"/>
      <c r="FNP8" s="36"/>
      <c r="FNQ8" s="37"/>
      <c r="FNR8" s="36"/>
      <c r="FNS8" s="37"/>
      <c r="FNT8" s="36"/>
      <c r="FNU8" s="37"/>
      <c r="FNV8" s="36"/>
      <c r="FNW8" s="37"/>
      <c r="FNX8" s="36"/>
      <c r="FNY8" s="37"/>
      <c r="FNZ8" s="36"/>
      <c r="FOA8" s="37"/>
      <c r="FOB8" s="36"/>
      <c r="FOC8" s="36"/>
      <c r="FOD8" s="37"/>
      <c r="FOE8" s="37"/>
      <c r="FOG8" s="22"/>
      <c r="FOH8" s="35"/>
      <c r="FOI8" s="36"/>
      <c r="FOJ8" s="37"/>
      <c r="FOK8" s="36"/>
      <c r="FOL8" s="37"/>
      <c r="FOM8" s="36"/>
      <c r="FON8" s="37"/>
      <c r="FOO8" s="36"/>
      <c r="FOP8" s="37"/>
      <c r="FOQ8" s="36"/>
      <c r="FOR8" s="37"/>
      <c r="FOS8" s="36"/>
      <c r="FOT8" s="37"/>
      <c r="FOU8" s="36"/>
      <c r="FOV8" s="37"/>
      <c r="FOW8" s="36"/>
      <c r="FOX8" s="37"/>
      <c r="FOY8" s="36"/>
      <c r="FOZ8" s="37"/>
      <c r="FPA8" s="36"/>
      <c r="FPB8" s="36"/>
      <c r="FPC8" s="37"/>
      <c r="FPD8" s="37"/>
      <c r="FPF8" s="22"/>
      <c r="FPG8" s="35"/>
      <c r="FPH8" s="36"/>
      <c r="FPI8" s="37"/>
      <c r="FPJ8" s="36"/>
      <c r="FPK8" s="37"/>
      <c r="FPL8" s="36"/>
      <c r="FPM8" s="37"/>
      <c r="FPN8" s="36"/>
      <c r="FPO8" s="37"/>
      <c r="FPP8" s="36"/>
      <c r="FPQ8" s="37"/>
      <c r="FPR8" s="36"/>
      <c r="FPS8" s="37"/>
      <c r="FPT8" s="36"/>
      <c r="FPU8" s="37"/>
      <c r="FPV8" s="36"/>
      <c r="FPW8" s="37"/>
      <c r="FPX8" s="36"/>
      <c r="FPY8" s="37"/>
      <c r="FPZ8" s="36"/>
      <c r="FQA8" s="36"/>
      <c r="FQB8" s="37"/>
      <c r="FQC8" s="37"/>
      <c r="FQE8" s="22"/>
      <c r="FQF8" s="35"/>
      <c r="FQG8" s="36"/>
      <c r="FQH8" s="37"/>
      <c r="FQI8" s="36"/>
      <c r="FQJ8" s="37"/>
      <c r="FQK8" s="36"/>
      <c r="FQL8" s="37"/>
      <c r="FQM8" s="36"/>
      <c r="FQN8" s="37"/>
      <c r="FQO8" s="36"/>
      <c r="FQP8" s="37"/>
      <c r="FQQ8" s="36"/>
      <c r="FQR8" s="37"/>
      <c r="FQS8" s="36"/>
      <c r="FQT8" s="37"/>
      <c r="FQU8" s="36"/>
      <c r="FQV8" s="37"/>
      <c r="FQW8" s="36"/>
      <c r="FQX8" s="37"/>
      <c r="FQY8" s="36"/>
      <c r="FQZ8" s="36"/>
      <c r="FRA8" s="37"/>
      <c r="FRB8" s="37"/>
      <c r="FRD8" s="22"/>
      <c r="FRE8" s="35"/>
      <c r="FRF8" s="36"/>
      <c r="FRG8" s="37"/>
      <c r="FRH8" s="36"/>
      <c r="FRI8" s="37"/>
      <c r="FRJ8" s="36"/>
      <c r="FRK8" s="37"/>
      <c r="FRL8" s="36"/>
      <c r="FRM8" s="37"/>
      <c r="FRN8" s="36"/>
      <c r="FRO8" s="37"/>
      <c r="FRP8" s="36"/>
      <c r="FRQ8" s="37"/>
      <c r="FRR8" s="36"/>
      <c r="FRS8" s="37"/>
      <c r="FRT8" s="36"/>
      <c r="FRU8" s="37"/>
      <c r="FRV8" s="36"/>
      <c r="FRW8" s="37"/>
      <c r="FRX8" s="36"/>
      <c r="FRY8" s="36"/>
      <c r="FRZ8" s="37"/>
      <c r="FSA8" s="37"/>
      <c r="FSC8" s="22"/>
      <c r="FSD8" s="35"/>
      <c r="FSE8" s="36"/>
      <c r="FSF8" s="37"/>
      <c r="FSG8" s="36"/>
      <c r="FSH8" s="37"/>
      <c r="FSI8" s="36"/>
      <c r="FSJ8" s="37"/>
      <c r="FSK8" s="36"/>
      <c r="FSL8" s="37"/>
      <c r="FSM8" s="36"/>
      <c r="FSN8" s="37"/>
      <c r="FSO8" s="36"/>
      <c r="FSP8" s="37"/>
      <c r="FSQ8" s="36"/>
      <c r="FSR8" s="37"/>
      <c r="FSS8" s="36"/>
      <c r="FST8" s="37"/>
      <c r="FSU8" s="36"/>
      <c r="FSV8" s="37"/>
      <c r="FSW8" s="36"/>
      <c r="FSX8" s="36"/>
      <c r="FSY8" s="37"/>
      <c r="FSZ8" s="37"/>
      <c r="FTB8" s="22"/>
      <c r="FTC8" s="35"/>
      <c r="FTD8" s="36"/>
      <c r="FTE8" s="37"/>
      <c r="FTF8" s="36"/>
      <c r="FTG8" s="37"/>
      <c r="FTH8" s="36"/>
      <c r="FTI8" s="37"/>
      <c r="FTJ8" s="36"/>
      <c r="FTK8" s="37"/>
      <c r="FTL8" s="36"/>
      <c r="FTM8" s="37"/>
      <c r="FTN8" s="36"/>
      <c r="FTO8" s="37"/>
      <c r="FTP8" s="36"/>
      <c r="FTQ8" s="37"/>
      <c r="FTR8" s="36"/>
      <c r="FTS8" s="37"/>
      <c r="FTT8" s="36"/>
      <c r="FTU8" s="37"/>
      <c r="FTV8" s="36"/>
      <c r="FTW8" s="36"/>
      <c r="FTX8" s="37"/>
      <c r="FTY8" s="37"/>
      <c r="FUA8" s="22"/>
      <c r="FUB8" s="35"/>
      <c r="FUC8" s="36"/>
      <c r="FUD8" s="37"/>
      <c r="FUE8" s="36"/>
      <c r="FUF8" s="37"/>
      <c r="FUG8" s="36"/>
      <c r="FUH8" s="37"/>
      <c r="FUI8" s="36"/>
      <c r="FUJ8" s="37"/>
      <c r="FUK8" s="36"/>
      <c r="FUL8" s="37"/>
      <c r="FUM8" s="36"/>
      <c r="FUN8" s="37"/>
      <c r="FUO8" s="36"/>
      <c r="FUP8" s="37"/>
      <c r="FUQ8" s="36"/>
      <c r="FUR8" s="37"/>
      <c r="FUS8" s="36"/>
      <c r="FUT8" s="37"/>
      <c r="FUU8" s="36"/>
      <c r="FUV8" s="36"/>
      <c r="FUW8" s="37"/>
      <c r="FUX8" s="37"/>
      <c r="FUZ8" s="22"/>
      <c r="FVA8" s="35"/>
      <c r="FVB8" s="36"/>
      <c r="FVC8" s="37"/>
      <c r="FVD8" s="36"/>
      <c r="FVE8" s="37"/>
      <c r="FVF8" s="36"/>
      <c r="FVG8" s="37"/>
      <c r="FVH8" s="36"/>
      <c r="FVI8" s="37"/>
      <c r="FVJ8" s="36"/>
      <c r="FVK8" s="37"/>
      <c r="FVL8" s="36"/>
      <c r="FVM8" s="37"/>
      <c r="FVN8" s="36"/>
      <c r="FVO8" s="37"/>
      <c r="FVP8" s="36"/>
      <c r="FVQ8" s="37"/>
      <c r="FVR8" s="36"/>
      <c r="FVS8" s="37"/>
      <c r="FVT8" s="36"/>
      <c r="FVU8" s="36"/>
      <c r="FVV8" s="37"/>
      <c r="FVW8" s="37"/>
      <c r="FVY8" s="22"/>
      <c r="FVZ8" s="35"/>
      <c r="FWA8" s="36"/>
      <c r="FWB8" s="37"/>
      <c r="FWC8" s="36"/>
      <c r="FWD8" s="37"/>
      <c r="FWE8" s="36"/>
      <c r="FWF8" s="37"/>
      <c r="FWG8" s="36"/>
      <c r="FWH8" s="37"/>
      <c r="FWI8" s="36"/>
      <c r="FWJ8" s="37"/>
      <c r="FWK8" s="36"/>
      <c r="FWL8" s="37"/>
      <c r="FWM8" s="36"/>
      <c r="FWN8" s="37"/>
      <c r="FWO8" s="36"/>
      <c r="FWP8" s="37"/>
      <c r="FWQ8" s="36"/>
      <c r="FWR8" s="37"/>
      <c r="FWS8" s="36"/>
      <c r="FWT8" s="36"/>
      <c r="FWU8" s="37"/>
      <c r="FWV8" s="37"/>
      <c r="FWX8" s="22"/>
      <c r="FWY8" s="35"/>
      <c r="FWZ8" s="36"/>
      <c r="FXA8" s="37"/>
      <c r="FXB8" s="36"/>
      <c r="FXC8" s="37"/>
      <c r="FXD8" s="36"/>
      <c r="FXE8" s="37"/>
      <c r="FXF8" s="36"/>
      <c r="FXG8" s="37"/>
      <c r="FXH8" s="36"/>
      <c r="FXI8" s="37"/>
      <c r="FXJ8" s="36"/>
      <c r="FXK8" s="37"/>
      <c r="FXL8" s="36"/>
      <c r="FXM8" s="37"/>
      <c r="FXN8" s="36"/>
      <c r="FXO8" s="37"/>
      <c r="FXP8" s="36"/>
      <c r="FXQ8" s="37"/>
      <c r="FXR8" s="36"/>
      <c r="FXS8" s="36"/>
      <c r="FXT8" s="37"/>
      <c r="FXU8" s="37"/>
      <c r="FXW8" s="22"/>
      <c r="FXX8" s="35"/>
      <c r="FXY8" s="36"/>
      <c r="FXZ8" s="37"/>
      <c r="FYA8" s="36"/>
      <c r="FYB8" s="37"/>
      <c r="FYC8" s="36"/>
      <c r="FYD8" s="37"/>
      <c r="FYE8" s="36"/>
      <c r="FYF8" s="37"/>
      <c r="FYG8" s="36"/>
      <c r="FYH8" s="37"/>
      <c r="FYI8" s="36"/>
      <c r="FYJ8" s="37"/>
      <c r="FYK8" s="36"/>
      <c r="FYL8" s="37"/>
      <c r="FYM8" s="36"/>
      <c r="FYN8" s="37"/>
      <c r="FYO8" s="36"/>
      <c r="FYP8" s="37"/>
      <c r="FYQ8" s="36"/>
      <c r="FYR8" s="36"/>
      <c r="FYS8" s="37"/>
      <c r="FYT8" s="37"/>
      <c r="FYV8" s="22"/>
      <c r="FYW8" s="35"/>
      <c r="FYX8" s="36"/>
      <c r="FYY8" s="37"/>
      <c r="FYZ8" s="36"/>
      <c r="FZA8" s="37"/>
      <c r="FZB8" s="36"/>
      <c r="FZC8" s="37"/>
      <c r="FZD8" s="36"/>
      <c r="FZE8" s="37"/>
      <c r="FZF8" s="36"/>
      <c r="FZG8" s="37"/>
      <c r="FZH8" s="36"/>
      <c r="FZI8" s="37"/>
      <c r="FZJ8" s="36"/>
      <c r="FZK8" s="37"/>
      <c r="FZL8" s="36"/>
      <c r="FZM8" s="37"/>
      <c r="FZN8" s="36"/>
      <c r="FZO8" s="37"/>
      <c r="FZP8" s="36"/>
      <c r="FZQ8" s="36"/>
      <c r="FZR8" s="37"/>
      <c r="FZS8" s="37"/>
      <c r="FZU8" s="22"/>
      <c r="FZV8" s="35"/>
      <c r="FZW8" s="36"/>
      <c r="FZX8" s="37"/>
      <c r="FZY8" s="36"/>
      <c r="FZZ8" s="37"/>
      <c r="GAA8" s="36"/>
      <c r="GAB8" s="37"/>
      <c r="GAC8" s="36"/>
      <c r="GAD8" s="37"/>
      <c r="GAE8" s="36"/>
      <c r="GAF8" s="37"/>
      <c r="GAG8" s="36"/>
      <c r="GAH8" s="37"/>
      <c r="GAI8" s="36"/>
      <c r="GAJ8" s="37"/>
      <c r="GAK8" s="36"/>
      <c r="GAL8" s="37"/>
      <c r="GAM8" s="36"/>
      <c r="GAN8" s="37"/>
      <c r="GAO8" s="36"/>
      <c r="GAP8" s="36"/>
      <c r="GAQ8" s="37"/>
      <c r="GAR8" s="37"/>
      <c r="GAT8" s="22"/>
      <c r="GAU8" s="35"/>
      <c r="GAV8" s="36"/>
      <c r="GAW8" s="37"/>
      <c r="GAX8" s="36"/>
      <c r="GAY8" s="37"/>
      <c r="GAZ8" s="36"/>
      <c r="GBA8" s="37"/>
      <c r="GBB8" s="36"/>
      <c r="GBC8" s="37"/>
      <c r="GBD8" s="36"/>
      <c r="GBE8" s="37"/>
      <c r="GBF8" s="36"/>
      <c r="GBG8" s="37"/>
      <c r="GBH8" s="36"/>
      <c r="GBI8" s="37"/>
      <c r="GBJ8" s="36"/>
      <c r="GBK8" s="37"/>
      <c r="GBL8" s="36"/>
      <c r="GBM8" s="37"/>
      <c r="GBN8" s="36"/>
      <c r="GBO8" s="36"/>
      <c r="GBP8" s="37"/>
      <c r="GBQ8" s="37"/>
      <c r="GBS8" s="22"/>
      <c r="GBT8" s="35"/>
      <c r="GBU8" s="36"/>
      <c r="GBV8" s="37"/>
      <c r="GBW8" s="36"/>
      <c r="GBX8" s="37"/>
      <c r="GBY8" s="36"/>
      <c r="GBZ8" s="37"/>
      <c r="GCA8" s="36"/>
      <c r="GCB8" s="37"/>
      <c r="GCC8" s="36"/>
      <c r="GCD8" s="37"/>
      <c r="GCE8" s="36"/>
      <c r="GCF8" s="37"/>
      <c r="GCG8" s="36"/>
      <c r="GCH8" s="37"/>
      <c r="GCI8" s="36"/>
      <c r="GCJ8" s="37"/>
      <c r="GCK8" s="36"/>
      <c r="GCL8" s="37"/>
      <c r="GCM8" s="36"/>
      <c r="GCN8" s="36"/>
      <c r="GCO8" s="37"/>
      <c r="GCP8" s="37"/>
      <c r="GCR8" s="22"/>
      <c r="GCS8" s="35"/>
      <c r="GCT8" s="36"/>
      <c r="GCU8" s="37"/>
      <c r="GCV8" s="36"/>
      <c r="GCW8" s="37"/>
      <c r="GCX8" s="36"/>
      <c r="GCY8" s="37"/>
      <c r="GCZ8" s="36"/>
      <c r="GDA8" s="37"/>
      <c r="GDB8" s="36"/>
      <c r="GDC8" s="37"/>
      <c r="GDD8" s="36"/>
      <c r="GDE8" s="37"/>
      <c r="GDF8" s="36"/>
      <c r="GDG8" s="37"/>
      <c r="GDH8" s="36"/>
      <c r="GDI8" s="37"/>
      <c r="GDJ8" s="36"/>
      <c r="GDK8" s="37"/>
      <c r="GDL8" s="36"/>
      <c r="GDM8" s="36"/>
      <c r="GDN8" s="37"/>
      <c r="GDO8" s="37"/>
      <c r="GDQ8" s="22"/>
      <c r="GDR8" s="35"/>
      <c r="GDS8" s="36"/>
      <c r="GDT8" s="37"/>
      <c r="GDU8" s="36"/>
      <c r="GDV8" s="37"/>
      <c r="GDW8" s="36"/>
      <c r="GDX8" s="37"/>
      <c r="GDY8" s="36"/>
      <c r="GDZ8" s="37"/>
      <c r="GEA8" s="36"/>
      <c r="GEB8" s="37"/>
      <c r="GEC8" s="36"/>
      <c r="GED8" s="37"/>
      <c r="GEE8" s="36"/>
      <c r="GEF8" s="37"/>
      <c r="GEG8" s="36"/>
      <c r="GEH8" s="37"/>
      <c r="GEI8" s="36"/>
      <c r="GEJ8" s="37"/>
      <c r="GEK8" s="36"/>
      <c r="GEL8" s="36"/>
      <c r="GEM8" s="37"/>
      <c r="GEN8" s="37"/>
      <c r="GEP8" s="22"/>
      <c r="GEQ8" s="35"/>
      <c r="GER8" s="36"/>
      <c r="GES8" s="37"/>
      <c r="GET8" s="36"/>
      <c r="GEU8" s="37"/>
      <c r="GEV8" s="36"/>
      <c r="GEW8" s="37"/>
      <c r="GEX8" s="36"/>
      <c r="GEY8" s="37"/>
      <c r="GEZ8" s="36"/>
      <c r="GFA8" s="37"/>
      <c r="GFB8" s="36"/>
      <c r="GFC8" s="37"/>
      <c r="GFD8" s="36"/>
      <c r="GFE8" s="37"/>
      <c r="GFF8" s="36"/>
      <c r="GFG8" s="37"/>
      <c r="GFH8" s="36"/>
      <c r="GFI8" s="37"/>
      <c r="GFJ8" s="36"/>
      <c r="GFK8" s="36"/>
      <c r="GFL8" s="37"/>
      <c r="GFM8" s="37"/>
      <c r="GFO8" s="22"/>
      <c r="GFP8" s="35"/>
      <c r="GFQ8" s="36"/>
      <c r="GFR8" s="37"/>
      <c r="GFS8" s="36"/>
      <c r="GFT8" s="37"/>
      <c r="GFU8" s="36"/>
      <c r="GFV8" s="37"/>
      <c r="GFW8" s="36"/>
      <c r="GFX8" s="37"/>
      <c r="GFY8" s="36"/>
      <c r="GFZ8" s="37"/>
      <c r="GGA8" s="36"/>
      <c r="GGB8" s="37"/>
      <c r="GGC8" s="36"/>
      <c r="GGD8" s="37"/>
      <c r="GGE8" s="36"/>
      <c r="GGF8" s="37"/>
      <c r="GGG8" s="36"/>
      <c r="GGH8" s="37"/>
      <c r="GGI8" s="36"/>
      <c r="GGJ8" s="36"/>
      <c r="GGK8" s="37"/>
      <c r="GGL8" s="37"/>
      <c r="GGN8" s="22"/>
      <c r="GGO8" s="35"/>
      <c r="GGP8" s="36"/>
      <c r="GGQ8" s="37"/>
      <c r="GGR8" s="36"/>
      <c r="GGS8" s="37"/>
      <c r="GGT8" s="36"/>
      <c r="GGU8" s="37"/>
      <c r="GGV8" s="36"/>
      <c r="GGW8" s="37"/>
      <c r="GGX8" s="36"/>
      <c r="GGY8" s="37"/>
      <c r="GGZ8" s="36"/>
      <c r="GHA8" s="37"/>
      <c r="GHB8" s="36"/>
      <c r="GHC8" s="37"/>
      <c r="GHD8" s="36"/>
      <c r="GHE8" s="37"/>
      <c r="GHF8" s="36"/>
      <c r="GHG8" s="37"/>
      <c r="GHH8" s="36"/>
      <c r="GHI8" s="36"/>
      <c r="GHJ8" s="37"/>
      <c r="GHK8" s="37"/>
      <c r="GHM8" s="22"/>
      <c r="GHN8" s="35"/>
      <c r="GHO8" s="36"/>
      <c r="GHP8" s="37"/>
      <c r="GHQ8" s="36"/>
      <c r="GHR8" s="37"/>
      <c r="GHS8" s="36"/>
      <c r="GHT8" s="37"/>
      <c r="GHU8" s="36"/>
      <c r="GHV8" s="37"/>
      <c r="GHW8" s="36"/>
      <c r="GHX8" s="37"/>
      <c r="GHY8" s="36"/>
      <c r="GHZ8" s="37"/>
      <c r="GIA8" s="36"/>
      <c r="GIB8" s="37"/>
      <c r="GIC8" s="36"/>
      <c r="GID8" s="37"/>
      <c r="GIE8" s="36"/>
      <c r="GIF8" s="37"/>
      <c r="GIG8" s="36"/>
      <c r="GIH8" s="36"/>
      <c r="GII8" s="37"/>
      <c r="GIJ8" s="37"/>
      <c r="GIL8" s="22"/>
      <c r="GIM8" s="35"/>
      <c r="GIN8" s="36"/>
      <c r="GIO8" s="37"/>
      <c r="GIP8" s="36"/>
      <c r="GIQ8" s="37"/>
      <c r="GIR8" s="36"/>
      <c r="GIS8" s="37"/>
      <c r="GIT8" s="36"/>
      <c r="GIU8" s="37"/>
      <c r="GIV8" s="36"/>
      <c r="GIW8" s="37"/>
      <c r="GIX8" s="36"/>
      <c r="GIY8" s="37"/>
      <c r="GIZ8" s="36"/>
      <c r="GJA8" s="37"/>
      <c r="GJB8" s="36"/>
      <c r="GJC8" s="37"/>
      <c r="GJD8" s="36"/>
      <c r="GJE8" s="37"/>
      <c r="GJF8" s="36"/>
      <c r="GJG8" s="36"/>
      <c r="GJH8" s="37"/>
      <c r="GJI8" s="37"/>
      <c r="GJK8" s="22"/>
      <c r="GJL8" s="35"/>
      <c r="GJM8" s="36"/>
      <c r="GJN8" s="37"/>
      <c r="GJO8" s="36"/>
      <c r="GJP8" s="37"/>
      <c r="GJQ8" s="36"/>
      <c r="GJR8" s="37"/>
      <c r="GJS8" s="36"/>
      <c r="GJT8" s="37"/>
      <c r="GJU8" s="36"/>
      <c r="GJV8" s="37"/>
      <c r="GJW8" s="36"/>
      <c r="GJX8" s="37"/>
      <c r="GJY8" s="36"/>
      <c r="GJZ8" s="37"/>
      <c r="GKA8" s="36"/>
      <c r="GKB8" s="37"/>
      <c r="GKC8" s="36"/>
      <c r="GKD8" s="37"/>
      <c r="GKE8" s="36"/>
      <c r="GKF8" s="36"/>
      <c r="GKG8" s="37"/>
      <c r="GKH8" s="37"/>
      <c r="GKJ8" s="22"/>
      <c r="GKK8" s="35"/>
      <c r="GKL8" s="36"/>
      <c r="GKM8" s="37"/>
      <c r="GKN8" s="36"/>
      <c r="GKO8" s="37"/>
      <c r="GKP8" s="36"/>
      <c r="GKQ8" s="37"/>
      <c r="GKR8" s="36"/>
      <c r="GKS8" s="37"/>
      <c r="GKT8" s="36"/>
      <c r="GKU8" s="37"/>
      <c r="GKV8" s="36"/>
      <c r="GKW8" s="37"/>
      <c r="GKX8" s="36"/>
      <c r="GKY8" s="37"/>
      <c r="GKZ8" s="36"/>
      <c r="GLA8" s="37"/>
      <c r="GLB8" s="36"/>
      <c r="GLC8" s="37"/>
      <c r="GLD8" s="36"/>
      <c r="GLE8" s="36"/>
      <c r="GLF8" s="37"/>
      <c r="GLG8" s="37"/>
      <c r="GLI8" s="22"/>
      <c r="GLJ8" s="35"/>
      <c r="GLK8" s="36"/>
      <c r="GLL8" s="37"/>
      <c r="GLM8" s="36"/>
      <c r="GLN8" s="37"/>
      <c r="GLO8" s="36"/>
      <c r="GLP8" s="37"/>
      <c r="GLQ8" s="36"/>
      <c r="GLR8" s="37"/>
      <c r="GLS8" s="36"/>
      <c r="GLT8" s="37"/>
      <c r="GLU8" s="36"/>
      <c r="GLV8" s="37"/>
      <c r="GLW8" s="36"/>
      <c r="GLX8" s="37"/>
      <c r="GLY8" s="36"/>
      <c r="GLZ8" s="37"/>
      <c r="GMA8" s="36"/>
      <c r="GMB8" s="37"/>
      <c r="GMC8" s="36"/>
      <c r="GMD8" s="36"/>
      <c r="GME8" s="37"/>
      <c r="GMF8" s="37"/>
      <c r="GMH8" s="22"/>
      <c r="GMI8" s="35"/>
      <c r="GMJ8" s="36"/>
      <c r="GMK8" s="37"/>
      <c r="GML8" s="36"/>
      <c r="GMM8" s="37"/>
      <c r="GMN8" s="36"/>
      <c r="GMO8" s="37"/>
      <c r="GMP8" s="36"/>
      <c r="GMQ8" s="37"/>
      <c r="GMR8" s="36"/>
      <c r="GMS8" s="37"/>
      <c r="GMT8" s="36"/>
      <c r="GMU8" s="37"/>
      <c r="GMV8" s="36"/>
      <c r="GMW8" s="37"/>
      <c r="GMX8" s="36"/>
      <c r="GMY8" s="37"/>
      <c r="GMZ8" s="36"/>
      <c r="GNA8" s="37"/>
      <c r="GNB8" s="36"/>
      <c r="GNC8" s="36"/>
      <c r="GND8" s="37"/>
      <c r="GNE8" s="37"/>
      <c r="GNG8" s="22"/>
      <c r="GNH8" s="35"/>
      <c r="GNI8" s="36"/>
      <c r="GNJ8" s="37"/>
      <c r="GNK8" s="36"/>
      <c r="GNL8" s="37"/>
      <c r="GNM8" s="36"/>
      <c r="GNN8" s="37"/>
      <c r="GNO8" s="36"/>
      <c r="GNP8" s="37"/>
      <c r="GNQ8" s="36"/>
      <c r="GNR8" s="37"/>
      <c r="GNS8" s="36"/>
      <c r="GNT8" s="37"/>
      <c r="GNU8" s="36"/>
      <c r="GNV8" s="37"/>
      <c r="GNW8" s="36"/>
      <c r="GNX8" s="37"/>
      <c r="GNY8" s="36"/>
      <c r="GNZ8" s="37"/>
      <c r="GOA8" s="36"/>
      <c r="GOB8" s="36"/>
      <c r="GOC8" s="37"/>
      <c r="GOD8" s="37"/>
      <c r="GOF8" s="22"/>
      <c r="GOG8" s="35"/>
      <c r="GOH8" s="36"/>
      <c r="GOI8" s="37"/>
      <c r="GOJ8" s="36"/>
      <c r="GOK8" s="37"/>
      <c r="GOL8" s="36"/>
      <c r="GOM8" s="37"/>
      <c r="GON8" s="36"/>
      <c r="GOO8" s="37"/>
      <c r="GOP8" s="36"/>
      <c r="GOQ8" s="37"/>
      <c r="GOR8" s="36"/>
      <c r="GOS8" s="37"/>
      <c r="GOT8" s="36"/>
      <c r="GOU8" s="37"/>
      <c r="GOV8" s="36"/>
      <c r="GOW8" s="37"/>
      <c r="GOX8" s="36"/>
      <c r="GOY8" s="37"/>
      <c r="GOZ8" s="36"/>
      <c r="GPA8" s="36"/>
      <c r="GPB8" s="37"/>
      <c r="GPC8" s="37"/>
      <c r="GPE8" s="22"/>
      <c r="GPF8" s="35"/>
      <c r="GPG8" s="36"/>
      <c r="GPH8" s="37"/>
      <c r="GPI8" s="36"/>
      <c r="GPJ8" s="37"/>
      <c r="GPK8" s="36"/>
      <c r="GPL8" s="37"/>
      <c r="GPM8" s="36"/>
      <c r="GPN8" s="37"/>
      <c r="GPO8" s="36"/>
      <c r="GPP8" s="37"/>
      <c r="GPQ8" s="36"/>
      <c r="GPR8" s="37"/>
      <c r="GPS8" s="36"/>
      <c r="GPT8" s="37"/>
      <c r="GPU8" s="36"/>
      <c r="GPV8" s="37"/>
      <c r="GPW8" s="36"/>
      <c r="GPX8" s="37"/>
      <c r="GPY8" s="36"/>
      <c r="GPZ8" s="36"/>
      <c r="GQA8" s="37"/>
      <c r="GQB8" s="37"/>
      <c r="GQD8" s="22"/>
      <c r="GQE8" s="35"/>
      <c r="GQF8" s="36"/>
      <c r="GQG8" s="37"/>
      <c r="GQH8" s="36"/>
      <c r="GQI8" s="37"/>
      <c r="GQJ8" s="36"/>
      <c r="GQK8" s="37"/>
      <c r="GQL8" s="36"/>
      <c r="GQM8" s="37"/>
      <c r="GQN8" s="36"/>
      <c r="GQO8" s="37"/>
      <c r="GQP8" s="36"/>
      <c r="GQQ8" s="37"/>
      <c r="GQR8" s="36"/>
      <c r="GQS8" s="37"/>
      <c r="GQT8" s="36"/>
      <c r="GQU8" s="37"/>
      <c r="GQV8" s="36"/>
      <c r="GQW8" s="37"/>
      <c r="GQX8" s="36"/>
      <c r="GQY8" s="36"/>
      <c r="GQZ8" s="37"/>
      <c r="GRA8" s="37"/>
      <c r="GRC8" s="22"/>
      <c r="GRD8" s="35"/>
      <c r="GRE8" s="36"/>
      <c r="GRF8" s="37"/>
      <c r="GRG8" s="36"/>
      <c r="GRH8" s="37"/>
      <c r="GRI8" s="36"/>
      <c r="GRJ8" s="37"/>
      <c r="GRK8" s="36"/>
      <c r="GRL8" s="37"/>
      <c r="GRM8" s="36"/>
      <c r="GRN8" s="37"/>
      <c r="GRO8" s="36"/>
      <c r="GRP8" s="37"/>
      <c r="GRQ8" s="36"/>
      <c r="GRR8" s="37"/>
      <c r="GRS8" s="36"/>
      <c r="GRT8" s="37"/>
      <c r="GRU8" s="36"/>
      <c r="GRV8" s="37"/>
      <c r="GRW8" s="36"/>
      <c r="GRX8" s="36"/>
      <c r="GRY8" s="37"/>
      <c r="GRZ8" s="37"/>
      <c r="GSB8" s="22"/>
      <c r="GSC8" s="35"/>
      <c r="GSD8" s="36"/>
      <c r="GSE8" s="37"/>
      <c r="GSF8" s="36"/>
      <c r="GSG8" s="37"/>
      <c r="GSH8" s="36"/>
      <c r="GSI8" s="37"/>
      <c r="GSJ8" s="36"/>
      <c r="GSK8" s="37"/>
      <c r="GSL8" s="36"/>
      <c r="GSM8" s="37"/>
      <c r="GSN8" s="36"/>
      <c r="GSO8" s="37"/>
      <c r="GSP8" s="36"/>
      <c r="GSQ8" s="37"/>
      <c r="GSR8" s="36"/>
      <c r="GSS8" s="37"/>
      <c r="GST8" s="36"/>
      <c r="GSU8" s="37"/>
      <c r="GSV8" s="36"/>
      <c r="GSW8" s="36"/>
      <c r="GSX8" s="37"/>
      <c r="GSY8" s="37"/>
      <c r="GTA8" s="22"/>
      <c r="GTB8" s="35"/>
      <c r="GTC8" s="36"/>
      <c r="GTD8" s="37"/>
      <c r="GTE8" s="36"/>
      <c r="GTF8" s="37"/>
      <c r="GTG8" s="36"/>
      <c r="GTH8" s="37"/>
      <c r="GTI8" s="36"/>
      <c r="GTJ8" s="37"/>
      <c r="GTK8" s="36"/>
      <c r="GTL8" s="37"/>
      <c r="GTM8" s="36"/>
      <c r="GTN8" s="37"/>
      <c r="GTO8" s="36"/>
      <c r="GTP8" s="37"/>
      <c r="GTQ8" s="36"/>
      <c r="GTR8" s="37"/>
      <c r="GTS8" s="36"/>
      <c r="GTT8" s="37"/>
      <c r="GTU8" s="36"/>
      <c r="GTV8" s="36"/>
      <c r="GTW8" s="37"/>
      <c r="GTX8" s="37"/>
      <c r="GTZ8" s="22"/>
      <c r="GUA8" s="35"/>
      <c r="GUB8" s="36"/>
      <c r="GUC8" s="37"/>
      <c r="GUD8" s="36"/>
      <c r="GUE8" s="37"/>
      <c r="GUF8" s="36"/>
      <c r="GUG8" s="37"/>
      <c r="GUH8" s="36"/>
      <c r="GUI8" s="37"/>
      <c r="GUJ8" s="36"/>
      <c r="GUK8" s="37"/>
      <c r="GUL8" s="36"/>
      <c r="GUM8" s="37"/>
      <c r="GUN8" s="36"/>
      <c r="GUO8" s="37"/>
      <c r="GUP8" s="36"/>
      <c r="GUQ8" s="37"/>
      <c r="GUR8" s="36"/>
      <c r="GUS8" s="37"/>
      <c r="GUT8" s="36"/>
      <c r="GUU8" s="36"/>
      <c r="GUV8" s="37"/>
      <c r="GUW8" s="37"/>
      <c r="GUY8" s="22"/>
      <c r="GUZ8" s="35"/>
      <c r="GVA8" s="36"/>
      <c r="GVB8" s="37"/>
      <c r="GVC8" s="36"/>
      <c r="GVD8" s="37"/>
      <c r="GVE8" s="36"/>
      <c r="GVF8" s="37"/>
      <c r="GVG8" s="36"/>
      <c r="GVH8" s="37"/>
      <c r="GVI8" s="36"/>
      <c r="GVJ8" s="37"/>
      <c r="GVK8" s="36"/>
      <c r="GVL8" s="37"/>
      <c r="GVM8" s="36"/>
      <c r="GVN8" s="37"/>
      <c r="GVO8" s="36"/>
      <c r="GVP8" s="37"/>
      <c r="GVQ8" s="36"/>
      <c r="GVR8" s="37"/>
      <c r="GVS8" s="36"/>
      <c r="GVT8" s="36"/>
      <c r="GVU8" s="37"/>
      <c r="GVV8" s="37"/>
      <c r="GVX8" s="22"/>
      <c r="GVY8" s="35"/>
      <c r="GVZ8" s="36"/>
      <c r="GWA8" s="37"/>
      <c r="GWB8" s="36"/>
      <c r="GWC8" s="37"/>
      <c r="GWD8" s="36"/>
      <c r="GWE8" s="37"/>
      <c r="GWF8" s="36"/>
      <c r="GWG8" s="37"/>
      <c r="GWH8" s="36"/>
      <c r="GWI8" s="37"/>
      <c r="GWJ8" s="36"/>
      <c r="GWK8" s="37"/>
      <c r="GWL8" s="36"/>
      <c r="GWM8" s="37"/>
      <c r="GWN8" s="36"/>
      <c r="GWO8" s="37"/>
      <c r="GWP8" s="36"/>
      <c r="GWQ8" s="37"/>
      <c r="GWR8" s="36"/>
      <c r="GWS8" s="36"/>
      <c r="GWT8" s="37"/>
      <c r="GWU8" s="37"/>
      <c r="GWW8" s="22"/>
      <c r="GWX8" s="35"/>
      <c r="GWY8" s="36"/>
      <c r="GWZ8" s="37"/>
      <c r="GXA8" s="36"/>
      <c r="GXB8" s="37"/>
      <c r="GXC8" s="36"/>
      <c r="GXD8" s="37"/>
      <c r="GXE8" s="36"/>
      <c r="GXF8" s="37"/>
      <c r="GXG8" s="36"/>
      <c r="GXH8" s="37"/>
      <c r="GXI8" s="36"/>
      <c r="GXJ8" s="37"/>
      <c r="GXK8" s="36"/>
      <c r="GXL8" s="37"/>
      <c r="GXM8" s="36"/>
      <c r="GXN8" s="37"/>
      <c r="GXO8" s="36"/>
      <c r="GXP8" s="37"/>
      <c r="GXQ8" s="36"/>
      <c r="GXR8" s="36"/>
      <c r="GXS8" s="37"/>
      <c r="GXT8" s="37"/>
      <c r="GXV8" s="22"/>
      <c r="GXW8" s="35"/>
      <c r="GXX8" s="36"/>
      <c r="GXY8" s="37"/>
      <c r="GXZ8" s="36"/>
      <c r="GYA8" s="37"/>
      <c r="GYB8" s="36"/>
      <c r="GYC8" s="37"/>
      <c r="GYD8" s="36"/>
      <c r="GYE8" s="37"/>
      <c r="GYF8" s="36"/>
      <c r="GYG8" s="37"/>
      <c r="GYH8" s="36"/>
      <c r="GYI8" s="37"/>
      <c r="GYJ8" s="36"/>
      <c r="GYK8" s="37"/>
      <c r="GYL8" s="36"/>
      <c r="GYM8" s="37"/>
      <c r="GYN8" s="36"/>
      <c r="GYO8" s="37"/>
      <c r="GYP8" s="36"/>
      <c r="GYQ8" s="36"/>
      <c r="GYR8" s="37"/>
      <c r="GYS8" s="37"/>
      <c r="GYU8" s="22"/>
      <c r="GYV8" s="35"/>
      <c r="GYW8" s="36"/>
      <c r="GYX8" s="37"/>
      <c r="GYY8" s="36"/>
      <c r="GYZ8" s="37"/>
      <c r="GZA8" s="36"/>
      <c r="GZB8" s="37"/>
      <c r="GZC8" s="36"/>
      <c r="GZD8" s="37"/>
      <c r="GZE8" s="36"/>
      <c r="GZF8" s="37"/>
      <c r="GZG8" s="36"/>
      <c r="GZH8" s="37"/>
      <c r="GZI8" s="36"/>
      <c r="GZJ8" s="37"/>
      <c r="GZK8" s="36"/>
      <c r="GZL8" s="37"/>
      <c r="GZM8" s="36"/>
      <c r="GZN8" s="37"/>
      <c r="GZO8" s="36"/>
      <c r="GZP8" s="36"/>
      <c r="GZQ8" s="37"/>
      <c r="GZR8" s="37"/>
      <c r="GZT8" s="22"/>
      <c r="GZU8" s="35"/>
      <c r="GZV8" s="36"/>
      <c r="GZW8" s="37"/>
      <c r="GZX8" s="36"/>
      <c r="GZY8" s="37"/>
      <c r="GZZ8" s="36"/>
      <c r="HAA8" s="37"/>
      <c r="HAB8" s="36"/>
      <c r="HAC8" s="37"/>
      <c r="HAD8" s="36"/>
      <c r="HAE8" s="37"/>
      <c r="HAF8" s="36"/>
      <c r="HAG8" s="37"/>
      <c r="HAH8" s="36"/>
      <c r="HAI8" s="37"/>
      <c r="HAJ8" s="36"/>
      <c r="HAK8" s="37"/>
      <c r="HAL8" s="36"/>
      <c r="HAM8" s="37"/>
      <c r="HAN8" s="36"/>
      <c r="HAO8" s="36"/>
      <c r="HAP8" s="37"/>
      <c r="HAQ8" s="37"/>
      <c r="HAS8" s="22"/>
      <c r="HAT8" s="35"/>
      <c r="HAU8" s="36"/>
      <c r="HAV8" s="37"/>
      <c r="HAW8" s="36"/>
      <c r="HAX8" s="37"/>
      <c r="HAY8" s="36"/>
      <c r="HAZ8" s="37"/>
      <c r="HBA8" s="36"/>
      <c r="HBB8" s="37"/>
      <c r="HBC8" s="36"/>
      <c r="HBD8" s="37"/>
      <c r="HBE8" s="36"/>
      <c r="HBF8" s="37"/>
      <c r="HBG8" s="36"/>
      <c r="HBH8" s="37"/>
      <c r="HBI8" s="36"/>
      <c r="HBJ8" s="37"/>
      <c r="HBK8" s="36"/>
      <c r="HBL8" s="37"/>
      <c r="HBM8" s="36"/>
      <c r="HBN8" s="36"/>
      <c r="HBO8" s="37"/>
      <c r="HBP8" s="37"/>
      <c r="HBR8" s="22"/>
      <c r="HBS8" s="35"/>
      <c r="HBT8" s="36"/>
      <c r="HBU8" s="37"/>
      <c r="HBV8" s="36"/>
      <c r="HBW8" s="37"/>
      <c r="HBX8" s="36"/>
      <c r="HBY8" s="37"/>
      <c r="HBZ8" s="36"/>
      <c r="HCA8" s="37"/>
      <c r="HCB8" s="36"/>
      <c r="HCC8" s="37"/>
      <c r="HCD8" s="36"/>
      <c r="HCE8" s="37"/>
      <c r="HCF8" s="36"/>
      <c r="HCG8" s="37"/>
      <c r="HCH8" s="36"/>
      <c r="HCI8" s="37"/>
      <c r="HCJ8" s="36"/>
      <c r="HCK8" s="37"/>
      <c r="HCL8" s="36"/>
      <c r="HCM8" s="36"/>
      <c r="HCN8" s="37"/>
      <c r="HCO8" s="37"/>
      <c r="HCQ8" s="22"/>
      <c r="HCR8" s="35"/>
      <c r="HCS8" s="36"/>
      <c r="HCT8" s="37"/>
      <c r="HCU8" s="36"/>
      <c r="HCV8" s="37"/>
      <c r="HCW8" s="36"/>
      <c r="HCX8" s="37"/>
      <c r="HCY8" s="36"/>
      <c r="HCZ8" s="37"/>
      <c r="HDA8" s="36"/>
      <c r="HDB8" s="37"/>
      <c r="HDC8" s="36"/>
      <c r="HDD8" s="37"/>
      <c r="HDE8" s="36"/>
      <c r="HDF8" s="37"/>
      <c r="HDG8" s="36"/>
      <c r="HDH8" s="37"/>
      <c r="HDI8" s="36"/>
      <c r="HDJ8" s="37"/>
      <c r="HDK8" s="36"/>
      <c r="HDL8" s="36"/>
      <c r="HDM8" s="37"/>
      <c r="HDN8" s="37"/>
      <c r="HDP8" s="22"/>
      <c r="HDQ8" s="35"/>
      <c r="HDR8" s="36"/>
      <c r="HDS8" s="37"/>
      <c r="HDT8" s="36"/>
      <c r="HDU8" s="37"/>
      <c r="HDV8" s="36"/>
      <c r="HDW8" s="37"/>
      <c r="HDX8" s="36"/>
      <c r="HDY8" s="37"/>
      <c r="HDZ8" s="36"/>
      <c r="HEA8" s="37"/>
      <c r="HEB8" s="36"/>
      <c r="HEC8" s="37"/>
      <c r="HED8" s="36"/>
      <c r="HEE8" s="37"/>
      <c r="HEF8" s="36"/>
      <c r="HEG8" s="37"/>
      <c r="HEH8" s="36"/>
      <c r="HEI8" s="37"/>
      <c r="HEJ8" s="36"/>
      <c r="HEK8" s="36"/>
      <c r="HEL8" s="37"/>
      <c r="HEM8" s="37"/>
      <c r="HEO8" s="22"/>
      <c r="HEP8" s="35"/>
      <c r="HEQ8" s="36"/>
      <c r="HER8" s="37"/>
      <c r="HES8" s="36"/>
      <c r="HET8" s="37"/>
      <c r="HEU8" s="36"/>
      <c r="HEV8" s="37"/>
      <c r="HEW8" s="36"/>
      <c r="HEX8" s="37"/>
      <c r="HEY8" s="36"/>
      <c r="HEZ8" s="37"/>
      <c r="HFA8" s="36"/>
      <c r="HFB8" s="37"/>
      <c r="HFC8" s="36"/>
      <c r="HFD8" s="37"/>
      <c r="HFE8" s="36"/>
      <c r="HFF8" s="37"/>
      <c r="HFG8" s="36"/>
      <c r="HFH8" s="37"/>
      <c r="HFI8" s="36"/>
      <c r="HFJ8" s="36"/>
      <c r="HFK8" s="37"/>
      <c r="HFL8" s="37"/>
      <c r="HFN8" s="22"/>
      <c r="HFO8" s="35"/>
      <c r="HFP8" s="36"/>
      <c r="HFQ8" s="37"/>
      <c r="HFR8" s="36"/>
      <c r="HFS8" s="37"/>
      <c r="HFT8" s="36"/>
      <c r="HFU8" s="37"/>
      <c r="HFV8" s="36"/>
      <c r="HFW8" s="37"/>
      <c r="HFX8" s="36"/>
      <c r="HFY8" s="37"/>
      <c r="HFZ8" s="36"/>
      <c r="HGA8" s="37"/>
      <c r="HGB8" s="36"/>
      <c r="HGC8" s="37"/>
      <c r="HGD8" s="36"/>
      <c r="HGE8" s="37"/>
      <c r="HGF8" s="36"/>
      <c r="HGG8" s="37"/>
      <c r="HGH8" s="36"/>
      <c r="HGI8" s="36"/>
      <c r="HGJ8" s="37"/>
      <c r="HGK8" s="37"/>
      <c r="HGM8" s="22"/>
      <c r="HGN8" s="35"/>
      <c r="HGO8" s="36"/>
      <c r="HGP8" s="37"/>
      <c r="HGQ8" s="36"/>
      <c r="HGR8" s="37"/>
      <c r="HGS8" s="36"/>
      <c r="HGT8" s="37"/>
      <c r="HGU8" s="36"/>
      <c r="HGV8" s="37"/>
      <c r="HGW8" s="36"/>
      <c r="HGX8" s="37"/>
      <c r="HGY8" s="36"/>
      <c r="HGZ8" s="37"/>
      <c r="HHA8" s="36"/>
      <c r="HHB8" s="37"/>
      <c r="HHC8" s="36"/>
      <c r="HHD8" s="37"/>
      <c r="HHE8" s="36"/>
      <c r="HHF8" s="37"/>
      <c r="HHG8" s="36"/>
      <c r="HHH8" s="36"/>
      <c r="HHI8" s="37"/>
      <c r="HHJ8" s="37"/>
      <c r="HHL8" s="22"/>
      <c r="HHM8" s="35"/>
      <c r="HHN8" s="36"/>
      <c r="HHO8" s="37"/>
      <c r="HHP8" s="36"/>
      <c r="HHQ8" s="37"/>
      <c r="HHR8" s="36"/>
      <c r="HHS8" s="37"/>
      <c r="HHT8" s="36"/>
      <c r="HHU8" s="37"/>
      <c r="HHV8" s="36"/>
      <c r="HHW8" s="37"/>
      <c r="HHX8" s="36"/>
      <c r="HHY8" s="37"/>
      <c r="HHZ8" s="36"/>
      <c r="HIA8" s="37"/>
      <c r="HIB8" s="36"/>
      <c r="HIC8" s="37"/>
      <c r="HID8" s="36"/>
      <c r="HIE8" s="37"/>
      <c r="HIF8" s="36"/>
      <c r="HIG8" s="36"/>
      <c r="HIH8" s="37"/>
      <c r="HII8" s="37"/>
      <c r="HIK8" s="22"/>
      <c r="HIL8" s="35"/>
      <c r="HIM8" s="36"/>
      <c r="HIN8" s="37"/>
      <c r="HIO8" s="36"/>
      <c r="HIP8" s="37"/>
      <c r="HIQ8" s="36"/>
      <c r="HIR8" s="37"/>
      <c r="HIS8" s="36"/>
      <c r="HIT8" s="37"/>
      <c r="HIU8" s="36"/>
      <c r="HIV8" s="37"/>
      <c r="HIW8" s="36"/>
      <c r="HIX8" s="37"/>
      <c r="HIY8" s="36"/>
      <c r="HIZ8" s="37"/>
      <c r="HJA8" s="36"/>
      <c r="HJB8" s="37"/>
      <c r="HJC8" s="36"/>
      <c r="HJD8" s="37"/>
      <c r="HJE8" s="36"/>
      <c r="HJF8" s="36"/>
      <c r="HJG8" s="37"/>
      <c r="HJH8" s="37"/>
      <c r="HJJ8" s="22"/>
      <c r="HJK8" s="35"/>
      <c r="HJL8" s="36"/>
      <c r="HJM8" s="37"/>
      <c r="HJN8" s="36"/>
      <c r="HJO8" s="37"/>
      <c r="HJP8" s="36"/>
      <c r="HJQ8" s="37"/>
      <c r="HJR8" s="36"/>
      <c r="HJS8" s="37"/>
      <c r="HJT8" s="36"/>
      <c r="HJU8" s="37"/>
      <c r="HJV8" s="36"/>
      <c r="HJW8" s="37"/>
      <c r="HJX8" s="36"/>
      <c r="HJY8" s="37"/>
      <c r="HJZ8" s="36"/>
      <c r="HKA8" s="37"/>
      <c r="HKB8" s="36"/>
      <c r="HKC8" s="37"/>
      <c r="HKD8" s="36"/>
      <c r="HKE8" s="36"/>
      <c r="HKF8" s="37"/>
      <c r="HKG8" s="37"/>
      <c r="HKI8" s="22"/>
      <c r="HKJ8" s="35"/>
      <c r="HKK8" s="36"/>
      <c r="HKL8" s="37"/>
      <c r="HKM8" s="36"/>
      <c r="HKN8" s="37"/>
      <c r="HKO8" s="36"/>
      <c r="HKP8" s="37"/>
      <c r="HKQ8" s="36"/>
      <c r="HKR8" s="37"/>
      <c r="HKS8" s="36"/>
      <c r="HKT8" s="37"/>
      <c r="HKU8" s="36"/>
      <c r="HKV8" s="37"/>
      <c r="HKW8" s="36"/>
      <c r="HKX8" s="37"/>
      <c r="HKY8" s="36"/>
      <c r="HKZ8" s="37"/>
      <c r="HLA8" s="36"/>
      <c r="HLB8" s="37"/>
      <c r="HLC8" s="36"/>
      <c r="HLD8" s="36"/>
      <c r="HLE8" s="37"/>
      <c r="HLF8" s="37"/>
      <c r="HLH8" s="22"/>
      <c r="HLI8" s="35"/>
      <c r="HLJ8" s="36"/>
      <c r="HLK8" s="37"/>
      <c r="HLL8" s="36"/>
      <c r="HLM8" s="37"/>
      <c r="HLN8" s="36"/>
      <c r="HLO8" s="37"/>
      <c r="HLP8" s="36"/>
      <c r="HLQ8" s="37"/>
      <c r="HLR8" s="36"/>
      <c r="HLS8" s="37"/>
      <c r="HLT8" s="36"/>
      <c r="HLU8" s="37"/>
      <c r="HLV8" s="36"/>
      <c r="HLW8" s="37"/>
      <c r="HLX8" s="36"/>
      <c r="HLY8" s="37"/>
      <c r="HLZ8" s="36"/>
      <c r="HMA8" s="37"/>
      <c r="HMB8" s="36"/>
      <c r="HMC8" s="36"/>
      <c r="HMD8" s="37"/>
      <c r="HME8" s="37"/>
      <c r="HMG8" s="22"/>
      <c r="HMH8" s="35"/>
      <c r="HMI8" s="36"/>
      <c r="HMJ8" s="37"/>
      <c r="HMK8" s="36"/>
      <c r="HML8" s="37"/>
      <c r="HMM8" s="36"/>
      <c r="HMN8" s="37"/>
      <c r="HMO8" s="36"/>
      <c r="HMP8" s="37"/>
      <c r="HMQ8" s="36"/>
      <c r="HMR8" s="37"/>
      <c r="HMS8" s="36"/>
      <c r="HMT8" s="37"/>
      <c r="HMU8" s="36"/>
      <c r="HMV8" s="37"/>
      <c r="HMW8" s="36"/>
      <c r="HMX8" s="37"/>
      <c r="HMY8" s="36"/>
      <c r="HMZ8" s="37"/>
      <c r="HNA8" s="36"/>
      <c r="HNB8" s="36"/>
      <c r="HNC8" s="37"/>
      <c r="HND8" s="37"/>
      <c r="HNF8" s="22"/>
      <c r="HNG8" s="35"/>
      <c r="HNH8" s="36"/>
      <c r="HNI8" s="37"/>
      <c r="HNJ8" s="36"/>
      <c r="HNK8" s="37"/>
      <c r="HNL8" s="36"/>
      <c r="HNM8" s="37"/>
      <c r="HNN8" s="36"/>
      <c r="HNO8" s="37"/>
      <c r="HNP8" s="36"/>
      <c r="HNQ8" s="37"/>
      <c r="HNR8" s="36"/>
      <c r="HNS8" s="37"/>
      <c r="HNT8" s="36"/>
      <c r="HNU8" s="37"/>
      <c r="HNV8" s="36"/>
      <c r="HNW8" s="37"/>
      <c r="HNX8" s="36"/>
      <c r="HNY8" s="37"/>
      <c r="HNZ8" s="36"/>
      <c r="HOA8" s="36"/>
      <c r="HOB8" s="37"/>
      <c r="HOC8" s="37"/>
      <c r="HOE8" s="22"/>
      <c r="HOF8" s="35"/>
      <c r="HOG8" s="36"/>
      <c r="HOH8" s="37"/>
      <c r="HOI8" s="36"/>
      <c r="HOJ8" s="37"/>
      <c r="HOK8" s="36"/>
      <c r="HOL8" s="37"/>
      <c r="HOM8" s="36"/>
      <c r="HON8" s="37"/>
      <c r="HOO8" s="36"/>
      <c r="HOP8" s="37"/>
      <c r="HOQ8" s="36"/>
      <c r="HOR8" s="37"/>
      <c r="HOS8" s="36"/>
      <c r="HOT8" s="37"/>
      <c r="HOU8" s="36"/>
      <c r="HOV8" s="37"/>
      <c r="HOW8" s="36"/>
      <c r="HOX8" s="37"/>
      <c r="HOY8" s="36"/>
      <c r="HOZ8" s="36"/>
      <c r="HPA8" s="37"/>
      <c r="HPB8" s="37"/>
      <c r="HPD8" s="22"/>
      <c r="HPE8" s="35"/>
      <c r="HPF8" s="36"/>
      <c r="HPG8" s="37"/>
      <c r="HPH8" s="36"/>
      <c r="HPI8" s="37"/>
      <c r="HPJ8" s="36"/>
      <c r="HPK8" s="37"/>
      <c r="HPL8" s="36"/>
      <c r="HPM8" s="37"/>
      <c r="HPN8" s="36"/>
      <c r="HPO8" s="37"/>
      <c r="HPP8" s="36"/>
      <c r="HPQ8" s="37"/>
      <c r="HPR8" s="36"/>
      <c r="HPS8" s="37"/>
      <c r="HPT8" s="36"/>
      <c r="HPU8" s="37"/>
      <c r="HPV8" s="36"/>
      <c r="HPW8" s="37"/>
      <c r="HPX8" s="36"/>
      <c r="HPY8" s="36"/>
      <c r="HPZ8" s="37"/>
      <c r="HQA8" s="37"/>
      <c r="HQC8" s="22"/>
      <c r="HQD8" s="35"/>
      <c r="HQE8" s="36"/>
      <c r="HQF8" s="37"/>
      <c r="HQG8" s="36"/>
      <c r="HQH8" s="37"/>
      <c r="HQI8" s="36"/>
      <c r="HQJ8" s="37"/>
      <c r="HQK8" s="36"/>
      <c r="HQL8" s="37"/>
      <c r="HQM8" s="36"/>
      <c r="HQN8" s="37"/>
      <c r="HQO8" s="36"/>
      <c r="HQP8" s="37"/>
      <c r="HQQ8" s="36"/>
      <c r="HQR8" s="37"/>
      <c r="HQS8" s="36"/>
      <c r="HQT8" s="37"/>
      <c r="HQU8" s="36"/>
      <c r="HQV8" s="37"/>
      <c r="HQW8" s="36"/>
      <c r="HQX8" s="36"/>
      <c r="HQY8" s="37"/>
      <c r="HQZ8" s="37"/>
      <c r="HRB8" s="22"/>
      <c r="HRC8" s="35"/>
      <c r="HRD8" s="36"/>
      <c r="HRE8" s="37"/>
      <c r="HRF8" s="36"/>
      <c r="HRG8" s="37"/>
      <c r="HRH8" s="36"/>
      <c r="HRI8" s="37"/>
      <c r="HRJ8" s="36"/>
      <c r="HRK8" s="37"/>
      <c r="HRL8" s="36"/>
      <c r="HRM8" s="37"/>
      <c r="HRN8" s="36"/>
      <c r="HRO8" s="37"/>
      <c r="HRP8" s="36"/>
      <c r="HRQ8" s="37"/>
      <c r="HRR8" s="36"/>
      <c r="HRS8" s="37"/>
      <c r="HRT8" s="36"/>
      <c r="HRU8" s="37"/>
      <c r="HRV8" s="36"/>
      <c r="HRW8" s="36"/>
      <c r="HRX8" s="37"/>
      <c r="HRY8" s="37"/>
      <c r="HSA8" s="22"/>
      <c r="HSB8" s="35"/>
      <c r="HSC8" s="36"/>
      <c r="HSD8" s="37"/>
      <c r="HSE8" s="36"/>
      <c r="HSF8" s="37"/>
      <c r="HSG8" s="36"/>
      <c r="HSH8" s="37"/>
      <c r="HSI8" s="36"/>
      <c r="HSJ8" s="37"/>
      <c r="HSK8" s="36"/>
      <c r="HSL8" s="37"/>
      <c r="HSM8" s="36"/>
      <c r="HSN8" s="37"/>
      <c r="HSO8" s="36"/>
      <c r="HSP8" s="37"/>
      <c r="HSQ8" s="36"/>
      <c r="HSR8" s="37"/>
      <c r="HSS8" s="36"/>
      <c r="HST8" s="37"/>
      <c r="HSU8" s="36"/>
      <c r="HSV8" s="36"/>
      <c r="HSW8" s="37"/>
      <c r="HSX8" s="37"/>
      <c r="HSZ8" s="22"/>
      <c r="HTA8" s="35"/>
      <c r="HTB8" s="36"/>
      <c r="HTC8" s="37"/>
      <c r="HTD8" s="36"/>
      <c r="HTE8" s="37"/>
      <c r="HTF8" s="36"/>
      <c r="HTG8" s="37"/>
      <c r="HTH8" s="36"/>
      <c r="HTI8" s="37"/>
      <c r="HTJ8" s="36"/>
      <c r="HTK8" s="37"/>
      <c r="HTL8" s="36"/>
      <c r="HTM8" s="37"/>
      <c r="HTN8" s="36"/>
      <c r="HTO8" s="37"/>
      <c r="HTP8" s="36"/>
      <c r="HTQ8" s="37"/>
      <c r="HTR8" s="36"/>
      <c r="HTS8" s="37"/>
      <c r="HTT8" s="36"/>
      <c r="HTU8" s="36"/>
      <c r="HTV8" s="37"/>
      <c r="HTW8" s="37"/>
      <c r="HTY8" s="22"/>
      <c r="HTZ8" s="35"/>
      <c r="HUA8" s="36"/>
      <c r="HUB8" s="37"/>
      <c r="HUC8" s="36"/>
      <c r="HUD8" s="37"/>
      <c r="HUE8" s="36"/>
      <c r="HUF8" s="37"/>
      <c r="HUG8" s="36"/>
      <c r="HUH8" s="37"/>
      <c r="HUI8" s="36"/>
      <c r="HUJ8" s="37"/>
      <c r="HUK8" s="36"/>
      <c r="HUL8" s="37"/>
      <c r="HUM8" s="36"/>
      <c r="HUN8" s="37"/>
      <c r="HUO8" s="36"/>
      <c r="HUP8" s="37"/>
      <c r="HUQ8" s="36"/>
      <c r="HUR8" s="37"/>
      <c r="HUS8" s="36"/>
      <c r="HUT8" s="36"/>
      <c r="HUU8" s="37"/>
      <c r="HUV8" s="37"/>
      <c r="HUX8" s="22"/>
      <c r="HUY8" s="35"/>
      <c r="HUZ8" s="36"/>
      <c r="HVA8" s="37"/>
      <c r="HVB8" s="36"/>
      <c r="HVC8" s="37"/>
      <c r="HVD8" s="36"/>
      <c r="HVE8" s="37"/>
      <c r="HVF8" s="36"/>
      <c r="HVG8" s="37"/>
      <c r="HVH8" s="36"/>
      <c r="HVI8" s="37"/>
      <c r="HVJ8" s="36"/>
      <c r="HVK8" s="37"/>
      <c r="HVL8" s="36"/>
      <c r="HVM8" s="37"/>
      <c r="HVN8" s="36"/>
      <c r="HVO8" s="37"/>
      <c r="HVP8" s="36"/>
      <c r="HVQ8" s="37"/>
      <c r="HVR8" s="36"/>
      <c r="HVS8" s="36"/>
      <c r="HVT8" s="37"/>
      <c r="HVU8" s="37"/>
      <c r="HVW8" s="22"/>
      <c r="HVX8" s="35"/>
      <c r="HVY8" s="36"/>
      <c r="HVZ8" s="37"/>
      <c r="HWA8" s="36"/>
      <c r="HWB8" s="37"/>
      <c r="HWC8" s="36"/>
      <c r="HWD8" s="37"/>
      <c r="HWE8" s="36"/>
      <c r="HWF8" s="37"/>
      <c r="HWG8" s="36"/>
      <c r="HWH8" s="37"/>
      <c r="HWI8" s="36"/>
      <c r="HWJ8" s="37"/>
      <c r="HWK8" s="36"/>
      <c r="HWL8" s="37"/>
      <c r="HWM8" s="36"/>
      <c r="HWN8" s="37"/>
      <c r="HWO8" s="36"/>
      <c r="HWP8" s="37"/>
      <c r="HWQ8" s="36"/>
      <c r="HWR8" s="36"/>
      <c r="HWS8" s="37"/>
      <c r="HWT8" s="37"/>
      <c r="HWV8" s="22"/>
      <c r="HWW8" s="35"/>
      <c r="HWX8" s="36"/>
      <c r="HWY8" s="37"/>
      <c r="HWZ8" s="36"/>
      <c r="HXA8" s="37"/>
      <c r="HXB8" s="36"/>
      <c r="HXC8" s="37"/>
      <c r="HXD8" s="36"/>
      <c r="HXE8" s="37"/>
      <c r="HXF8" s="36"/>
      <c r="HXG8" s="37"/>
      <c r="HXH8" s="36"/>
      <c r="HXI8" s="37"/>
      <c r="HXJ8" s="36"/>
      <c r="HXK8" s="37"/>
      <c r="HXL8" s="36"/>
      <c r="HXM8" s="37"/>
      <c r="HXN8" s="36"/>
      <c r="HXO8" s="37"/>
      <c r="HXP8" s="36"/>
      <c r="HXQ8" s="36"/>
      <c r="HXR8" s="37"/>
      <c r="HXS8" s="37"/>
      <c r="HXU8" s="22"/>
      <c r="HXV8" s="35"/>
      <c r="HXW8" s="36"/>
      <c r="HXX8" s="37"/>
      <c r="HXY8" s="36"/>
      <c r="HXZ8" s="37"/>
      <c r="HYA8" s="36"/>
      <c r="HYB8" s="37"/>
      <c r="HYC8" s="36"/>
      <c r="HYD8" s="37"/>
      <c r="HYE8" s="36"/>
      <c r="HYF8" s="37"/>
      <c r="HYG8" s="36"/>
      <c r="HYH8" s="37"/>
      <c r="HYI8" s="36"/>
      <c r="HYJ8" s="37"/>
      <c r="HYK8" s="36"/>
      <c r="HYL8" s="37"/>
      <c r="HYM8" s="36"/>
      <c r="HYN8" s="37"/>
      <c r="HYO8" s="36"/>
      <c r="HYP8" s="36"/>
      <c r="HYQ8" s="37"/>
      <c r="HYR8" s="37"/>
      <c r="HYT8" s="22"/>
      <c r="HYU8" s="35"/>
      <c r="HYV8" s="36"/>
      <c r="HYW8" s="37"/>
      <c r="HYX8" s="36"/>
      <c r="HYY8" s="37"/>
      <c r="HYZ8" s="36"/>
      <c r="HZA8" s="37"/>
      <c r="HZB8" s="36"/>
      <c r="HZC8" s="37"/>
      <c r="HZD8" s="36"/>
      <c r="HZE8" s="37"/>
      <c r="HZF8" s="36"/>
      <c r="HZG8" s="37"/>
      <c r="HZH8" s="36"/>
      <c r="HZI8" s="37"/>
      <c r="HZJ8" s="36"/>
      <c r="HZK8" s="37"/>
      <c r="HZL8" s="36"/>
      <c r="HZM8" s="37"/>
      <c r="HZN8" s="36"/>
      <c r="HZO8" s="36"/>
      <c r="HZP8" s="37"/>
      <c r="HZQ8" s="37"/>
      <c r="HZS8" s="22"/>
      <c r="HZT8" s="35"/>
      <c r="HZU8" s="36"/>
      <c r="HZV8" s="37"/>
      <c r="HZW8" s="36"/>
      <c r="HZX8" s="37"/>
      <c r="HZY8" s="36"/>
      <c r="HZZ8" s="37"/>
      <c r="IAA8" s="36"/>
      <c r="IAB8" s="37"/>
      <c r="IAC8" s="36"/>
      <c r="IAD8" s="37"/>
      <c r="IAE8" s="36"/>
      <c r="IAF8" s="37"/>
      <c r="IAG8" s="36"/>
      <c r="IAH8" s="37"/>
      <c r="IAI8" s="36"/>
      <c r="IAJ8" s="37"/>
      <c r="IAK8" s="36"/>
      <c r="IAL8" s="37"/>
      <c r="IAM8" s="36"/>
      <c r="IAN8" s="36"/>
      <c r="IAO8" s="37"/>
      <c r="IAP8" s="37"/>
      <c r="IAR8" s="22"/>
      <c r="IAS8" s="35"/>
      <c r="IAT8" s="36"/>
      <c r="IAU8" s="37"/>
      <c r="IAV8" s="36"/>
      <c r="IAW8" s="37"/>
      <c r="IAX8" s="36"/>
      <c r="IAY8" s="37"/>
      <c r="IAZ8" s="36"/>
      <c r="IBA8" s="37"/>
      <c r="IBB8" s="36"/>
      <c r="IBC8" s="37"/>
      <c r="IBD8" s="36"/>
      <c r="IBE8" s="37"/>
      <c r="IBF8" s="36"/>
      <c r="IBG8" s="37"/>
      <c r="IBH8" s="36"/>
      <c r="IBI8" s="37"/>
      <c r="IBJ8" s="36"/>
      <c r="IBK8" s="37"/>
      <c r="IBL8" s="36"/>
      <c r="IBM8" s="36"/>
      <c r="IBN8" s="37"/>
      <c r="IBO8" s="37"/>
      <c r="IBQ8" s="22"/>
      <c r="IBR8" s="35"/>
      <c r="IBS8" s="36"/>
      <c r="IBT8" s="37"/>
      <c r="IBU8" s="36"/>
      <c r="IBV8" s="37"/>
      <c r="IBW8" s="36"/>
      <c r="IBX8" s="37"/>
      <c r="IBY8" s="36"/>
      <c r="IBZ8" s="37"/>
      <c r="ICA8" s="36"/>
      <c r="ICB8" s="37"/>
      <c r="ICC8" s="36"/>
      <c r="ICD8" s="37"/>
      <c r="ICE8" s="36"/>
      <c r="ICF8" s="37"/>
      <c r="ICG8" s="36"/>
      <c r="ICH8" s="37"/>
      <c r="ICI8" s="36"/>
      <c r="ICJ8" s="37"/>
      <c r="ICK8" s="36"/>
      <c r="ICL8" s="36"/>
      <c r="ICM8" s="37"/>
      <c r="ICN8" s="37"/>
      <c r="ICP8" s="22"/>
      <c r="ICQ8" s="35"/>
      <c r="ICR8" s="36"/>
      <c r="ICS8" s="37"/>
      <c r="ICT8" s="36"/>
      <c r="ICU8" s="37"/>
      <c r="ICV8" s="36"/>
      <c r="ICW8" s="37"/>
      <c r="ICX8" s="36"/>
      <c r="ICY8" s="37"/>
      <c r="ICZ8" s="36"/>
      <c r="IDA8" s="37"/>
      <c r="IDB8" s="36"/>
      <c r="IDC8" s="37"/>
      <c r="IDD8" s="36"/>
      <c r="IDE8" s="37"/>
      <c r="IDF8" s="36"/>
      <c r="IDG8" s="37"/>
      <c r="IDH8" s="36"/>
      <c r="IDI8" s="37"/>
      <c r="IDJ8" s="36"/>
      <c r="IDK8" s="36"/>
      <c r="IDL8" s="37"/>
      <c r="IDM8" s="37"/>
      <c r="IDO8" s="22"/>
      <c r="IDP8" s="35"/>
      <c r="IDQ8" s="36"/>
      <c r="IDR8" s="37"/>
      <c r="IDS8" s="36"/>
      <c r="IDT8" s="37"/>
      <c r="IDU8" s="36"/>
      <c r="IDV8" s="37"/>
      <c r="IDW8" s="36"/>
      <c r="IDX8" s="37"/>
      <c r="IDY8" s="36"/>
      <c r="IDZ8" s="37"/>
      <c r="IEA8" s="36"/>
      <c r="IEB8" s="37"/>
      <c r="IEC8" s="36"/>
      <c r="IED8" s="37"/>
      <c r="IEE8" s="36"/>
      <c r="IEF8" s="37"/>
      <c r="IEG8" s="36"/>
      <c r="IEH8" s="37"/>
      <c r="IEI8" s="36"/>
      <c r="IEJ8" s="36"/>
      <c r="IEK8" s="37"/>
      <c r="IEL8" s="37"/>
      <c r="IEN8" s="22"/>
      <c r="IEO8" s="35"/>
      <c r="IEP8" s="36"/>
      <c r="IEQ8" s="37"/>
      <c r="IER8" s="36"/>
      <c r="IES8" s="37"/>
      <c r="IET8" s="36"/>
      <c r="IEU8" s="37"/>
      <c r="IEV8" s="36"/>
      <c r="IEW8" s="37"/>
      <c r="IEX8" s="36"/>
      <c r="IEY8" s="37"/>
      <c r="IEZ8" s="36"/>
      <c r="IFA8" s="37"/>
      <c r="IFB8" s="36"/>
      <c r="IFC8" s="37"/>
      <c r="IFD8" s="36"/>
      <c r="IFE8" s="37"/>
      <c r="IFF8" s="36"/>
      <c r="IFG8" s="37"/>
      <c r="IFH8" s="36"/>
      <c r="IFI8" s="36"/>
      <c r="IFJ8" s="37"/>
      <c r="IFK8" s="37"/>
      <c r="IFM8" s="22"/>
      <c r="IFN8" s="35"/>
      <c r="IFO8" s="36"/>
      <c r="IFP8" s="37"/>
      <c r="IFQ8" s="36"/>
      <c r="IFR8" s="37"/>
      <c r="IFS8" s="36"/>
      <c r="IFT8" s="37"/>
      <c r="IFU8" s="36"/>
      <c r="IFV8" s="37"/>
      <c r="IFW8" s="36"/>
      <c r="IFX8" s="37"/>
      <c r="IFY8" s="36"/>
      <c r="IFZ8" s="37"/>
      <c r="IGA8" s="36"/>
      <c r="IGB8" s="37"/>
      <c r="IGC8" s="36"/>
      <c r="IGD8" s="37"/>
      <c r="IGE8" s="36"/>
      <c r="IGF8" s="37"/>
      <c r="IGG8" s="36"/>
      <c r="IGH8" s="36"/>
      <c r="IGI8" s="37"/>
      <c r="IGJ8" s="37"/>
      <c r="IGL8" s="22"/>
      <c r="IGM8" s="35"/>
      <c r="IGN8" s="36"/>
      <c r="IGO8" s="37"/>
      <c r="IGP8" s="36"/>
      <c r="IGQ8" s="37"/>
      <c r="IGR8" s="36"/>
      <c r="IGS8" s="37"/>
      <c r="IGT8" s="36"/>
      <c r="IGU8" s="37"/>
      <c r="IGV8" s="36"/>
      <c r="IGW8" s="37"/>
      <c r="IGX8" s="36"/>
      <c r="IGY8" s="37"/>
      <c r="IGZ8" s="36"/>
      <c r="IHA8" s="37"/>
      <c r="IHB8" s="36"/>
      <c r="IHC8" s="37"/>
      <c r="IHD8" s="36"/>
      <c r="IHE8" s="37"/>
      <c r="IHF8" s="36"/>
      <c r="IHG8" s="36"/>
      <c r="IHH8" s="37"/>
      <c r="IHI8" s="37"/>
      <c r="IHK8" s="22"/>
      <c r="IHL8" s="35"/>
      <c r="IHM8" s="36"/>
      <c r="IHN8" s="37"/>
      <c r="IHO8" s="36"/>
      <c r="IHP8" s="37"/>
      <c r="IHQ8" s="36"/>
      <c r="IHR8" s="37"/>
      <c r="IHS8" s="36"/>
      <c r="IHT8" s="37"/>
      <c r="IHU8" s="36"/>
      <c r="IHV8" s="37"/>
      <c r="IHW8" s="36"/>
      <c r="IHX8" s="37"/>
      <c r="IHY8" s="36"/>
      <c r="IHZ8" s="37"/>
      <c r="IIA8" s="36"/>
      <c r="IIB8" s="37"/>
      <c r="IIC8" s="36"/>
      <c r="IID8" s="37"/>
      <c r="IIE8" s="36"/>
      <c r="IIF8" s="36"/>
      <c r="IIG8" s="37"/>
      <c r="IIH8" s="37"/>
      <c r="IIJ8" s="22"/>
      <c r="IIK8" s="35"/>
      <c r="IIL8" s="36"/>
      <c r="IIM8" s="37"/>
      <c r="IIN8" s="36"/>
      <c r="IIO8" s="37"/>
      <c r="IIP8" s="36"/>
      <c r="IIQ8" s="37"/>
      <c r="IIR8" s="36"/>
      <c r="IIS8" s="37"/>
      <c r="IIT8" s="36"/>
      <c r="IIU8" s="37"/>
      <c r="IIV8" s="36"/>
      <c r="IIW8" s="37"/>
      <c r="IIX8" s="36"/>
      <c r="IIY8" s="37"/>
      <c r="IIZ8" s="36"/>
      <c r="IJA8" s="37"/>
      <c r="IJB8" s="36"/>
      <c r="IJC8" s="37"/>
      <c r="IJD8" s="36"/>
      <c r="IJE8" s="36"/>
      <c r="IJF8" s="37"/>
      <c r="IJG8" s="37"/>
      <c r="IJI8" s="22"/>
      <c r="IJJ8" s="35"/>
      <c r="IJK8" s="36"/>
      <c r="IJL8" s="37"/>
      <c r="IJM8" s="36"/>
      <c r="IJN8" s="37"/>
      <c r="IJO8" s="36"/>
      <c r="IJP8" s="37"/>
      <c r="IJQ8" s="36"/>
      <c r="IJR8" s="37"/>
      <c r="IJS8" s="36"/>
      <c r="IJT8" s="37"/>
      <c r="IJU8" s="36"/>
      <c r="IJV8" s="37"/>
      <c r="IJW8" s="36"/>
      <c r="IJX8" s="37"/>
      <c r="IJY8" s="36"/>
      <c r="IJZ8" s="37"/>
      <c r="IKA8" s="36"/>
      <c r="IKB8" s="37"/>
      <c r="IKC8" s="36"/>
      <c r="IKD8" s="36"/>
      <c r="IKE8" s="37"/>
      <c r="IKF8" s="37"/>
      <c r="IKH8" s="22"/>
      <c r="IKI8" s="35"/>
      <c r="IKJ8" s="36"/>
      <c r="IKK8" s="37"/>
      <c r="IKL8" s="36"/>
      <c r="IKM8" s="37"/>
      <c r="IKN8" s="36"/>
      <c r="IKO8" s="37"/>
      <c r="IKP8" s="36"/>
      <c r="IKQ8" s="37"/>
      <c r="IKR8" s="36"/>
      <c r="IKS8" s="37"/>
      <c r="IKT8" s="36"/>
      <c r="IKU8" s="37"/>
      <c r="IKV8" s="36"/>
      <c r="IKW8" s="37"/>
      <c r="IKX8" s="36"/>
      <c r="IKY8" s="37"/>
      <c r="IKZ8" s="36"/>
      <c r="ILA8" s="37"/>
      <c r="ILB8" s="36"/>
      <c r="ILC8" s="36"/>
      <c r="ILD8" s="37"/>
      <c r="ILE8" s="37"/>
      <c r="ILG8" s="22"/>
      <c r="ILH8" s="35"/>
      <c r="ILI8" s="36"/>
      <c r="ILJ8" s="37"/>
      <c r="ILK8" s="36"/>
      <c r="ILL8" s="37"/>
      <c r="ILM8" s="36"/>
      <c r="ILN8" s="37"/>
      <c r="ILO8" s="36"/>
      <c r="ILP8" s="37"/>
      <c r="ILQ8" s="36"/>
      <c r="ILR8" s="37"/>
      <c r="ILS8" s="36"/>
      <c r="ILT8" s="37"/>
      <c r="ILU8" s="36"/>
      <c r="ILV8" s="37"/>
      <c r="ILW8" s="36"/>
      <c r="ILX8" s="37"/>
      <c r="ILY8" s="36"/>
      <c r="ILZ8" s="37"/>
      <c r="IMA8" s="36"/>
      <c r="IMB8" s="36"/>
      <c r="IMC8" s="37"/>
      <c r="IMD8" s="37"/>
      <c r="IMF8" s="22"/>
      <c r="IMG8" s="35"/>
      <c r="IMH8" s="36"/>
      <c r="IMI8" s="37"/>
      <c r="IMJ8" s="36"/>
      <c r="IMK8" s="37"/>
      <c r="IML8" s="36"/>
      <c r="IMM8" s="37"/>
      <c r="IMN8" s="36"/>
      <c r="IMO8" s="37"/>
      <c r="IMP8" s="36"/>
      <c r="IMQ8" s="37"/>
      <c r="IMR8" s="36"/>
      <c r="IMS8" s="37"/>
      <c r="IMT8" s="36"/>
      <c r="IMU8" s="37"/>
      <c r="IMV8" s="36"/>
      <c r="IMW8" s="37"/>
      <c r="IMX8" s="36"/>
      <c r="IMY8" s="37"/>
      <c r="IMZ8" s="36"/>
      <c r="INA8" s="36"/>
      <c r="INB8" s="37"/>
      <c r="INC8" s="37"/>
      <c r="INE8" s="22"/>
      <c r="INF8" s="35"/>
      <c r="ING8" s="36"/>
      <c r="INH8" s="37"/>
      <c r="INI8" s="36"/>
      <c r="INJ8" s="37"/>
      <c r="INK8" s="36"/>
      <c r="INL8" s="37"/>
      <c r="INM8" s="36"/>
      <c r="INN8" s="37"/>
      <c r="INO8" s="36"/>
      <c r="INP8" s="37"/>
      <c r="INQ8" s="36"/>
      <c r="INR8" s="37"/>
      <c r="INS8" s="36"/>
      <c r="INT8" s="37"/>
      <c r="INU8" s="36"/>
      <c r="INV8" s="37"/>
      <c r="INW8" s="36"/>
      <c r="INX8" s="37"/>
      <c r="INY8" s="36"/>
      <c r="INZ8" s="36"/>
      <c r="IOA8" s="37"/>
      <c r="IOB8" s="37"/>
      <c r="IOD8" s="22"/>
      <c r="IOE8" s="35"/>
      <c r="IOF8" s="36"/>
      <c r="IOG8" s="37"/>
      <c r="IOH8" s="36"/>
      <c r="IOI8" s="37"/>
      <c r="IOJ8" s="36"/>
      <c r="IOK8" s="37"/>
      <c r="IOL8" s="36"/>
      <c r="IOM8" s="37"/>
      <c r="ION8" s="36"/>
      <c r="IOO8" s="37"/>
      <c r="IOP8" s="36"/>
      <c r="IOQ8" s="37"/>
      <c r="IOR8" s="36"/>
      <c r="IOS8" s="37"/>
      <c r="IOT8" s="36"/>
      <c r="IOU8" s="37"/>
      <c r="IOV8" s="36"/>
      <c r="IOW8" s="37"/>
      <c r="IOX8" s="36"/>
      <c r="IOY8" s="36"/>
      <c r="IOZ8" s="37"/>
      <c r="IPA8" s="37"/>
      <c r="IPC8" s="22"/>
      <c r="IPD8" s="35"/>
      <c r="IPE8" s="36"/>
      <c r="IPF8" s="37"/>
      <c r="IPG8" s="36"/>
      <c r="IPH8" s="37"/>
      <c r="IPI8" s="36"/>
      <c r="IPJ8" s="37"/>
      <c r="IPK8" s="36"/>
      <c r="IPL8" s="37"/>
      <c r="IPM8" s="36"/>
      <c r="IPN8" s="37"/>
      <c r="IPO8" s="36"/>
      <c r="IPP8" s="37"/>
      <c r="IPQ8" s="36"/>
      <c r="IPR8" s="37"/>
      <c r="IPS8" s="36"/>
      <c r="IPT8" s="37"/>
      <c r="IPU8" s="36"/>
      <c r="IPV8" s="37"/>
      <c r="IPW8" s="36"/>
      <c r="IPX8" s="36"/>
      <c r="IPY8" s="37"/>
      <c r="IPZ8" s="37"/>
      <c r="IQB8" s="22"/>
      <c r="IQC8" s="35"/>
      <c r="IQD8" s="36"/>
      <c r="IQE8" s="37"/>
      <c r="IQF8" s="36"/>
      <c r="IQG8" s="37"/>
      <c r="IQH8" s="36"/>
      <c r="IQI8" s="37"/>
      <c r="IQJ8" s="36"/>
      <c r="IQK8" s="37"/>
      <c r="IQL8" s="36"/>
      <c r="IQM8" s="37"/>
      <c r="IQN8" s="36"/>
      <c r="IQO8" s="37"/>
      <c r="IQP8" s="36"/>
      <c r="IQQ8" s="37"/>
      <c r="IQR8" s="36"/>
      <c r="IQS8" s="37"/>
      <c r="IQT8" s="36"/>
      <c r="IQU8" s="37"/>
      <c r="IQV8" s="36"/>
      <c r="IQW8" s="36"/>
      <c r="IQX8" s="37"/>
      <c r="IQY8" s="37"/>
      <c r="IRA8" s="22"/>
      <c r="IRB8" s="35"/>
      <c r="IRC8" s="36"/>
      <c r="IRD8" s="37"/>
      <c r="IRE8" s="36"/>
      <c r="IRF8" s="37"/>
      <c r="IRG8" s="36"/>
      <c r="IRH8" s="37"/>
      <c r="IRI8" s="36"/>
      <c r="IRJ8" s="37"/>
      <c r="IRK8" s="36"/>
      <c r="IRL8" s="37"/>
      <c r="IRM8" s="36"/>
      <c r="IRN8" s="37"/>
      <c r="IRO8" s="36"/>
      <c r="IRP8" s="37"/>
      <c r="IRQ8" s="36"/>
      <c r="IRR8" s="37"/>
      <c r="IRS8" s="36"/>
      <c r="IRT8" s="37"/>
      <c r="IRU8" s="36"/>
      <c r="IRV8" s="36"/>
      <c r="IRW8" s="37"/>
      <c r="IRX8" s="37"/>
      <c r="IRZ8" s="22"/>
      <c r="ISA8" s="35"/>
      <c r="ISB8" s="36"/>
      <c r="ISC8" s="37"/>
      <c r="ISD8" s="36"/>
      <c r="ISE8" s="37"/>
      <c r="ISF8" s="36"/>
      <c r="ISG8" s="37"/>
      <c r="ISH8" s="36"/>
      <c r="ISI8" s="37"/>
      <c r="ISJ8" s="36"/>
      <c r="ISK8" s="37"/>
      <c r="ISL8" s="36"/>
      <c r="ISM8" s="37"/>
      <c r="ISN8" s="36"/>
      <c r="ISO8" s="37"/>
      <c r="ISP8" s="36"/>
      <c r="ISQ8" s="37"/>
      <c r="ISR8" s="36"/>
      <c r="ISS8" s="37"/>
      <c r="IST8" s="36"/>
      <c r="ISU8" s="36"/>
      <c r="ISV8" s="37"/>
      <c r="ISW8" s="37"/>
      <c r="ISY8" s="22"/>
      <c r="ISZ8" s="35"/>
      <c r="ITA8" s="36"/>
      <c r="ITB8" s="37"/>
      <c r="ITC8" s="36"/>
      <c r="ITD8" s="37"/>
      <c r="ITE8" s="36"/>
      <c r="ITF8" s="37"/>
      <c r="ITG8" s="36"/>
      <c r="ITH8" s="37"/>
      <c r="ITI8" s="36"/>
      <c r="ITJ8" s="37"/>
      <c r="ITK8" s="36"/>
      <c r="ITL8" s="37"/>
      <c r="ITM8" s="36"/>
      <c r="ITN8" s="37"/>
      <c r="ITO8" s="36"/>
      <c r="ITP8" s="37"/>
      <c r="ITQ8" s="36"/>
      <c r="ITR8" s="37"/>
      <c r="ITS8" s="36"/>
      <c r="ITT8" s="36"/>
      <c r="ITU8" s="37"/>
      <c r="ITV8" s="37"/>
      <c r="ITX8" s="22"/>
      <c r="ITY8" s="35"/>
      <c r="ITZ8" s="36"/>
      <c r="IUA8" s="37"/>
      <c r="IUB8" s="36"/>
      <c r="IUC8" s="37"/>
      <c r="IUD8" s="36"/>
      <c r="IUE8" s="37"/>
      <c r="IUF8" s="36"/>
      <c r="IUG8" s="37"/>
      <c r="IUH8" s="36"/>
      <c r="IUI8" s="37"/>
      <c r="IUJ8" s="36"/>
      <c r="IUK8" s="37"/>
      <c r="IUL8" s="36"/>
      <c r="IUM8" s="37"/>
      <c r="IUN8" s="36"/>
      <c r="IUO8" s="37"/>
      <c r="IUP8" s="36"/>
      <c r="IUQ8" s="37"/>
      <c r="IUR8" s="36"/>
      <c r="IUS8" s="36"/>
      <c r="IUT8" s="37"/>
      <c r="IUU8" s="37"/>
      <c r="IUW8" s="22"/>
      <c r="IUX8" s="35"/>
      <c r="IUY8" s="36"/>
      <c r="IUZ8" s="37"/>
      <c r="IVA8" s="36"/>
      <c r="IVB8" s="37"/>
      <c r="IVC8" s="36"/>
      <c r="IVD8" s="37"/>
      <c r="IVE8" s="36"/>
      <c r="IVF8" s="37"/>
      <c r="IVG8" s="36"/>
      <c r="IVH8" s="37"/>
      <c r="IVI8" s="36"/>
      <c r="IVJ8" s="37"/>
      <c r="IVK8" s="36"/>
      <c r="IVL8" s="37"/>
      <c r="IVM8" s="36"/>
      <c r="IVN8" s="37"/>
      <c r="IVO8" s="36"/>
      <c r="IVP8" s="37"/>
      <c r="IVQ8" s="36"/>
      <c r="IVR8" s="36"/>
      <c r="IVS8" s="37"/>
      <c r="IVT8" s="37"/>
      <c r="IVV8" s="22"/>
      <c r="IVW8" s="35"/>
      <c r="IVX8" s="36"/>
      <c r="IVY8" s="37"/>
      <c r="IVZ8" s="36"/>
      <c r="IWA8" s="37"/>
      <c r="IWB8" s="36"/>
      <c r="IWC8" s="37"/>
      <c r="IWD8" s="36"/>
      <c r="IWE8" s="37"/>
      <c r="IWF8" s="36"/>
      <c r="IWG8" s="37"/>
      <c r="IWH8" s="36"/>
      <c r="IWI8" s="37"/>
      <c r="IWJ8" s="36"/>
      <c r="IWK8" s="37"/>
      <c r="IWL8" s="36"/>
      <c r="IWM8" s="37"/>
      <c r="IWN8" s="36"/>
      <c r="IWO8" s="37"/>
      <c r="IWP8" s="36"/>
      <c r="IWQ8" s="36"/>
      <c r="IWR8" s="37"/>
      <c r="IWS8" s="37"/>
      <c r="IWU8" s="22"/>
      <c r="IWV8" s="35"/>
      <c r="IWW8" s="36"/>
      <c r="IWX8" s="37"/>
      <c r="IWY8" s="36"/>
      <c r="IWZ8" s="37"/>
      <c r="IXA8" s="36"/>
      <c r="IXB8" s="37"/>
      <c r="IXC8" s="36"/>
      <c r="IXD8" s="37"/>
      <c r="IXE8" s="36"/>
      <c r="IXF8" s="37"/>
      <c r="IXG8" s="36"/>
      <c r="IXH8" s="37"/>
      <c r="IXI8" s="36"/>
      <c r="IXJ8" s="37"/>
      <c r="IXK8" s="36"/>
      <c r="IXL8" s="37"/>
      <c r="IXM8" s="36"/>
      <c r="IXN8" s="37"/>
      <c r="IXO8" s="36"/>
      <c r="IXP8" s="36"/>
      <c r="IXQ8" s="37"/>
      <c r="IXR8" s="37"/>
      <c r="IXT8" s="22"/>
      <c r="IXU8" s="35"/>
      <c r="IXV8" s="36"/>
      <c r="IXW8" s="37"/>
      <c r="IXX8" s="36"/>
      <c r="IXY8" s="37"/>
      <c r="IXZ8" s="36"/>
      <c r="IYA8" s="37"/>
      <c r="IYB8" s="36"/>
      <c r="IYC8" s="37"/>
      <c r="IYD8" s="36"/>
      <c r="IYE8" s="37"/>
      <c r="IYF8" s="36"/>
      <c r="IYG8" s="37"/>
      <c r="IYH8" s="36"/>
      <c r="IYI8" s="37"/>
      <c r="IYJ8" s="36"/>
      <c r="IYK8" s="37"/>
      <c r="IYL8" s="36"/>
      <c r="IYM8" s="37"/>
      <c r="IYN8" s="36"/>
      <c r="IYO8" s="36"/>
      <c r="IYP8" s="37"/>
      <c r="IYQ8" s="37"/>
      <c r="IYS8" s="22"/>
      <c r="IYT8" s="35"/>
      <c r="IYU8" s="36"/>
      <c r="IYV8" s="37"/>
      <c r="IYW8" s="36"/>
      <c r="IYX8" s="37"/>
      <c r="IYY8" s="36"/>
      <c r="IYZ8" s="37"/>
      <c r="IZA8" s="36"/>
      <c r="IZB8" s="37"/>
      <c r="IZC8" s="36"/>
      <c r="IZD8" s="37"/>
      <c r="IZE8" s="36"/>
      <c r="IZF8" s="37"/>
      <c r="IZG8" s="36"/>
      <c r="IZH8" s="37"/>
      <c r="IZI8" s="36"/>
      <c r="IZJ8" s="37"/>
      <c r="IZK8" s="36"/>
      <c r="IZL8" s="37"/>
      <c r="IZM8" s="36"/>
      <c r="IZN8" s="36"/>
      <c r="IZO8" s="37"/>
      <c r="IZP8" s="37"/>
      <c r="IZR8" s="22"/>
      <c r="IZS8" s="35"/>
      <c r="IZT8" s="36"/>
      <c r="IZU8" s="37"/>
      <c r="IZV8" s="36"/>
      <c r="IZW8" s="37"/>
      <c r="IZX8" s="36"/>
      <c r="IZY8" s="37"/>
      <c r="IZZ8" s="36"/>
      <c r="JAA8" s="37"/>
      <c r="JAB8" s="36"/>
      <c r="JAC8" s="37"/>
      <c r="JAD8" s="36"/>
      <c r="JAE8" s="37"/>
      <c r="JAF8" s="36"/>
      <c r="JAG8" s="37"/>
      <c r="JAH8" s="36"/>
      <c r="JAI8" s="37"/>
      <c r="JAJ8" s="36"/>
      <c r="JAK8" s="37"/>
      <c r="JAL8" s="36"/>
      <c r="JAM8" s="36"/>
      <c r="JAN8" s="37"/>
      <c r="JAO8" s="37"/>
      <c r="JAQ8" s="22"/>
      <c r="JAR8" s="35"/>
      <c r="JAS8" s="36"/>
      <c r="JAT8" s="37"/>
      <c r="JAU8" s="36"/>
      <c r="JAV8" s="37"/>
      <c r="JAW8" s="36"/>
      <c r="JAX8" s="37"/>
      <c r="JAY8" s="36"/>
      <c r="JAZ8" s="37"/>
      <c r="JBA8" s="36"/>
      <c r="JBB8" s="37"/>
      <c r="JBC8" s="36"/>
      <c r="JBD8" s="37"/>
      <c r="JBE8" s="36"/>
      <c r="JBF8" s="37"/>
      <c r="JBG8" s="36"/>
      <c r="JBH8" s="37"/>
      <c r="JBI8" s="36"/>
      <c r="JBJ8" s="37"/>
      <c r="JBK8" s="36"/>
      <c r="JBL8" s="36"/>
      <c r="JBM8" s="37"/>
      <c r="JBN8" s="37"/>
      <c r="JBP8" s="22"/>
      <c r="JBQ8" s="35"/>
      <c r="JBR8" s="36"/>
      <c r="JBS8" s="37"/>
      <c r="JBT8" s="36"/>
      <c r="JBU8" s="37"/>
      <c r="JBV8" s="36"/>
      <c r="JBW8" s="37"/>
      <c r="JBX8" s="36"/>
      <c r="JBY8" s="37"/>
      <c r="JBZ8" s="36"/>
      <c r="JCA8" s="37"/>
      <c r="JCB8" s="36"/>
      <c r="JCC8" s="37"/>
      <c r="JCD8" s="36"/>
      <c r="JCE8" s="37"/>
      <c r="JCF8" s="36"/>
      <c r="JCG8" s="37"/>
      <c r="JCH8" s="36"/>
      <c r="JCI8" s="37"/>
      <c r="JCJ8" s="36"/>
      <c r="JCK8" s="36"/>
      <c r="JCL8" s="37"/>
      <c r="JCM8" s="37"/>
      <c r="JCO8" s="22"/>
      <c r="JCP8" s="35"/>
      <c r="JCQ8" s="36"/>
      <c r="JCR8" s="37"/>
      <c r="JCS8" s="36"/>
      <c r="JCT8" s="37"/>
      <c r="JCU8" s="36"/>
      <c r="JCV8" s="37"/>
      <c r="JCW8" s="36"/>
      <c r="JCX8" s="37"/>
      <c r="JCY8" s="36"/>
      <c r="JCZ8" s="37"/>
      <c r="JDA8" s="36"/>
      <c r="JDB8" s="37"/>
      <c r="JDC8" s="36"/>
      <c r="JDD8" s="37"/>
      <c r="JDE8" s="36"/>
      <c r="JDF8" s="37"/>
      <c r="JDG8" s="36"/>
      <c r="JDH8" s="37"/>
      <c r="JDI8" s="36"/>
      <c r="JDJ8" s="36"/>
      <c r="JDK8" s="37"/>
      <c r="JDL8" s="37"/>
      <c r="JDN8" s="22"/>
      <c r="JDO8" s="35"/>
      <c r="JDP8" s="36"/>
      <c r="JDQ8" s="37"/>
      <c r="JDR8" s="36"/>
      <c r="JDS8" s="37"/>
      <c r="JDT8" s="36"/>
      <c r="JDU8" s="37"/>
      <c r="JDV8" s="36"/>
      <c r="JDW8" s="37"/>
      <c r="JDX8" s="36"/>
      <c r="JDY8" s="37"/>
      <c r="JDZ8" s="36"/>
      <c r="JEA8" s="37"/>
      <c r="JEB8" s="36"/>
      <c r="JEC8" s="37"/>
      <c r="JED8" s="36"/>
      <c r="JEE8" s="37"/>
      <c r="JEF8" s="36"/>
      <c r="JEG8" s="37"/>
      <c r="JEH8" s="36"/>
      <c r="JEI8" s="36"/>
      <c r="JEJ8" s="37"/>
      <c r="JEK8" s="37"/>
      <c r="JEM8" s="22"/>
      <c r="JEN8" s="35"/>
      <c r="JEO8" s="36"/>
      <c r="JEP8" s="37"/>
      <c r="JEQ8" s="36"/>
      <c r="JER8" s="37"/>
      <c r="JES8" s="36"/>
      <c r="JET8" s="37"/>
      <c r="JEU8" s="36"/>
      <c r="JEV8" s="37"/>
      <c r="JEW8" s="36"/>
      <c r="JEX8" s="37"/>
      <c r="JEY8" s="36"/>
      <c r="JEZ8" s="37"/>
      <c r="JFA8" s="36"/>
      <c r="JFB8" s="37"/>
      <c r="JFC8" s="36"/>
      <c r="JFD8" s="37"/>
      <c r="JFE8" s="36"/>
      <c r="JFF8" s="37"/>
      <c r="JFG8" s="36"/>
      <c r="JFH8" s="36"/>
      <c r="JFI8" s="37"/>
      <c r="JFJ8" s="37"/>
      <c r="JFL8" s="22"/>
      <c r="JFM8" s="35"/>
      <c r="JFN8" s="36"/>
      <c r="JFO8" s="37"/>
      <c r="JFP8" s="36"/>
      <c r="JFQ8" s="37"/>
      <c r="JFR8" s="36"/>
      <c r="JFS8" s="37"/>
      <c r="JFT8" s="36"/>
      <c r="JFU8" s="37"/>
      <c r="JFV8" s="36"/>
      <c r="JFW8" s="37"/>
      <c r="JFX8" s="36"/>
      <c r="JFY8" s="37"/>
      <c r="JFZ8" s="36"/>
      <c r="JGA8" s="37"/>
      <c r="JGB8" s="36"/>
      <c r="JGC8" s="37"/>
      <c r="JGD8" s="36"/>
      <c r="JGE8" s="37"/>
      <c r="JGF8" s="36"/>
      <c r="JGG8" s="36"/>
      <c r="JGH8" s="37"/>
      <c r="JGI8" s="37"/>
      <c r="JGK8" s="22"/>
      <c r="JGL8" s="35"/>
      <c r="JGM8" s="36"/>
      <c r="JGN8" s="37"/>
      <c r="JGO8" s="36"/>
      <c r="JGP8" s="37"/>
      <c r="JGQ8" s="36"/>
      <c r="JGR8" s="37"/>
      <c r="JGS8" s="36"/>
      <c r="JGT8" s="37"/>
      <c r="JGU8" s="36"/>
      <c r="JGV8" s="37"/>
      <c r="JGW8" s="36"/>
      <c r="JGX8" s="37"/>
      <c r="JGY8" s="36"/>
      <c r="JGZ8" s="37"/>
      <c r="JHA8" s="36"/>
      <c r="JHB8" s="37"/>
      <c r="JHC8" s="36"/>
      <c r="JHD8" s="37"/>
      <c r="JHE8" s="36"/>
      <c r="JHF8" s="36"/>
      <c r="JHG8" s="37"/>
      <c r="JHH8" s="37"/>
      <c r="JHJ8" s="22"/>
      <c r="JHK8" s="35"/>
      <c r="JHL8" s="36"/>
      <c r="JHM8" s="37"/>
      <c r="JHN8" s="36"/>
      <c r="JHO8" s="37"/>
      <c r="JHP8" s="36"/>
      <c r="JHQ8" s="37"/>
      <c r="JHR8" s="36"/>
      <c r="JHS8" s="37"/>
      <c r="JHT8" s="36"/>
      <c r="JHU8" s="37"/>
      <c r="JHV8" s="36"/>
      <c r="JHW8" s="37"/>
      <c r="JHX8" s="36"/>
      <c r="JHY8" s="37"/>
      <c r="JHZ8" s="36"/>
      <c r="JIA8" s="37"/>
      <c r="JIB8" s="36"/>
      <c r="JIC8" s="37"/>
      <c r="JID8" s="36"/>
      <c r="JIE8" s="36"/>
      <c r="JIF8" s="37"/>
      <c r="JIG8" s="37"/>
      <c r="JII8" s="22"/>
      <c r="JIJ8" s="35"/>
      <c r="JIK8" s="36"/>
      <c r="JIL8" s="37"/>
      <c r="JIM8" s="36"/>
      <c r="JIN8" s="37"/>
      <c r="JIO8" s="36"/>
      <c r="JIP8" s="37"/>
      <c r="JIQ8" s="36"/>
      <c r="JIR8" s="37"/>
      <c r="JIS8" s="36"/>
      <c r="JIT8" s="37"/>
      <c r="JIU8" s="36"/>
      <c r="JIV8" s="37"/>
      <c r="JIW8" s="36"/>
      <c r="JIX8" s="37"/>
      <c r="JIY8" s="36"/>
      <c r="JIZ8" s="37"/>
      <c r="JJA8" s="36"/>
      <c r="JJB8" s="37"/>
      <c r="JJC8" s="36"/>
      <c r="JJD8" s="36"/>
      <c r="JJE8" s="37"/>
      <c r="JJF8" s="37"/>
      <c r="JJH8" s="22"/>
      <c r="JJI8" s="35"/>
      <c r="JJJ8" s="36"/>
      <c r="JJK8" s="37"/>
      <c r="JJL8" s="36"/>
      <c r="JJM8" s="37"/>
      <c r="JJN8" s="36"/>
      <c r="JJO8" s="37"/>
      <c r="JJP8" s="36"/>
      <c r="JJQ8" s="37"/>
      <c r="JJR8" s="36"/>
      <c r="JJS8" s="37"/>
      <c r="JJT8" s="36"/>
      <c r="JJU8" s="37"/>
      <c r="JJV8" s="36"/>
      <c r="JJW8" s="37"/>
      <c r="JJX8" s="36"/>
      <c r="JJY8" s="37"/>
      <c r="JJZ8" s="36"/>
      <c r="JKA8" s="37"/>
      <c r="JKB8" s="36"/>
      <c r="JKC8" s="36"/>
      <c r="JKD8" s="37"/>
      <c r="JKE8" s="37"/>
      <c r="JKG8" s="22"/>
      <c r="JKH8" s="35"/>
      <c r="JKI8" s="36"/>
      <c r="JKJ8" s="37"/>
      <c r="JKK8" s="36"/>
      <c r="JKL8" s="37"/>
      <c r="JKM8" s="36"/>
      <c r="JKN8" s="37"/>
      <c r="JKO8" s="36"/>
      <c r="JKP8" s="37"/>
      <c r="JKQ8" s="36"/>
      <c r="JKR8" s="37"/>
      <c r="JKS8" s="36"/>
      <c r="JKT8" s="37"/>
      <c r="JKU8" s="36"/>
      <c r="JKV8" s="37"/>
      <c r="JKW8" s="36"/>
      <c r="JKX8" s="37"/>
      <c r="JKY8" s="36"/>
      <c r="JKZ8" s="37"/>
      <c r="JLA8" s="36"/>
      <c r="JLB8" s="36"/>
      <c r="JLC8" s="37"/>
      <c r="JLD8" s="37"/>
      <c r="JLF8" s="22"/>
      <c r="JLG8" s="35"/>
      <c r="JLH8" s="36"/>
      <c r="JLI8" s="37"/>
      <c r="JLJ8" s="36"/>
      <c r="JLK8" s="37"/>
      <c r="JLL8" s="36"/>
      <c r="JLM8" s="37"/>
      <c r="JLN8" s="36"/>
      <c r="JLO8" s="37"/>
      <c r="JLP8" s="36"/>
      <c r="JLQ8" s="37"/>
      <c r="JLR8" s="36"/>
      <c r="JLS8" s="37"/>
      <c r="JLT8" s="36"/>
      <c r="JLU8" s="37"/>
      <c r="JLV8" s="36"/>
      <c r="JLW8" s="37"/>
      <c r="JLX8" s="36"/>
      <c r="JLY8" s="37"/>
      <c r="JLZ8" s="36"/>
      <c r="JMA8" s="36"/>
      <c r="JMB8" s="37"/>
      <c r="JMC8" s="37"/>
      <c r="JME8" s="22"/>
      <c r="JMF8" s="35"/>
      <c r="JMG8" s="36"/>
      <c r="JMH8" s="37"/>
      <c r="JMI8" s="36"/>
      <c r="JMJ8" s="37"/>
      <c r="JMK8" s="36"/>
      <c r="JML8" s="37"/>
      <c r="JMM8" s="36"/>
      <c r="JMN8" s="37"/>
      <c r="JMO8" s="36"/>
      <c r="JMP8" s="37"/>
      <c r="JMQ8" s="36"/>
      <c r="JMR8" s="37"/>
      <c r="JMS8" s="36"/>
      <c r="JMT8" s="37"/>
      <c r="JMU8" s="36"/>
      <c r="JMV8" s="37"/>
      <c r="JMW8" s="36"/>
      <c r="JMX8" s="37"/>
      <c r="JMY8" s="36"/>
      <c r="JMZ8" s="36"/>
      <c r="JNA8" s="37"/>
      <c r="JNB8" s="37"/>
      <c r="JND8" s="22"/>
      <c r="JNE8" s="35"/>
      <c r="JNF8" s="36"/>
      <c r="JNG8" s="37"/>
      <c r="JNH8" s="36"/>
      <c r="JNI8" s="37"/>
      <c r="JNJ8" s="36"/>
      <c r="JNK8" s="37"/>
      <c r="JNL8" s="36"/>
      <c r="JNM8" s="37"/>
      <c r="JNN8" s="36"/>
      <c r="JNO8" s="37"/>
      <c r="JNP8" s="36"/>
      <c r="JNQ8" s="37"/>
      <c r="JNR8" s="36"/>
      <c r="JNS8" s="37"/>
      <c r="JNT8" s="36"/>
      <c r="JNU8" s="37"/>
      <c r="JNV8" s="36"/>
      <c r="JNW8" s="37"/>
      <c r="JNX8" s="36"/>
      <c r="JNY8" s="36"/>
      <c r="JNZ8" s="37"/>
      <c r="JOA8" s="37"/>
      <c r="JOC8" s="22"/>
      <c r="JOD8" s="35"/>
      <c r="JOE8" s="36"/>
      <c r="JOF8" s="37"/>
      <c r="JOG8" s="36"/>
      <c r="JOH8" s="37"/>
      <c r="JOI8" s="36"/>
      <c r="JOJ8" s="37"/>
      <c r="JOK8" s="36"/>
      <c r="JOL8" s="37"/>
      <c r="JOM8" s="36"/>
      <c r="JON8" s="37"/>
      <c r="JOO8" s="36"/>
      <c r="JOP8" s="37"/>
      <c r="JOQ8" s="36"/>
      <c r="JOR8" s="37"/>
      <c r="JOS8" s="36"/>
      <c r="JOT8" s="37"/>
      <c r="JOU8" s="36"/>
      <c r="JOV8" s="37"/>
      <c r="JOW8" s="36"/>
      <c r="JOX8" s="36"/>
      <c r="JOY8" s="37"/>
      <c r="JOZ8" s="37"/>
      <c r="JPB8" s="22"/>
      <c r="JPC8" s="35"/>
      <c r="JPD8" s="36"/>
      <c r="JPE8" s="37"/>
      <c r="JPF8" s="36"/>
      <c r="JPG8" s="37"/>
      <c r="JPH8" s="36"/>
      <c r="JPI8" s="37"/>
      <c r="JPJ8" s="36"/>
      <c r="JPK8" s="37"/>
      <c r="JPL8" s="36"/>
      <c r="JPM8" s="37"/>
      <c r="JPN8" s="36"/>
      <c r="JPO8" s="37"/>
      <c r="JPP8" s="36"/>
      <c r="JPQ8" s="37"/>
      <c r="JPR8" s="36"/>
      <c r="JPS8" s="37"/>
      <c r="JPT8" s="36"/>
      <c r="JPU8" s="37"/>
      <c r="JPV8" s="36"/>
      <c r="JPW8" s="36"/>
      <c r="JPX8" s="37"/>
      <c r="JPY8" s="37"/>
      <c r="JQA8" s="22"/>
      <c r="JQB8" s="35"/>
      <c r="JQC8" s="36"/>
      <c r="JQD8" s="37"/>
      <c r="JQE8" s="36"/>
      <c r="JQF8" s="37"/>
      <c r="JQG8" s="36"/>
      <c r="JQH8" s="37"/>
      <c r="JQI8" s="36"/>
      <c r="JQJ8" s="37"/>
      <c r="JQK8" s="36"/>
      <c r="JQL8" s="37"/>
      <c r="JQM8" s="36"/>
      <c r="JQN8" s="37"/>
      <c r="JQO8" s="36"/>
      <c r="JQP8" s="37"/>
      <c r="JQQ8" s="36"/>
      <c r="JQR8" s="37"/>
      <c r="JQS8" s="36"/>
      <c r="JQT8" s="37"/>
      <c r="JQU8" s="36"/>
      <c r="JQV8" s="36"/>
      <c r="JQW8" s="37"/>
      <c r="JQX8" s="37"/>
      <c r="JQZ8" s="22"/>
      <c r="JRA8" s="35"/>
      <c r="JRB8" s="36"/>
      <c r="JRC8" s="37"/>
      <c r="JRD8" s="36"/>
      <c r="JRE8" s="37"/>
      <c r="JRF8" s="36"/>
      <c r="JRG8" s="37"/>
      <c r="JRH8" s="36"/>
      <c r="JRI8" s="37"/>
      <c r="JRJ8" s="36"/>
      <c r="JRK8" s="37"/>
      <c r="JRL8" s="36"/>
      <c r="JRM8" s="37"/>
      <c r="JRN8" s="36"/>
      <c r="JRO8" s="37"/>
      <c r="JRP8" s="36"/>
      <c r="JRQ8" s="37"/>
      <c r="JRR8" s="36"/>
      <c r="JRS8" s="37"/>
      <c r="JRT8" s="36"/>
      <c r="JRU8" s="36"/>
      <c r="JRV8" s="37"/>
      <c r="JRW8" s="37"/>
      <c r="JRY8" s="22"/>
      <c r="JRZ8" s="35"/>
      <c r="JSA8" s="36"/>
      <c r="JSB8" s="37"/>
      <c r="JSC8" s="36"/>
      <c r="JSD8" s="37"/>
      <c r="JSE8" s="36"/>
      <c r="JSF8" s="37"/>
      <c r="JSG8" s="36"/>
      <c r="JSH8" s="37"/>
      <c r="JSI8" s="36"/>
      <c r="JSJ8" s="37"/>
      <c r="JSK8" s="36"/>
      <c r="JSL8" s="37"/>
      <c r="JSM8" s="36"/>
      <c r="JSN8" s="37"/>
      <c r="JSO8" s="36"/>
      <c r="JSP8" s="37"/>
      <c r="JSQ8" s="36"/>
      <c r="JSR8" s="37"/>
      <c r="JSS8" s="36"/>
      <c r="JST8" s="36"/>
      <c r="JSU8" s="37"/>
      <c r="JSV8" s="37"/>
      <c r="JSX8" s="22"/>
      <c r="JSY8" s="35"/>
      <c r="JSZ8" s="36"/>
      <c r="JTA8" s="37"/>
      <c r="JTB8" s="36"/>
      <c r="JTC8" s="37"/>
      <c r="JTD8" s="36"/>
      <c r="JTE8" s="37"/>
      <c r="JTF8" s="36"/>
      <c r="JTG8" s="37"/>
      <c r="JTH8" s="36"/>
      <c r="JTI8" s="37"/>
      <c r="JTJ8" s="36"/>
      <c r="JTK8" s="37"/>
      <c r="JTL8" s="36"/>
      <c r="JTM8" s="37"/>
      <c r="JTN8" s="36"/>
      <c r="JTO8" s="37"/>
      <c r="JTP8" s="36"/>
      <c r="JTQ8" s="37"/>
      <c r="JTR8" s="36"/>
      <c r="JTS8" s="36"/>
      <c r="JTT8" s="37"/>
      <c r="JTU8" s="37"/>
      <c r="JTW8" s="22"/>
      <c r="JTX8" s="35"/>
      <c r="JTY8" s="36"/>
      <c r="JTZ8" s="37"/>
      <c r="JUA8" s="36"/>
      <c r="JUB8" s="37"/>
      <c r="JUC8" s="36"/>
      <c r="JUD8" s="37"/>
      <c r="JUE8" s="36"/>
      <c r="JUF8" s="37"/>
      <c r="JUG8" s="36"/>
      <c r="JUH8" s="37"/>
      <c r="JUI8" s="36"/>
      <c r="JUJ8" s="37"/>
      <c r="JUK8" s="36"/>
      <c r="JUL8" s="37"/>
      <c r="JUM8" s="36"/>
      <c r="JUN8" s="37"/>
      <c r="JUO8" s="36"/>
      <c r="JUP8" s="37"/>
      <c r="JUQ8" s="36"/>
      <c r="JUR8" s="36"/>
      <c r="JUS8" s="37"/>
      <c r="JUT8" s="37"/>
      <c r="JUV8" s="22"/>
      <c r="JUW8" s="35"/>
      <c r="JUX8" s="36"/>
      <c r="JUY8" s="37"/>
      <c r="JUZ8" s="36"/>
      <c r="JVA8" s="37"/>
      <c r="JVB8" s="36"/>
      <c r="JVC8" s="37"/>
      <c r="JVD8" s="36"/>
      <c r="JVE8" s="37"/>
      <c r="JVF8" s="36"/>
      <c r="JVG8" s="37"/>
      <c r="JVH8" s="36"/>
      <c r="JVI8" s="37"/>
      <c r="JVJ8" s="36"/>
      <c r="JVK8" s="37"/>
      <c r="JVL8" s="36"/>
      <c r="JVM8" s="37"/>
      <c r="JVN8" s="36"/>
      <c r="JVO8" s="37"/>
      <c r="JVP8" s="36"/>
      <c r="JVQ8" s="36"/>
      <c r="JVR8" s="37"/>
      <c r="JVS8" s="37"/>
      <c r="JVU8" s="22"/>
      <c r="JVV8" s="35"/>
      <c r="JVW8" s="36"/>
      <c r="JVX8" s="37"/>
      <c r="JVY8" s="36"/>
      <c r="JVZ8" s="37"/>
      <c r="JWA8" s="36"/>
      <c r="JWB8" s="37"/>
      <c r="JWC8" s="36"/>
      <c r="JWD8" s="37"/>
      <c r="JWE8" s="36"/>
      <c r="JWF8" s="37"/>
      <c r="JWG8" s="36"/>
      <c r="JWH8" s="37"/>
      <c r="JWI8" s="36"/>
      <c r="JWJ8" s="37"/>
      <c r="JWK8" s="36"/>
      <c r="JWL8" s="37"/>
      <c r="JWM8" s="36"/>
      <c r="JWN8" s="37"/>
      <c r="JWO8" s="36"/>
      <c r="JWP8" s="36"/>
      <c r="JWQ8" s="37"/>
      <c r="JWR8" s="37"/>
      <c r="JWT8" s="22"/>
      <c r="JWU8" s="35"/>
      <c r="JWV8" s="36"/>
      <c r="JWW8" s="37"/>
      <c r="JWX8" s="36"/>
      <c r="JWY8" s="37"/>
      <c r="JWZ8" s="36"/>
      <c r="JXA8" s="37"/>
      <c r="JXB8" s="36"/>
      <c r="JXC8" s="37"/>
      <c r="JXD8" s="36"/>
      <c r="JXE8" s="37"/>
      <c r="JXF8" s="36"/>
      <c r="JXG8" s="37"/>
      <c r="JXH8" s="36"/>
      <c r="JXI8" s="37"/>
      <c r="JXJ8" s="36"/>
      <c r="JXK8" s="37"/>
      <c r="JXL8" s="36"/>
      <c r="JXM8" s="37"/>
      <c r="JXN8" s="36"/>
      <c r="JXO8" s="36"/>
      <c r="JXP8" s="37"/>
      <c r="JXQ8" s="37"/>
      <c r="JXS8" s="22"/>
      <c r="JXT8" s="35"/>
      <c r="JXU8" s="36"/>
      <c r="JXV8" s="37"/>
      <c r="JXW8" s="36"/>
      <c r="JXX8" s="37"/>
      <c r="JXY8" s="36"/>
      <c r="JXZ8" s="37"/>
      <c r="JYA8" s="36"/>
      <c r="JYB8" s="37"/>
      <c r="JYC8" s="36"/>
      <c r="JYD8" s="37"/>
      <c r="JYE8" s="36"/>
      <c r="JYF8" s="37"/>
      <c r="JYG8" s="36"/>
      <c r="JYH8" s="37"/>
      <c r="JYI8" s="36"/>
      <c r="JYJ8" s="37"/>
      <c r="JYK8" s="36"/>
      <c r="JYL8" s="37"/>
      <c r="JYM8" s="36"/>
      <c r="JYN8" s="36"/>
      <c r="JYO8" s="37"/>
      <c r="JYP8" s="37"/>
      <c r="JYR8" s="22"/>
      <c r="JYS8" s="35"/>
      <c r="JYT8" s="36"/>
      <c r="JYU8" s="37"/>
      <c r="JYV8" s="36"/>
      <c r="JYW8" s="37"/>
      <c r="JYX8" s="36"/>
      <c r="JYY8" s="37"/>
      <c r="JYZ8" s="36"/>
      <c r="JZA8" s="37"/>
      <c r="JZB8" s="36"/>
      <c r="JZC8" s="37"/>
      <c r="JZD8" s="36"/>
      <c r="JZE8" s="37"/>
      <c r="JZF8" s="36"/>
      <c r="JZG8" s="37"/>
      <c r="JZH8" s="36"/>
      <c r="JZI8" s="37"/>
      <c r="JZJ8" s="36"/>
      <c r="JZK8" s="37"/>
      <c r="JZL8" s="36"/>
      <c r="JZM8" s="36"/>
      <c r="JZN8" s="37"/>
      <c r="JZO8" s="37"/>
      <c r="JZQ8" s="22"/>
      <c r="JZR8" s="35"/>
      <c r="JZS8" s="36"/>
      <c r="JZT8" s="37"/>
      <c r="JZU8" s="36"/>
      <c r="JZV8" s="37"/>
      <c r="JZW8" s="36"/>
      <c r="JZX8" s="37"/>
      <c r="JZY8" s="36"/>
      <c r="JZZ8" s="37"/>
      <c r="KAA8" s="36"/>
      <c r="KAB8" s="37"/>
      <c r="KAC8" s="36"/>
      <c r="KAD8" s="37"/>
      <c r="KAE8" s="36"/>
      <c r="KAF8" s="37"/>
      <c r="KAG8" s="36"/>
      <c r="KAH8" s="37"/>
      <c r="KAI8" s="36"/>
      <c r="KAJ8" s="37"/>
      <c r="KAK8" s="36"/>
      <c r="KAL8" s="36"/>
      <c r="KAM8" s="37"/>
      <c r="KAN8" s="37"/>
      <c r="KAP8" s="22"/>
      <c r="KAQ8" s="35"/>
      <c r="KAR8" s="36"/>
      <c r="KAS8" s="37"/>
      <c r="KAT8" s="36"/>
      <c r="KAU8" s="37"/>
      <c r="KAV8" s="36"/>
      <c r="KAW8" s="37"/>
      <c r="KAX8" s="36"/>
      <c r="KAY8" s="37"/>
      <c r="KAZ8" s="36"/>
      <c r="KBA8" s="37"/>
      <c r="KBB8" s="36"/>
      <c r="KBC8" s="37"/>
      <c r="KBD8" s="36"/>
      <c r="KBE8" s="37"/>
      <c r="KBF8" s="36"/>
      <c r="KBG8" s="37"/>
      <c r="KBH8" s="36"/>
      <c r="KBI8" s="37"/>
      <c r="KBJ8" s="36"/>
      <c r="KBK8" s="36"/>
      <c r="KBL8" s="37"/>
      <c r="KBM8" s="37"/>
      <c r="KBO8" s="22"/>
      <c r="KBP8" s="35"/>
      <c r="KBQ8" s="36"/>
      <c r="KBR8" s="37"/>
      <c r="KBS8" s="36"/>
      <c r="KBT8" s="37"/>
      <c r="KBU8" s="36"/>
      <c r="KBV8" s="37"/>
      <c r="KBW8" s="36"/>
      <c r="KBX8" s="37"/>
      <c r="KBY8" s="36"/>
      <c r="KBZ8" s="37"/>
      <c r="KCA8" s="36"/>
      <c r="KCB8" s="37"/>
      <c r="KCC8" s="36"/>
      <c r="KCD8" s="37"/>
      <c r="KCE8" s="36"/>
      <c r="KCF8" s="37"/>
      <c r="KCG8" s="36"/>
      <c r="KCH8" s="37"/>
      <c r="KCI8" s="36"/>
      <c r="KCJ8" s="36"/>
      <c r="KCK8" s="37"/>
      <c r="KCL8" s="37"/>
      <c r="KCN8" s="22"/>
      <c r="KCO8" s="35"/>
      <c r="KCP8" s="36"/>
      <c r="KCQ8" s="37"/>
      <c r="KCR8" s="36"/>
      <c r="KCS8" s="37"/>
      <c r="KCT8" s="36"/>
      <c r="KCU8" s="37"/>
      <c r="KCV8" s="36"/>
      <c r="KCW8" s="37"/>
      <c r="KCX8" s="36"/>
      <c r="KCY8" s="37"/>
      <c r="KCZ8" s="36"/>
      <c r="KDA8" s="37"/>
      <c r="KDB8" s="36"/>
      <c r="KDC8" s="37"/>
      <c r="KDD8" s="36"/>
      <c r="KDE8" s="37"/>
      <c r="KDF8" s="36"/>
      <c r="KDG8" s="37"/>
      <c r="KDH8" s="36"/>
      <c r="KDI8" s="36"/>
      <c r="KDJ8" s="37"/>
      <c r="KDK8" s="37"/>
      <c r="KDM8" s="22"/>
      <c r="KDN8" s="35"/>
      <c r="KDO8" s="36"/>
      <c r="KDP8" s="37"/>
      <c r="KDQ8" s="36"/>
      <c r="KDR8" s="37"/>
      <c r="KDS8" s="36"/>
      <c r="KDT8" s="37"/>
      <c r="KDU8" s="36"/>
      <c r="KDV8" s="37"/>
      <c r="KDW8" s="36"/>
      <c r="KDX8" s="37"/>
      <c r="KDY8" s="36"/>
      <c r="KDZ8" s="37"/>
      <c r="KEA8" s="36"/>
      <c r="KEB8" s="37"/>
      <c r="KEC8" s="36"/>
      <c r="KED8" s="37"/>
      <c r="KEE8" s="36"/>
      <c r="KEF8" s="37"/>
      <c r="KEG8" s="36"/>
      <c r="KEH8" s="36"/>
      <c r="KEI8" s="37"/>
      <c r="KEJ8" s="37"/>
      <c r="KEL8" s="22"/>
      <c r="KEM8" s="35"/>
      <c r="KEN8" s="36"/>
      <c r="KEO8" s="37"/>
      <c r="KEP8" s="36"/>
      <c r="KEQ8" s="37"/>
      <c r="KER8" s="36"/>
      <c r="KES8" s="37"/>
      <c r="KET8" s="36"/>
      <c r="KEU8" s="37"/>
      <c r="KEV8" s="36"/>
      <c r="KEW8" s="37"/>
      <c r="KEX8" s="36"/>
      <c r="KEY8" s="37"/>
      <c r="KEZ8" s="36"/>
      <c r="KFA8" s="37"/>
      <c r="KFB8" s="36"/>
      <c r="KFC8" s="37"/>
      <c r="KFD8" s="36"/>
      <c r="KFE8" s="37"/>
      <c r="KFF8" s="36"/>
      <c r="KFG8" s="36"/>
      <c r="KFH8" s="37"/>
      <c r="KFI8" s="37"/>
      <c r="KFK8" s="22"/>
      <c r="KFL8" s="35"/>
      <c r="KFM8" s="36"/>
      <c r="KFN8" s="37"/>
      <c r="KFO8" s="36"/>
      <c r="KFP8" s="37"/>
      <c r="KFQ8" s="36"/>
      <c r="KFR8" s="37"/>
      <c r="KFS8" s="36"/>
      <c r="KFT8" s="37"/>
      <c r="KFU8" s="36"/>
      <c r="KFV8" s="37"/>
      <c r="KFW8" s="36"/>
      <c r="KFX8" s="37"/>
      <c r="KFY8" s="36"/>
      <c r="KFZ8" s="37"/>
      <c r="KGA8" s="36"/>
      <c r="KGB8" s="37"/>
      <c r="KGC8" s="36"/>
      <c r="KGD8" s="37"/>
      <c r="KGE8" s="36"/>
      <c r="KGF8" s="36"/>
      <c r="KGG8" s="37"/>
      <c r="KGH8" s="37"/>
      <c r="KGJ8" s="22"/>
      <c r="KGK8" s="35"/>
      <c r="KGL8" s="36"/>
      <c r="KGM8" s="37"/>
      <c r="KGN8" s="36"/>
      <c r="KGO8" s="37"/>
      <c r="KGP8" s="36"/>
      <c r="KGQ8" s="37"/>
      <c r="KGR8" s="36"/>
      <c r="KGS8" s="37"/>
      <c r="KGT8" s="36"/>
      <c r="KGU8" s="37"/>
      <c r="KGV8" s="36"/>
      <c r="KGW8" s="37"/>
      <c r="KGX8" s="36"/>
      <c r="KGY8" s="37"/>
      <c r="KGZ8" s="36"/>
      <c r="KHA8" s="37"/>
      <c r="KHB8" s="36"/>
      <c r="KHC8" s="37"/>
      <c r="KHD8" s="36"/>
      <c r="KHE8" s="36"/>
      <c r="KHF8" s="37"/>
      <c r="KHG8" s="37"/>
      <c r="KHI8" s="22"/>
      <c r="KHJ8" s="35"/>
      <c r="KHK8" s="36"/>
      <c r="KHL8" s="37"/>
      <c r="KHM8" s="36"/>
      <c r="KHN8" s="37"/>
      <c r="KHO8" s="36"/>
      <c r="KHP8" s="37"/>
      <c r="KHQ8" s="36"/>
      <c r="KHR8" s="37"/>
      <c r="KHS8" s="36"/>
      <c r="KHT8" s="37"/>
      <c r="KHU8" s="36"/>
      <c r="KHV8" s="37"/>
      <c r="KHW8" s="36"/>
      <c r="KHX8" s="37"/>
      <c r="KHY8" s="36"/>
      <c r="KHZ8" s="37"/>
      <c r="KIA8" s="36"/>
      <c r="KIB8" s="37"/>
      <c r="KIC8" s="36"/>
      <c r="KID8" s="36"/>
      <c r="KIE8" s="37"/>
      <c r="KIF8" s="37"/>
      <c r="KIH8" s="22"/>
      <c r="KII8" s="35"/>
      <c r="KIJ8" s="36"/>
      <c r="KIK8" s="37"/>
      <c r="KIL8" s="36"/>
      <c r="KIM8" s="37"/>
      <c r="KIN8" s="36"/>
      <c r="KIO8" s="37"/>
      <c r="KIP8" s="36"/>
      <c r="KIQ8" s="37"/>
      <c r="KIR8" s="36"/>
      <c r="KIS8" s="37"/>
      <c r="KIT8" s="36"/>
      <c r="KIU8" s="37"/>
      <c r="KIV8" s="36"/>
      <c r="KIW8" s="37"/>
      <c r="KIX8" s="36"/>
      <c r="KIY8" s="37"/>
      <c r="KIZ8" s="36"/>
      <c r="KJA8" s="37"/>
      <c r="KJB8" s="36"/>
      <c r="KJC8" s="36"/>
      <c r="KJD8" s="37"/>
      <c r="KJE8" s="37"/>
      <c r="KJG8" s="22"/>
      <c r="KJH8" s="35"/>
      <c r="KJI8" s="36"/>
      <c r="KJJ8" s="37"/>
      <c r="KJK8" s="36"/>
      <c r="KJL8" s="37"/>
      <c r="KJM8" s="36"/>
      <c r="KJN8" s="37"/>
      <c r="KJO8" s="36"/>
      <c r="KJP8" s="37"/>
      <c r="KJQ8" s="36"/>
      <c r="KJR8" s="37"/>
      <c r="KJS8" s="36"/>
      <c r="KJT8" s="37"/>
      <c r="KJU8" s="36"/>
      <c r="KJV8" s="37"/>
      <c r="KJW8" s="36"/>
      <c r="KJX8" s="37"/>
      <c r="KJY8" s="36"/>
      <c r="KJZ8" s="37"/>
      <c r="KKA8" s="36"/>
      <c r="KKB8" s="36"/>
      <c r="KKC8" s="37"/>
      <c r="KKD8" s="37"/>
      <c r="KKF8" s="22"/>
      <c r="KKG8" s="35"/>
      <c r="KKH8" s="36"/>
      <c r="KKI8" s="37"/>
      <c r="KKJ8" s="36"/>
      <c r="KKK8" s="37"/>
      <c r="KKL8" s="36"/>
      <c r="KKM8" s="37"/>
      <c r="KKN8" s="36"/>
      <c r="KKO8" s="37"/>
      <c r="KKP8" s="36"/>
      <c r="KKQ8" s="37"/>
      <c r="KKR8" s="36"/>
      <c r="KKS8" s="37"/>
      <c r="KKT8" s="36"/>
      <c r="KKU8" s="37"/>
      <c r="KKV8" s="36"/>
      <c r="KKW8" s="37"/>
      <c r="KKX8" s="36"/>
      <c r="KKY8" s="37"/>
      <c r="KKZ8" s="36"/>
      <c r="KLA8" s="36"/>
      <c r="KLB8" s="37"/>
      <c r="KLC8" s="37"/>
      <c r="KLE8" s="22"/>
      <c r="KLF8" s="35"/>
      <c r="KLG8" s="36"/>
      <c r="KLH8" s="37"/>
      <c r="KLI8" s="36"/>
      <c r="KLJ8" s="37"/>
      <c r="KLK8" s="36"/>
      <c r="KLL8" s="37"/>
      <c r="KLM8" s="36"/>
      <c r="KLN8" s="37"/>
      <c r="KLO8" s="36"/>
      <c r="KLP8" s="37"/>
      <c r="KLQ8" s="36"/>
      <c r="KLR8" s="37"/>
      <c r="KLS8" s="36"/>
      <c r="KLT8" s="37"/>
      <c r="KLU8" s="36"/>
      <c r="KLV8" s="37"/>
      <c r="KLW8" s="36"/>
      <c r="KLX8" s="37"/>
      <c r="KLY8" s="36"/>
      <c r="KLZ8" s="36"/>
      <c r="KMA8" s="37"/>
      <c r="KMB8" s="37"/>
      <c r="KMD8" s="22"/>
      <c r="KME8" s="35"/>
      <c r="KMF8" s="36"/>
      <c r="KMG8" s="37"/>
      <c r="KMH8" s="36"/>
      <c r="KMI8" s="37"/>
      <c r="KMJ8" s="36"/>
      <c r="KMK8" s="37"/>
      <c r="KML8" s="36"/>
      <c r="KMM8" s="37"/>
      <c r="KMN8" s="36"/>
      <c r="KMO8" s="37"/>
      <c r="KMP8" s="36"/>
      <c r="KMQ8" s="37"/>
      <c r="KMR8" s="36"/>
      <c r="KMS8" s="37"/>
      <c r="KMT8" s="36"/>
      <c r="KMU8" s="37"/>
      <c r="KMV8" s="36"/>
      <c r="KMW8" s="37"/>
      <c r="KMX8" s="36"/>
      <c r="KMY8" s="36"/>
      <c r="KMZ8" s="37"/>
      <c r="KNA8" s="37"/>
      <c r="KNC8" s="22"/>
      <c r="KND8" s="35"/>
      <c r="KNE8" s="36"/>
      <c r="KNF8" s="37"/>
      <c r="KNG8" s="36"/>
      <c r="KNH8" s="37"/>
      <c r="KNI8" s="36"/>
      <c r="KNJ8" s="37"/>
      <c r="KNK8" s="36"/>
      <c r="KNL8" s="37"/>
      <c r="KNM8" s="36"/>
      <c r="KNN8" s="37"/>
      <c r="KNO8" s="36"/>
      <c r="KNP8" s="37"/>
      <c r="KNQ8" s="36"/>
      <c r="KNR8" s="37"/>
      <c r="KNS8" s="36"/>
      <c r="KNT8" s="37"/>
      <c r="KNU8" s="36"/>
      <c r="KNV8" s="37"/>
      <c r="KNW8" s="36"/>
      <c r="KNX8" s="36"/>
      <c r="KNY8" s="37"/>
      <c r="KNZ8" s="37"/>
      <c r="KOB8" s="22"/>
      <c r="KOC8" s="35"/>
      <c r="KOD8" s="36"/>
      <c r="KOE8" s="37"/>
      <c r="KOF8" s="36"/>
      <c r="KOG8" s="37"/>
      <c r="KOH8" s="36"/>
      <c r="KOI8" s="37"/>
      <c r="KOJ8" s="36"/>
      <c r="KOK8" s="37"/>
      <c r="KOL8" s="36"/>
      <c r="KOM8" s="37"/>
      <c r="KON8" s="36"/>
      <c r="KOO8" s="37"/>
      <c r="KOP8" s="36"/>
      <c r="KOQ8" s="37"/>
      <c r="KOR8" s="36"/>
      <c r="KOS8" s="37"/>
      <c r="KOT8" s="36"/>
      <c r="KOU8" s="37"/>
      <c r="KOV8" s="36"/>
      <c r="KOW8" s="36"/>
      <c r="KOX8" s="37"/>
      <c r="KOY8" s="37"/>
      <c r="KPA8" s="22"/>
      <c r="KPB8" s="35"/>
      <c r="KPC8" s="36"/>
      <c r="KPD8" s="37"/>
      <c r="KPE8" s="36"/>
      <c r="KPF8" s="37"/>
      <c r="KPG8" s="36"/>
      <c r="KPH8" s="37"/>
      <c r="KPI8" s="36"/>
      <c r="KPJ8" s="37"/>
      <c r="KPK8" s="36"/>
      <c r="KPL8" s="37"/>
      <c r="KPM8" s="36"/>
      <c r="KPN8" s="37"/>
      <c r="KPO8" s="36"/>
      <c r="KPP8" s="37"/>
      <c r="KPQ8" s="36"/>
      <c r="KPR8" s="37"/>
      <c r="KPS8" s="36"/>
      <c r="KPT8" s="37"/>
      <c r="KPU8" s="36"/>
      <c r="KPV8" s="36"/>
      <c r="KPW8" s="37"/>
      <c r="KPX8" s="37"/>
      <c r="KPZ8" s="22"/>
      <c r="KQA8" s="35"/>
      <c r="KQB8" s="36"/>
      <c r="KQC8" s="37"/>
      <c r="KQD8" s="36"/>
      <c r="KQE8" s="37"/>
      <c r="KQF8" s="36"/>
      <c r="KQG8" s="37"/>
      <c r="KQH8" s="36"/>
      <c r="KQI8" s="37"/>
      <c r="KQJ8" s="36"/>
      <c r="KQK8" s="37"/>
      <c r="KQL8" s="36"/>
      <c r="KQM8" s="37"/>
      <c r="KQN8" s="36"/>
      <c r="KQO8" s="37"/>
      <c r="KQP8" s="36"/>
      <c r="KQQ8" s="37"/>
      <c r="KQR8" s="36"/>
      <c r="KQS8" s="37"/>
      <c r="KQT8" s="36"/>
      <c r="KQU8" s="36"/>
      <c r="KQV8" s="37"/>
      <c r="KQW8" s="37"/>
      <c r="KQY8" s="22"/>
      <c r="KQZ8" s="35"/>
      <c r="KRA8" s="36"/>
      <c r="KRB8" s="37"/>
      <c r="KRC8" s="36"/>
      <c r="KRD8" s="37"/>
      <c r="KRE8" s="36"/>
      <c r="KRF8" s="37"/>
      <c r="KRG8" s="36"/>
      <c r="KRH8" s="37"/>
      <c r="KRI8" s="36"/>
      <c r="KRJ8" s="37"/>
      <c r="KRK8" s="36"/>
      <c r="KRL8" s="37"/>
      <c r="KRM8" s="36"/>
      <c r="KRN8" s="37"/>
      <c r="KRO8" s="36"/>
      <c r="KRP8" s="37"/>
      <c r="KRQ8" s="36"/>
      <c r="KRR8" s="37"/>
      <c r="KRS8" s="36"/>
      <c r="KRT8" s="36"/>
      <c r="KRU8" s="37"/>
      <c r="KRV8" s="37"/>
      <c r="KRX8" s="22"/>
      <c r="KRY8" s="35"/>
      <c r="KRZ8" s="36"/>
      <c r="KSA8" s="37"/>
      <c r="KSB8" s="36"/>
      <c r="KSC8" s="37"/>
      <c r="KSD8" s="36"/>
      <c r="KSE8" s="37"/>
      <c r="KSF8" s="36"/>
      <c r="KSG8" s="37"/>
      <c r="KSH8" s="36"/>
      <c r="KSI8" s="37"/>
      <c r="KSJ8" s="36"/>
      <c r="KSK8" s="37"/>
      <c r="KSL8" s="36"/>
      <c r="KSM8" s="37"/>
      <c r="KSN8" s="36"/>
      <c r="KSO8" s="37"/>
      <c r="KSP8" s="36"/>
      <c r="KSQ8" s="37"/>
      <c r="KSR8" s="36"/>
      <c r="KSS8" s="36"/>
      <c r="KST8" s="37"/>
      <c r="KSU8" s="37"/>
      <c r="KSW8" s="22"/>
      <c r="KSX8" s="35"/>
      <c r="KSY8" s="36"/>
      <c r="KSZ8" s="37"/>
      <c r="KTA8" s="36"/>
      <c r="KTB8" s="37"/>
      <c r="KTC8" s="36"/>
      <c r="KTD8" s="37"/>
      <c r="KTE8" s="36"/>
      <c r="KTF8" s="37"/>
      <c r="KTG8" s="36"/>
      <c r="KTH8" s="37"/>
      <c r="KTI8" s="36"/>
      <c r="KTJ8" s="37"/>
      <c r="KTK8" s="36"/>
      <c r="KTL8" s="37"/>
      <c r="KTM8" s="36"/>
      <c r="KTN8" s="37"/>
      <c r="KTO8" s="36"/>
      <c r="KTP8" s="37"/>
      <c r="KTQ8" s="36"/>
      <c r="KTR8" s="36"/>
      <c r="KTS8" s="37"/>
      <c r="KTT8" s="37"/>
      <c r="KTV8" s="22"/>
      <c r="KTW8" s="35"/>
      <c r="KTX8" s="36"/>
      <c r="KTY8" s="37"/>
      <c r="KTZ8" s="36"/>
      <c r="KUA8" s="37"/>
      <c r="KUB8" s="36"/>
      <c r="KUC8" s="37"/>
      <c r="KUD8" s="36"/>
      <c r="KUE8" s="37"/>
      <c r="KUF8" s="36"/>
      <c r="KUG8" s="37"/>
      <c r="KUH8" s="36"/>
      <c r="KUI8" s="37"/>
      <c r="KUJ8" s="36"/>
      <c r="KUK8" s="37"/>
      <c r="KUL8" s="36"/>
      <c r="KUM8" s="37"/>
      <c r="KUN8" s="36"/>
      <c r="KUO8" s="37"/>
      <c r="KUP8" s="36"/>
      <c r="KUQ8" s="36"/>
      <c r="KUR8" s="37"/>
      <c r="KUS8" s="37"/>
      <c r="KUU8" s="22"/>
      <c r="KUV8" s="35"/>
      <c r="KUW8" s="36"/>
      <c r="KUX8" s="37"/>
      <c r="KUY8" s="36"/>
      <c r="KUZ8" s="37"/>
      <c r="KVA8" s="36"/>
      <c r="KVB8" s="37"/>
      <c r="KVC8" s="36"/>
      <c r="KVD8" s="37"/>
      <c r="KVE8" s="36"/>
      <c r="KVF8" s="37"/>
      <c r="KVG8" s="36"/>
      <c r="KVH8" s="37"/>
      <c r="KVI8" s="36"/>
      <c r="KVJ8" s="37"/>
      <c r="KVK8" s="36"/>
      <c r="KVL8" s="37"/>
      <c r="KVM8" s="36"/>
      <c r="KVN8" s="37"/>
      <c r="KVO8" s="36"/>
      <c r="KVP8" s="36"/>
      <c r="KVQ8" s="37"/>
      <c r="KVR8" s="37"/>
      <c r="KVT8" s="22"/>
      <c r="KVU8" s="35"/>
      <c r="KVV8" s="36"/>
      <c r="KVW8" s="37"/>
      <c r="KVX8" s="36"/>
      <c r="KVY8" s="37"/>
      <c r="KVZ8" s="36"/>
      <c r="KWA8" s="37"/>
      <c r="KWB8" s="36"/>
      <c r="KWC8" s="37"/>
      <c r="KWD8" s="36"/>
      <c r="KWE8" s="37"/>
      <c r="KWF8" s="36"/>
      <c r="KWG8" s="37"/>
      <c r="KWH8" s="36"/>
      <c r="KWI8" s="37"/>
      <c r="KWJ8" s="36"/>
      <c r="KWK8" s="37"/>
      <c r="KWL8" s="36"/>
      <c r="KWM8" s="37"/>
      <c r="KWN8" s="36"/>
      <c r="KWO8" s="36"/>
      <c r="KWP8" s="37"/>
      <c r="KWQ8" s="37"/>
      <c r="KWS8" s="22"/>
      <c r="KWT8" s="35"/>
      <c r="KWU8" s="36"/>
      <c r="KWV8" s="37"/>
      <c r="KWW8" s="36"/>
      <c r="KWX8" s="37"/>
      <c r="KWY8" s="36"/>
      <c r="KWZ8" s="37"/>
      <c r="KXA8" s="36"/>
      <c r="KXB8" s="37"/>
      <c r="KXC8" s="36"/>
      <c r="KXD8" s="37"/>
      <c r="KXE8" s="36"/>
      <c r="KXF8" s="37"/>
      <c r="KXG8" s="36"/>
      <c r="KXH8" s="37"/>
      <c r="KXI8" s="36"/>
      <c r="KXJ8" s="37"/>
      <c r="KXK8" s="36"/>
      <c r="KXL8" s="37"/>
      <c r="KXM8" s="36"/>
      <c r="KXN8" s="36"/>
      <c r="KXO8" s="37"/>
      <c r="KXP8" s="37"/>
      <c r="KXR8" s="22"/>
      <c r="KXS8" s="35"/>
      <c r="KXT8" s="36"/>
      <c r="KXU8" s="37"/>
      <c r="KXV8" s="36"/>
      <c r="KXW8" s="37"/>
      <c r="KXX8" s="36"/>
      <c r="KXY8" s="37"/>
      <c r="KXZ8" s="36"/>
      <c r="KYA8" s="37"/>
      <c r="KYB8" s="36"/>
      <c r="KYC8" s="37"/>
      <c r="KYD8" s="36"/>
      <c r="KYE8" s="37"/>
      <c r="KYF8" s="36"/>
      <c r="KYG8" s="37"/>
      <c r="KYH8" s="36"/>
      <c r="KYI8" s="37"/>
      <c r="KYJ8" s="36"/>
      <c r="KYK8" s="37"/>
      <c r="KYL8" s="36"/>
      <c r="KYM8" s="36"/>
      <c r="KYN8" s="37"/>
      <c r="KYO8" s="37"/>
      <c r="KYQ8" s="22"/>
      <c r="KYR8" s="35"/>
      <c r="KYS8" s="36"/>
      <c r="KYT8" s="37"/>
      <c r="KYU8" s="36"/>
      <c r="KYV8" s="37"/>
      <c r="KYW8" s="36"/>
      <c r="KYX8" s="37"/>
      <c r="KYY8" s="36"/>
      <c r="KYZ8" s="37"/>
      <c r="KZA8" s="36"/>
      <c r="KZB8" s="37"/>
      <c r="KZC8" s="36"/>
      <c r="KZD8" s="37"/>
      <c r="KZE8" s="36"/>
      <c r="KZF8" s="37"/>
      <c r="KZG8" s="36"/>
      <c r="KZH8" s="37"/>
      <c r="KZI8" s="36"/>
      <c r="KZJ8" s="37"/>
      <c r="KZK8" s="36"/>
      <c r="KZL8" s="36"/>
      <c r="KZM8" s="37"/>
      <c r="KZN8" s="37"/>
      <c r="KZP8" s="22"/>
      <c r="KZQ8" s="35"/>
      <c r="KZR8" s="36"/>
      <c r="KZS8" s="37"/>
      <c r="KZT8" s="36"/>
      <c r="KZU8" s="37"/>
      <c r="KZV8" s="36"/>
      <c r="KZW8" s="37"/>
      <c r="KZX8" s="36"/>
      <c r="KZY8" s="37"/>
      <c r="KZZ8" s="36"/>
      <c r="LAA8" s="37"/>
      <c r="LAB8" s="36"/>
      <c r="LAC8" s="37"/>
      <c r="LAD8" s="36"/>
      <c r="LAE8" s="37"/>
      <c r="LAF8" s="36"/>
      <c r="LAG8" s="37"/>
      <c r="LAH8" s="36"/>
      <c r="LAI8" s="37"/>
      <c r="LAJ8" s="36"/>
      <c r="LAK8" s="36"/>
      <c r="LAL8" s="37"/>
      <c r="LAM8" s="37"/>
      <c r="LAO8" s="22"/>
      <c r="LAP8" s="35"/>
      <c r="LAQ8" s="36"/>
      <c r="LAR8" s="37"/>
      <c r="LAS8" s="36"/>
      <c r="LAT8" s="37"/>
      <c r="LAU8" s="36"/>
      <c r="LAV8" s="37"/>
      <c r="LAW8" s="36"/>
      <c r="LAX8" s="37"/>
      <c r="LAY8" s="36"/>
      <c r="LAZ8" s="37"/>
      <c r="LBA8" s="36"/>
      <c r="LBB8" s="37"/>
      <c r="LBC8" s="36"/>
      <c r="LBD8" s="37"/>
      <c r="LBE8" s="36"/>
      <c r="LBF8" s="37"/>
      <c r="LBG8" s="36"/>
      <c r="LBH8" s="37"/>
      <c r="LBI8" s="36"/>
      <c r="LBJ8" s="36"/>
      <c r="LBK8" s="37"/>
      <c r="LBL8" s="37"/>
      <c r="LBN8" s="22"/>
      <c r="LBO8" s="35"/>
      <c r="LBP8" s="36"/>
      <c r="LBQ8" s="37"/>
      <c r="LBR8" s="36"/>
      <c r="LBS8" s="37"/>
      <c r="LBT8" s="36"/>
      <c r="LBU8" s="37"/>
      <c r="LBV8" s="36"/>
      <c r="LBW8" s="37"/>
      <c r="LBX8" s="36"/>
      <c r="LBY8" s="37"/>
      <c r="LBZ8" s="36"/>
      <c r="LCA8" s="37"/>
      <c r="LCB8" s="36"/>
      <c r="LCC8" s="37"/>
      <c r="LCD8" s="36"/>
      <c r="LCE8" s="37"/>
      <c r="LCF8" s="36"/>
      <c r="LCG8" s="37"/>
      <c r="LCH8" s="36"/>
      <c r="LCI8" s="36"/>
      <c r="LCJ8" s="37"/>
      <c r="LCK8" s="37"/>
      <c r="LCM8" s="22"/>
      <c r="LCN8" s="35"/>
      <c r="LCO8" s="36"/>
      <c r="LCP8" s="37"/>
      <c r="LCQ8" s="36"/>
      <c r="LCR8" s="37"/>
      <c r="LCS8" s="36"/>
      <c r="LCT8" s="37"/>
      <c r="LCU8" s="36"/>
      <c r="LCV8" s="37"/>
      <c r="LCW8" s="36"/>
      <c r="LCX8" s="37"/>
      <c r="LCY8" s="36"/>
      <c r="LCZ8" s="37"/>
      <c r="LDA8" s="36"/>
      <c r="LDB8" s="37"/>
      <c r="LDC8" s="36"/>
      <c r="LDD8" s="37"/>
      <c r="LDE8" s="36"/>
      <c r="LDF8" s="37"/>
      <c r="LDG8" s="36"/>
      <c r="LDH8" s="36"/>
      <c r="LDI8" s="37"/>
      <c r="LDJ8" s="37"/>
      <c r="LDL8" s="22"/>
      <c r="LDM8" s="35"/>
      <c r="LDN8" s="36"/>
      <c r="LDO8" s="37"/>
      <c r="LDP8" s="36"/>
      <c r="LDQ8" s="37"/>
      <c r="LDR8" s="36"/>
      <c r="LDS8" s="37"/>
      <c r="LDT8" s="36"/>
      <c r="LDU8" s="37"/>
      <c r="LDV8" s="36"/>
      <c r="LDW8" s="37"/>
      <c r="LDX8" s="36"/>
      <c r="LDY8" s="37"/>
      <c r="LDZ8" s="36"/>
      <c r="LEA8" s="37"/>
      <c r="LEB8" s="36"/>
      <c r="LEC8" s="37"/>
      <c r="LED8" s="36"/>
      <c r="LEE8" s="37"/>
      <c r="LEF8" s="36"/>
      <c r="LEG8" s="36"/>
      <c r="LEH8" s="37"/>
      <c r="LEI8" s="37"/>
      <c r="LEK8" s="22"/>
      <c r="LEL8" s="35"/>
      <c r="LEM8" s="36"/>
      <c r="LEN8" s="37"/>
      <c r="LEO8" s="36"/>
      <c r="LEP8" s="37"/>
      <c r="LEQ8" s="36"/>
      <c r="LER8" s="37"/>
      <c r="LES8" s="36"/>
      <c r="LET8" s="37"/>
      <c r="LEU8" s="36"/>
      <c r="LEV8" s="37"/>
      <c r="LEW8" s="36"/>
      <c r="LEX8" s="37"/>
      <c r="LEY8" s="36"/>
      <c r="LEZ8" s="37"/>
      <c r="LFA8" s="36"/>
      <c r="LFB8" s="37"/>
      <c r="LFC8" s="36"/>
      <c r="LFD8" s="37"/>
      <c r="LFE8" s="36"/>
      <c r="LFF8" s="36"/>
      <c r="LFG8" s="37"/>
      <c r="LFH8" s="37"/>
      <c r="LFJ8" s="22"/>
      <c r="LFK8" s="35"/>
      <c r="LFL8" s="36"/>
      <c r="LFM8" s="37"/>
      <c r="LFN8" s="36"/>
      <c r="LFO8" s="37"/>
      <c r="LFP8" s="36"/>
      <c r="LFQ8" s="37"/>
      <c r="LFR8" s="36"/>
      <c r="LFS8" s="37"/>
      <c r="LFT8" s="36"/>
      <c r="LFU8" s="37"/>
      <c r="LFV8" s="36"/>
      <c r="LFW8" s="37"/>
      <c r="LFX8" s="36"/>
      <c r="LFY8" s="37"/>
      <c r="LFZ8" s="36"/>
      <c r="LGA8" s="37"/>
      <c r="LGB8" s="36"/>
      <c r="LGC8" s="37"/>
      <c r="LGD8" s="36"/>
      <c r="LGE8" s="36"/>
      <c r="LGF8" s="37"/>
      <c r="LGG8" s="37"/>
      <c r="LGI8" s="22"/>
      <c r="LGJ8" s="35"/>
      <c r="LGK8" s="36"/>
      <c r="LGL8" s="37"/>
      <c r="LGM8" s="36"/>
      <c r="LGN8" s="37"/>
      <c r="LGO8" s="36"/>
      <c r="LGP8" s="37"/>
      <c r="LGQ8" s="36"/>
      <c r="LGR8" s="37"/>
      <c r="LGS8" s="36"/>
      <c r="LGT8" s="37"/>
      <c r="LGU8" s="36"/>
      <c r="LGV8" s="37"/>
      <c r="LGW8" s="36"/>
      <c r="LGX8" s="37"/>
      <c r="LGY8" s="36"/>
      <c r="LGZ8" s="37"/>
      <c r="LHA8" s="36"/>
      <c r="LHB8" s="37"/>
      <c r="LHC8" s="36"/>
      <c r="LHD8" s="36"/>
      <c r="LHE8" s="37"/>
      <c r="LHF8" s="37"/>
      <c r="LHH8" s="22"/>
      <c r="LHI8" s="35"/>
      <c r="LHJ8" s="36"/>
      <c r="LHK8" s="37"/>
      <c r="LHL8" s="36"/>
      <c r="LHM8" s="37"/>
      <c r="LHN8" s="36"/>
      <c r="LHO8" s="37"/>
      <c r="LHP8" s="36"/>
      <c r="LHQ8" s="37"/>
      <c r="LHR8" s="36"/>
      <c r="LHS8" s="37"/>
      <c r="LHT8" s="36"/>
      <c r="LHU8" s="37"/>
      <c r="LHV8" s="36"/>
      <c r="LHW8" s="37"/>
      <c r="LHX8" s="36"/>
      <c r="LHY8" s="37"/>
      <c r="LHZ8" s="36"/>
      <c r="LIA8" s="37"/>
      <c r="LIB8" s="36"/>
      <c r="LIC8" s="36"/>
      <c r="LID8" s="37"/>
      <c r="LIE8" s="37"/>
      <c r="LIG8" s="22"/>
      <c r="LIH8" s="35"/>
      <c r="LII8" s="36"/>
      <c r="LIJ8" s="37"/>
      <c r="LIK8" s="36"/>
      <c r="LIL8" s="37"/>
      <c r="LIM8" s="36"/>
      <c r="LIN8" s="37"/>
      <c r="LIO8" s="36"/>
      <c r="LIP8" s="37"/>
      <c r="LIQ8" s="36"/>
      <c r="LIR8" s="37"/>
      <c r="LIS8" s="36"/>
      <c r="LIT8" s="37"/>
      <c r="LIU8" s="36"/>
      <c r="LIV8" s="37"/>
      <c r="LIW8" s="36"/>
      <c r="LIX8" s="37"/>
      <c r="LIY8" s="36"/>
      <c r="LIZ8" s="37"/>
      <c r="LJA8" s="36"/>
      <c r="LJB8" s="36"/>
      <c r="LJC8" s="37"/>
      <c r="LJD8" s="37"/>
      <c r="LJF8" s="22"/>
      <c r="LJG8" s="35"/>
      <c r="LJH8" s="36"/>
      <c r="LJI8" s="37"/>
      <c r="LJJ8" s="36"/>
      <c r="LJK8" s="37"/>
      <c r="LJL8" s="36"/>
      <c r="LJM8" s="37"/>
      <c r="LJN8" s="36"/>
      <c r="LJO8" s="37"/>
      <c r="LJP8" s="36"/>
      <c r="LJQ8" s="37"/>
      <c r="LJR8" s="36"/>
      <c r="LJS8" s="37"/>
      <c r="LJT8" s="36"/>
      <c r="LJU8" s="37"/>
      <c r="LJV8" s="36"/>
      <c r="LJW8" s="37"/>
      <c r="LJX8" s="36"/>
      <c r="LJY8" s="37"/>
      <c r="LJZ8" s="36"/>
      <c r="LKA8" s="36"/>
      <c r="LKB8" s="37"/>
      <c r="LKC8" s="37"/>
      <c r="LKE8" s="22"/>
      <c r="LKF8" s="35"/>
      <c r="LKG8" s="36"/>
      <c r="LKH8" s="37"/>
      <c r="LKI8" s="36"/>
      <c r="LKJ8" s="37"/>
      <c r="LKK8" s="36"/>
      <c r="LKL8" s="37"/>
      <c r="LKM8" s="36"/>
      <c r="LKN8" s="37"/>
      <c r="LKO8" s="36"/>
      <c r="LKP8" s="37"/>
      <c r="LKQ8" s="36"/>
      <c r="LKR8" s="37"/>
      <c r="LKS8" s="36"/>
      <c r="LKT8" s="37"/>
      <c r="LKU8" s="36"/>
      <c r="LKV8" s="37"/>
      <c r="LKW8" s="36"/>
      <c r="LKX8" s="37"/>
      <c r="LKY8" s="36"/>
      <c r="LKZ8" s="36"/>
      <c r="LLA8" s="37"/>
      <c r="LLB8" s="37"/>
      <c r="LLD8" s="22"/>
      <c r="LLE8" s="35"/>
      <c r="LLF8" s="36"/>
      <c r="LLG8" s="37"/>
      <c r="LLH8" s="36"/>
      <c r="LLI8" s="37"/>
      <c r="LLJ8" s="36"/>
      <c r="LLK8" s="37"/>
      <c r="LLL8" s="36"/>
      <c r="LLM8" s="37"/>
      <c r="LLN8" s="36"/>
      <c r="LLO8" s="37"/>
      <c r="LLP8" s="36"/>
      <c r="LLQ8" s="37"/>
      <c r="LLR8" s="36"/>
      <c r="LLS8" s="37"/>
      <c r="LLT8" s="36"/>
      <c r="LLU8" s="37"/>
      <c r="LLV8" s="36"/>
      <c r="LLW8" s="37"/>
      <c r="LLX8" s="36"/>
      <c r="LLY8" s="36"/>
      <c r="LLZ8" s="37"/>
      <c r="LMA8" s="37"/>
      <c r="LMC8" s="22"/>
      <c r="LMD8" s="35"/>
      <c r="LME8" s="36"/>
      <c r="LMF8" s="37"/>
      <c r="LMG8" s="36"/>
      <c r="LMH8" s="37"/>
      <c r="LMI8" s="36"/>
      <c r="LMJ8" s="37"/>
      <c r="LMK8" s="36"/>
      <c r="LML8" s="37"/>
      <c r="LMM8" s="36"/>
      <c r="LMN8" s="37"/>
      <c r="LMO8" s="36"/>
      <c r="LMP8" s="37"/>
      <c r="LMQ8" s="36"/>
      <c r="LMR8" s="37"/>
      <c r="LMS8" s="36"/>
      <c r="LMT8" s="37"/>
      <c r="LMU8" s="36"/>
      <c r="LMV8" s="37"/>
      <c r="LMW8" s="36"/>
      <c r="LMX8" s="36"/>
      <c r="LMY8" s="37"/>
      <c r="LMZ8" s="37"/>
      <c r="LNB8" s="22"/>
      <c r="LNC8" s="35"/>
      <c r="LND8" s="36"/>
      <c r="LNE8" s="37"/>
      <c r="LNF8" s="36"/>
      <c r="LNG8" s="37"/>
      <c r="LNH8" s="36"/>
      <c r="LNI8" s="37"/>
      <c r="LNJ8" s="36"/>
      <c r="LNK8" s="37"/>
      <c r="LNL8" s="36"/>
      <c r="LNM8" s="37"/>
      <c r="LNN8" s="36"/>
      <c r="LNO8" s="37"/>
      <c r="LNP8" s="36"/>
      <c r="LNQ8" s="37"/>
      <c r="LNR8" s="36"/>
      <c r="LNS8" s="37"/>
      <c r="LNT8" s="36"/>
      <c r="LNU8" s="37"/>
      <c r="LNV8" s="36"/>
      <c r="LNW8" s="36"/>
      <c r="LNX8" s="37"/>
      <c r="LNY8" s="37"/>
      <c r="LOA8" s="22"/>
      <c r="LOB8" s="35"/>
      <c r="LOC8" s="36"/>
      <c r="LOD8" s="37"/>
      <c r="LOE8" s="36"/>
      <c r="LOF8" s="37"/>
      <c r="LOG8" s="36"/>
      <c r="LOH8" s="37"/>
      <c r="LOI8" s="36"/>
      <c r="LOJ8" s="37"/>
      <c r="LOK8" s="36"/>
      <c r="LOL8" s="37"/>
      <c r="LOM8" s="36"/>
      <c r="LON8" s="37"/>
      <c r="LOO8" s="36"/>
      <c r="LOP8" s="37"/>
      <c r="LOQ8" s="36"/>
      <c r="LOR8" s="37"/>
      <c r="LOS8" s="36"/>
      <c r="LOT8" s="37"/>
      <c r="LOU8" s="36"/>
      <c r="LOV8" s="36"/>
      <c r="LOW8" s="37"/>
      <c r="LOX8" s="37"/>
      <c r="LOZ8" s="22"/>
      <c r="LPA8" s="35"/>
      <c r="LPB8" s="36"/>
      <c r="LPC8" s="37"/>
      <c r="LPD8" s="36"/>
      <c r="LPE8" s="37"/>
      <c r="LPF8" s="36"/>
      <c r="LPG8" s="37"/>
      <c r="LPH8" s="36"/>
      <c r="LPI8" s="37"/>
      <c r="LPJ8" s="36"/>
      <c r="LPK8" s="37"/>
      <c r="LPL8" s="36"/>
      <c r="LPM8" s="37"/>
      <c r="LPN8" s="36"/>
      <c r="LPO8" s="37"/>
      <c r="LPP8" s="36"/>
      <c r="LPQ8" s="37"/>
      <c r="LPR8" s="36"/>
      <c r="LPS8" s="37"/>
      <c r="LPT8" s="36"/>
      <c r="LPU8" s="36"/>
      <c r="LPV8" s="37"/>
      <c r="LPW8" s="37"/>
      <c r="LPY8" s="22"/>
      <c r="LPZ8" s="35"/>
      <c r="LQA8" s="36"/>
      <c r="LQB8" s="37"/>
      <c r="LQC8" s="36"/>
      <c r="LQD8" s="37"/>
      <c r="LQE8" s="36"/>
      <c r="LQF8" s="37"/>
      <c r="LQG8" s="36"/>
      <c r="LQH8" s="37"/>
      <c r="LQI8" s="36"/>
      <c r="LQJ8" s="37"/>
      <c r="LQK8" s="36"/>
      <c r="LQL8" s="37"/>
      <c r="LQM8" s="36"/>
      <c r="LQN8" s="37"/>
      <c r="LQO8" s="36"/>
      <c r="LQP8" s="37"/>
      <c r="LQQ8" s="36"/>
      <c r="LQR8" s="37"/>
      <c r="LQS8" s="36"/>
      <c r="LQT8" s="36"/>
      <c r="LQU8" s="37"/>
      <c r="LQV8" s="37"/>
      <c r="LQX8" s="22"/>
      <c r="LQY8" s="35"/>
      <c r="LQZ8" s="36"/>
      <c r="LRA8" s="37"/>
      <c r="LRB8" s="36"/>
      <c r="LRC8" s="37"/>
      <c r="LRD8" s="36"/>
      <c r="LRE8" s="37"/>
      <c r="LRF8" s="36"/>
      <c r="LRG8" s="37"/>
      <c r="LRH8" s="36"/>
      <c r="LRI8" s="37"/>
      <c r="LRJ8" s="36"/>
      <c r="LRK8" s="37"/>
      <c r="LRL8" s="36"/>
      <c r="LRM8" s="37"/>
      <c r="LRN8" s="36"/>
      <c r="LRO8" s="37"/>
      <c r="LRP8" s="36"/>
      <c r="LRQ8" s="37"/>
      <c r="LRR8" s="36"/>
      <c r="LRS8" s="36"/>
      <c r="LRT8" s="37"/>
      <c r="LRU8" s="37"/>
      <c r="LRW8" s="22"/>
      <c r="LRX8" s="35"/>
      <c r="LRY8" s="36"/>
      <c r="LRZ8" s="37"/>
      <c r="LSA8" s="36"/>
      <c r="LSB8" s="37"/>
      <c r="LSC8" s="36"/>
      <c r="LSD8" s="37"/>
      <c r="LSE8" s="36"/>
      <c r="LSF8" s="37"/>
      <c r="LSG8" s="36"/>
      <c r="LSH8" s="37"/>
      <c r="LSI8" s="36"/>
      <c r="LSJ8" s="37"/>
      <c r="LSK8" s="36"/>
      <c r="LSL8" s="37"/>
      <c r="LSM8" s="36"/>
      <c r="LSN8" s="37"/>
      <c r="LSO8" s="36"/>
      <c r="LSP8" s="37"/>
      <c r="LSQ8" s="36"/>
      <c r="LSR8" s="36"/>
      <c r="LSS8" s="37"/>
      <c r="LST8" s="37"/>
      <c r="LSV8" s="22"/>
      <c r="LSW8" s="35"/>
      <c r="LSX8" s="36"/>
      <c r="LSY8" s="37"/>
      <c r="LSZ8" s="36"/>
      <c r="LTA8" s="37"/>
      <c r="LTB8" s="36"/>
      <c r="LTC8" s="37"/>
      <c r="LTD8" s="36"/>
      <c r="LTE8" s="37"/>
      <c r="LTF8" s="36"/>
      <c r="LTG8" s="37"/>
      <c r="LTH8" s="36"/>
      <c r="LTI8" s="37"/>
      <c r="LTJ8" s="36"/>
      <c r="LTK8" s="37"/>
      <c r="LTL8" s="36"/>
      <c r="LTM8" s="37"/>
      <c r="LTN8" s="36"/>
      <c r="LTO8" s="37"/>
      <c r="LTP8" s="36"/>
      <c r="LTQ8" s="36"/>
      <c r="LTR8" s="37"/>
      <c r="LTS8" s="37"/>
      <c r="LTU8" s="22"/>
      <c r="LTV8" s="35"/>
      <c r="LTW8" s="36"/>
      <c r="LTX8" s="37"/>
      <c r="LTY8" s="36"/>
      <c r="LTZ8" s="37"/>
      <c r="LUA8" s="36"/>
      <c r="LUB8" s="37"/>
      <c r="LUC8" s="36"/>
      <c r="LUD8" s="37"/>
      <c r="LUE8" s="36"/>
      <c r="LUF8" s="37"/>
      <c r="LUG8" s="36"/>
      <c r="LUH8" s="37"/>
      <c r="LUI8" s="36"/>
      <c r="LUJ8" s="37"/>
      <c r="LUK8" s="36"/>
      <c r="LUL8" s="37"/>
      <c r="LUM8" s="36"/>
      <c r="LUN8" s="37"/>
      <c r="LUO8" s="36"/>
      <c r="LUP8" s="36"/>
      <c r="LUQ8" s="37"/>
      <c r="LUR8" s="37"/>
      <c r="LUT8" s="22"/>
      <c r="LUU8" s="35"/>
      <c r="LUV8" s="36"/>
      <c r="LUW8" s="37"/>
      <c r="LUX8" s="36"/>
      <c r="LUY8" s="37"/>
      <c r="LUZ8" s="36"/>
      <c r="LVA8" s="37"/>
      <c r="LVB8" s="36"/>
      <c r="LVC8" s="37"/>
      <c r="LVD8" s="36"/>
      <c r="LVE8" s="37"/>
      <c r="LVF8" s="36"/>
      <c r="LVG8" s="37"/>
      <c r="LVH8" s="36"/>
      <c r="LVI8" s="37"/>
      <c r="LVJ8" s="36"/>
      <c r="LVK8" s="37"/>
      <c r="LVL8" s="36"/>
      <c r="LVM8" s="37"/>
      <c r="LVN8" s="36"/>
      <c r="LVO8" s="36"/>
      <c r="LVP8" s="37"/>
      <c r="LVQ8" s="37"/>
      <c r="LVS8" s="22"/>
      <c r="LVT8" s="35"/>
      <c r="LVU8" s="36"/>
      <c r="LVV8" s="37"/>
      <c r="LVW8" s="36"/>
      <c r="LVX8" s="37"/>
      <c r="LVY8" s="36"/>
      <c r="LVZ8" s="37"/>
      <c r="LWA8" s="36"/>
      <c r="LWB8" s="37"/>
      <c r="LWC8" s="36"/>
      <c r="LWD8" s="37"/>
      <c r="LWE8" s="36"/>
      <c r="LWF8" s="37"/>
      <c r="LWG8" s="36"/>
      <c r="LWH8" s="37"/>
      <c r="LWI8" s="36"/>
      <c r="LWJ8" s="37"/>
      <c r="LWK8" s="36"/>
      <c r="LWL8" s="37"/>
      <c r="LWM8" s="36"/>
      <c r="LWN8" s="36"/>
      <c r="LWO8" s="37"/>
      <c r="LWP8" s="37"/>
      <c r="LWR8" s="22"/>
      <c r="LWS8" s="35"/>
      <c r="LWT8" s="36"/>
      <c r="LWU8" s="37"/>
      <c r="LWV8" s="36"/>
      <c r="LWW8" s="37"/>
      <c r="LWX8" s="36"/>
      <c r="LWY8" s="37"/>
      <c r="LWZ8" s="36"/>
      <c r="LXA8" s="37"/>
      <c r="LXB8" s="36"/>
      <c r="LXC8" s="37"/>
      <c r="LXD8" s="36"/>
      <c r="LXE8" s="37"/>
      <c r="LXF8" s="36"/>
      <c r="LXG8" s="37"/>
      <c r="LXH8" s="36"/>
      <c r="LXI8" s="37"/>
      <c r="LXJ8" s="36"/>
      <c r="LXK8" s="37"/>
      <c r="LXL8" s="36"/>
      <c r="LXM8" s="36"/>
      <c r="LXN8" s="37"/>
      <c r="LXO8" s="37"/>
      <c r="LXQ8" s="22"/>
      <c r="LXR8" s="35"/>
      <c r="LXS8" s="36"/>
      <c r="LXT8" s="37"/>
      <c r="LXU8" s="36"/>
      <c r="LXV8" s="37"/>
      <c r="LXW8" s="36"/>
      <c r="LXX8" s="37"/>
      <c r="LXY8" s="36"/>
      <c r="LXZ8" s="37"/>
      <c r="LYA8" s="36"/>
      <c r="LYB8" s="37"/>
      <c r="LYC8" s="36"/>
      <c r="LYD8" s="37"/>
      <c r="LYE8" s="36"/>
      <c r="LYF8" s="37"/>
      <c r="LYG8" s="36"/>
      <c r="LYH8" s="37"/>
      <c r="LYI8" s="36"/>
      <c r="LYJ8" s="37"/>
      <c r="LYK8" s="36"/>
      <c r="LYL8" s="36"/>
      <c r="LYM8" s="37"/>
      <c r="LYN8" s="37"/>
      <c r="LYP8" s="22"/>
      <c r="LYQ8" s="35"/>
      <c r="LYR8" s="36"/>
      <c r="LYS8" s="37"/>
      <c r="LYT8" s="36"/>
      <c r="LYU8" s="37"/>
      <c r="LYV8" s="36"/>
      <c r="LYW8" s="37"/>
      <c r="LYX8" s="36"/>
      <c r="LYY8" s="37"/>
      <c r="LYZ8" s="36"/>
      <c r="LZA8" s="37"/>
      <c r="LZB8" s="36"/>
      <c r="LZC8" s="37"/>
      <c r="LZD8" s="36"/>
      <c r="LZE8" s="37"/>
      <c r="LZF8" s="36"/>
      <c r="LZG8" s="37"/>
      <c r="LZH8" s="36"/>
      <c r="LZI8" s="37"/>
      <c r="LZJ8" s="36"/>
      <c r="LZK8" s="36"/>
      <c r="LZL8" s="37"/>
      <c r="LZM8" s="37"/>
      <c r="LZO8" s="22"/>
      <c r="LZP8" s="35"/>
      <c r="LZQ8" s="36"/>
      <c r="LZR8" s="37"/>
      <c r="LZS8" s="36"/>
      <c r="LZT8" s="37"/>
      <c r="LZU8" s="36"/>
      <c r="LZV8" s="37"/>
      <c r="LZW8" s="36"/>
      <c r="LZX8" s="37"/>
      <c r="LZY8" s="36"/>
      <c r="LZZ8" s="37"/>
      <c r="MAA8" s="36"/>
      <c r="MAB8" s="37"/>
      <c r="MAC8" s="36"/>
      <c r="MAD8" s="37"/>
      <c r="MAE8" s="36"/>
      <c r="MAF8" s="37"/>
      <c r="MAG8" s="36"/>
      <c r="MAH8" s="37"/>
      <c r="MAI8" s="36"/>
      <c r="MAJ8" s="36"/>
      <c r="MAK8" s="37"/>
      <c r="MAL8" s="37"/>
      <c r="MAN8" s="22"/>
      <c r="MAO8" s="35"/>
      <c r="MAP8" s="36"/>
      <c r="MAQ8" s="37"/>
      <c r="MAR8" s="36"/>
      <c r="MAS8" s="37"/>
      <c r="MAT8" s="36"/>
      <c r="MAU8" s="37"/>
      <c r="MAV8" s="36"/>
      <c r="MAW8" s="37"/>
      <c r="MAX8" s="36"/>
      <c r="MAY8" s="37"/>
      <c r="MAZ8" s="36"/>
      <c r="MBA8" s="37"/>
      <c r="MBB8" s="36"/>
      <c r="MBC8" s="37"/>
      <c r="MBD8" s="36"/>
      <c r="MBE8" s="37"/>
      <c r="MBF8" s="36"/>
      <c r="MBG8" s="37"/>
      <c r="MBH8" s="36"/>
      <c r="MBI8" s="36"/>
      <c r="MBJ8" s="37"/>
      <c r="MBK8" s="37"/>
      <c r="MBM8" s="22"/>
      <c r="MBN8" s="35"/>
      <c r="MBO8" s="36"/>
      <c r="MBP8" s="37"/>
      <c r="MBQ8" s="36"/>
      <c r="MBR8" s="37"/>
      <c r="MBS8" s="36"/>
      <c r="MBT8" s="37"/>
      <c r="MBU8" s="36"/>
      <c r="MBV8" s="37"/>
      <c r="MBW8" s="36"/>
      <c r="MBX8" s="37"/>
      <c r="MBY8" s="36"/>
      <c r="MBZ8" s="37"/>
      <c r="MCA8" s="36"/>
      <c r="MCB8" s="37"/>
      <c r="MCC8" s="36"/>
      <c r="MCD8" s="37"/>
      <c r="MCE8" s="36"/>
      <c r="MCF8" s="37"/>
      <c r="MCG8" s="36"/>
      <c r="MCH8" s="36"/>
      <c r="MCI8" s="37"/>
      <c r="MCJ8" s="37"/>
      <c r="MCL8" s="22"/>
      <c r="MCM8" s="35"/>
      <c r="MCN8" s="36"/>
      <c r="MCO8" s="37"/>
      <c r="MCP8" s="36"/>
      <c r="MCQ8" s="37"/>
      <c r="MCR8" s="36"/>
      <c r="MCS8" s="37"/>
      <c r="MCT8" s="36"/>
      <c r="MCU8" s="37"/>
      <c r="MCV8" s="36"/>
      <c r="MCW8" s="37"/>
      <c r="MCX8" s="36"/>
      <c r="MCY8" s="37"/>
      <c r="MCZ8" s="36"/>
      <c r="MDA8" s="37"/>
      <c r="MDB8" s="36"/>
      <c r="MDC8" s="37"/>
      <c r="MDD8" s="36"/>
      <c r="MDE8" s="37"/>
      <c r="MDF8" s="36"/>
      <c r="MDG8" s="36"/>
      <c r="MDH8" s="37"/>
      <c r="MDI8" s="37"/>
      <c r="MDK8" s="22"/>
      <c r="MDL8" s="35"/>
      <c r="MDM8" s="36"/>
      <c r="MDN8" s="37"/>
      <c r="MDO8" s="36"/>
      <c r="MDP8" s="37"/>
      <c r="MDQ8" s="36"/>
      <c r="MDR8" s="37"/>
      <c r="MDS8" s="36"/>
      <c r="MDT8" s="37"/>
      <c r="MDU8" s="36"/>
      <c r="MDV8" s="37"/>
      <c r="MDW8" s="36"/>
      <c r="MDX8" s="37"/>
      <c r="MDY8" s="36"/>
      <c r="MDZ8" s="37"/>
      <c r="MEA8" s="36"/>
      <c r="MEB8" s="37"/>
      <c r="MEC8" s="36"/>
      <c r="MED8" s="37"/>
      <c r="MEE8" s="36"/>
      <c r="MEF8" s="36"/>
      <c r="MEG8" s="37"/>
      <c r="MEH8" s="37"/>
      <c r="MEJ8" s="22"/>
      <c r="MEK8" s="35"/>
      <c r="MEL8" s="36"/>
      <c r="MEM8" s="37"/>
      <c r="MEN8" s="36"/>
      <c r="MEO8" s="37"/>
      <c r="MEP8" s="36"/>
      <c r="MEQ8" s="37"/>
      <c r="MER8" s="36"/>
      <c r="MES8" s="37"/>
      <c r="MET8" s="36"/>
      <c r="MEU8" s="37"/>
      <c r="MEV8" s="36"/>
      <c r="MEW8" s="37"/>
      <c r="MEX8" s="36"/>
      <c r="MEY8" s="37"/>
      <c r="MEZ8" s="36"/>
      <c r="MFA8" s="37"/>
      <c r="MFB8" s="36"/>
      <c r="MFC8" s="37"/>
      <c r="MFD8" s="36"/>
      <c r="MFE8" s="36"/>
      <c r="MFF8" s="37"/>
      <c r="MFG8" s="37"/>
      <c r="MFI8" s="22"/>
      <c r="MFJ8" s="35"/>
      <c r="MFK8" s="36"/>
      <c r="MFL8" s="37"/>
      <c r="MFM8" s="36"/>
      <c r="MFN8" s="37"/>
      <c r="MFO8" s="36"/>
      <c r="MFP8" s="37"/>
      <c r="MFQ8" s="36"/>
      <c r="MFR8" s="37"/>
      <c r="MFS8" s="36"/>
      <c r="MFT8" s="37"/>
      <c r="MFU8" s="36"/>
      <c r="MFV8" s="37"/>
      <c r="MFW8" s="36"/>
      <c r="MFX8" s="37"/>
      <c r="MFY8" s="36"/>
      <c r="MFZ8" s="37"/>
      <c r="MGA8" s="36"/>
      <c r="MGB8" s="37"/>
      <c r="MGC8" s="36"/>
      <c r="MGD8" s="36"/>
      <c r="MGE8" s="37"/>
      <c r="MGF8" s="37"/>
      <c r="MGH8" s="22"/>
      <c r="MGI8" s="35"/>
      <c r="MGJ8" s="36"/>
      <c r="MGK8" s="37"/>
      <c r="MGL8" s="36"/>
      <c r="MGM8" s="37"/>
      <c r="MGN8" s="36"/>
      <c r="MGO8" s="37"/>
      <c r="MGP8" s="36"/>
      <c r="MGQ8" s="37"/>
      <c r="MGR8" s="36"/>
      <c r="MGS8" s="37"/>
      <c r="MGT8" s="36"/>
      <c r="MGU8" s="37"/>
      <c r="MGV8" s="36"/>
      <c r="MGW8" s="37"/>
      <c r="MGX8" s="36"/>
      <c r="MGY8" s="37"/>
      <c r="MGZ8" s="36"/>
      <c r="MHA8" s="37"/>
      <c r="MHB8" s="36"/>
      <c r="MHC8" s="36"/>
      <c r="MHD8" s="37"/>
      <c r="MHE8" s="37"/>
      <c r="MHG8" s="22"/>
      <c r="MHH8" s="35"/>
      <c r="MHI8" s="36"/>
      <c r="MHJ8" s="37"/>
      <c r="MHK8" s="36"/>
      <c r="MHL8" s="37"/>
      <c r="MHM8" s="36"/>
      <c r="MHN8" s="37"/>
      <c r="MHO8" s="36"/>
      <c r="MHP8" s="37"/>
      <c r="MHQ8" s="36"/>
      <c r="MHR8" s="37"/>
      <c r="MHS8" s="36"/>
      <c r="MHT8" s="37"/>
      <c r="MHU8" s="36"/>
      <c r="MHV8" s="37"/>
      <c r="MHW8" s="36"/>
      <c r="MHX8" s="37"/>
      <c r="MHY8" s="36"/>
      <c r="MHZ8" s="37"/>
      <c r="MIA8" s="36"/>
      <c r="MIB8" s="36"/>
      <c r="MIC8" s="37"/>
      <c r="MID8" s="37"/>
      <c r="MIF8" s="22"/>
      <c r="MIG8" s="35"/>
      <c r="MIH8" s="36"/>
      <c r="MII8" s="37"/>
      <c r="MIJ8" s="36"/>
      <c r="MIK8" s="37"/>
      <c r="MIL8" s="36"/>
      <c r="MIM8" s="37"/>
      <c r="MIN8" s="36"/>
      <c r="MIO8" s="37"/>
      <c r="MIP8" s="36"/>
      <c r="MIQ8" s="37"/>
      <c r="MIR8" s="36"/>
      <c r="MIS8" s="37"/>
      <c r="MIT8" s="36"/>
      <c r="MIU8" s="37"/>
      <c r="MIV8" s="36"/>
      <c r="MIW8" s="37"/>
      <c r="MIX8" s="36"/>
      <c r="MIY8" s="37"/>
      <c r="MIZ8" s="36"/>
      <c r="MJA8" s="36"/>
      <c r="MJB8" s="37"/>
      <c r="MJC8" s="37"/>
      <c r="MJE8" s="22"/>
      <c r="MJF8" s="35"/>
      <c r="MJG8" s="36"/>
      <c r="MJH8" s="37"/>
      <c r="MJI8" s="36"/>
      <c r="MJJ8" s="37"/>
      <c r="MJK8" s="36"/>
      <c r="MJL8" s="37"/>
      <c r="MJM8" s="36"/>
      <c r="MJN8" s="37"/>
      <c r="MJO8" s="36"/>
      <c r="MJP8" s="37"/>
      <c r="MJQ8" s="36"/>
      <c r="MJR8" s="37"/>
      <c r="MJS8" s="36"/>
      <c r="MJT8" s="37"/>
      <c r="MJU8" s="36"/>
      <c r="MJV8" s="37"/>
      <c r="MJW8" s="36"/>
      <c r="MJX8" s="37"/>
      <c r="MJY8" s="36"/>
      <c r="MJZ8" s="36"/>
      <c r="MKA8" s="37"/>
      <c r="MKB8" s="37"/>
      <c r="MKD8" s="22"/>
      <c r="MKE8" s="35"/>
      <c r="MKF8" s="36"/>
      <c r="MKG8" s="37"/>
      <c r="MKH8" s="36"/>
      <c r="MKI8" s="37"/>
      <c r="MKJ8" s="36"/>
      <c r="MKK8" s="37"/>
      <c r="MKL8" s="36"/>
      <c r="MKM8" s="37"/>
      <c r="MKN8" s="36"/>
      <c r="MKO8" s="37"/>
      <c r="MKP8" s="36"/>
      <c r="MKQ8" s="37"/>
      <c r="MKR8" s="36"/>
      <c r="MKS8" s="37"/>
      <c r="MKT8" s="36"/>
      <c r="MKU8" s="37"/>
      <c r="MKV8" s="36"/>
      <c r="MKW8" s="37"/>
      <c r="MKX8" s="36"/>
      <c r="MKY8" s="36"/>
      <c r="MKZ8" s="37"/>
      <c r="MLA8" s="37"/>
      <c r="MLC8" s="22"/>
      <c r="MLD8" s="35"/>
      <c r="MLE8" s="36"/>
      <c r="MLF8" s="37"/>
      <c r="MLG8" s="36"/>
      <c r="MLH8" s="37"/>
      <c r="MLI8" s="36"/>
      <c r="MLJ8" s="37"/>
      <c r="MLK8" s="36"/>
      <c r="MLL8" s="37"/>
      <c r="MLM8" s="36"/>
      <c r="MLN8" s="37"/>
      <c r="MLO8" s="36"/>
      <c r="MLP8" s="37"/>
      <c r="MLQ8" s="36"/>
      <c r="MLR8" s="37"/>
      <c r="MLS8" s="36"/>
      <c r="MLT8" s="37"/>
      <c r="MLU8" s="36"/>
      <c r="MLV8" s="37"/>
      <c r="MLW8" s="36"/>
      <c r="MLX8" s="36"/>
      <c r="MLY8" s="37"/>
      <c r="MLZ8" s="37"/>
      <c r="MMB8" s="22"/>
      <c r="MMC8" s="35"/>
      <c r="MMD8" s="36"/>
      <c r="MME8" s="37"/>
      <c r="MMF8" s="36"/>
      <c r="MMG8" s="37"/>
      <c r="MMH8" s="36"/>
      <c r="MMI8" s="37"/>
      <c r="MMJ8" s="36"/>
      <c r="MMK8" s="37"/>
      <c r="MML8" s="36"/>
      <c r="MMM8" s="37"/>
      <c r="MMN8" s="36"/>
      <c r="MMO8" s="37"/>
      <c r="MMP8" s="36"/>
      <c r="MMQ8" s="37"/>
      <c r="MMR8" s="36"/>
      <c r="MMS8" s="37"/>
      <c r="MMT8" s="36"/>
      <c r="MMU8" s="37"/>
      <c r="MMV8" s="36"/>
      <c r="MMW8" s="36"/>
      <c r="MMX8" s="37"/>
      <c r="MMY8" s="37"/>
      <c r="MNA8" s="22"/>
      <c r="MNB8" s="35"/>
      <c r="MNC8" s="36"/>
      <c r="MND8" s="37"/>
      <c r="MNE8" s="36"/>
      <c r="MNF8" s="37"/>
      <c r="MNG8" s="36"/>
      <c r="MNH8" s="37"/>
      <c r="MNI8" s="36"/>
      <c r="MNJ8" s="37"/>
      <c r="MNK8" s="36"/>
      <c r="MNL8" s="37"/>
      <c r="MNM8" s="36"/>
      <c r="MNN8" s="37"/>
      <c r="MNO8" s="36"/>
      <c r="MNP8" s="37"/>
      <c r="MNQ8" s="36"/>
      <c r="MNR8" s="37"/>
      <c r="MNS8" s="36"/>
      <c r="MNT8" s="37"/>
      <c r="MNU8" s="36"/>
      <c r="MNV8" s="36"/>
      <c r="MNW8" s="37"/>
      <c r="MNX8" s="37"/>
      <c r="MNZ8" s="22"/>
      <c r="MOA8" s="35"/>
      <c r="MOB8" s="36"/>
      <c r="MOC8" s="37"/>
      <c r="MOD8" s="36"/>
      <c r="MOE8" s="37"/>
      <c r="MOF8" s="36"/>
      <c r="MOG8" s="37"/>
      <c r="MOH8" s="36"/>
      <c r="MOI8" s="37"/>
      <c r="MOJ8" s="36"/>
      <c r="MOK8" s="37"/>
      <c r="MOL8" s="36"/>
      <c r="MOM8" s="37"/>
      <c r="MON8" s="36"/>
      <c r="MOO8" s="37"/>
      <c r="MOP8" s="36"/>
      <c r="MOQ8" s="37"/>
      <c r="MOR8" s="36"/>
      <c r="MOS8" s="37"/>
      <c r="MOT8" s="36"/>
      <c r="MOU8" s="36"/>
      <c r="MOV8" s="37"/>
      <c r="MOW8" s="37"/>
      <c r="MOY8" s="22"/>
      <c r="MOZ8" s="35"/>
      <c r="MPA8" s="36"/>
      <c r="MPB8" s="37"/>
      <c r="MPC8" s="36"/>
      <c r="MPD8" s="37"/>
      <c r="MPE8" s="36"/>
      <c r="MPF8" s="37"/>
      <c r="MPG8" s="36"/>
      <c r="MPH8" s="37"/>
      <c r="MPI8" s="36"/>
      <c r="MPJ8" s="37"/>
      <c r="MPK8" s="36"/>
      <c r="MPL8" s="37"/>
      <c r="MPM8" s="36"/>
      <c r="MPN8" s="37"/>
      <c r="MPO8" s="36"/>
      <c r="MPP8" s="37"/>
      <c r="MPQ8" s="36"/>
      <c r="MPR8" s="37"/>
      <c r="MPS8" s="36"/>
      <c r="MPT8" s="36"/>
      <c r="MPU8" s="37"/>
      <c r="MPV8" s="37"/>
      <c r="MPX8" s="22"/>
      <c r="MPY8" s="35"/>
      <c r="MPZ8" s="36"/>
      <c r="MQA8" s="37"/>
      <c r="MQB8" s="36"/>
      <c r="MQC8" s="37"/>
      <c r="MQD8" s="36"/>
      <c r="MQE8" s="37"/>
      <c r="MQF8" s="36"/>
      <c r="MQG8" s="37"/>
      <c r="MQH8" s="36"/>
      <c r="MQI8" s="37"/>
      <c r="MQJ8" s="36"/>
      <c r="MQK8" s="37"/>
      <c r="MQL8" s="36"/>
      <c r="MQM8" s="37"/>
      <c r="MQN8" s="36"/>
      <c r="MQO8" s="37"/>
      <c r="MQP8" s="36"/>
      <c r="MQQ8" s="37"/>
      <c r="MQR8" s="36"/>
      <c r="MQS8" s="36"/>
      <c r="MQT8" s="37"/>
      <c r="MQU8" s="37"/>
      <c r="MQW8" s="22"/>
      <c r="MQX8" s="35"/>
      <c r="MQY8" s="36"/>
      <c r="MQZ8" s="37"/>
      <c r="MRA8" s="36"/>
      <c r="MRB8" s="37"/>
      <c r="MRC8" s="36"/>
      <c r="MRD8" s="37"/>
      <c r="MRE8" s="36"/>
      <c r="MRF8" s="37"/>
      <c r="MRG8" s="36"/>
      <c r="MRH8" s="37"/>
      <c r="MRI8" s="36"/>
      <c r="MRJ8" s="37"/>
      <c r="MRK8" s="36"/>
      <c r="MRL8" s="37"/>
      <c r="MRM8" s="36"/>
      <c r="MRN8" s="37"/>
      <c r="MRO8" s="36"/>
      <c r="MRP8" s="37"/>
      <c r="MRQ8" s="36"/>
      <c r="MRR8" s="36"/>
      <c r="MRS8" s="37"/>
      <c r="MRT8" s="37"/>
      <c r="MRV8" s="22"/>
      <c r="MRW8" s="35"/>
      <c r="MRX8" s="36"/>
      <c r="MRY8" s="37"/>
      <c r="MRZ8" s="36"/>
      <c r="MSA8" s="37"/>
      <c r="MSB8" s="36"/>
      <c r="MSC8" s="37"/>
      <c r="MSD8" s="36"/>
      <c r="MSE8" s="37"/>
      <c r="MSF8" s="36"/>
      <c r="MSG8" s="37"/>
      <c r="MSH8" s="36"/>
      <c r="MSI8" s="37"/>
      <c r="MSJ8" s="36"/>
      <c r="MSK8" s="37"/>
      <c r="MSL8" s="36"/>
      <c r="MSM8" s="37"/>
      <c r="MSN8" s="36"/>
      <c r="MSO8" s="37"/>
      <c r="MSP8" s="36"/>
      <c r="MSQ8" s="36"/>
      <c r="MSR8" s="37"/>
      <c r="MSS8" s="37"/>
      <c r="MSU8" s="22"/>
      <c r="MSV8" s="35"/>
      <c r="MSW8" s="36"/>
      <c r="MSX8" s="37"/>
      <c r="MSY8" s="36"/>
      <c r="MSZ8" s="37"/>
      <c r="MTA8" s="36"/>
      <c r="MTB8" s="37"/>
      <c r="MTC8" s="36"/>
      <c r="MTD8" s="37"/>
      <c r="MTE8" s="36"/>
      <c r="MTF8" s="37"/>
      <c r="MTG8" s="36"/>
      <c r="MTH8" s="37"/>
      <c r="MTI8" s="36"/>
      <c r="MTJ8" s="37"/>
      <c r="MTK8" s="36"/>
      <c r="MTL8" s="37"/>
      <c r="MTM8" s="36"/>
      <c r="MTN8" s="37"/>
      <c r="MTO8" s="36"/>
      <c r="MTP8" s="36"/>
      <c r="MTQ8" s="37"/>
      <c r="MTR8" s="37"/>
      <c r="MTT8" s="22"/>
      <c r="MTU8" s="35"/>
      <c r="MTV8" s="36"/>
      <c r="MTW8" s="37"/>
      <c r="MTX8" s="36"/>
      <c r="MTY8" s="37"/>
      <c r="MTZ8" s="36"/>
      <c r="MUA8" s="37"/>
      <c r="MUB8" s="36"/>
      <c r="MUC8" s="37"/>
      <c r="MUD8" s="36"/>
      <c r="MUE8" s="37"/>
      <c r="MUF8" s="36"/>
      <c r="MUG8" s="37"/>
      <c r="MUH8" s="36"/>
      <c r="MUI8" s="37"/>
      <c r="MUJ8" s="36"/>
      <c r="MUK8" s="37"/>
      <c r="MUL8" s="36"/>
      <c r="MUM8" s="37"/>
      <c r="MUN8" s="36"/>
      <c r="MUO8" s="36"/>
      <c r="MUP8" s="37"/>
      <c r="MUQ8" s="37"/>
      <c r="MUS8" s="22"/>
      <c r="MUT8" s="35"/>
      <c r="MUU8" s="36"/>
      <c r="MUV8" s="37"/>
      <c r="MUW8" s="36"/>
      <c r="MUX8" s="37"/>
      <c r="MUY8" s="36"/>
      <c r="MUZ8" s="37"/>
      <c r="MVA8" s="36"/>
      <c r="MVB8" s="37"/>
      <c r="MVC8" s="36"/>
      <c r="MVD8" s="37"/>
      <c r="MVE8" s="36"/>
      <c r="MVF8" s="37"/>
      <c r="MVG8" s="36"/>
      <c r="MVH8" s="37"/>
      <c r="MVI8" s="36"/>
      <c r="MVJ8" s="37"/>
      <c r="MVK8" s="36"/>
      <c r="MVL8" s="37"/>
      <c r="MVM8" s="36"/>
      <c r="MVN8" s="36"/>
      <c r="MVO8" s="37"/>
      <c r="MVP8" s="37"/>
      <c r="MVR8" s="22"/>
      <c r="MVS8" s="35"/>
      <c r="MVT8" s="36"/>
      <c r="MVU8" s="37"/>
      <c r="MVV8" s="36"/>
      <c r="MVW8" s="37"/>
      <c r="MVX8" s="36"/>
      <c r="MVY8" s="37"/>
      <c r="MVZ8" s="36"/>
      <c r="MWA8" s="37"/>
      <c r="MWB8" s="36"/>
      <c r="MWC8" s="37"/>
      <c r="MWD8" s="36"/>
      <c r="MWE8" s="37"/>
      <c r="MWF8" s="36"/>
      <c r="MWG8" s="37"/>
      <c r="MWH8" s="36"/>
      <c r="MWI8" s="37"/>
      <c r="MWJ8" s="36"/>
      <c r="MWK8" s="37"/>
      <c r="MWL8" s="36"/>
      <c r="MWM8" s="36"/>
      <c r="MWN8" s="37"/>
      <c r="MWO8" s="37"/>
      <c r="MWQ8" s="22"/>
      <c r="MWR8" s="35"/>
      <c r="MWS8" s="36"/>
      <c r="MWT8" s="37"/>
      <c r="MWU8" s="36"/>
      <c r="MWV8" s="37"/>
      <c r="MWW8" s="36"/>
      <c r="MWX8" s="37"/>
      <c r="MWY8" s="36"/>
      <c r="MWZ8" s="37"/>
      <c r="MXA8" s="36"/>
      <c r="MXB8" s="37"/>
      <c r="MXC8" s="36"/>
      <c r="MXD8" s="37"/>
      <c r="MXE8" s="36"/>
      <c r="MXF8" s="37"/>
      <c r="MXG8" s="36"/>
      <c r="MXH8" s="37"/>
      <c r="MXI8" s="36"/>
      <c r="MXJ8" s="37"/>
      <c r="MXK8" s="36"/>
      <c r="MXL8" s="36"/>
      <c r="MXM8" s="37"/>
      <c r="MXN8" s="37"/>
      <c r="MXP8" s="22"/>
      <c r="MXQ8" s="35"/>
      <c r="MXR8" s="36"/>
      <c r="MXS8" s="37"/>
      <c r="MXT8" s="36"/>
      <c r="MXU8" s="37"/>
      <c r="MXV8" s="36"/>
      <c r="MXW8" s="37"/>
      <c r="MXX8" s="36"/>
      <c r="MXY8" s="37"/>
      <c r="MXZ8" s="36"/>
      <c r="MYA8" s="37"/>
      <c r="MYB8" s="36"/>
      <c r="MYC8" s="37"/>
      <c r="MYD8" s="36"/>
      <c r="MYE8" s="37"/>
      <c r="MYF8" s="36"/>
      <c r="MYG8" s="37"/>
      <c r="MYH8" s="36"/>
      <c r="MYI8" s="37"/>
      <c r="MYJ8" s="36"/>
      <c r="MYK8" s="36"/>
      <c r="MYL8" s="37"/>
      <c r="MYM8" s="37"/>
      <c r="MYO8" s="22"/>
      <c r="MYP8" s="35"/>
      <c r="MYQ8" s="36"/>
      <c r="MYR8" s="37"/>
      <c r="MYS8" s="36"/>
      <c r="MYT8" s="37"/>
      <c r="MYU8" s="36"/>
      <c r="MYV8" s="37"/>
      <c r="MYW8" s="36"/>
      <c r="MYX8" s="37"/>
      <c r="MYY8" s="36"/>
      <c r="MYZ8" s="37"/>
      <c r="MZA8" s="36"/>
      <c r="MZB8" s="37"/>
      <c r="MZC8" s="36"/>
      <c r="MZD8" s="37"/>
      <c r="MZE8" s="36"/>
      <c r="MZF8" s="37"/>
      <c r="MZG8" s="36"/>
      <c r="MZH8" s="37"/>
      <c r="MZI8" s="36"/>
      <c r="MZJ8" s="36"/>
      <c r="MZK8" s="37"/>
      <c r="MZL8" s="37"/>
      <c r="MZN8" s="22"/>
      <c r="MZO8" s="35"/>
      <c r="MZP8" s="36"/>
      <c r="MZQ8" s="37"/>
      <c r="MZR8" s="36"/>
      <c r="MZS8" s="37"/>
      <c r="MZT8" s="36"/>
      <c r="MZU8" s="37"/>
      <c r="MZV8" s="36"/>
      <c r="MZW8" s="37"/>
      <c r="MZX8" s="36"/>
      <c r="MZY8" s="37"/>
      <c r="MZZ8" s="36"/>
      <c r="NAA8" s="37"/>
      <c r="NAB8" s="36"/>
      <c r="NAC8" s="37"/>
      <c r="NAD8" s="36"/>
      <c r="NAE8" s="37"/>
      <c r="NAF8" s="36"/>
      <c r="NAG8" s="37"/>
      <c r="NAH8" s="36"/>
      <c r="NAI8" s="36"/>
      <c r="NAJ8" s="37"/>
      <c r="NAK8" s="37"/>
      <c r="NAM8" s="22"/>
      <c r="NAN8" s="35"/>
      <c r="NAO8" s="36"/>
      <c r="NAP8" s="37"/>
      <c r="NAQ8" s="36"/>
      <c r="NAR8" s="37"/>
      <c r="NAS8" s="36"/>
      <c r="NAT8" s="37"/>
      <c r="NAU8" s="36"/>
      <c r="NAV8" s="37"/>
      <c r="NAW8" s="36"/>
      <c r="NAX8" s="37"/>
      <c r="NAY8" s="36"/>
      <c r="NAZ8" s="37"/>
      <c r="NBA8" s="36"/>
      <c r="NBB8" s="37"/>
      <c r="NBC8" s="36"/>
      <c r="NBD8" s="37"/>
      <c r="NBE8" s="36"/>
      <c r="NBF8" s="37"/>
      <c r="NBG8" s="36"/>
      <c r="NBH8" s="36"/>
      <c r="NBI8" s="37"/>
      <c r="NBJ8" s="37"/>
      <c r="NBL8" s="22"/>
      <c r="NBM8" s="35"/>
      <c r="NBN8" s="36"/>
      <c r="NBO8" s="37"/>
      <c r="NBP8" s="36"/>
      <c r="NBQ8" s="37"/>
      <c r="NBR8" s="36"/>
      <c r="NBS8" s="37"/>
      <c r="NBT8" s="36"/>
      <c r="NBU8" s="37"/>
      <c r="NBV8" s="36"/>
      <c r="NBW8" s="37"/>
      <c r="NBX8" s="36"/>
      <c r="NBY8" s="37"/>
      <c r="NBZ8" s="36"/>
      <c r="NCA8" s="37"/>
      <c r="NCB8" s="36"/>
      <c r="NCC8" s="37"/>
      <c r="NCD8" s="36"/>
      <c r="NCE8" s="37"/>
      <c r="NCF8" s="36"/>
      <c r="NCG8" s="36"/>
      <c r="NCH8" s="37"/>
      <c r="NCI8" s="37"/>
      <c r="NCK8" s="22"/>
      <c r="NCL8" s="35"/>
      <c r="NCM8" s="36"/>
      <c r="NCN8" s="37"/>
      <c r="NCO8" s="36"/>
      <c r="NCP8" s="37"/>
      <c r="NCQ8" s="36"/>
      <c r="NCR8" s="37"/>
      <c r="NCS8" s="36"/>
      <c r="NCT8" s="37"/>
      <c r="NCU8" s="36"/>
      <c r="NCV8" s="37"/>
      <c r="NCW8" s="36"/>
      <c r="NCX8" s="37"/>
      <c r="NCY8" s="36"/>
      <c r="NCZ8" s="37"/>
      <c r="NDA8" s="36"/>
      <c r="NDB8" s="37"/>
      <c r="NDC8" s="36"/>
      <c r="NDD8" s="37"/>
      <c r="NDE8" s="36"/>
      <c r="NDF8" s="36"/>
      <c r="NDG8" s="37"/>
      <c r="NDH8" s="37"/>
      <c r="NDJ8" s="22"/>
      <c r="NDK8" s="35"/>
      <c r="NDL8" s="36"/>
      <c r="NDM8" s="37"/>
      <c r="NDN8" s="36"/>
      <c r="NDO8" s="37"/>
      <c r="NDP8" s="36"/>
      <c r="NDQ8" s="37"/>
      <c r="NDR8" s="36"/>
      <c r="NDS8" s="37"/>
      <c r="NDT8" s="36"/>
      <c r="NDU8" s="37"/>
      <c r="NDV8" s="36"/>
      <c r="NDW8" s="37"/>
      <c r="NDX8" s="36"/>
      <c r="NDY8" s="37"/>
      <c r="NDZ8" s="36"/>
      <c r="NEA8" s="37"/>
      <c r="NEB8" s="36"/>
      <c r="NEC8" s="37"/>
      <c r="NED8" s="36"/>
      <c r="NEE8" s="36"/>
      <c r="NEF8" s="37"/>
      <c r="NEG8" s="37"/>
      <c r="NEI8" s="22"/>
      <c r="NEJ8" s="35"/>
      <c r="NEK8" s="36"/>
      <c r="NEL8" s="37"/>
      <c r="NEM8" s="36"/>
      <c r="NEN8" s="37"/>
      <c r="NEO8" s="36"/>
      <c r="NEP8" s="37"/>
      <c r="NEQ8" s="36"/>
      <c r="NER8" s="37"/>
      <c r="NES8" s="36"/>
      <c r="NET8" s="37"/>
      <c r="NEU8" s="36"/>
      <c r="NEV8" s="37"/>
      <c r="NEW8" s="36"/>
      <c r="NEX8" s="37"/>
      <c r="NEY8" s="36"/>
      <c r="NEZ8" s="37"/>
      <c r="NFA8" s="36"/>
      <c r="NFB8" s="37"/>
      <c r="NFC8" s="36"/>
      <c r="NFD8" s="36"/>
      <c r="NFE8" s="37"/>
      <c r="NFF8" s="37"/>
      <c r="NFH8" s="22"/>
      <c r="NFI8" s="35"/>
      <c r="NFJ8" s="36"/>
      <c r="NFK8" s="37"/>
      <c r="NFL8" s="36"/>
      <c r="NFM8" s="37"/>
      <c r="NFN8" s="36"/>
      <c r="NFO8" s="37"/>
      <c r="NFP8" s="36"/>
      <c r="NFQ8" s="37"/>
      <c r="NFR8" s="36"/>
      <c r="NFS8" s="37"/>
      <c r="NFT8" s="36"/>
      <c r="NFU8" s="37"/>
      <c r="NFV8" s="36"/>
      <c r="NFW8" s="37"/>
      <c r="NFX8" s="36"/>
      <c r="NFY8" s="37"/>
      <c r="NFZ8" s="36"/>
      <c r="NGA8" s="37"/>
      <c r="NGB8" s="36"/>
      <c r="NGC8" s="36"/>
      <c r="NGD8" s="37"/>
      <c r="NGE8" s="37"/>
      <c r="NGG8" s="22"/>
      <c r="NGH8" s="35"/>
      <c r="NGI8" s="36"/>
      <c r="NGJ8" s="37"/>
      <c r="NGK8" s="36"/>
      <c r="NGL8" s="37"/>
      <c r="NGM8" s="36"/>
      <c r="NGN8" s="37"/>
      <c r="NGO8" s="36"/>
      <c r="NGP8" s="37"/>
      <c r="NGQ8" s="36"/>
      <c r="NGR8" s="37"/>
      <c r="NGS8" s="36"/>
      <c r="NGT8" s="37"/>
      <c r="NGU8" s="36"/>
      <c r="NGV8" s="37"/>
      <c r="NGW8" s="36"/>
      <c r="NGX8" s="37"/>
      <c r="NGY8" s="36"/>
      <c r="NGZ8" s="37"/>
      <c r="NHA8" s="36"/>
      <c r="NHB8" s="36"/>
      <c r="NHC8" s="37"/>
      <c r="NHD8" s="37"/>
      <c r="NHF8" s="22"/>
      <c r="NHG8" s="35"/>
      <c r="NHH8" s="36"/>
      <c r="NHI8" s="37"/>
      <c r="NHJ8" s="36"/>
      <c r="NHK8" s="37"/>
      <c r="NHL8" s="36"/>
      <c r="NHM8" s="37"/>
      <c r="NHN8" s="36"/>
      <c r="NHO8" s="37"/>
      <c r="NHP8" s="36"/>
      <c r="NHQ8" s="37"/>
      <c r="NHR8" s="36"/>
      <c r="NHS8" s="37"/>
      <c r="NHT8" s="36"/>
      <c r="NHU8" s="37"/>
      <c r="NHV8" s="36"/>
      <c r="NHW8" s="37"/>
      <c r="NHX8" s="36"/>
      <c r="NHY8" s="37"/>
      <c r="NHZ8" s="36"/>
      <c r="NIA8" s="36"/>
      <c r="NIB8" s="37"/>
      <c r="NIC8" s="37"/>
      <c r="NIE8" s="22"/>
      <c r="NIF8" s="35"/>
      <c r="NIG8" s="36"/>
      <c r="NIH8" s="37"/>
      <c r="NII8" s="36"/>
      <c r="NIJ8" s="37"/>
      <c r="NIK8" s="36"/>
      <c r="NIL8" s="37"/>
      <c r="NIM8" s="36"/>
      <c r="NIN8" s="37"/>
      <c r="NIO8" s="36"/>
      <c r="NIP8" s="37"/>
      <c r="NIQ8" s="36"/>
      <c r="NIR8" s="37"/>
      <c r="NIS8" s="36"/>
      <c r="NIT8" s="37"/>
      <c r="NIU8" s="36"/>
      <c r="NIV8" s="37"/>
      <c r="NIW8" s="36"/>
      <c r="NIX8" s="37"/>
      <c r="NIY8" s="36"/>
      <c r="NIZ8" s="36"/>
      <c r="NJA8" s="37"/>
      <c r="NJB8" s="37"/>
      <c r="NJD8" s="22"/>
      <c r="NJE8" s="35"/>
      <c r="NJF8" s="36"/>
      <c r="NJG8" s="37"/>
      <c r="NJH8" s="36"/>
      <c r="NJI8" s="37"/>
      <c r="NJJ8" s="36"/>
      <c r="NJK8" s="37"/>
      <c r="NJL8" s="36"/>
      <c r="NJM8" s="37"/>
      <c r="NJN8" s="36"/>
      <c r="NJO8" s="37"/>
      <c r="NJP8" s="36"/>
      <c r="NJQ8" s="37"/>
      <c r="NJR8" s="36"/>
      <c r="NJS8" s="37"/>
      <c r="NJT8" s="36"/>
      <c r="NJU8" s="37"/>
      <c r="NJV8" s="36"/>
      <c r="NJW8" s="37"/>
      <c r="NJX8" s="36"/>
      <c r="NJY8" s="36"/>
      <c r="NJZ8" s="37"/>
      <c r="NKA8" s="37"/>
      <c r="NKC8" s="22"/>
      <c r="NKD8" s="35"/>
      <c r="NKE8" s="36"/>
      <c r="NKF8" s="37"/>
      <c r="NKG8" s="36"/>
      <c r="NKH8" s="37"/>
      <c r="NKI8" s="36"/>
      <c r="NKJ8" s="37"/>
      <c r="NKK8" s="36"/>
      <c r="NKL8" s="37"/>
      <c r="NKM8" s="36"/>
      <c r="NKN8" s="37"/>
      <c r="NKO8" s="36"/>
      <c r="NKP8" s="37"/>
      <c r="NKQ8" s="36"/>
      <c r="NKR8" s="37"/>
      <c r="NKS8" s="36"/>
      <c r="NKT8" s="37"/>
      <c r="NKU8" s="36"/>
      <c r="NKV8" s="37"/>
      <c r="NKW8" s="36"/>
      <c r="NKX8" s="36"/>
      <c r="NKY8" s="37"/>
      <c r="NKZ8" s="37"/>
      <c r="NLB8" s="22"/>
      <c r="NLC8" s="35"/>
      <c r="NLD8" s="36"/>
      <c r="NLE8" s="37"/>
      <c r="NLF8" s="36"/>
      <c r="NLG8" s="37"/>
      <c r="NLH8" s="36"/>
      <c r="NLI8" s="37"/>
      <c r="NLJ8" s="36"/>
      <c r="NLK8" s="37"/>
      <c r="NLL8" s="36"/>
      <c r="NLM8" s="37"/>
      <c r="NLN8" s="36"/>
      <c r="NLO8" s="37"/>
      <c r="NLP8" s="36"/>
      <c r="NLQ8" s="37"/>
      <c r="NLR8" s="36"/>
      <c r="NLS8" s="37"/>
      <c r="NLT8" s="36"/>
      <c r="NLU8" s="37"/>
      <c r="NLV8" s="36"/>
      <c r="NLW8" s="36"/>
      <c r="NLX8" s="37"/>
      <c r="NLY8" s="37"/>
      <c r="NMA8" s="22"/>
      <c r="NMB8" s="35"/>
      <c r="NMC8" s="36"/>
      <c r="NMD8" s="37"/>
      <c r="NME8" s="36"/>
      <c r="NMF8" s="37"/>
      <c r="NMG8" s="36"/>
      <c r="NMH8" s="37"/>
      <c r="NMI8" s="36"/>
      <c r="NMJ8" s="37"/>
      <c r="NMK8" s="36"/>
      <c r="NML8" s="37"/>
      <c r="NMM8" s="36"/>
      <c r="NMN8" s="37"/>
      <c r="NMO8" s="36"/>
      <c r="NMP8" s="37"/>
      <c r="NMQ8" s="36"/>
      <c r="NMR8" s="37"/>
      <c r="NMS8" s="36"/>
      <c r="NMT8" s="37"/>
      <c r="NMU8" s="36"/>
      <c r="NMV8" s="36"/>
      <c r="NMW8" s="37"/>
      <c r="NMX8" s="37"/>
      <c r="NMZ8" s="22"/>
      <c r="NNA8" s="35"/>
      <c r="NNB8" s="36"/>
      <c r="NNC8" s="37"/>
      <c r="NND8" s="36"/>
      <c r="NNE8" s="37"/>
      <c r="NNF8" s="36"/>
      <c r="NNG8" s="37"/>
      <c r="NNH8" s="36"/>
      <c r="NNI8" s="37"/>
      <c r="NNJ8" s="36"/>
      <c r="NNK8" s="37"/>
      <c r="NNL8" s="36"/>
      <c r="NNM8" s="37"/>
      <c r="NNN8" s="36"/>
      <c r="NNO8" s="37"/>
      <c r="NNP8" s="36"/>
      <c r="NNQ8" s="37"/>
      <c r="NNR8" s="36"/>
      <c r="NNS8" s="37"/>
      <c r="NNT8" s="36"/>
      <c r="NNU8" s="36"/>
      <c r="NNV8" s="37"/>
      <c r="NNW8" s="37"/>
      <c r="NNY8" s="22"/>
      <c r="NNZ8" s="35"/>
      <c r="NOA8" s="36"/>
      <c r="NOB8" s="37"/>
      <c r="NOC8" s="36"/>
      <c r="NOD8" s="37"/>
      <c r="NOE8" s="36"/>
      <c r="NOF8" s="37"/>
      <c r="NOG8" s="36"/>
      <c r="NOH8" s="37"/>
      <c r="NOI8" s="36"/>
      <c r="NOJ8" s="37"/>
      <c r="NOK8" s="36"/>
      <c r="NOL8" s="37"/>
      <c r="NOM8" s="36"/>
      <c r="NON8" s="37"/>
      <c r="NOO8" s="36"/>
      <c r="NOP8" s="37"/>
      <c r="NOQ8" s="36"/>
      <c r="NOR8" s="37"/>
      <c r="NOS8" s="36"/>
      <c r="NOT8" s="36"/>
      <c r="NOU8" s="37"/>
      <c r="NOV8" s="37"/>
      <c r="NOX8" s="22"/>
      <c r="NOY8" s="35"/>
      <c r="NOZ8" s="36"/>
      <c r="NPA8" s="37"/>
      <c r="NPB8" s="36"/>
      <c r="NPC8" s="37"/>
      <c r="NPD8" s="36"/>
      <c r="NPE8" s="37"/>
      <c r="NPF8" s="36"/>
      <c r="NPG8" s="37"/>
      <c r="NPH8" s="36"/>
      <c r="NPI8" s="37"/>
      <c r="NPJ8" s="36"/>
      <c r="NPK8" s="37"/>
      <c r="NPL8" s="36"/>
      <c r="NPM8" s="37"/>
      <c r="NPN8" s="36"/>
      <c r="NPO8" s="37"/>
      <c r="NPP8" s="36"/>
      <c r="NPQ8" s="37"/>
      <c r="NPR8" s="36"/>
      <c r="NPS8" s="36"/>
      <c r="NPT8" s="37"/>
      <c r="NPU8" s="37"/>
      <c r="NPW8" s="22"/>
      <c r="NPX8" s="35"/>
      <c r="NPY8" s="36"/>
      <c r="NPZ8" s="37"/>
      <c r="NQA8" s="36"/>
      <c r="NQB8" s="37"/>
      <c r="NQC8" s="36"/>
      <c r="NQD8" s="37"/>
      <c r="NQE8" s="36"/>
      <c r="NQF8" s="37"/>
      <c r="NQG8" s="36"/>
      <c r="NQH8" s="37"/>
      <c r="NQI8" s="36"/>
      <c r="NQJ8" s="37"/>
      <c r="NQK8" s="36"/>
      <c r="NQL8" s="37"/>
      <c r="NQM8" s="36"/>
      <c r="NQN8" s="37"/>
      <c r="NQO8" s="36"/>
      <c r="NQP8" s="37"/>
      <c r="NQQ8" s="36"/>
      <c r="NQR8" s="36"/>
      <c r="NQS8" s="37"/>
      <c r="NQT8" s="37"/>
      <c r="NQV8" s="22"/>
      <c r="NQW8" s="35"/>
      <c r="NQX8" s="36"/>
      <c r="NQY8" s="37"/>
      <c r="NQZ8" s="36"/>
      <c r="NRA8" s="37"/>
      <c r="NRB8" s="36"/>
      <c r="NRC8" s="37"/>
      <c r="NRD8" s="36"/>
      <c r="NRE8" s="37"/>
      <c r="NRF8" s="36"/>
      <c r="NRG8" s="37"/>
      <c r="NRH8" s="36"/>
      <c r="NRI8" s="37"/>
      <c r="NRJ8" s="36"/>
      <c r="NRK8" s="37"/>
      <c r="NRL8" s="36"/>
      <c r="NRM8" s="37"/>
      <c r="NRN8" s="36"/>
      <c r="NRO8" s="37"/>
      <c r="NRP8" s="36"/>
      <c r="NRQ8" s="36"/>
      <c r="NRR8" s="37"/>
      <c r="NRS8" s="37"/>
      <c r="NRU8" s="22"/>
      <c r="NRV8" s="35"/>
      <c r="NRW8" s="36"/>
      <c r="NRX8" s="37"/>
      <c r="NRY8" s="36"/>
      <c r="NRZ8" s="37"/>
      <c r="NSA8" s="36"/>
      <c r="NSB8" s="37"/>
      <c r="NSC8" s="36"/>
      <c r="NSD8" s="37"/>
      <c r="NSE8" s="36"/>
      <c r="NSF8" s="37"/>
      <c r="NSG8" s="36"/>
      <c r="NSH8" s="37"/>
      <c r="NSI8" s="36"/>
      <c r="NSJ8" s="37"/>
      <c r="NSK8" s="36"/>
      <c r="NSL8" s="37"/>
      <c r="NSM8" s="36"/>
      <c r="NSN8" s="37"/>
      <c r="NSO8" s="36"/>
      <c r="NSP8" s="36"/>
      <c r="NSQ8" s="37"/>
      <c r="NSR8" s="37"/>
      <c r="NST8" s="22"/>
      <c r="NSU8" s="35"/>
      <c r="NSV8" s="36"/>
      <c r="NSW8" s="37"/>
      <c r="NSX8" s="36"/>
      <c r="NSY8" s="37"/>
      <c r="NSZ8" s="36"/>
      <c r="NTA8" s="37"/>
      <c r="NTB8" s="36"/>
      <c r="NTC8" s="37"/>
      <c r="NTD8" s="36"/>
      <c r="NTE8" s="37"/>
      <c r="NTF8" s="36"/>
      <c r="NTG8" s="37"/>
      <c r="NTH8" s="36"/>
      <c r="NTI8" s="37"/>
      <c r="NTJ8" s="36"/>
      <c r="NTK8" s="37"/>
      <c r="NTL8" s="36"/>
      <c r="NTM8" s="37"/>
      <c r="NTN8" s="36"/>
      <c r="NTO8" s="36"/>
      <c r="NTP8" s="37"/>
      <c r="NTQ8" s="37"/>
      <c r="NTS8" s="22"/>
      <c r="NTT8" s="35"/>
      <c r="NTU8" s="36"/>
      <c r="NTV8" s="37"/>
      <c r="NTW8" s="36"/>
      <c r="NTX8" s="37"/>
      <c r="NTY8" s="36"/>
      <c r="NTZ8" s="37"/>
      <c r="NUA8" s="36"/>
      <c r="NUB8" s="37"/>
      <c r="NUC8" s="36"/>
      <c r="NUD8" s="37"/>
      <c r="NUE8" s="36"/>
      <c r="NUF8" s="37"/>
      <c r="NUG8" s="36"/>
      <c r="NUH8" s="37"/>
      <c r="NUI8" s="36"/>
      <c r="NUJ8" s="37"/>
      <c r="NUK8" s="36"/>
      <c r="NUL8" s="37"/>
      <c r="NUM8" s="36"/>
      <c r="NUN8" s="36"/>
      <c r="NUO8" s="37"/>
      <c r="NUP8" s="37"/>
      <c r="NUR8" s="22"/>
      <c r="NUS8" s="35"/>
      <c r="NUT8" s="36"/>
      <c r="NUU8" s="37"/>
      <c r="NUV8" s="36"/>
      <c r="NUW8" s="37"/>
      <c r="NUX8" s="36"/>
      <c r="NUY8" s="37"/>
      <c r="NUZ8" s="36"/>
      <c r="NVA8" s="37"/>
      <c r="NVB8" s="36"/>
      <c r="NVC8" s="37"/>
      <c r="NVD8" s="36"/>
      <c r="NVE8" s="37"/>
      <c r="NVF8" s="36"/>
      <c r="NVG8" s="37"/>
      <c r="NVH8" s="36"/>
      <c r="NVI8" s="37"/>
      <c r="NVJ8" s="36"/>
      <c r="NVK8" s="37"/>
      <c r="NVL8" s="36"/>
      <c r="NVM8" s="36"/>
      <c r="NVN8" s="37"/>
      <c r="NVO8" s="37"/>
      <c r="NVQ8" s="22"/>
      <c r="NVR8" s="35"/>
      <c r="NVS8" s="36"/>
      <c r="NVT8" s="37"/>
      <c r="NVU8" s="36"/>
      <c r="NVV8" s="37"/>
      <c r="NVW8" s="36"/>
      <c r="NVX8" s="37"/>
      <c r="NVY8" s="36"/>
      <c r="NVZ8" s="37"/>
      <c r="NWA8" s="36"/>
      <c r="NWB8" s="37"/>
      <c r="NWC8" s="36"/>
      <c r="NWD8" s="37"/>
      <c r="NWE8" s="36"/>
      <c r="NWF8" s="37"/>
      <c r="NWG8" s="36"/>
      <c r="NWH8" s="37"/>
      <c r="NWI8" s="36"/>
      <c r="NWJ8" s="37"/>
      <c r="NWK8" s="36"/>
      <c r="NWL8" s="36"/>
      <c r="NWM8" s="37"/>
      <c r="NWN8" s="37"/>
      <c r="NWP8" s="22"/>
      <c r="NWQ8" s="35"/>
      <c r="NWR8" s="36"/>
      <c r="NWS8" s="37"/>
      <c r="NWT8" s="36"/>
      <c r="NWU8" s="37"/>
      <c r="NWV8" s="36"/>
      <c r="NWW8" s="37"/>
      <c r="NWX8" s="36"/>
      <c r="NWY8" s="37"/>
      <c r="NWZ8" s="36"/>
      <c r="NXA8" s="37"/>
      <c r="NXB8" s="36"/>
      <c r="NXC8" s="37"/>
      <c r="NXD8" s="36"/>
      <c r="NXE8" s="37"/>
      <c r="NXF8" s="36"/>
      <c r="NXG8" s="37"/>
      <c r="NXH8" s="36"/>
      <c r="NXI8" s="37"/>
      <c r="NXJ8" s="36"/>
      <c r="NXK8" s="36"/>
      <c r="NXL8" s="37"/>
      <c r="NXM8" s="37"/>
      <c r="NXO8" s="22"/>
      <c r="NXP8" s="35"/>
      <c r="NXQ8" s="36"/>
      <c r="NXR8" s="37"/>
      <c r="NXS8" s="36"/>
      <c r="NXT8" s="37"/>
      <c r="NXU8" s="36"/>
      <c r="NXV8" s="37"/>
      <c r="NXW8" s="36"/>
      <c r="NXX8" s="37"/>
      <c r="NXY8" s="36"/>
      <c r="NXZ8" s="37"/>
      <c r="NYA8" s="36"/>
      <c r="NYB8" s="37"/>
      <c r="NYC8" s="36"/>
      <c r="NYD8" s="37"/>
      <c r="NYE8" s="36"/>
      <c r="NYF8" s="37"/>
      <c r="NYG8" s="36"/>
      <c r="NYH8" s="37"/>
      <c r="NYI8" s="36"/>
      <c r="NYJ8" s="36"/>
      <c r="NYK8" s="37"/>
      <c r="NYL8" s="37"/>
      <c r="NYN8" s="22"/>
      <c r="NYO8" s="35"/>
      <c r="NYP8" s="36"/>
      <c r="NYQ8" s="37"/>
      <c r="NYR8" s="36"/>
      <c r="NYS8" s="37"/>
      <c r="NYT8" s="36"/>
      <c r="NYU8" s="37"/>
      <c r="NYV8" s="36"/>
      <c r="NYW8" s="37"/>
      <c r="NYX8" s="36"/>
      <c r="NYY8" s="37"/>
      <c r="NYZ8" s="36"/>
      <c r="NZA8" s="37"/>
      <c r="NZB8" s="36"/>
      <c r="NZC8" s="37"/>
      <c r="NZD8" s="36"/>
      <c r="NZE8" s="37"/>
      <c r="NZF8" s="36"/>
      <c r="NZG8" s="37"/>
      <c r="NZH8" s="36"/>
      <c r="NZI8" s="36"/>
      <c r="NZJ8" s="37"/>
      <c r="NZK8" s="37"/>
      <c r="NZM8" s="22"/>
      <c r="NZN8" s="35"/>
      <c r="NZO8" s="36"/>
      <c r="NZP8" s="37"/>
      <c r="NZQ8" s="36"/>
      <c r="NZR8" s="37"/>
      <c r="NZS8" s="36"/>
      <c r="NZT8" s="37"/>
      <c r="NZU8" s="36"/>
      <c r="NZV8" s="37"/>
      <c r="NZW8" s="36"/>
      <c r="NZX8" s="37"/>
      <c r="NZY8" s="36"/>
      <c r="NZZ8" s="37"/>
      <c r="OAA8" s="36"/>
      <c r="OAB8" s="37"/>
      <c r="OAC8" s="36"/>
      <c r="OAD8" s="37"/>
      <c r="OAE8" s="36"/>
      <c r="OAF8" s="37"/>
      <c r="OAG8" s="36"/>
      <c r="OAH8" s="36"/>
      <c r="OAI8" s="37"/>
      <c r="OAJ8" s="37"/>
      <c r="OAL8" s="22"/>
      <c r="OAM8" s="35"/>
      <c r="OAN8" s="36"/>
      <c r="OAO8" s="37"/>
      <c r="OAP8" s="36"/>
      <c r="OAQ8" s="37"/>
      <c r="OAR8" s="36"/>
      <c r="OAS8" s="37"/>
      <c r="OAT8" s="36"/>
      <c r="OAU8" s="37"/>
      <c r="OAV8" s="36"/>
      <c r="OAW8" s="37"/>
      <c r="OAX8" s="36"/>
      <c r="OAY8" s="37"/>
      <c r="OAZ8" s="36"/>
      <c r="OBA8" s="37"/>
      <c r="OBB8" s="36"/>
      <c r="OBC8" s="37"/>
      <c r="OBD8" s="36"/>
      <c r="OBE8" s="37"/>
      <c r="OBF8" s="36"/>
      <c r="OBG8" s="36"/>
      <c r="OBH8" s="37"/>
      <c r="OBI8" s="37"/>
      <c r="OBK8" s="22"/>
      <c r="OBL8" s="35"/>
      <c r="OBM8" s="36"/>
      <c r="OBN8" s="37"/>
      <c r="OBO8" s="36"/>
      <c r="OBP8" s="37"/>
      <c r="OBQ8" s="36"/>
      <c r="OBR8" s="37"/>
      <c r="OBS8" s="36"/>
      <c r="OBT8" s="37"/>
      <c r="OBU8" s="36"/>
      <c r="OBV8" s="37"/>
      <c r="OBW8" s="36"/>
      <c r="OBX8" s="37"/>
      <c r="OBY8" s="36"/>
      <c r="OBZ8" s="37"/>
      <c r="OCA8" s="36"/>
      <c r="OCB8" s="37"/>
      <c r="OCC8" s="36"/>
      <c r="OCD8" s="37"/>
      <c r="OCE8" s="36"/>
      <c r="OCF8" s="36"/>
      <c r="OCG8" s="37"/>
      <c r="OCH8" s="37"/>
      <c r="OCJ8" s="22"/>
      <c r="OCK8" s="35"/>
      <c r="OCL8" s="36"/>
      <c r="OCM8" s="37"/>
      <c r="OCN8" s="36"/>
      <c r="OCO8" s="37"/>
      <c r="OCP8" s="36"/>
      <c r="OCQ8" s="37"/>
      <c r="OCR8" s="36"/>
      <c r="OCS8" s="37"/>
      <c r="OCT8" s="36"/>
      <c r="OCU8" s="37"/>
      <c r="OCV8" s="36"/>
      <c r="OCW8" s="37"/>
      <c r="OCX8" s="36"/>
      <c r="OCY8" s="37"/>
      <c r="OCZ8" s="36"/>
      <c r="ODA8" s="37"/>
      <c r="ODB8" s="36"/>
      <c r="ODC8" s="37"/>
      <c r="ODD8" s="36"/>
      <c r="ODE8" s="36"/>
      <c r="ODF8" s="37"/>
      <c r="ODG8" s="37"/>
      <c r="ODI8" s="22"/>
      <c r="ODJ8" s="35"/>
      <c r="ODK8" s="36"/>
      <c r="ODL8" s="37"/>
      <c r="ODM8" s="36"/>
      <c r="ODN8" s="37"/>
      <c r="ODO8" s="36"/>
      <c r="ODP8" s="37"/>
      <c r="ODQ8" s="36"/>
      <c r="ODR8" s="37"/>
      <c r="ODS8" s="36"/>
      <c r="ODT8" s="37"/>
      <c r="ODU8" s="36"/>
      <c r="ODV8" s="37"/>
      <c r="ODW8" s="36"/>
      <c r="ODX8" s="37"/>
      <c r="ODY8" s="36"/>
      <c r="ODZ8" s="37"/>
      <c r="OEA8" s="36"/>
      <c r="OEB8" s="37"/>
      <c r="OEC8" s="36"/>
      <c r="OED8" s="36"/>
      <c r="OEE8" s="37"/>
      <c r="OEF8" s="37"/>
      <c r="OEH8" s="22"/>
      <c r="OEI8" s="35"/>
      <c r="OEJ8" s="36"/>
      <c r="OEK8" s="37"/>
      <c r="OEL8" s="36"/>
      <c r="OEM8" s="37"/>
      <c r="OEN8" s="36"/>
      <c r="OEO8" s="37"/>
      <c r="OEP8" s="36"/>
      <c r="OEQ8" s="37"/>
      <c r="OER8" s="36"/>
      <c r="OES8" s="37"/>
      <c r="OET8" s="36"/>
      <c r="OEU8" s="37"/>
      <c r="OEV8" s="36"/>
      <c r="OEW8" s="37"/>
      <c r="OEX8" s="36"/>
      <c r="OEY8" s="37"/>
      <c r="OEZ8" s="36"/>
      <c r="OFA8" s="37"/>
      <c r="OFB8" s="36"/>
      <c r="OFC8" s="36"/>
      <c r="OFD8" s="37"/>
      <c r="OFE8" s="37"/>
      <c r="OFG8" s="22"/>
      <c r="OFH8" s="35"/>
      <c r="OFI8" s="36"/>
      <c r="OFJ8" s="37"/>
      <c r="OFK8" s="36"/>
      <c r="OFL8" s="37"/>
      <c r="OFM8" s="36"/>
      <c r="OFN8" s="37"/>
      <c r="OFO8" s="36"/>
      <c r="OFP8" s="37"/>
      <c r="OFQ8" s="36"/>
      <c r="OFR8" s="37"/>
      <c r="OFS8" s="36"/>
      <c r="OFT8" s="37"/>
      <c r="OFU8" s="36"/>
      <c r="OFV8" s="37"/>
      <c r="OFW8" s="36"/>
      <c r="OFX8" s="37"/>
      <c r="OFY8" s="36"/>
      <c r="OFZ8" s="37"/>
      <c r="OGA8" s="36"/>
      <c r="OGB8" s="36"/>
      <c r="OGC8" s="37"/>
      <c r="OGD8" s="37"/>
      <c r="OGF8" s="22"/>
      <c r="OGG8" s="35"/>
      <c r="OGH8" s="36"/>
      <c r="OGI8" s="37"/>
      <c r="OGJ8" s="36"/>
      <c r="OGK8" s="37"/>
      <c r="OGL8" s="36"/>
      <c r="OGM8" s="37"/>
      <c r="OGN8" s="36"/>
      <c r="OGO8" s="37"/>
      <c r="OGP8" s="36"/>
      <c r="OGQ8" s="37"/>
      <c r="OGR8" s="36"/>
      <c r="OGS8" s="37"/>
      <c r="OGT8" s="36"/>
      <c r="OGU8" s="37"/>
      <c r="OGV8" s="36"/>
      <c r="OGW8" s="37"/>
      <c r="OGX8" s="36"/>
      <c r="OGY8" s="37"/>
      <c r="OGZ8" s="36"/>
      <c r="OHA8" s="36"/>
      <c r="OHB8" s="37"/>
      <c r="OHC8" s="37"/>
      <c r="OHE8" s="22"/>
      <c r="OHF8" s="35"/>
      <c r="OHG8" s="36"/>
      <c r="OHH8" s="37"/>
      <c r="OHI8" s="36"/>
      <c r="OHJ8" s="37"/>
      <c r="OHK8" s="36"/>
      <c r="OHL8" s="37"/>
      <c r="OHM8" s="36"/>
      <c r="OHN8" s="37"/>
      <c r="OHO8" s="36"/>
      <c r="OHP8" s="37"/>
      <c r="OHQ8" s="36"/>
      <c r="OHR8" s="37"/>
      <c r="OHS8" s="36"/>
      <c r="OHT8" s="37"/>
      <c r="OHU8" s="36"/>
      <c r="OHV8" s="37"/>
      <c r="OHW8" s="36"/>
      <c r="OHX8" s="37"/>
      <c r="OHY8" s="36"/>
      <c r="OHZ8" s="36"/>
      <c r="OIA8" s="37"/>
      <c r="OIB8" s="37"/>
      <c r="OID8" s="22"/>
      <c r="OIE8" s="35"/>
      <c r="OIF8" s="36"/>
      <c r="OIG8" s="37"/>
      <c r="OIH8" s="36"/>
      <c r="OII8" s="37"/>
      <c r="OIJ8" s="36"/>
      <c r="OIK8" s="37"/>
      <c r="OIL8" s="36"/>
      <c r="OIM8" s="37"/>
      <c r="OIN8" s="36"/>
      <c r="OIO8" s="37"/>
      <c r="OIP8" s="36"/>
      <c r="OIQ8" s="37"/>
      <c r="OIR8" s="36"/>
      <c r="OIS8" s="37"/>
      <c r="OIT8" s="36"/>
      <c r="OIU8" s="37"/>
      <c r="OIV8" s="36"/>
      <c r="OIW8" s="37"/>
      <c r="OIX8" s="36"/>
      <c r="OIY8" s="36"/>
      <c r="OIZ8" s="37"/>
      <c r="OJA8" s="37"/>
      <c r="OJC8" s="22"/>
      <c r="OJD8" s="35"/>
      <c r="OJE8" s="36"/>
      <c r="OJF8" s="37"/>
      <c r="OJG8" s="36"/>
      <c r="OJH8" s="37"/>
      <c r="OJI8" s="36"/>
      <c r="OJJ8" s="37"/>
      <c r="OJK8" s="36"/>
      <c r="OJL8" s="37"/>
      <c r="OJM8" s="36"/>
      <c r="OJN8" s="37"/>
      <c r="OJO8" s="36"/>
      <c r="OJP8" s="37"/>
      <c r="OJQ8" s="36"/>
      <c r="OJR8" s="37"/>
      <c r="OJS8" s="36"/>
      <c r="OJT8" s="37"/>
      <c r="OJU8" s="36"/>
      <c r="OJV8" s="37"/>
      <c r="OJW8" s="36"/>
      <c r="OJX8" s="36"/>
      <c r="OJY8" s="37"/>
      <c r="OJZ8" s="37"/>
      <c r="OKB8" s="22"/>
      <c r="OKC8" s="35"/>
      <c r="OKD8" s="36"/>
      <c r="OKE8" s="37"/>
      <c r="OKF8" s="36"/>
      <c r="OKG8" s="37"/>
      <c r="OKH8" s="36"/>
      <c r="OKI8" s="37"/>
      <c r="OKJ8" s="36"/>
      <c r="OKK8" s="37"/>
      <c r="OKL8" s="36"/>
      <c r="OKM8" s="37"/>
      <c r="OKN8" s="36"/>
      <c r="OKO8" s="37"/>
      <c r="OKP8" s="36"/>
      <c r="OKQ8" s="37"/>
      <c r="OKR8" s="36"/>
      <c r="OKS8" s="37"/>
      <c r="OKT8" s="36"/>
      <c r="OKU8" s="37"/>
      <c r="OKV8" s="36"/>
      <c r="OKW8" s="36"/>
      <c r="OKX8" s="37"/>
      <c r="OKY8" s="37"/>
      <c r="OLA8" s="22"/>
      <c r="OLB8" s="35"/>
      <c r="OLC8" s="36"/>
      <c r="OLD8" s="37"/>
      <c r="OLE8" s="36"/>
      <c r="OLF8" s="37"/>
      <c r="OLG8" s="36"/>
      <c r="OLH8" s="37"/>
      <c r="OLI8" s="36"/>
      <c r="OLJ8" s="37"/>
      <c r="OLK8" s="36"/>
      <c r="OLL8" s="37"/>
      <c r="OLM8" s="36"/>
      <c r="OLN8" s="37"/>
      <c r="OLO8" s="36"/>
      <c r="OLP8" s="37"/>
      <c r="OLQ8" s="36"/>
      <c r="OLR8" s="37"/>
      <c r="OLS8" s="36"/>
      <c r="OLT8" s="37"/>
      <c r="OLU8" s="36"/>
      <c r="OLV8" s="36"/>
      <c r="OLW8" s="37"/>
      <c r="OLX8" s="37"/>
      <c r="OLZ8" s="22"/>
      <c r="OMA8" s="35"/>
      <c r="OMB8" s="36"/>
      <c r="OMC8" s="37"/>
      <c r="OMD8" s="36"/>
      <c r="OME8" s="37"/>
      <c r="OMF8" s="36"/>
      <c r="OMG8" s="37"/>
      <c r="OMH8" s="36"/>
      <c r="OMI8" s="37"/>
      <c r="OMJ8" s="36"/>
      <c r="OMK8" s="37"/>
      <c r="OML8" s="36"/>
      <c r="OMM8" s="37"/>
      <c r="OMN8" s="36"/>
      <c r="OMO8" s="37"/>
      <c r="OMP8" s="36"/>
      <c r="OMQ8" s="37"/>
      <c r="OMR8" s="36"/>
      <c r="OMS8" s="37"/>
      <c r="OMT8" s="36"/>
      <c r="OMU8" s="36"/>
      <c r="OMV8" s="37"/>
      <c r="OMW8" s="37"/>
      <c r="OMY8" s="22"/>
      <c r="OMZ8" s="35"/>
      <c r="ONA8" s="36"/>
      <c r="ONB8" s="37"/>
      <c r="ONC8" s="36"/>
      <c r="OND8" s="37"/>
      <c r="ONE8" s="36"/>
      <c r="ONF8" s="37"/>
      <c r="ONG8" s="36"/>
      <c r="ONH8" s="37"/>
      <c r="ONI8" s="36"/>
      <c r="ONJ8" s="37"/>
      <c r="ONK8" s="36"/>
      <c r="ONL8" s="37"/>
      <c r="ONM8" s="36"/>
      <c r="ONN8" s="37"/>
      <c r="ONO8" s="36"/>
      <c r="ONP8" s="37"/>
      <c r="ONQ8" s="36"/>
      <c r="ONR8" s="37"/>
      <c r="ONS8" s="36"/>
      <c r="ONT8" s="36"/>
      <c r="ONU8" s="37"/>
      <c r="ONV8" s="37"/>
      <c r="ONX8" s="22"/>
      <c r="ONY8" s="35"/>
      <c r="ONZ8" s="36"/>
      <c r="OOA8" s="37"/>
      <c r="OOB8" s="36"/>
      <c r="OOC8" s="37"/>
      <c r="OOD8" s="36"/>
      <c r="OOE8" s="37"/>
      <c r="OOF8" s="36"/>
      <c r="OOG8" s="37"/>
      <c r="OOH8" s="36"/>
      <c r="OOI8" s="37"/>
      <c r="OOJ8" s="36"/>
      <c r="OOK8" s="37"/>
      <c r="OOL8" s="36"/>
      <c r="OOM8" s="37"/>
      <c r="OON8" s="36"/>
      <c r="OOO8" s="37"/>
      <c r="OOP8" s="36"/>
      <c r="OOQ8" s="37"/>
      <c r="OOR8" s="36"/>
      <c r="OOS8" s="36"/>
      <c r="OOT8" s="37"/>
      <c r="OOU8" s="37"/>
      <c r="OOW8" s="22"/>
      <c r="OOX8" s="35"/>
      <c r="OOY8" s="36"/>
      <c r="OOZ8" s="37"/>
      <c r="OPA8" s="36"/>
      <c r="OPB8" s="37"/>
      <c r="OPC8" s="36"/>
      <c r="OPD8" s="37"/>
      <c r="OPE8" s="36"/>
      <c r="OPF8" s="37"/>
      <c r="OPG8" s="36"/>
      <c r="OPH8" s="37"/>
      <c r="OPI8" s="36"/>
      <c r="OPJ8" s="37"/>
      <c r="OPK8" s="36"/>
      <c r="OPL8" s="37"/>
      <c r="OPM8" s="36"/>
      <c r="OPN8" s="37"/>
      <c r="OPO8" s="36"/>
      <c r="OPP8" s="37"/>
      <c r="OPQ8" s="36"/>
      <c r="OPR8" s="36"/>
      <c r="OPS8" s="37"/>
      <c r="OPT8" s="37"/>
      <c r="OPV8" s="22"/>
      <c r="OPW8" s="35"/>
      <c r="OPX8" s="36"/>
      <c r="OPY8" s="37"/>
      <c r="OPZ8" s="36"/>
      <c r="OQA8" s="37"/>
      <c r="OQB8" s="36"/>
      <c r="OQC8" s="37"/>
      <c r="OQD8" s="36"/>
      <c r="OQE8" s="37"/>
      <c r="OQF8" s="36"/>
      <c r="OQG8" s="37"/>
      <c r="OQH8" s="36"/>
      <c r="OQI8" s="37"/>
      <c r="OQJ8" s="36"/>
      <c r="OQK8" s="37"/>
      <c r="OQL8" s="36"/>
      <c r="OQM8" s="37"/>
      <c r="OQN8" s="36"/>
      <c r="OQO8" s="37"/>
      <c r="OQP8" s="36"/>
      <c r="OQQ8" s="36"/>
      <c r="OQR8" s="37"/>
      <c r="OQS8" s="37"/>
      <c r="OQU8" s="22"/>
      <c r="OQV8" s="35"/>
      <c r="OQW8" s="36"/>
      <c r="OQX8" s="37"/>
      <c r="OQY8" s="36"/>
      <c r="OQZ8" s="37"/>
      <c r="ORA8" s="36"/>
      <c r="ORB8" s="37"/>
      <c r="ORC8" s="36"/>
      <c r="ORD8" s="37"/>
      <c r="ORE8" s="36"/>
      <c r="ORF8" s="37"/>
      <c r="ORG8" s="36"/>
      <c r="ORH8" s="37"/>
      <c r="ORI8" s="36"/>
      <c r="ORJ8" s="37"/>
      <c r="ORK8" s="36"/>
      <c r="ORL8" s="37"/>
      <c r="ORM8" s="36"/>
      <c r="ORN8" s="37"/>
      <c r="ORO8" s="36"/>
      <c r="ORP8" s="36"/>
      <c r="ORQ8" s="37"/>
      <c r="ORR8" s="37"/>
      <c r="ORT8" s="22"/>
      <c r="ORU8" s="35"/>
      <c r="ORV8" s="36"/>
      <c r="ORW8" s="37"/>
      <c r="ORX8" s="36"/>
      <c r="ORY8" s="37"/>
      <c r="ORZ8" s="36"/>
      <c r="OSA8" s="37"/>
      <c r="OSB8" s="36"/>
      <c r="OSC8" s="37"/>
      <c r="OSD8" s="36"/>
      <c r="OSE8" s="37"/>
      <c r="OSF8" s="36"/>
      <c r="OSG8" s="37"/>
      <c r="OSH8" s="36"/>
      <c r="OSI8" s="37"/>
      <c r="OSJ8" s="36"/>
      <c r="OSK8" s="37"/>
      <c r="OSL8" s="36"/>
      <c r="OSM8" s="37"/>
      <c r="OSN8" s="36"/>
      <c r="OSO8" s="36"/>
      <c r="OSP8" s="37"/>
      <c r="OSQ8" s="37"/>
      <c r="OSS8" s="22"/>
      <c r="OST8" s="35"/>
      <c r="OSU8" s="36"/>
      <c r="OSV8" s="37"/>
      <c r="OSW8" s="36"/>
      <c r="OSX8" s="37"/>
      <c r="OSY8" s="36"/>
      <c r="OSZ8" s="37"/>
      <c r="OTA8" s="36"/>
      <c r="OTB8" s="37"/>
      <c r="OTC8" s="36"/>
      <c r="OTD8" s="37"/>
      <c r="OTE8" s="36"/>
      <c r="OTF8" s="37"/>
      <c r="OTG8" s="36"/>
      <c r="OTH8" s="37"/>
      <c r="OTI8" s="36"/>
      <c r="OTJ8" s="37"/>
      <c r="OTK8" s="36"/>
      <c r="OTL8" s="37"/>
      <c r="OTM8" s="36"/>
      <c r="OTN8" s="36"/>
      <c r="OTO8" s="37"/>
      <c r="OTP8" s="37"/>
      <c r="OTR8" s="22"/>
      <c r="OTS8" s="35"/>
      <c r="OTT8" s="36"/>
      <c r="OTU8" s="37"/>
      <c r="OTV8" s="36"/>
      <c r="OTW8" s="37"/>
      <c r="OTX8" s="36"/>
      <c r="OTY8" s="37"/>
      <c r="OTZ8" s="36"/>
      <c r="OUA8" s="37"/>
      <c r="OUB8" s="36"/>
      <c r="OUC8" s="37"/>
      <c r="OUD8" s="36"/>
      <c r="OUE8" s="37"/>
      <c r="OUF8" s="36"/>
      <c r="OUG8" s="37"/>
      <c r="OUH8" s="36"/>
      <c r="OUI8" s="37"/>
      <c r="OUJ8" s="36"/>
      <c r="OUK8" s="37"/>
      <c r="OUL8" s="36"/>
      <c r="OUM8" s="36"/>
      <c r="OUN8" s="37"/>
      <c r="OUO8" s="37"/>
      <c r="OUQ8" s="22"/>
      <c r="OUR8" s="35"/>
      <c r="OUS8" s="36"/>
      <c r="OUT8" s="37"/>
      <c r="OUU8" s="36"/>
      <c r="OUV8" s="37"/>
      <c r="OUW8" s="36"/>
      <c r="OUX8" s="37"/>
      <c r="OUY8" s="36"/>
      <c r="OUZ8" s="37"/>
      <c r="OVA8" s="36"/>
      <c r="OVB8" s="37"/>
      <c r="OVC8" s="36"/>
      <c r="OVD8" s="37"/>
      <c r="OVE8" s="36"/>
      <c r="OVF8" s="37"/>
      <c r="OVG8" s="36"/>
      <c r="OVH8" s="37"/>
      <c r="OVI8" s="36"/>
      <c r="OVJ8" s="37"/>
      <c r="OVK8" s="36"/>
      <c r="OVL8" s="36"/>
      <c r="OVM8" s="37"/>
      <c r="OVN8" s="37"/>
      <c r="OVP8" s="22"/>
      <c r="OVQ8" s="35"/>
      <c r="OVR8" s="36"/>
      <c r="OVS8" s="37"/>
      <c r="OVT8" s="36"/>
      <c r="OVU8" s="37"/>
      <c r="OVV8" s="36"/>
      <c r="OVW8" s="37"/>
      <c r="OVX8" s="36"/>
      <c r="OVY8" s="37"/>
      <c r="OVZ8" s="36"/>
      <c r="OWA8" s="37"/>
      <c r="OWB8" s="36"/>
      <c r="OWC8" s="37"/>
      <c r="OWD8" s="36"/>
      <c r="OWE8" s="37"/>
      <c r="OWF8" s="36"/>
      <c r="OWG8" s="37"/>
      <c r="OWH8" s="36"/>
      <c r="OWI8" s="37"/>
      <c r="OWJ8" s="36"/>
      <c r="OWK8" s="36"/>
      <c r="OWL8" s="37"/>
      <c r="OWM8" s="37"/>
      <c r="OWO8" s="22"/>
      <c r="OWP8" s="35"/>
      <c r="OWQ8" s="36"/>
      <c r="OWR8" s="37"/>
      <c r="OWS8" s="36"/>
      <c r="OWT8" s="37"/>
      <c r="OWU8" s="36"/>
      <c r="OWV8" s="37"/>
      <c r="OWW8" s="36"/>
      <c r="OWX8" s="37"/>
      <c r="OWY8" s="36"/>
      <c r="OWZ8" s="37"/>
      <c r="OXA8" s="36"/>
      <c r="OXB8" s="37"/>
      <c r="OXC8" s="36"/>
      <c r="OXD8" s="37"/>
      <c r="OXE8" s="36"/>
      <c r="OXF8" s="37"/>
      <c r="OXG8" s="36"/>
      <c r="OXH8" s="37"/>
      <c r="OXI8" s="36"/>
      <c r="OXJ8" s="36"/>
      <c r="OXK8" s="37"/>
      <c r="OXL8" s="37"/>
      <c r="OXN8" s="22"/>
      <c r="OXO8" s="35"/>
      <c r="OXP8" s="36"/>
      <c r="OXQ8" s="37"/>
      <c r="OXR8" s="36"/>
      <c r="OXS8" s="37"/>
      <c r="OXT8" s="36"/>
      <c r="OXU8" s="37"/>
      <c r="OXV8" s="36"/>
      <c r="OXW8" s="37"/>
      <c r="OXX8" s="36"/>
      <c r="OXY8" s="37"/>
      <c r="OXZ8" s="36"/>
      <c r="OYA8" s="37"/>
      <c r="OYB8" s="36"/>
      <c r="OYC8" s="37"/>
      <c r="OYD8" s="36"/>
      <c r="OYE8" s="37"/>
      <c r="OYF8" s="36"/>
      <c r="OYG8" s="37"/>
      <c r="OYH8" s="36"/>
      <c r="OYI8" s="36"/>
      <c r="OYJ8" s="37"/>
      <c r="OYK8" s="37"/>
      <c r="OYM8" s="22"/>
      <c r="OYN8" s="35"/>
      <c r="OYO8" s="36"/>
      <c r="OYP8" s="37"/>
      <c r="OYQ8" s="36"/>
      <c r="OYR8" s="37"/>
      <c r="OYS8" s="36"/>
      <c r="OYT8" s="37"/>
      <c r="OYU8" s="36"/>
      <c r="OYV8" s="37"/>
      <c r="OYW8" s="36"/>
      <c r="OYX8" s="37"/>
      <c r="OYY8" s="36"/>
      <c r="OYZ8" s="37"/>
      <c r="OZA8" s="36"/>
      <c r="OZB8" s="37"/>
      <c r="OZC8" s="36"/>
      <c r="OZD8" s="37"/>
      <c r="OZE8" s="36"/>
      <c r="OZF8" s="37"/>
      <c r="OZG8" s="36"/>
      <c r="OZH8" s="36"/>
      <c r="OZI8" s="37"/>
      <c r="OZJ8" s="37"/>
      <c r="OZL8" s="22"/>
      <c r="OZM8" s="35"/>
      <c r="OZN8" s="36"/>
      <c r="OZO8" s="37"/>
      <c r="OZP8" s="36"/>
      <c r="OZQ8" s="37"/>
      <c r="OZR8" s="36"/>
      <c r="OZS8" s="37"/>
      <c r="OZT8" s="36"/>
      <c r="OZU8" s="37"/>
      <c r="OZV8" s="36"/>
      <c r="OZW8" s="37"/>
      <c r="OZX8" s="36"/>
      <c r="OZY8" s="37"/>
      <c r="OZZ8" s="36"/>
      <c r="PAA8" s="37"/>
      <c r="PAB8" s="36"/>
      <c r="PAC8" s="37"/>
      <c r="PAD8" s="36"/>
      <c r="PAE8" s="37"/>
      <c r="PAF8" s="36"/>
      <c r="PAG8" s="36"/>
      <c r="PAH8" s="37"/>
      <c r="PAI8" s="37"/>
      <c r="PAK8" s="22"/>
      <c r="PAL8" s="35"/>
      <c r="PAM8" s="36"/>
      <c r="PAN8" s="37"/>
      <c r="PAO8" s="36"/>
      <c r="PAP8" s="37"/>
      <c r="PAQ8" s="36"/>
      <c r="PAR8" s="37"/>
      <c r="PAS8" s="36"/>
      <c r="PAT8" s="37"/>
      <c r="PAU8" s="36"/>
      <c r="PAV8" s="37"/>
      <c r="PAW8" s="36"/>
      <c r="PAX8" s="37"/>
      <c r="PAY8" s="36"/>
      <c r="PAZ8" s="37"/>
      <c r="PBA8" s="36"/>
      <c r="PBB8" s="37"/>
      <c r="PBC8" s="36"/>
      <c r="PBD8" s="37"/>
      <c r="PBE8" s="36"/>
      <c r="PBF8" s="36"/>
      <c r="PBG8" s="37"/>
      <c r="PBH8" s="37"/>
      <c r="PBJ8" s="22"/>
      <c r="PBK8" s="35"/>
      <c r="PBL8" s="36"/>
      <c r="PBM8" s="37"/>
      <c r="PBN8" s="36"/>
      <c r="PBO8" s="37"/>
      <c r="PBP8" s="36"/>
      <c r="PBQ8" s="37"/>
      <c r="PBR8" s="36"/>
      <c r="PBS8" s="37"/>
      <c r="PBT8" s="36"/>
      <c r="PBU8" s="37"/>
      <c r="PBV8" s="36"/>
      <c r="PBW8" s="37"/>
      <c r="PBX8" s="36"/>
      <c r="PBY8" s="37"/>
      <c r="PBZ8" s="36"/>
      <c r="PCA8" s="37"/>
      <c r="PCB8" s="36"/>
      <c r="PCC8" s="37"/>
      <c r="PCD8" s="36"/>
      <c r="PCE8" s="36"/>
      <c r="PCF8" s="37"/>
      <c r="PCG8" s="37"/>
      <c r="PCI8" s="22"/>
      <c r="PCJ8" s="35"/>
      <c r="PCK8" s="36"/>
      <c r="PCL8" s="37"/>
      <c r="PCM8" s="36"/>
      <c r="PCN8" s="37"/>
      <c r="PCO8" s="36"/>
      <c r="PCP8" s="37"/>
      <c r="PCQ8" s="36"/>
      <c r="PCR8" s="37"/>
      <c r="PCS8" s="36"/>
      <c r="PCT8" s="37"/>
      <c r="PCU8" s="36"/>
      <c r="PCV8" s="37"/>
      <c r="PCW8" s="36"/>
      <c r="PCX8" s="37"/>
      <c r="PCY8" s="36"/>
      <c r="PCZ8" s="37"/>
      <c r="PDA8" s="36"/>
      <c r="PDB8" s="37"/>
      <c r="PDC8" s="36"/>
      <c r="PDD8" s="36"/>
      <c r="PDE8" s="37"/>
      <c r="PDF8" s="37"/>
      <c r="PDH8" s="22"/>
      <c r="PDI8" s="35"/>
      <c r="PDJ8" s="36"/>
      <c r="PDK8" s="37"/>
      <c r="PDL8" s="36"/>
      <c r="PDM8" s="37"/>
      <c r="PDN8" s="36"/>
      <c r="PDO8" s="37"/>
      <c r="PDP8" s="36"/>
      <c r="PDQ8" s="37"/>
      <c r="PDR8" s="36"/>
      <c r="PDS8" s="37"/>
      <c r="PDT8" s="36"/>
      <c r="PDU8" s="37"/>
      <c r="PDV8" s="36"/>
      <c r="PDW8" s="37"/>
      <c r="PDX8" s="36"/>
      <c r="PDY8" s="37"/>
      <c r="PDZ8" s="36"/>
      <c r="PEA8" s="37"/>
      <c r="PEB8" s="36"/>
      <c r="PEC8" s="36"/>
      <c r="PED8" s="37"/>
      <c r="PEE8" s="37"/>
      <c r="PEG8" s="22"/>
      <c r="PEH8" s="35"/>
      <c r="PEI8" s="36"/>
      <c r="PEJ8" s="37"/>
      <c r="PEK8" s="36"/>
      <c r="PEL8" s="37"/>
      <c r="PEM8" s="36"/>
      <c r="PEN8" s="37"/>
      <c r="PEO8" s="36"/>
      <c r="PEP8" s="37"/>
      <c r="PEQ8" s="36"/>
      <c r="PER8" s="37"/>
      <c r="PES8" s="36"/>
      <c r="PET8" s="37"/>
      <c r="PEU8" s="36"/>
      <c r="PEV8" s="37"/>
      <c r="PEW8" s="36"/>
      <c r="PEX8" s="37"/>
      <c r="PEY8" s="36"/>
      <c r="PEZ8" s="37"/>
      <c r="PFA8" s="36"/>
      <c r="PFB8" s="36"/>
      <c r="PFC8" s="37"/>
      <c r="PFD8" s="37"/>
      <c r="PFF8" s="22"/>
      <c r="PFG8" s="35"/>
      <c r="PFH8" s="36"/>
      <c r="PFI8" s="37"/>
      <c r="PFJ8" s="36"/>
      <c r="PFK8" s="37"/>
      <c r="PFL8" s="36"/>
      <c r="PFM8" s="37"/>
      <c r="PFN8" s="36"/>
      <c r="PFO8" s="37"/>
      <c r="PFP8" s="36"/>
      <c r="PFQ8" s="37"/>
      <c r="PFR8" s="36"/>
      <c r="PFS8" s="37"/>
      <c r="PFT8" s="36"/>
      <c r="PFU8" s="37"/>
      <c r="PFV8" s="36"/>
      <c r="PFW8" s="37"/>
      <c r="PFX8" s="36"/>
      <c r="PFY8" s="37"/>
      <c r="PFZ8" s="36"/>
      <c r="PGA8" s="36"/>
      <c r="PGB8" s="37"/>
      <c r="PGC8" s="37"/>
      <c r="PGE8" s="22"/>
      <c r="PGF8" s="35"/>
      <c r="PGG8" s="36"/>
      <c r="PGH8" s="37"/>
      <c r="PGI8" s="36"/>
      <c r="PGJ8" s="37"/>
      <c r="PGK8" s="36"/>
      <c r="PGL8" s="37"/>
      <c r="PGM8" s="36"/>
      <c r="PGN8" s="37"/>
      <c r="PGO8" s="36"/>
      <c r="PGP8" s="37"/>
      <c r="PGQ8" s="36"/>
      <c r="PGR8" s="37"/>
      <c r="PGS8" s="36"/>
      <c r="PGT8" s="37"/>
      <c r="PGU8" s="36"/>
      <c r="PGV8" s="37"/>
      <c r="PGW8" s="36"/>
      <c r="PGX8" s="37"/>
      <c r="PGY8" s="36"/>
      <c r="PGZ8" s="36"/>
      <c r="PHA8" s="37"/>
      <c r="PHB8" s="37"/>
      <c r="PHD8" s="22"/>
      <c r="PHE8" s="35"/>
      <c r="PHF8" s="36"/>
      <c r="PHG8" s="37"/>
      <c r="PHH8" s="36"/>
      <c r="PHI8" s="37"/>
      <c r="PHJ8" s="36"/>
      <c r="PHK8" s="37"/>
      <c r="PHL8" s="36"/>
      <c r="PHM8" s="37"/>
      <c r="PHN8" s="36"/>
      <c r="PHO8" s="37"/>
      <c r="PHP8" s="36"/>
      <c r="PHQ8" s="37"/>
      <c r="PHR8" s="36"/>
      <c r="PHS8" s="37"/>
      <c r="PHT8" s="36"/>
      <c r="PHU8" s="37"/>
      <c r="PHV8" s="36"/>
      <c r="PHW8" s="37"/>
      <c r="PHX8" s="36"/>
      <c r="PHY8" s="36"/>
      <c r="PHZ8" s="37"/>
      <c r="PIA8" s="37"/>
      <c r="PIC8" s="22"/>
      <c r="PID8" s="35"/>
      <c r="PIE8" s="36"/>
      <c r="PIF8" s="37"/>
      <c r="PIG8" s="36"/>
      <c r="PIH8" s="37"/>
      <c r="PII8" s="36"/>
      <c r="PIJ8" s="37"/>
      <c r="PIK8" s="36"/>
      <c r="PIL8" s="37"/>
      <c r="PIM8" s="36"/>
      <c r="PIN8" s="37"/>
      <c r="PIO8" s="36"/>
      <c r="PIP8" s="37"/>
      <c r="PIQ8" s="36"/>
      <c r="PIR8" s="37"/>
      <c r="PIS8" s="36"/>
      <c r="PIT8" s="37"/>
      <c r="PIU8" s="36"/>
      <c r="PIV8" s="37"/>
      <c r="PIW8" s="36"/>
      <c r="PIX8" s="36"/>
      <c r="PIY8" s="37"/>
      <c r="PIZ8" s="37"/>
      <c r="PJB8" s="22"/>
      <c r="PJC8" s="35"/>
      <c r="PJD8" s="36"/>
      <c r="PJE8" s="37"/>
      <c r="PJF8" s="36"/>
      <c r="PJG8" s="37"/>
      <c r="PJH8" s="36"/>
      <c r="PJI8" s="37"/>
      <c r="PJJ8" s="36"/>
      <c r="PJK8" s="37"/>
      <c r="PJL8" s="36"/>
      <c r="PJM8" s="37"/>
      <c r="PJN8" s="36"/>
      <c r="PJO8" s="37"/>
      <c r="PJP8" s="36"/>
      <c r="PJQ8" s="37"/>
      <c r="PJR8" s="36"/>
      <c r="PJS8" s="37"/>
      <c r="PJT8" s="36"/>
      <c r="PJU8" s="37"/>
      <c r="PJV8" s="36"/>
      <c r="PJW8" s="36"/>
      <c r="PJX8" s="37"/>
      <c r="PJY8" s="37"/>
      <c r="PKA8" s="22"/>
      <c r="PKB8" s="35"/>
      <c r="PKC8" s="36"/>
      <c r="PKD8" s="37"/>
      <c r="PKE8" s="36"/>
      <c r="PKF8" s="37"/>
      <c r="PKG8" s="36"/>
      <c r="PKH8" s="37"/>
      <c r="PKI8" s="36"/>
      <c r="PKJ8" s="37"/>
      <c r="PKK8" s="36"/>
      <c r="PKL8" s="37"/>
      <c r="PKM8" s="36"/>
      <c r="PKN8" s="37"/>
      <c r="PKO8" s="36"/>
      <c r="PKP8" s="37"/>
      <c r="PKQ8" s="36"/>
      <c r="PKR8" s="37"/>
      <c r="PKS8" s="36"/>
      <c r="PKT8" s="37"/>
      <c r="PKU8" s="36"/>
      <c r="PKV8" s="36"/>
      <c r="PKW8" s="37"/>
      <c r="PKX8" s="37"/>
      <c r="PKZ8" s="22"/>
      <c r="PLA8" s="35"/>
      <c r="PLB8" s="36"/>
      <c r="PLC8" s="37"/>
      <c r="PLD8" s="36"/>
      <c r="PLE8" s="37"/>
      <c r="PLF8" s="36"/>
      <c r="PLG8" s="37"/>
      <c r="PLH8" s="36"/>
      <c r="PLI8" s="37"/>
      <c r="PLJ8" s="36"/>
      <c r="PLK8" s="37"/>
      <c r="PLL8" s="36"/>
      <c r="PLM8" s="37"/>
      <c r="PLN8" s="36"/>
      <c r="PLO8" s="37"/>
      <c r="PLP8" s="36"/>
      <c r="PLQ8" s="37"/>
      <c r="PLR8" s="36"/>
      <c r="PLS8" s="37"/>
      <c r="PLT8" s="36"/>
      <c r="PLU8" s="36"/>
      <c r="PLV8" s="37"/>
      <c r="PLW8" s="37"/>
      <c r="PLY8" s="22"/>
      <c r="PLZ8" s="35"/>
      <c r="PMA8" s="36"/>
      <c r="PMB8" s="37"/>
      <c r="PMC8" s="36"/>
      <c r="PMD8" s="37"/>
      <c r="PME8" s="36"/>
      <c r="PMF8" s="37"/>
      <c r="PMG8" s="36"/>
      <c r="PMH8" s="37"/>
      <c r="PMI8" s="36"/>
      <c r="PMJ8" s="37"/>
      <c r="PMK8" s="36"/>
      <c r="PML8" s="37"/>
      <c r="PMM8" s="36"/>
      <c r="PMN8" s="37"/>
      <c r="PMO8" s="36"/>
      <c r="PMP8" s="37"/>
      <c r="PMQ8" s="36"/>
      <c r="PMR8" s="37"/>
      <c r="PMS8" s="36"/>
      <c r="PMT8" s="36"/>
      <c r="PMU8" s="37"/>
      <c r="PMV8" s="37"/>
      <c r="PMX8" s="22"/>
      <c r="PMY8" s="35"/>
      <c r="PMZ8" s="36"/>
      <c r="PNA8" s="37"/>
      <c r="PNB8" s="36"/>
      <c r="PNC8" s="37"/>
      <c r="PND8" s="36"/>
      <c r="PNE8" s="37"/>
      <c r="PNF8" s="36"/>
      <c r="PNG8" s="37"/>
      <c r="PNH8" s="36"/>
      <c r="PNI8" s="37"/>
      <c r="PNJ8" s="36"/>
      <c r="PNK8" s="37"/>
      <c r="PNL8" s="36"/>
      <c r="PNM8" s="37"/>
      <c r="PNN8" s="36"/>
      <c r="PNO8" s="37"/>
      <c r="PNP8" s="36"/>
      <c r="PNQ8" s="37"/>
      <c r="PNR8" s="36"/>
      <c r="PNS8" s="36"/>
      <c r="PNT8" s="37"/>
      <c r="PNU8" s="37"/>
      <c r="PNW8" s="22"/>
      <c r="PNX8" s="35"/>
      <c r="PNY8" s="36"/>
      <c r="PNZ8" s="37"/>
      <c r="POA8" s="36"/>
      <c r="POB8" s="37"/>
      <c r="POC8" s="36"/>
      <c r="POD8" s="37"/>
      <c r="POE8" s="36"/>
      <c r="POF8" s="37"/>
      <c r="POG8" s="36"/>
      <c r="POH8" s="37"/>
      <c r="POI8" s="36"/>
      <c r="POJ8" s="37"/>
      <c r="POK8" s="36"/>
      <c r="POL8" s="37"/>
      <c r="POM8" s="36"/>
      <c r="PON8" s="37"/>
      <c r="POO8" s="36"/>
      <c r="POP8" s="37"/>
      <c r="POQ8" s="36"/>
      <c r="POR8" s="36"/>
      <c r="POS8" s="37"/>
      <c r="POT8" s="37"/>
      <c r="POV8" s="22"/>
      <c r="POW8" s="35"/>
      <c r="POX8" s="36"/>
      <c r="POY8" s="37"/>
      <c r="POZ8" s="36"/>
      <c r="PPA8" s="37"/>
      <c r="PPB8" s="36"/>
      <c r="PPC8" s="37"/>
      <c r="PPD8" s="36"/>
      <c r="PPE8" s="37"/>
      <c r="PPF8" s="36"/>
      <c r="PPG8" s="37"/>
      <c r="PPH8" s="36"/>
      <c r="PPI8" s="37"/>
      <c r="PPJ8" s="36"/>
      <c r="PPK8" s="37"/>
      <c r="PPL8" s="36"/>
      <c r="PPM8" s="37"/>
      <c r="PPN8" s="36"/>
      <c r="PPO8" s="37"/>
      <c r="PPP8" s="36"/>
      <c r="PPQ8" s="36"/>
      <c r="PPR8" s="37"/>
      <c r="PPS8" s="37"/>
      <c r="PPU8" s="22"/>
      <c r="PPV8" s="35"/>
      <c r="PPW8" s="36"/>
      <c r="PPX8" s="37"/>
      <c r="PPY8" s="36"/>
      <c r="PPZ8" s="37"/>
      <c r="PQA8" s="36"/>
      <c r="PQB8" s="37"/>
      <c r="PQC8" s="36"/>
      <c r="PQD8" s="37"/>
      <c r="PQE8" s="36"/>
      <c r="PQF8" s="37"/>
      <c r="PQG8" s="36"/>
      <c r="PQH8" s="37"/>
      <c r="PQI8" s="36"/>
      <c r="PQJ8" s="37"/>
      <c r="PQK8" s="36"/>
      <c r="PQL8" s="37"/>
      <c r="PQM8" s="36"/>
      <c r="PQN8" s="37"/>
      <c r="PQO8" s="36"/>
      <c r="PQP8" s="36"/>
      <c r="PQQ8" s="37"/>
      <c r="PQR8" s="37"/>
      <c r="PQT8" s="22"/>
      <c r="PQU8" s="35"/>
      <c r="PQV8" s="36"/>
      <c r="PQW8" s="37"/>
      <c r="PQX8" s="36"/>
      <c r="PQY8" s="37"/>
      <c r="PQZ8" s="36"/>
      <c r="PRA8" s="37"/>
      <c r="PRB8" s="36"/>
      <c r="PRC8" s="37"/>
      <c r="PRD8" s="36"/>
      <c r="PRE8" s="37"/>
      <c r="PRF8" s="36"/>
      <c r="PRG8" s="37"/>
      <c r="PRH8" s="36"/>
      <c r="PRI8" s="37"/>
      <c r="PRJ8" s="36"/>
      <c r="PRK8" s="37"/>
      <c r="PRL8" s="36"/>
      <c r="PRM8" s="37"/>
      <c r="PRN8" s="36"/>
      <c r="PRO8" s="36"/>
      <c r="PRP8" s="37"/>
      <c r="PRQ8" s="37"/>
      <c r="PRS8" s="22"/>
      <c r="PRT8" s="35"/>
      <c r="PRU8" s="36"/>
      <c r="PRV8" s="37"/>
      <c r="PRW8" s="36"/>
      <c r="PRX8" s="37"/>
      <c r="PRY8" s="36"/>
      <c r="PRZ8" s="37"/>
      <c r="PSA8" s="36"/>
      <c r="PSB8" s="37"/>
      <c r="PSC8" s="36"/>
      <c r="PSD8" s="37"/>
      <c r="PSE8" s="36"/>
      <c r="PSF8" s="37"/>
      <c r="PSG8" s="36"/>
      <c r="PSH8" s="37"/>
      <c r="PSI8" s="36"/>
      <c r="PSJ8" s="37"/>
      <c r="PSK8" s="36"/>
      <c r="PSL8" s="37"/>
      <c r="PSM8" s="36"/>
      <c r="PSN8" s="36"/>
      <c r="PSO8" s="37"/>
      <c r="PSP8" s="37"/>
      <c r="PSR8" s="22"/>
      <c r="PSS8" s="35"/>
      <c r="PST8" s="36"/>
      <c r="PSU8" s="37"/>
      <c r="PSV8" s="36"/>
      <c r="PSW8" s="37"/>
      <c r="PSX8" s="36"/>
      <c r="PSY8" s="37"/>
      <c r="PSZ8" s="36"/>
      <c r="PTA8" s="37"/>
      <c r="PTB8" s="36"/>
      <c r="PTC8" s="37"/>
      <c r="PTD8" s="36"/>
      <c r="PTE8" s="37"/>
      <c r="PTF8" s="36"/>
      <c r="PTG8" s="37"/>
      <c r="PTH8" s="36"/>
      <c r="PTI8" s="37"/>
      <c r="PTJ8" s="36"/>
      <c r="PTK8" s="37"/>
      <c r="PTL8" s="36"/>
      <c r="PTM8" s="36"/>
      <c r="PTN8" s="37"/>
      <c r="PTO8" s="37"/>
      <c r="PTQ8" s="22"/>
      <c r="PTR8" s="35"/>
      <c r="PTS8" s="36"/>
      <c r="PTT8" s="37"/>
      <c r="PTU8" s="36"/>
      <c r="PTV8" s="37"/>
      <c r="PTW8" s="36"/>
      <c r="PTX8" s="37"/>
      <c r="PTY8" s="36"/>
      <c r="PTZ8" s="37"/>
      <c r="PUA8" s="36"/>
      <c r="PUB8" s="37"/>
      <c r="PUC8" s="36"/>
      <c r="PUD8" s="37"/>
      <c r="PUE8" s="36"/>
      <c r="PUF8" s="37"/>
      <c r="PUG8" s="36"/>
      <c r="PUH8" s="37"/>
      <c r="PUI8" s="36"/>
      <c r="PUJ8" s="37"/>
      <c r="PUK8" s="36"/>
      <c r="PUL8" s="36"/>
      <c r="PUM8" s="37"/>
      <c r="PUN8" s="37"/>
      <c r="PUP8" s="22"/>
      <c r="PUQ8" s="35"/>
      <c r="PUR8" s="36"/>
      <c r="PUS8" s="37"/>
      <c r="PUT8" s="36"/>
      <c r="PUU8" s="37"/>
      <c r="PUV8" s="36"/>
      <c r="PUW8" s="37"/>
      <c r="PUX8" s="36"/>
      <c r="PUY8" s="37"/>
      <c r="PUZ8" s="36"/>
      <c r="PVA8" s="37"/>
      <c r="PVB8" s="36"/>
      <c r="PVC8" s="37"/>
      <c r="PVD8" s="36"/>
      <c r="PVE8" s="37"/>
      <c r="PVF8" s="36"/>
      <c r="PVG8" s="37"/>
      <c r="PVH8" s="36"/>
      <c r="PVI8" s="37"/>
      <c r="PVJ8" s="36"/>
      <c r="PVK8" s="36"/>
      <c r="PVL8" s="37"/>
      <c r="PVM8" s="37"/>
      <c r="PVO8" s="22"/>
      <c r="PVP8" s="35"/>
      <c r="PVQ8" s="36"/>
      <c r="PVR8" s="37"/>
      <c r="PVS8" s="36"/>
      <c r="PVT8" s="37"/>
      <c r="PVU8" s="36"/>
      <c r="PVV8" s="37"/>
      <c r="PVW8" s="36"/>
      <c r="PVX8" s="37"/>
      <c r="PVY8" s="36"/>
      <c r="PVZ8" s="37"/>
      <c r="PWA8" s="36"/>
      <c r="PWB8" s="37"/>
      <c r="PWC8" s="36"/>
      <c r="PWD8" s="37"/>
      <c r="PWE8" s="36"/>
      <c r="PWF8" s="37"/>
      <c r="PWG8" s="36"/>
      <c r="PWH8" s="37"/>
      <c r="PWI8" s="36"/>
      <c r="PWJ8" s="36"/>
      <c r="PWK8" s="37"/>
      <c r="PWL8" s="37"/>
      <c r="PWN8" s="22"/>
      <c r="PWO8" s="35"/>
      <c r="PWP8" s="36"/>
      <c r="PWQ8" s="37"/>
      <c r="PWR8" s="36"/>
      <c r="PWS8" s="37"/>
      <c r="PWT8" s="36"/>
      <c r="PWU8" s="37"/>
      <c r="PWV8" s="36"/>
      <c r="PWW8" s="37"/>
      <c r="PWX8" s="36"/>
      <c r="PWY8" s="37"/>
      <c r="PWZ8" s="36"/>
      <c r="PXA8" s="37"/>
      <c r="PXB8" s="36"/>
      <c r="PXC8" s="37"/>
      <c r="PXD8" s="36"/>
      <c r="PXE8" s="37"/>
      <c r="PXF8" s="36"/>
      <c r="PXG8" s="37"/>
      <c r="PXH8" s="36"/>
      <c r="PXI8" s="36"/>
      <c r="PXJ8" s="37"/>
      <c r="PXK8" s="37"/>
      <c r="PXM8" s="22"/>
      <c r="PXN8" s="35"/>
      <c r="PXO8" s="36"/>
      <c r="PXP8" s="37"/>
      <c r="PXQ8" s="36"/>
      <c r="PXR8" s="37"/>
      <c r="PXS8" s="36"/>
      <c r="PXT8" s="37"/>
      <c r="PXU8" s="36"/>
      <c r="PXV8" s="37"/>
      <c r="PXW8" s="36"/>
      <c r="PXX8" s="37"/>
      <c r="PXY8" s="36"/>
      <c r="PXZ8" s="37"/>
      <c r="PYA8" s="36"/>
      <c r="PYB8" s="37"/>
      <c r="PYC8" s="36"/>
      <c r="PYD8" s="37"/>
      <c r="PYE8" s="36"/>
      <c r="PYF8" s="37"/>
      <c r="PYG8" s="36"/>
      <c r="PYH8" s="36"/>
      <c r="PYI8" s="37"/>
      <c r="PYJ8" s="37"/>
      <c r="PYL8" s="22"/>
      <c r="PYM8" s="35"/>
      <c r="PYN8" s="36"/>
      <c r="PYO8" s="37"/>
      <c r="PYP8" s="36"/>
      <c r="PYQ8" s="37"/>
      <c r="PYR8" s="36"/>
      <c r="PYS8" s="37"/>
      <c r="PYT8" s="36"/>
      <c r="PYU8" s="37"/>
      <c r="PYV8" s="36"/>
      <c r="PYW8" s="37"/>
      <c r="PYX8" s="36"/>
      <c r="PYY8" s="37"/>
      <c r="PYZ8" s="36"/>
      <c r="PZA8" s="37"/>
      <c r="PZB8" s="36"/>
      <c r="PZC8" s="37"/>
      <c r="PZD8" s="36"/>
      <c r="PZE8" s="37"/>
      <c r="PZF8" s="36"/>
      <c r="PZG8" s="36"/>
      <c r="PZH8" s="37"/>
      <c r="PZI8" s="37"/>
      <c r="PZK8" s="22"/>
      <c r="PZL8" s="35"/>
      <c r="PZM8" s="36"/>
      <c r="PZN8" s="37"/>
      <c r="PZO8" s="36"/>
      <c r="PZP8" s="37"/>
      <c r="PZQ8" s="36"/>
      <c r="PZR8" s="37"/>
      <c r="PZS8" s="36"/>
      <c r="PZT8" s="37"/>
      <c r="PZU8" s="36"/>
      <c r="PZV8" s="37"/>
      <c r="PZW8" s="36"/>
      <c r="PZX8" s="37"/>
      <c r="PZY8" s="36"/>
      <c r="PZZ8" s="37"/>
      <c r="QAA8" s="36"/>
      <c r="QAB8" s="37"/>
      <c r="QAC8" s="36"/>
      <c r="QAD8" s="37"/>
      <c r="QAE8" s="36"/>
      <c r="QAF8" s="36"/>
      <c r="QAG8" s="37"/>
      <c r="QAH8" s="37"/>
      <c r="QAJ8" s="22"/>
      <c r="QAK8" s="35"/>
      <c r="QAL8" s="36"/>
      <c r="QAM8" s="37"/>
      <c r="QAN8" s="36"/>
      <c r="QAO8" s="37"/>
      <c r="QAP8" s="36"/>
      <c r="QAQ8" s="37"/>
      <c r="QAR8" s="36"/>
      <c r="QAS8" s="37"/>
      <c r="QAT8" s="36"/>
      <c r="QAU8" s="37"/>
      <c r="QAV8" s="36"/>
      <c r="QAW8" s="37"/>
      <c r="QAX8" s="36"/>
      <c r="QAY8" s="37"/>
      <c r="QAZ8" s="36"/>
      <c r="QBA8" s="37"/>
      <c r="QBB8" s="36"/>
      <c r="QBC8" s="37"/>
      <c r="QBD8" s="36"/>
      <c r="QBE8" s="36"/>
      <c r="QBF8" s="37"/>
      <c r="QBG8" s="37"/>
      <c r="QBI8" s="22"/>
      <c r="QBJ8" s="35"/>
      <c r="QBK8" s="36"/>
      <c r="QBL8" s="37"/>
      <c r="QBM8" s="36"/>
      <c r="QBN8" s="37"/>
      <c r="QBO8" s="36"/>
      <c r="QBP8" s="37"/>
      <c r="QBQ8" s="36"/>
      <c r="QBR8" s="37"/>
      <c r="QBS8" s="36"/>
      <c r="QBT8" s="37"/>
      <c r="QBU8" s="36"/>
      <c r="QBV8" s="37"/>
      <c r="QBW8" s="36"/>
      <c r="QBX8" s="37"/>
      <c r="QBY8" s="36"/>
      <c r="QBZ8" s="37"/>
      <c r="QCA8" s="36"/>
      <c r="QCB8" s="37"/>
      <c r="QCC8" s="36"/>
      <c r="QCD8" s="36"/>
      <c r="QCE8" s="37"/>
      <c r="QCF8" s="37"/>
      <c r="QCH8" s="22"/>
      <c r="QCI8" s="35"/>
      <c r="QCJ8" s="36"/>
      <c r="QCK8" s="37"/>
      <c r="QCL8" s="36"/>
      <c r="QCM8" s="37"/>
      <c r="QCN8" s="36"/>
      <c r="QCO8" s="37"/>
      <c r="QCP8" s="36"/>
      <c r="QCQ8" s="37"/>
      <c r="QCR8" s="36"/>
      <c r="QCS8" s="37"/>
      <c r="QCT8" s="36"/>
      <c r="QCU8" s="37"/>
      <c r="QCV8" s="36"/>
      <c r="QCW8" s="37"/>
      <c r="QCX8" s="36"/>
      <c r="QCY8" s="37"/>
      <c r="QCZ8" s="36"/>
      <c r="QDA8" s="37"/>
      <c r="QDB8" s="36"/>
      <c r="QDC8" s="36"/>
      <c r="QDD8" s="37"/>
      <c r="QDE8" s="37"/>
      <c r="QDG8" s="22"/>
      <c r="QDH8" s="35"/>
      <c r="QDI8" s="36"/>
      <c r="QDJ8" s="37"/>
      <c r="QDK8" s="36"/>
      <c r="QDL8" s="37"/>
      <c r="QDM8" s="36"/>
      <c r="QDN8" s="37"/>
      <c r="QDO8" s="36"/>
      <c r="QDP8" s="37"/>
      <c r="QDQ8" s="36"/>
      <c r="QDR8" s="37"/>
      <c r="QDS8" s="36"/>
      <c r="QDT8" s="37"/>
      <c r="QDU8" s="36"/>
      <c r="QDV8" s="37"/>
      <c r="QDW8" s="36"/>
      <c r="QDX8" s="37"/>
      <c r="QDY8" s="36"/>
      <c r="QDZ8" s="37"/>
      <c r="QEA8" s="36"/>
      <c r="QEB8" s="36"/>
      <c r="QEC8" s="37"/>
      <c r="QED8" s="37"/>
      <c r="QEF8" s="22"/>
      <c r="QEG8" s="35"/>
      <c r="QEH8" s="36"/>
      <c r="QEI8" s="37"/>
      <c r="QEJ8" s="36"/>
      <c r="QEK8" s="37"/>
      <c r="QEL8" s="36"/>
      <c r="QEM8" s="37"/>
      <c r="QEN8" s="36"/>
      <c r="QEO8" s="37"/>
      <c r="QEP8" s="36"/>
      <c r="QEQ8" s="37"/>
      <c r="QER8" s="36"/>
      <c r="QES8" s="37"/>
      <c r="QET8" s="36"/>
      <c r="QEU8" s="37"/>
      <c r="QEV8" s="36"/>
      <c r="QEW8" s="37"/>
      <c r="QEX8" s="36"/>
      <c r="QEY8" s="37"/>
      <c r="QEZ8" s="36"/>
      <c r="QFA8" s="36"/>
      <c r="QFB8" s="37"/>
      <c r="QFC8" s="37"/>
      <c r="QFE8" s="22"/>
      <c r="QFF8" s="35"/>
      <c r="QFG8" s="36"/>
      <c r="QFH8" s="37"/>
      <c r="QFI8" s="36"/>
      <c r="QFJ8" s="37"/>
      <c r="QFK8" s="36"/>
      <c r="QFL8" s="37"/>
      <c r="QFM8" s="36"/>
      <c r="QFN8" s="37"/>
      <c r="QFO8" s="36"/>
      <c r="QFP8" s="37"/>
      <c r="QFQ8" s="36"/>
      <c r="QFR8" s="37"/>
      <c r="QFS8" s="36"/>
      <c r="QFT8" s="37"/>
      <c r="QFU8" s="36"/>
      <c r="QFV8" s="37"/>
      <c r="QFW8" s="36"/>
      <c r="QFX8" s="37"/>
      <c r="QFY8" s="36"/>
      <c r="QFZ8" s="36"/>
      <c r="QGA8" s="37"/>
      <c r="QGB8" s="37"/>
      <c r="QGD8" s="22"/>
      <c r="QGE8" s="35"/>
      <c r="QGF8" s="36"/>
      <c r="QGG8" s="37"/>
      <c r="QGH8" s="36"/>
      <c r="QGI8" s="37"/>
      <c r="QGJ8" s="36"/>
      <c r="QGK8" s="37"/>
      <c r="QGL8" s="36"/>
      <c r="QGM8" s="37"/>
      <c r="QGN8" s="36"/>
      <c r="QGO8" s="37"/>
      <c r="QGP8" s="36"/>
      <c r="QGQ8" s="37"/>
      <c r="QGR8" s="36"/>
      <c r="QGS8" s="37"/>
      <c r="QGT8" s="36"/>
      <c r="QGU8" s="37"/>
      <c r="QGV8" s="36"/>
      <c r="QGW8" s="37"/>
      <c r="QGX8" s="36"/>
      <c r="QGY8" s="36"/>
      <c r="QGZ8" s="37"/>
      <c r="QHA8" s="37"/>
      <c r="QHC8" s="22"/>
      <c r="QHD8" s="35"/>
      <c r="QHE8" s="36"/>
      <c r="QHF8" s="37"/>
      <c r="QHG8" s="36"/>
      <c r="QHH8" s="37"/>
      <c r="QHI8" s="36"/>
      <c r="QHJ8" s="37"/>
      <c r="QHK8" s="36"/>
      <c r="QHL8" s="37"/>
      <c r="QHM8" s="36"/>
      <c r="QHN8" s="37"/>
      <c r="QHO8" s="36"/>
      <c r="QHP8" s="37"/>
      <c r="QHQ8" s="36"/>
      <c r="QHR8" s="37"/>
      <c r="QHS8" s="36"/>
      <c r="QHT8" s="37"/>
      <c r="QHU8" s="36"/>
      <c r="QHV8" s="37"/>
      <c r="QHW8" s="36"/>
      <c r="QHX8" s="36"/>
      <c r="QHY8" s="37"/>
      <c r="QHZ8" s="37"/>
      <c r="QIB8" s="22"/>
      <c r="QIC8" s="35"/>
      <c r="QID8" s="36"/>
      <c r="QIE8" s="37"/>
      <c r="QIF8" s="36"/>
      <c r="QIG8" s="37"/>
      <c r="QIH8" s="36"/>
      <c r="QII8" s="37"/>
      <c r="QIJ8" s="36"/>
      <c r="QIK8" s="37"/>
      <c r="QIL8" s="36"/>
      <c r="QIM8" s="37"/>
      <c r="QIN8" s="36"/>
      <c r="QIO8" s="37"/>
      <c r="QIP8" s="36"/>
      <c r="QIQ8" s="37"/>
      <c r="QIR8" s="36"/>
      <c r="QIS8" s="37"/>
      <c r="QIT8" s="36"/>
      <c r="QIU8" s="37"/>
      <c r="QIV8" s="36"/>
      <c r="QIW8" s="36"/>
      <c r="QIX8" s="37"/>
      <c r="QIY8" s="37"/>
      <c r="QJA8" s="22"/>
      <c r="QJB8" s="35"/>
      <c r="QJC8" s="36"/>
      <c r="QJD8" s="37"/>
      <c r="QJE8" s="36"/>
      <c r="QJF8" s="37"/>
      <c r="QJG8" s="36"/>
      <c r="QJH8" s="37"/>
      <c r="QJI8" s="36"/>
      <c r="QJJ8" s="37"/>
      <c r="QJK8" s="36"/>
      <c r="QJL8" s="37"/>
      <c r="QJM8" s="36"/>
      <c r="QJN8" s="37"/>
      <c r="QJO8" s="36"/>
      <c r="QJP8" s="37"/>
      <c r="QJQ8" s="36"/>
      <c r="QJR8" s="37"/>
      <c r="QJS8" s="36"/>
      <c r="QJT8" s="37"/>
      <c r="QJU8" s="36"/>
      <c r="QJV8" s="36"/>
      <c r="QJW8" s="37"/>
      <c r="QJX8" s="37"/>
      <c r="QJZ8" s="22"/>
      <c r="QKA8" s="35"/>
      <c r="QKB8" s="36"/>
      <c r="QKC8" s="37"/>
      <c r="QKD8" s="36"/>
      <c r="QKE8" s="37"/>
      <c r="QKF8" s="36"/>
      <c r="QKG8" s="37"/>
      <c r="QKH8" s="36"/>
      <c r="QKI8" s="37"/>
      <c r="QKJ8" s="36"/>
      <c r="QKK8" s="37"/>
      <c r="QKL8" s="36"/>
      <c r="QKM8" s="37"/>
      <c r="QKN8" s="36"/>
      <c r="QKO8" s="37"/>
      <c r="QKP8" s="36"/>
      <c r="QKQ8" s="37"/>
      <c r="QKR8" s="36"/>
      <c r="QKS8" s="37"/>
      <c r="QKT8" s="36"/>
      <c r="QKU8" s="36"/>
      <c r="QKV8" s="37"/>
      <c r="QKW8" s="37"/>
      <c r="QKY8" s="22"/>
      <c r="QKZ8" s="35"/>
      <c r="QLA8" s="36"/>
      <c r="QLB8" s="37"/>
      <c r="QLC8" s="36"/>
      <c r="QLD8" s="37"/>
      <c r="QLE8" s="36"/>
      <c r="QLF8" s="37"/>
      <c r="QLG8" s="36"/>
      <c r="QLH8" s="37"/>
      <c r="QLI8" s="36"/>
      <c r="QLJ8" s="37"/>
      <c r="QLK8" s="36"/>
      <c r="QLL8" s="37"/>
      <c r="QLM8" s="36"/>
      <c r="QLN8" s="37"/>
      <c r="QLO8" s="36"/>
      <c r="QLP8" s="37"/>
      <c r="QLQ8" s="36"/>
      <c r="QLR8" s="37"/>
      <c r="QLS8" s="36"/>
      <c r="QLT8" s="36"/>
      <c r="QLU8" s="37"/>
      <c r="QLV8" s="37"/>
      <c r="QLX8" s="22"/>
      <c r="QLY8" s="35"/>
      <c r="QLZ8" s="36"/>
      <c r="QMA8" s="37"/>
      <c r="QMB8" s="36"/>
      <c r="QMC8" s="37"/>
      <c r="QMD8" s="36"/>
      <c r="QME8" s="37"/>
      <c r="QMF8" s="36"/>
      <c r="QMG8" s="37"/>
      <c r="QMH8" s="36"/>
      <c r="QMI8" s="37"/>
      <c r="QMJ8" s="36"/>
      <c r="QMK8" s="37"/>
      <c r="QML8" s="36"/>
      <c r="QMM8" s="37"/>
      <c r="QMN8" s="36"/>
      <c r="QMO8" s="37"/>
      <c r="QMP8" s="36"/>
      <c r="QMQ8" s="37"/>
      <c r="QMR8" s="36"/>
      <c r="QMS8" s="36"/>
      <c r="QMT8" s="37"/>
      <c r="QMU8" s="37"/>
      <c r="QMW8" s="22"/>
      <c r="QMX8" s="35"/>
      <c r="QMY8" s="36"/>
      <c r="QMZ8" s="37"/>
      <c r="QNA8" s="36"/>
      <c r="QNB8" s="37"/>
      <c r="QNC8" s="36"/>
      <c r="QND8" s="37"/>
      <c r="QNE8" s="36"/>
      <c r="QNF8" s="37"/>
      <c r="QNG8" s="36"/>
      <c r="QNH8" s="37"/>
      <c r="QNI8" s="36"/>
      <c r="QNJ8" s="37"/>
      <c r="QNK8" s="36"/>
      <c r="QNL8" s="37"/>
      <c r="QNM8" s="36"/>
      <c r="QNN8" s="37"/>
      <c r="QNO8" s="36"/>
      <c r="QNP8" s="37"/>
      <c r="QNQ8" s="36"/>
      <c r="QNR8" s="36"/>
      <c r="QNS8" s="37"/>
      <c r="QNT8" s="37"/>
      <c r="QNV8" s="22"/>
      <c r="QNW8" s="35"/>
      <c r="QNX8" s="36"/>
      <c r="QNY8" s="37"/>
      <c r="QNZ8" s="36"/>
      <c r="QOA8" s="37"/>
      <c r="QOB8" s="36"/>
      <c r="QOC8" s="37"/>
      <c r="QOD8" s="36"/>
      <c r="QOE8" s="37"/>
      <c r="QOF8" s="36"/>
      <c r="QOG8" s="37"/>
      <c r="QOH8" s="36"/>
      <c r="QOI8" s="37"/>
      <c r="QOJ8" s="36"/>
      <c r="QOK8" s="37"/>
      <c r="QOL8" s="36"/>
      <c r="QOM8" s="37"/>
      <c r="QON8" s="36"/>
      <c r="QOO8" s="37"/>
      <c r="QOP8" s="36"/>
      <c r="QOQ8" s="36"/>
      <c r="QOR8" s="37"/>
      <c r="QOS8" s="37"/>
      <c r="QOU8" s="22"/>
      <c r="QOV8" s="35"/>
      <c r="QOW8" s="36"/>
      <c r="QOX8" s="37"/>
      <c r="QOY8" s="36"/>
      <c r="QOZ8" s="37"/>
      <c r="QPA8" s="36"/>
      <c r="QPB8" s="37"/>
      <c r="QPC8" s="36"/>
      <c r="QPD8" s="37"/>
      <c r="QPE8" s="36"/>
      <c r="QPF8" s="37"/>
      <c r="QPG8" s="36"/>
      <c r="QPH8" s="37"/>
      <c r="QPI8" s="36"/>
      <c r="QPJ8" s="37"/>
      <c r="QPK8" s="36"/>
      <c r="QPL8" s="37"/>
      <c r="QPM8" s="36"/>
      <c r="QPN8" s="37"/>
      <c r="QPO8" s="36"/>
      <c r="QPP8" s="36"/>
      <c r="QPQ8" s="37"/>
      <c r="QPR8" s="37"/>
      <c r="QPT8" s="22"/>
      <c r="QPU8" s="35"/>
      <c r="QPV8" s="36"/>
      <c r="QPW8" s="37"/>
      <c r="QPX8" s="36"/>
      <c r="QPY8" s="37"/>
      <c r="QPZ8" s="36"/>
      <c r="QQA8" s="37"/>
      <c r="QQB8" s="36"/>
      <c r="QQC8" s="37"/>
      <c r="QQD8" s="36"/>
      <c r="QQE8" s="37"/>
      <c r="QQF8" s="36"/>
      <c r="QQG8" s="37"/>
      <c r="QQH8" s="36"/>
      <c r="QQI8" s="37"/>
      <c r="QQJ8" s="36"/>
      <c r="QQK8" s="37"/>
      <c r="QQL8" s="36"/>
      <c r="QQM8" s="37"/>
      <c r="QQN8" s="36"/>
      <c r="QQO8" s="36"/>
      <c r="QQP8" s="37"/>
      <c r="QQQ8" s="37"/>
      <c r="QQS8" s="22"/>
      <c r="QQT8" s="35"/>
      <c r="QQU8" s="36"/>
      <c r="QQV8" s="37"/>
      <c r="QQW8" s="36"/>
      <c r="QQX8" s="37"/>
      <c r="QQY8" s="36"/>
      <c r="QQZ8" s="37"/>
      <c r="QRA8" s="36"/>
      <c r="QRB8" s="37"/>
      <c r="QRC8" s="36"/>
      <c r="QRD8" s="37"/>
      <c r="QRE8" s="36"/>
      <c r="QRF8" s="37"/>
      <c r="QRG8" s="36"/>
      <c r="QRH8" s="37"/>
      <c r="QRI8" s="36"/>
      <c r="QRJ8" s="37"/>
      <c r="QRK8" s="36"/>
      <c r="QRL8" s="37"/>
      <c r="QRM8" s="36"/>
      <c r="QRN8" s="36"/>
      <c r="QRO8" s="37"/>
      <c r="QRP8" s="37"/>
      <c r="QRR8" s="22"/>
      <c r="QRS8" s="35"/>
      <c r="QRT8" s="36"/>
      <c r="QRU8" s="37"/>
      <c r="QRV8" s="36"/>
      <c r="QRW8" s="37"/>
      <c r="QRX8" s="36"/>
      <c r="QRY8" s="37"/>
      <c r="QRZ8" s="36"/>
      <c r="QSA8" s="37"/>
      <c r="QSB8" s="36"/>
      <c r="QSC8" s="37"/>
      <c r="QSD8" s="36"/>
      <c r="QSE8" s="37"/>
      <c r="QSF8" s="36"/>
      <c r="QSG8" s="37"/>
      <c r="QSH8" s="36"/>
      <c r="QSI8" s="37"/>
      <c r="QSJ8" s="36"/>
      <c r="QSK8" s="37"/>
      <c r="QSL8" s="36"/>
      <c r="QSM8" s="36"/>
      <c r="QSN8" s="37"/>
      <c r="QSO8" s="37"/>
      <c r="QSQ8" s="22"/>
      <c r="QSR8" s="35"/>
      <c r="QSS8" s="36"/>
      <c r="QST8" s="37"/>
      <c r="QSU8" s="36"/>
      <c r="QSV8" s="37"/>
      <c r="QSW8" s="36"/>
      <c r="QSX8" s="37"/>
      <c r="QSY8" s="36"/>
      <c r="QSZ8" s="37"/>
      <c r="QTA8" s="36"/>
      <c r="QTB8" s="37"/>
      <c r="QTC8" s="36"/>
      <c r="QTD8" s="37"/>
      <c r="QTE8" s="36"/>
      <c r="QTF8" s="37"/>
      <c r="QTG8" s="36"/>
      <c r="QTH8" s="37"/>
      <c r="QTI8" s="36"/>
      <c r="QTJ8" s="37"/>
      <c r="QTK8" s="36"/>
      <c r="QTL8" s="36"/>
      <c r="QTM8" s="37"/>
      <c r="QTN8" s="37"/>
      <c r="QTP8" s="22"/>
      <c r="QTQ8" s="35"/>
      <c r="QTR8" s="36"/>
      <c r="QTS8" s="37"/>
      <c r="QTT8" s="36"/>
      <c r="QTU8" s="37"/>
      <c r="QTV8" s="36"/>
      <c r="QTW8" s="37"/>
      <c r="QTX8" s="36"/>
      <c r="QTY8" s="37"/>
      <c r="QTZ8" s="36"/>
      <c r="QUA8" s="37"/>
      <c r="QUB8" s="36"/>
      <c r="QUC8" s="37"/>
      <c r="QUD8" s="36"/>
      <c r="QUE8" s="37"/>
      <c r="QUF8" s="36"/>
      <c r="QUG8" s="37"/>
      <c r="QUH8" s="36"/>
      <c r="QUI8" s="37"/>
      <c r="QUJ8" s="36"/>
      <c r="QUK8" s="36"/>
      <c r="QUL8" s="37"/>
      <c r="QUM8" s="37"/>
      <c r="QUO8" s="22"/>
      <c r="QUP8" s="35"/>
      <c r="QUQ8" s="36"/>
      <c r="QUR8" s="37"/>
      <c r="QUS8" s="36"/>
      <c r="QUT8" s="37"/>
      <c r="QUU8" s="36"/>
      <c r="QUV8" s="37"/>
      <c r="QUW8" s="36"/>
      <c r="QUX8" s="37"/>
      <c r="QUY8" s="36"/>
      <c r="QUZ8" s="37"/>
      <c r="QVA8" s="36"/>
      <c r="QVB8" s="37"/>
      <c r="QVC8" s="36"/>
      <c r="QVD8" s="37"/>
      <c r="QVE8" s="36"/>
      <c r="QVF8" s="37"/>
      <c r="QVG8" s="36"/>
      <c r="QVH8" s="37"/>
      <c r="QVI8" s="36"/>
      <c r="QVJ8" s="36"/>
      <c r="QVK8" s="37"/>
      <c r="QVL8" s="37"/>
      <c r="QVN8" s="22"/>
      <c r="QVO8" s="35"/>
      <c r="QVP8" s="36"/>
      <c r="QVQ8" s="37"/>
      <c r="QVR8" s="36"/>
      <c r="QVS8" s="37"/>
      <c r="QVT8" s="36"/>
      <c r="QVU8" s="37"/>
      <c r="QVV8" s="36"/>
      <c r="QVW8" s="37"/>
      <c r="QVX8" s="36"/>
      <c r="QVY8" s="37"/>
      <c r="QVZ8" s="36"/>
      <c r="QWA8" s="37"/>
      <c r="QWB8" s="36"/>
      <c r="QWC8" s="37"/>
      <c r="QWD8" s="36"/>
      <c r="QWE8" s="37"/>
      <c r="QWF8" s="36"/>
      <c r="QWG8" s="37"/>
      <c r="QWH8" s="36"/>
      <c r="QWI8" s="36"/>
      <c r="QWJ8" s="37"/>
      <c r="QWK8" s="37"/>
      <c r="QWM8" s="22"/>
      <c r="QWN8" s="35"/>
      <c r="QWO8" s="36"/>
      <c r="QWP8" s="37"/>
      <c r="QWQ8" s="36"/>
      <c r="QWR8" s="37"/>
      <c r="QWS8" s="36"/>
      <c r="QWT8" s="37"/>
      <c r="QWU8" s="36"/>
      <c r="QWV8" s="37"/>
      <c r="QWW8" s="36"/>
      <c r="QWX8" s="37"/>
      <c r="QWY8" s="36"/>
      <c r="QWZ8" s="37"/>
      <c r="QXA8" s="36"/>
      <c r="QXB8" s="37"/>
      <c r="QXC8" s="36"/>
      <c r="QXD8" s="37"/>
      <c r="QXE8" s="36"/>
      <c r="QXF8" s="37"/>
      <c r="QXG8" s="36"/>
      <c r="QXH8" s="36"/>
      <c r="QXI8" s="37"/>
      <c r="QXJ8" s="37"/>
      <c r="QXL8" s="22"/>
      <c r="QXM8" s="35"/>
      <c r="QXN8" s="36"/>
      <c r="QXO8" s="37"/>
      <c r="QXP8" s="36"/>
      <c r="QXQ8" s="37"/>
      <c r="QXR8" s="36"/>
      <c r="QXS8" s="37"/>
      <c r="QXT8" s="36"/>
      <c r="QXU8" s="37"/>
      <c r="QXV8" s="36"/>
      <c r="QXW8" s="37"/>
      <c r="QXX8" s="36"/>
      <c r="QXY8" s="37"/>
      <c r="QXZ8" s="36"/>
      <c r="QYA8" s="37"/>
      <c r="QYB8" s="36"/>
      <c r="QYC8" s="37"/>
      <c r="QYD8" s="36"/>
      <c r="QYE8" s="37"/>
      <c r="QYF8" s="36"/>
      <c r="QYG8" s="36"/>
      <c r="QYH8" s="37"/>
      <c r="QYI8" s="37"/>
      <c r="QYK8" s="22"/>
      <c r="QYL8" s="35"/>
      <c r="QYM8" s="36"/>
      <c r="QYN8" s="37"/>
      <c r="QYO8" s="36"/>
      <c r="QYP8" s="37"/>
      <c r="QYQ8" s="36"/>
      <c r="QYR8" s="37"/>
      <c r="QYS8" s="36"/>
      <c r="QYT8" s="37"/>
      <c r="QYU8" s="36"/>
      <c r="QYV8" s="37"/>
      <c r="QYW8" s="36"/>
      <c r="QYX8" s="37"/>
      <c r="QYY8" s="36"/>
      <c r="QYZ8" s="37"/>
      <c r="QZA8" s="36"/>
      <c r="QZB8" s="37"/>
      <c r="QZC8" s="36"/>
      <c r="QZD8" s="37"/>
      <c r="QZE8" s="36"/>
      <c r="QZF8" s="36"/>
      <c r="QZG8" s="37"/>
      <c r="QZH8" s="37"/>
      <c r="QZJ8" s="22"/>
      <c r="QZK8" s="35"/>
      <c r="QZL8" s="36"/>
      <c r="QZM8" s="37"/>
      <c r="QZN8" s="36"/>
      <c r="QZO8" s="37"/>
      <c r="QZP8" s="36"/>
      <c r="QZQ8" s="37"/>
      <c r="QZR8" s="36"/>
      <c r="QZS8" s="37"/>
      <c r="QZT8" s="36"/>
      <c r="QZU8" s="37"/>
      <c r="QZV8" s="36"/>
      <c r="QZW8" s="37"/>
      <c r="QZX8" s="36"/>
      <c r="QZY8" s="37"/>
      <c r="QZZ8" s="36"/>
      <c r="RAA8" s="37"/>
      <c r="RAB8" s="36"/>
      <c r="RAC8" s="37"/>
      <c r="RAD8" s="36"/>
      <c r="RAE8" s="36"/>
      <c r="RAF8" s="37"/>
      <c r="RAG8" s="37"/>
      <c r="RAI8" s="22"/>
      <c r="RAJ8" s="35"/>
      <c r="RAK8" s="36"/>
      <c r="RAL8" s="37"/>
      <c r="RAM8" s="36"/>
      <c r="RAN8" s="37"/>
      <c r="RAO8" s="36"/>
      <c r="RAP8" s="37"/>
      <c r="RAQ8" s="36"/>
      <c r="RAR8" s="37"/>
      <c r="RAS8" s="36"/>
      <c r="RAT8" s="37"/>
      <c r="RAU8" s="36"/>
      <c r="RAV8" s="37"/>
      <c r="RAW8" s="36"/>
      <c r="RAX8" s="37"/>
      <c r="RAY8" s="36"/>
      <c r="RAZ8" s="37"/>
      <c r="RBA8" s="36"/>
      <c r="RBB8" s="37"/>
      <c r="RBC8" s="36"/>
      <c r="RBD8" s="36"/>
      <c r="RBE8" s="37"/>
      <c r="RBF8" s="37"/>
      <c r="RBH8" s="22"/>
      <c r="RBI8" s="35"/>
      <c r="RBJ8" s="36"/>
      <c r="RBK8" s="37"/>
      <c r="RBL8" s="36"/>
      <c r="RBM8" s="37"/>
      <c r="RBN8" s="36"/>
      <c r="RBO8" s="37"/>
      <c r="RBP8" s="36"/>
      <c r="RBQ8" s="37"/>
      <c r="RBR8" s="36"/>
      <c r="RBS8" s="37"/>
      <c r="RBT8" s="36"/>
      <c r="RBU8" s="37"/>
      <c r="RBV8" s="36"/>
      <c r="RBW8" s="37"/>
      <c r="RBX8" s="36"/>
      <c r="RBY8" s="37"/>
      <c r="RBZ8" s="36"/>
      <c r="RCA8" s="37"/>
      <c r="RCB8" s="36"/>
      <c r="RCC8" s="36"/>
      <c r="RCD8" s="37"/>
      <c r="RCE8" s="37"/>
      <c r="RCG8" s="22"/>
      <c r="RCH8" s="35"/>
      <c r="RCI8" s="36"/>
      <c r="RCJ8" s="37"/>
      <c r="RCK8" s="36"/>
      <c r="RCL8" s="37"/>
      <c r="RCM8" s="36"/>
      <c r="RCN8" s="37"/>
      <c r="RCO8" s="36"/>
      <c r="RCP8" s="37"/>
      <c r="RCQ8" s="36"/>
      <c r="RCR8" s="37"/>
      <c r="RCS8" s="36"/>
      <c r="RCT8" s="37"/>
      <c r="RCU8" s="36"/>
      <c r="RCV8" s="37"/>
      <c r="RCW8" s="36"/>
      <c r="RCX8" s="37"/>
      <c r="RCY8" s="36"/>
      <c r="RCZ8" s="37"/>
      <c r="RDA8" s="36"/>
      <c r="RDB8" s="36"/>
      <c r="RDC8" s="37"/>
      <c r="RDD8" s="37"/>
      <c r="RDF8" s="22"/>
      <c r="RDG8" s="35"/>
      <c r="RDH8" s="36"/>
      <c r="RDI8" s="37"/>
      <c r="RDJ8" s="36"/>
      <c r="RDK8" s="37"/>
      <c r="RDL8" s="36"/>
      <c r="RDM8" s="37"/>
      <c r="RDN8" s="36"/>
      <c r="RDO8" s="37"/>
      <c r="RDP8" s="36"/>
      <c r="RDQ8" s="37"/>
      <c r="RDR8" s="36"/>
      <c r="RDS8" s="37"/>
      <c r="RDT8" s="36"/>
      <c r="RDU8" s="37"/>
      <c r="RDV8" s="36"/>
      <c r="RDW8" s="37"/>
      <c r="RDX8" s="36"/>
      <c r="RDY8" s="37"/>
      <c r="RDZ8" s="36"/>
      <c r="REA8" s="36"/>
      <c r="REB8" s="37"/>
      <c r="REC8" s="37"/>
      <c r="REE8" s="22"/>
      <c r="REF8" s="35"/>
      <c r="REG8" s="36"/>
      <c r="REH8" s="37"/>
      <c r="REI8" s="36"/>
      <c r="REJ8" s="37"/>
      <c r="REK8" s="36"/>
      <c r="REL8" s="37"/>
      <c r="REM8" s="36"/>
      <c r="REN8" s="37"/>
      <c r="REO8" s="36"/>
      <c r="REP8" s="37"/>
      <c r="REQ8" s="36"/>
      <c r="RER8" s="37"/>
      <c r="RES8" s="36"/>
      <c r="RET8" s="37"/>
      <c r="REU8" s="36"/>
      <c r="REV8" s="37"/>
      <c r="REW8" s="36"/>
      <c r="REX8" s="37"/>
      <c r="REY8" s="36"/>
      <c r="REZ8" s="36"/>
      <c r="RFA8" s="37"/>
      <c r="RFB8" s="37"/>
      <c r="RFD8" s="22"/>
      <c r="RFE8" s="35"/>
      <c r="RFF8" s="36"/>
      <c r="RFG8" s="37"/>
      <c r="RFH8" s="36"/>
      <c r="RFI8" s="37"/>
      <c r="RFJ8" s="36"/>
      <c r="RFK8" s="37"/>
      <c r="RFL8" s="36"/>
      <c r="RFM8" s="37"/>
      <c r="RFN8" s="36"/>
      <c r="RFO8" s="37"/>
      <c r="RFP8" s="36"/>
      <c r="RFQ8" s="37"/>
      <c r="RFR8" s="36"/>
      <c r="RFS8" s="37"/>
      <c r="RFT8" s="36"/>
      <c r="RFU8" s="37"/>
      <c r="RFV8" s="36"/>
      <c r="RFW8" s="37"/>
      <c r="RFX8" s="36"/>
      <c r="RFY8" s="36"/>
      <c r="RFZ8" s="37"/>
      <c r="RGA8" s="37"/>
      <c r="RGC8" s="22"/>
      <c r="RGD8" s="35"/>
      <c r="RGE8" s="36"/>
      <c r="RGF8" s="37"/>
      <c r="RGG8" s="36"/>
      <c r="RGH8" s="37"/>
      <c r="RGI8" s="36"/>
      <c r="RGJ8" s="37"/>
      <c r="RGK8" s="36"/>
      <c r="RGL8" s="37"/>
      <c r="RGM8" s="36"/>
      <c r="RGN8" s="37"/>
      <c r="RGO8" s="36"/>
      <c r="RGP8" s="37"/>
      <c r="RGQ8" s="36"/>
      <c r="RGR8" s="37"/>
      <c r="RGS8" s="36"/>
      <c r="RGT8" s="37"/>
      <c r="RGU8" s="36"/>
      <c r="RGV8" s="37"/>
      <c r="RGW8" s="36"/>
      <c r="RGX8" s="36"/>
      <c r="RGY8" s="37"/>
      <c r="RGZ8" s="37"/>
      <c r="RHB8" s="22"/>
      <c r="RHC8" s="35"/>
      <c r="RHD8" s="36"/>
      <c r="RHE8" s="37"/>
      <c r="RHF8" s="36"/>
      <c r="RHG8" s="37"/>
      <c r="RHH8" s="36"/>
      <c r="RHI8" s="37"/>
      <c r="RHJ8" s="36"/>
      <c r="RHK8" s="37"/>
      <c r="RHL8" s="36"/>
      <c r="RHM8" s="37"/>
      <c r="RHN8" s="36"/>
      <c r="RHO8" s="37"/>
      <c r="RHP8" s="36"/>
      <c r="RHQ8" s="37"/>
      <c r="RHR8" s="36"/>
      <c r="RHS8" s="37"/>
      <c r="RHT8" s="36"/>
      <c r="RHU8" s="37"/>
      <c r="RHV8" s="36"/>
      <c r="RHW8" s="36"/>
      <c r="RHX8" s="37"/>
      <c r="RHY8" s="37"/>
      <c r="RIA8" s="22"/>
      <c r="RIB8" s="35"/>
      <c r="RIC8" s="36"/>
      <c r="RID8" s="37"/>
      <c r="RIE8" s="36"/>
      <c r="RIF8" s="37"/>
      <c r="RIG8" s="36"/>
      <c r="RIH8" s="37"/>
      <c r="RII8" s="36"/>
      <c r="RIJ8" s="37"/>
      <c r="RIK8" s="36"/>
      <c r="RIL8" s="37"/>
      <c r="RIM8" s="36"/>
      <c r="RIN8" s="37"/>
      <c r="RIO8" s="36"/>
      <c r="RIP8" s="37"/>
      <c r="RIQ8" s="36"/>
      <c r="RIR8" s="37"/>
      <c r="RIS8" s="36"/>
      <c r="RIT8" s="37"/>
      <c r="RIU8" s="36"/>
      <c r="RIV8" s="36"/>
      <c r="RIW8" s="37"/>
      <c r="RIX8" s="37"/>
      <c r="RIZ8" s="22"/>
      <c r="RJA8" s="35"/>
      <c r="RJB8" s="36"/>
      <c r="RJC8" s="37"/>
      <c r="RJD8" s="36"/>
      <c r="RJE8" s="37"/>
      <c r="RJF8" s="36"/>
      <c r="RJG8" s="37"/>
      <c r="RJH8" s="36"/>
      <c r="RJI8" s="37"/>
      <c r="RJJ8" s="36"/>
      <c r="RJK8" s="37"/>
      <c r="RJL8" s="36"/>
      <c r="RJM8" s="37"/>
      <c r="RJN8" s="36"/>
      <c r="RJO8" s="37"/>
      <c r="RJP8" s="36"/>
      <c r="RJQ8" s="37"/>
      <c r="RJR8" s="36"/>
      <c r="RJS8" s="37"/>
      <c r="RJT8" s="36"/>
      <c r="RJU8" s="36"/>
      <c r="RJV8" s="37"/>
      <c r="RJW8" s="37"/>
      <c r="RJY8" s="22"/>
      <c r="RJZ8" s="35"/>
      <c r="RKA8" s="36"/>
      <c r="RKB8" s="37"/>
      <c r="RKC8" s="36"/>
      <c r="RKD8" s="37"/>
      <c r="RKE8" s="36"/>
      <c r="RKF8" s="37"/>
      <c r="RKG8" s="36"/>
      <c r="RKH8" s="37"/>
      <c r="RKI8" s="36"/>
      <c r="RKJ8" s="37"/>
      <c r="RKK8" s="36"/>
      <c r="RKL8" s="37"/>
      <c r="RKM8" s="36"/>
      <c r="RKN8" s="37"/>
      <c r="RKO8" s="36"/>
      <c r="RKP8" s="37"/>
      <c r="RKQ8" s="36"/>
      <c r="RKR8" s="37"/>
      <c r="RKS8" s="36"/>
      <c r="RKT8" s="36"/>
      <c r="RKU8" s="37"/>
      <c r="RKV8" s="37"/>
      <c r="RKX8" s="22"/>
      <c r="RKY8" s="35"/>
      <c r="RKZ8" s="36"/>
      <c r="RLA8" s="37"/>
      <c r="RLB8" s="36"/>
      <c r="RLC8" s="37"/>
      <c r="RLD8" s="36"/>
      <c r="RLE8" s="37"/>
      <c r="RLF8" s="36"/>
      <c r="RLG8" s="37"/>
      <c r="RLH8" s="36"/>
      <c r="RLI8" s="37"/>
      <c r="RLJ8" s="36"/>
      <c r="RLK8" s="37"/>
      <c r="RLL8" s="36"/>
      <c r="RLM8" s="37"/>
      <c r="RLN8" s="36"/>
      <c r="RLO8" s="37"/>
      <c r="RLP8" s="36"/>
      <c r="RLQ8" s="37"/>
      <c r="RLR8" s="36"/>
      <c r="RLS8" s="36"/>
      <c r="RLT8" s="37"/>
      <c r="RLU8" s="37"/>
      <c r="RLW8" s="22"/>
      <c r="RLX8" s="35"/>
      <c r="RLY8" s="36"/>
      <c r="RLZ8" s="37"/>
      <c r="RMA8" s="36"/>
      <c r="RMB8" s="37"/>
      <c r="RMC8" s="36"/>
      <c r="RMD8" s="37"/>
      <c r="RME8" s="36"/>
      <c r="RMF8" s="37"/>
      <c r="RMG8" s="36"/>
      <c r="RMH8" s="37"/>
      <c r="RMI8" s="36"/>
      <c r="RMJ8" s="37"/>
      <c r="RMK8" s="36"/>
      <c r="RML8" s="37"/>
      <c r="RMM8" s="36"/>
      <c r="RMN8" s="37"/>
      <c r="RMO8" s="36"/>
      <c r="RMP8" s="37"/>
      <c r="RMQ8" s="36"/>
      <c r="RMR8" s="36"/>
      <c r="RMS8" s="37"/>
      <c r="RMT8" s="37"/>
      <c r="RMV8" s="22"/>
      <c r="RMW8" s="35"/>
      <c r="RMX8" s="36"/>
      <c r="RMY8" s="37"/>
      <c r="RMZ8" s="36"/>
      <c r="RNA8" s="37"/>
      <c r="RNB8" s="36"/>
      <c r="RNC8" s="37"/>
      <c r="RND8" s="36"/>
      <c r="RNE8" s="37"/>
      <c r="RNF8" s="36"/>
      <c r="RNG8" s="37"/>
      <c r="RNH8" s="36"/>
      <c r="RNI8" s="37"/>
      <c r="RNJ8" s="36"/>
      <c r="RNK8" s="37"/>
      <c r="RNL8" s="36"/>
      <c r="RNM8" s="37"/>
      <c r="RNN8" s="36"/>
      <c r="RNO8" s="37"/>
      <c r="RNP8" s="36"/>
      <c r="RNQ8" s="36"/>
      <c r="RNR8" s="37"/>
      <c r="RNS8" s="37"/>
      <c r="RNU8" s="22"/>
      <c r="RNV8" s="35"/>
      <c r="RNW8" s="36"/>
      <c r="RNX8" s="37"/>
      <c r="RNY8" s="36"/>
      <c r="RNZ8" s="37"/>
      <c r="ROA8" s="36"/>
      <c r="ROB8" s="37"/>
      <c r="ROC8" s="36"/>
      <c r="ROD8" s="37"/>
      <c r="ROE8" s="36"/>
      <c r="ROF8" s="37"/>
      <c r="ROG8" s="36"/>
      <c r="ROH8" s="37"/>
      <c r="ROI8" s="36"/>
      <c r="ROJ8" s="37"/>
      <c r="ROK8" s="36"/>
      <c r="ROL8" s="37"/>
      <c r="ROM8" s="36"/>
      <c r="RON8" s="37"/>
      <c r="ROO8" s="36"/>
      <c r="ROP8" s="36"/>
      <c r="ROQ8" s="37"/>
      <c r="ROR8" s="37"/>
      <c r="ROT8" s="22"/>
      <c r="ROU8" s="35"/>
      <c r="ROV8" s="36"/>
      <c r="ROW8" s="37"/>
      <c r="ROX8" s="36"/>
      <c r="ROY8" s="37"/>
      <c r="ROZ8" s="36"/>
      <c r="RPA8" s="37"/>
      <c r="RPB8" s="36"/>
      <c r="RPC8" s="37"/>
      <c r="RPD8" s="36"/>
      <c r="RPE8" s="37"/>
      <c r="RPF8" s="36"/>
      <c r="RPG8" s="37"/>
      <c r="RPH8" s="36"/>
      <c r="RPI8" s="37"/>
      <c r="RPJ8" s="36"/>
      <c r="RPK8" s="37"/>
      <c r="RPL8" s="36"/>
      <c r="RPM8" s="37"/>
      <c r="RPN8" s="36"/>
      <c r="RPO8" s="36"/>
      <c r="RPP8" s="37"/>
      <c r="RPQ8" s="37"/>
      <c r="RPS8" s="22"/>
      <c r="RPT8" s="35"/>
      <c r="RPU8" s="36"/>
      <c r="RPV8" s="37"/>
      <c r="RPW8" s="36"/>
      <c r="RPX8" s="37"/>
      <c r="RPY8" s="36"/>
      <c r="RPZ8" s="37"/>
      <c r="RQA8" s="36"/>
      <c r="RQB8" s="37"/>
      <c r="RQC8" s="36"/>
      <c r="RQD8" s="37"/>
      <c r="RQE8" s="36"/>
      <c r="RQF8" s="37"/>
      <c r="RQG8" s="36"/>
      <c r="RQH8" s="37"/>
      <c r="RQI8" s="36"/>
      <c r="RQJ8" s="37"/>
      <c r="RQK8" s="36"/>
      <c r="RQL8" s="37"/>
      <c r="RQM8" s="36"/>
      <c r="RQN8" s="36"/>
      <c r="RQO8" s="37"/>
      <c r="RQP8" s="37"/>
      <c r="RQR8" s="22"/>
      <c r="RQS8" s="35"/>
      <c r="RQT8" s="36"/>
      <c r="RQU8" s="37"/>
      <c r="RQV8" s="36"/>
      <c r="RQW8" s="37"/>
      <c r="RQX8" s="36"/>
      <c r="RQY8" s="37"/>
      <c r="RQZ8" s="36"/>
      <c r="RRA8" s="37"/>
      <c r="RRB8" s="36"/>
      <c r="RRC8" s="37"/>
      <c r="RRD8" s="36"/>
      <c r="RRE8" s="37"/>
      <c r="RRF8" s="36"/>
      <c r="RRG8" s="37"/>
      <c r="RRH8" s="36"/>
      <c r="RRI8" s="37"/>
      <c r="RRJ8" s="36"/>
      <c r="RRK8" s="37"/>
      <c r="RRL8" s="36"/>
      <c r="RRM8" s="36"/>
      <c r="RRN8" s="37"/>
      <c r="RRO8" s="37"/>
      <c r="RRQ8" s="22"/>
      <c r="RRR8" s="35"/>
      <c r="RRS8" s="36"/>
      <c r="RRT8" s="37"/>
      <c r="RRU8" s="36"/>
      <c r="RRV8" s="37"/>
      <c r="RRW8" s="36"/>
      <c r="RRX8" s="37"/>
      <c r="RRY8" s="36"/>
      <c r="RRZ8" s="37"/>
      <c r="RSA8" s="36"/>
      <c r="RSB8" s="37"/>
      <c r="RSC8" s="36"/>
      <c r="RSD8" s="37"/>
      <c r="RSE8" s="36"/>
      <c r="RSF8" s="37"/>
      <c r="RSG8" s="36"/>
      <c r="RSH8" s="37"/>
      <c r="RSI8" s="36"/>
      <c r="RSJ8" s="37"/>
      <c r="RSK8" s="36"/>
      <c r="RSL8" s="36"/>
      <c r="RSM8" s="37"/>
      <c r="RSN8" s="37"/>
      <c r="RSP8" s="22"/>
      <c r="RSQ8" s="35"/>
      <c r="RSR8" s="36"/>
      <c r="RSS8" s="37"/>
      <c r="RST8" s="36"/>
      <c r="RSU8" s="37"/>
      <c r="RSV8" s="36"/>
      <c r="RSW8" s="37"/>
      <c r="RSX8" s="36"/>
      <c r="RSY8" s="37"/>
      <c r="RSZ8" s="36"/>
      <c r="RTA8" s="37"/>
      <c r="RTB8" s="36"/>
      <c r="RTC8" s="37"/>
      <c r="RTD8" s="36"/>
      <c r="RTE8" s="37"/>
      <c r="RTF8" s="36"/>
      <c r="RTG8" s="37"/>
      <c r="RTH8" s="36"/>
      <c r="RTI8" s="37"/>
      <c r="RTJ8" s="36"/>
      <c r="RTK8" s="36"/>
      <c r="RTL8" s="37"/>
      <c r="RTM8" s="37"/>
      <c r="RTO8" s="22"/>
      <c r="RTP8" s="35"/>
      <c r="RTQ8" s="36"/>
      <c r="RTR8" s="37"/>
      <c r="RTS8" s="36"/>
      <c r="RTT8" s="37"/>
      <c r="RTU8" s="36"/>
      <c r="RTV8" s="37"/>
      <c r="RTW8" s="36"/>
      <c r="RTX8" s="37"/>
      <c r="RTY8" s="36"/>
      <c r="RTZ8" s="37"/>
      <c r="RUA8" s="36"/>
      <c r="RUB8" s="37"/>
      <c r="RUC8" s="36"/>
      <c r="RUD8" s="37"/>
      <c r="RUE8" s="36"/>
      <c r="RUF8" s="37"/>
      <c r="RUG8" s="36"/>
      <c r="RUH8" s="37"/>
      <c r="RUI8" s="36"/>
      <c r="RUJ8" s="36"/>
      <c r="RUK8" s="37"/>
      <c r="RUL8" s="37"/>
      <c r="RUN8" s="22"/>
      <c r="RUO8" s="35"/>
      <c r="RUP8" s="36"/>
      <c r="RUQ8" s="37"/>
      <c r="RUR8" s="36"/>
      <c r="RUS8" s="37"/>
      <c r="RUT8" s="36"/>
      <c r="RUU8" s="37"/>
      <c r="RUV8" s="36"/>
      <c r="RUW8" s="37"/>
      <c r="RUX8" s="36"/>
      <c r="RUY8" s="37"/>
      <c r="RUZ8" s="36"/>
      <c r="RVA8" s="37"/>
      <c r="RVB8" s="36"/>
      <c r="RVC8" s="37"/>
      <c r="RVD8" s="36"/>
      <c r="RVE8" s="37"/>
      <c r="RVF8" s="36"/>
      <c r="RVG8" s="37"/>
      <c r="RVH8" s="36"/>
      <c r="RVI8" s="36"/>
      <c r="RVJ8" s="37"/>
      <c r="RVK8" s="37"/>
      <c r="RVM8" s="22"/>
      <c r="RVN8" s="35"/>
      <c r="RVO8" s="36"/>
      <c r="RVP8" s="37"/>
      <c r="RVQ8" s="36"/>
      <c r="RVR8" s="37"/>
      <c r="RVS8" s="36"/>
      <c r="RVT8" s="37"/>
      <c r="RVU8" s="36"/>
      <c r="RVV8" s="37"/>
      <c r="RVW8" s="36"/>
      <c r="RVX8" s="37"/>
      <c r="RVY8" s="36"/>
      <c r="RVZ8" s="37"/>
      <c r="RWA8" s="36"/>
      <c r="RWB8" s="37"/>
      <c r="RWC8" s="36"/>
      <c r="RWD8" s="37"/>
      <c r="RWE8" s="36"/>
      <c r="RWF8" s="37"/>
      <c r="RWG8" s="36"/>
      <c r="RWH8" s="36"/>
      <c r="RWI8" s="37"/>
      <c r="RWJ8" s="37"/>
      <c r="RWL8" s="22"/>
      <c r="RWM8" s="35"/>
      <c r="RWN8" s="36"/>
      <c r="RWO8" s="37"/>
      <c r="RWP8" s="36"/>
      <c r="RWQ8" s="37"/>
      <c r="RWR8" s="36"/>
      <c r="RWS8" s="37"/>
      <c r="RWT8" s="36"/>
      <c r="RWU8" s="37"/>
      <c r="RWV8" s="36"/>
      <c r="RWW8" s="37"/>
      <c r="RWX8" s="36"/>
      <c r="RWY8" s="37"/>
      <c r="RWZ8" s="36"/>
      <c r="RXA8" s="37"/>
      <c r="RXB8" s="36"/>
      <c r="RXC8" s="37"/>
      <c r="RXD8" s="36"/>
      <c r="RXE8" s="37"/>
      <c r="RXF8" s="36"/>
      <c r="RXG8" s="36"/>
      <c r="RXH8" s="37"/>
      <c r="RXI8" s="37"/>
      <c r="RXK8" s="22"/>
      <c r="RXL8" s="35"/>
      <c r="RXM8" s="36"/>
      <c r="RXN8" s="37"/>
      <c r="RXO8" s="36"/>
      <c r="RXP8" s="37"/>
      <c r="RXQ8" s="36"/>
      <c r="RXR8" s="37"/>
      <c r="RXS8" s="36"/>
      <c r="RXT8" s="37"/>
      <c r="RXU8" s="36"/>
      <c r="RXV8" s="37"/>
      <c r="RXW8" s="36"/>
      <c r="RXX8" s="37"/>
      <c r="RXY8" s="36"/>
      <c r="RXZ8" s="37"/>
      <c r="RYA8" s="36"/>
      <c r="RYB8" s="37"/>
      <c r="RYC8" s="36"/>
      <c r="RYD8" s="37"/>
      <c r="RYE8" s="36"/>
      <c r="RYF8" s="36"/>
      <c r="RYG8" s="37"/>
      <c r="RYH8" s="37"/>
      <c r="RYJ8" s="22"/>
      <c r="RYK8" s="35"/>
      <c r="RYL8" s="36"/>
      <c r="RYM8" s="37"/>
      <c r="RYN8" s="36"/>
      <c r="RYO8" s="37"/>
      <c r="RYP8" s="36"/>
      <c r="RYQ8" s="37"/>
      <c r="RYR8" s="36"/>
      <c r="RYS8" s="37"/>
      <c r="RYT8" s="36"/>
      <c r="RYU8" s="37"/>
      <c r="RYV8" s="36"/>
      <c r="RYW8" s="37"/>
      <c r="RYX8" s="36"/>
      <c r="RYY8" s="37"/>
      <c r="RYZ8" s="36"/>
      <c r="RZA8" s="37"/>
      <c r="RZB8" s="36"/>
      <c r="RZC8" s="37"/>
      <c r="RZD8" s="36"/>
      <c r="RZE8" s="36"/>
      <c r="RZF8" s="37"/>
      <c r="RZG8" s="37"/>
      <c r="RZI8" s="22"/>
      <c r="RZJ8" s="35"/>
      <c r="RZK8" s="36"/>
      <c r="RZL8" s="37"/>
      <c r="RZM8" s="36"/>
      <c r="RZN8" s="37"/>
      <c r="RZO8" s="36"/>
      <c r="RZP8" s="37"/>
      <c r="RZQ8" s="36"/>
      <c r="RZR8" s="37"/>
      <c r="RZS8" s="36"/>
      <c r="RZT8" s="37"/>
      <c r="RZU8" s="36"/>
      <c r="RZV8" s="37"/>
      <c r="RZW8" s="36"/>
      <c r="RZX8" s="37"/>
      <c r="RZY8" s="36"/>
      <c r="RZZ8" s="37"/>
      <c r="SAA8" s="36"/>
      <c r="SAB8" s="37"/>
      <c r="SAC8" s="36"/>
      <c r="SAD8" s="36"/>
      <c r="SAE8" s="37"/>
      <c r="SAF8" s="37"/>
      <c r="SAH8" s="22"/>
      <c r="SAI8" s="35"/>
      <c r="SAJ8" s="36"/>
      <c r="SAK8" s="37"/>
      <c r="SAL8" s="36"/>
      <c r="SAM8" s="37"/>
      <c r="SAN8" s="36"/>
      <c r="SAO8" s="37"/>
      <c r="SAP8" s="36"/>
      <c r="SAQ8" s="37"/>
      <c r="SAR8" s="36"/>
      <c r="SAS8" s="37"/>
      <c r="SAT8" s="36"/>
      <c r="SAU8" s="37"/>
      <c r="SAV8" s="36"/>
      <c r="SAW8" s="37"/>
      <c r="SAX8" s="36"/>
      <c r="SAY8" s="37"/>
      <c r="SAZ8" s="36"/>
      <c r="SBA8" s="37"/>
      <c r="SBB8" s="36"/>
      <c r="SBC8" s="36"/>
      <c r="SBD8" s="37"/>
      <c r="SBE8" s="37"/>
      <c r="SBG8" s="22"/>
      <c r="SBH8" s="35"/>
      <c r="SBI8" s="36"/>
      <c r="SBJ8" s="37"/>
      <c r="SBK8" s="36"/>
      <c r="SBL8" s="37"/>
      <c r="SBM8" s="36"/>
      <c r="SBN8" s="37"/>
      <c r="SBO8" s="36"/>
      <c r="SBP8" s="37"/>
      <c r="SBQ8" s="36"/>
      <c r="SBR8" s="37"/>
      <c r="SBS8" s="36"/>
      <c r="SBT8" s="37"/>
      <c r="SBU8" s="36"/>
      <c r="SBV8" s="37"/>
      <c r="SBW8" s="36"/>
      <c r="SBX8" s="37"/>
      <c r="SBY8" s="36"/>
      <c r="SBZ8" s="37"/>
      <c r="SCA8" s="36"/>
      <c r="SCB8" s="36"/>
      <c r="SCC8" s="37"/>
      <c r="SCD8" s="37"/>
      <c r="SCF8" s="22"/>
      <c r="SCG8" s="35"/>
      <c r="SCH8" s="36"/>
      <c r="SCI8" s="37"/>
      <c r="SCJ8" s="36"/>
      <c r="SCK8" s="37"/>
      <c r="SCL8" s="36"/>
      <c r="SCM8" s="37"/>
      <c r="SCN8" s="36"/>
      <c r="SCO8" s="37"/>
      <c r="SCP8" s="36"/>
      <c r="SCQ8" s="37"/>
      <c r="SCR8" s="36"/>
      <c r="SCS8" s="37"/>
      <c r="SCT8" s="36"/>
      <c r="SCU8" s="37"/>
      <c r="SCV8" s="36"/>
      <c r="SCW8" s="37"/>
      <c r="SCX8" s="36"/>
      <c r="SCY8" s="37"/>
      <c r="SCZ8" s="36"/>
      <c r="SDA8" s="36"/>
      <c r="SDB8" s="37"/>
      <c r="SDC8" s="37"/>
      <c r="SDE8" s="22"/>
      <c r="SDF8" s="35"/>
      <c r="SDG8" s="36"/>
      <c r="SDH8" s="37"/>
      <c r="SDI8" s="36"/>
      <c r="SDJ8" s="37"/>
      <c r="SDK8" s="36"/>
      <c r="SDL8" s="37"/>
      <c r="SDM8" s="36"/>
      <c r="SDN8" s="37"/>
      <c r="SDO8" s="36"/>
      <c r="SDP8" s="37"/>
      <c r="SDQ8" s="36"/>
      <c r="SDR8" s="37"/>
      <c r="SDS8" s="36"/>
      <c r="SDT8" s="37"/>
      <c r="SDU8" s="36"/>
      <c r="SDV8" s="37"/>
      <c r="SDW8" s="36"/>
      <c r="SDX8" s="37"/>
      <c r="SDY8" s="36"/>
      <c r="SDZ8" s="36"/>
      <c r="SEA8" s="37"/>
      <c r="SEB8" s="37"/>
      <c r="SED8" s="22"/>
      <c r="SEE8" s="35"/>
      <c r="SEF8" s="36"/>
      <c r="SEG8" s="37"/>
      <c r="SEH8" s="36"/>
      <c r="SEI8" s="37"/>
      <c r="SEJ8" s="36"/>
      <c r="SEK8" s="37"/>
      <c r="SEL8" s="36"/>
      <c r="SEM8" s="37"/>
      <c r="SEN8" s="36"/>
      <c r="SEO8" s="37"/>
      <c r="SEP8" s="36"/>
      <c r="SEQ8" s="37"/>
      <c r="SER8" s="36"/>
      <c r="SES8" s="37"/>
      <c r="SET8" s="36"/>
      <c r="SEU8" s="37"/>
      <c r="SEV8" s="36"/>
      <c r="SEW8" s="37"/>
      <c r="SEX8" s="36"/>
      <c r="SEY8" s="36"/>
      <c r="SEZ8" s="37"/>
      <c r="SFA8" s="37"/>
      <c r="SFC8" s="22"/>
      <c r="SFD8" s="35"/>
      <c r="SFE8" s="36"/>
      <c r="SFF8" s="37"/>
      <c r="SFG8" s="36"/>
      <c r="SFH8" s="37"/>
      <c r="SFI8" s="36"/>
      <c r="SFJ8" s="37"/>
      <c r="SFK8" s="36"/>
      <c r="SFL8" s="37"/>
      <c r="SFM8" s="36"/>
      <c r="SFN8" s="37"/>
      <c r="SFO8" s="36"/>
      <c r="SFP8" s="37"/>
      <c r="SFQ8" s="36"/>
      <c r="SFR8" s="37"/>
      <c r="SFS8" s="36"/>
      <c r="SFT8" s="37"/>
      <c r="SFU8" s="36"/>
      <c r="SFV8" s="37"/>
      <c r="SFW8" s="36"/>
      <c r="SFX8" s="36"/>
      <c r="SFY8" s="37"/>
      <c r="SFZ8" s="37"/>
      <c r="SGB8" s="22"/>
      <c r="SGC8" s="35"/>
      <c r="SGD8" s="36"/>
      <c r="SGE8" s="37"/>
      <c r="SGF8" s="36"/>
      <c r="SGG8" s="37"/>
      <c r="SGH8" s="36"/>
      <c r="SGI8" s="37"/>
      <c r="SGJ8" s="36"/>
      <c r="SGK8" s="37"/>
      <c r="SGL8" s="36"/>
      <c r="SGM8" s="37"/>
      <c r="SGN8" s="36"/>
      <c r="SGO8" s="37"/>
      <c r="SGP8" s="36"/>
      <c r="SGQ8" s="37"/>
      <c r="SGR8" s="36"/>
      <c r="SGS8" s="37"/>
      <c r="SGT8" s="36"/>
      <c r="SGU8" s="37"/>
      <c r="SGV8" s="36"/>
      <c r="SGW8" s="36"/>
      <c r="SGX8" s="37"/>
      <c r="SGY8" s="37"/>
      <c r="SHA8" s="22"/>
      <c r="SHB8" s="35"/>
      <c r="SHC8" s="36"/>
      <c r="SHD8" s="37"/>
      <c r="SHE8" s="36"/>
      <c r="SHF8" s="37"/>
      <c r="SHG8" s="36"/>
      <c r="SHH8" s="37"/>
      <c r="SHI8" s="36"/>
      <c r="SHJ8" s="37"/>
      <c r="SHK8" s="36"/>
      <c r="SHL8" s="37"/>
      <c r="SHM8" s="36"/>
      <c r="SHN8" s="37"/>
      <c r="SHO8" s="36"/>
      <c r="SHP8" s="37"/>
      <c r="SHQ8" s="36"/>
      <c r="SHR8" s="37"/>
      <c r="SHS8" s="36"/>
      <c r="SHT8" s="37"/>
      <c r="SHU8" s="36"/>
      <c r="SHV8" s="36"/>
      <c r="SHW8" s="37"/>
      <c r="SHX8" s="37"/>
      <c r="SHZ8" s="22"/>
      <c r="SIA8" s="35"/>
      <c r="SIB8" s="36"/>
      <c r="SIC8" s="37"/>
      <c r="SID8" s="36"/>
      <c r="SIE8" s="37"/>
      <c r="SIF8" s="36"/>
      <c r="SIG8" s="37"/>
      <c r="SIH8" s="36"/>
      <c r="SII8" s="37"/>
      <c r="SIJ8" s="36"/>
      <c r="SIK8" s="37"/>
      <c r="SIL8" s="36"/>
      <c r="SIM8" s="37"/>
      <c r="SIN8" s="36"/>
      <c r="SIO8" s="37"/>
      <c r="SIP8" s="36"/>
      <c r="SIQ8" s="37"/>
      <c r="SIR8" s="36"/>
      <c r="SIS8" s="37"/>
      <c r="SIT8" s="36"/>
      <c r="SIU8" s="36"/>
      <c r="SIV8" s="37"/>
      <c r="SIW8" s="37"/>
      <c r="SIY8" s="22"/>
      <c r="SIZ8" s="35"/>
      <c r="SJA8" s="36"/>
      <c r="SJB8" s="37"/>
      <c r="SJC8" s="36"/>
      <c r="SJD8" s="37"/>
      <c r="SJE8" s="36"/>
      <c r="SJF8" s="37"/>
      <c r="SJG8" s="36"/>
      <c r="SJH8" s="37"/>
      <c r="SJI8" s="36"/>
      <c r="SJJ8" s="37"/>
      <c r="SJK8" s="36"/>
      <c r="SJL8" s="37"/>
      <c r="SJM8" s="36"/>
      <c r="SJN8" s="37"/>
      <c r="SJO8" s="36"/>
      <c r="SJP8" s="37"/>
      <c r="SJQ8" s="36"/>
      <c r="SJR8" s="37"/>
      <c r="SJS8" s="36"/>
      <c r="SJT8" s="36"/>
      <c r="SJU8" s="37"/>
      <c r="SJV8" s="37"/>
      <c r="SJX8" s="22"/>
      <c r="SJY8" s="35"/>
      <c r="SJZ8" s="36"/>
      <c r="SKA8" s="37"/>
      <c r="SKB8" s="36"/>
      <c r="SKC8" s="37"/>
      <c r="SKD8" s="36"/>
      <c r="SKE8" s="37"/>
      <c r="SKF8" s="36"/>
      <c r="SKG8" s="37"/>
      <c r="SKH8" s="36"/>
      <c r="SKI8" s="37"/>
      <c r="SKJ8" s="36"/>
      <c r="SKK8" s="37"/>
      <c r="SKL8" s="36"/>
      <c r="SKM8" s="37"/>
      <c r="SKN8" s="36"/>
      <c r="SKO8" s="37"/>
      <c r="SKP8" s="36"/>
      <c r="SKQ8" s="37"/>
      <c r="SKR8" s="36"/>
      <c r="SKS8" s="36"/>
      <c r="SKT8" s="37"/>
      <c r="SKU8" s="37"/>
      <c r="SKW8" s="22"/>
      <c r="SKX8" s="35"/>
      <c r="SKY8" s="36"/>
      <c r="SKZ8" s="37"/>
      <c r="SLA8" s="36"/>
      <c r="SLB8" s="37"/>
      <c r="SLC8" s="36"/>
      <c r="SLD8" s="37"/>
      <c r="SLE8" s="36"/>
      <c r="SLF8" s="37"/>
      <c r="SLG8" s="36"/>
      <c r="SLH8" s="37"/>
      <c r="SLI8" s="36"/>
      <c r="SLJ8" s="37"/>
      <c r="SLK8" s="36"/>
      <c r="SLL8" s="37"/>
      <c r="SLM8" s="36"/>
      <c r="SLN8" s="37"/>
      <c r="SLO8" s="36"/>
      <c r="SLP8" s="37"/>
      <c r="SLQ8" s="36"/>
      <c r="SLR8" s="36"/>
      <c r="SLS8" s="37"/>
      <c r="SLT8" s="37"/>
      <c r="SLV8" s="22"/>
      <c r="SLW8" s="35"/>
      <c r="SLX8" s="36"/>
      <c r="SLY8" s="37"/>
      <c r="SLZ8" s="36"/>
      <c r="SMA8" s="37"/>
      <c r="SMB8" s="36"/>
      <c r="SMC8" s="37"/>
      <c r="SMD8" s="36"/>
      <c r="SME8" s="37"/>
      <c r="SMF8" s="36"/>
      <c r="SMG8" s="37"/>
      <c r="SMH8" s="36"/>
      <c r="SMI8" s="37"/>
      <c r="SMJ8" s="36"/>
      <c r="SMK8" s="37"/>
      <c r="SML8" s="36"/>
      <c r="SMM8" s="37"/>
      <c r="SMN8" s="36"/>
      <c r="SMO8" s="37"/>
      <c r="SMP8" s="36"/>
      <c r="SMQ8" s="36"/>
      <c r="SMR8" s="37"/>
      <c r="SMS8" s="37"/>
      <c r="SMU8" s="22"/>
      <c r="SMV8" s="35"/>
      <c r="SMW8" s="36"/>
      <c r="SMX8" s="37"/>
      <c r="SMY8" s="36"/>
      <c r="SMZ8" s="37"/>
      <c r="SNA8" s="36"/>
      <c r="SNB8" s="37"/>
      <c r="SNC8" s="36"/>
      <c r="SND8" s="37"/>
      <c r="SNE8" s="36"/>
      <c r="SNF8" s="37"/>
      <c r="SNG8" s="36"/>
      <c r="SNH8" s="37"/>
      <c r="SNI8" s="36"/>
      <c r="SNJ8" s="37"/>
      <c r="SNK8" s="36"/>
      <c r="SNL8" s="37"/>
      <c r="SNM8" s="36"/>
      <c r="SNN8" s="37"/>
      <c r="SNO8" s="36"/>
      <c r="SNP8" s="36"/>
      <c r="SNQ8" s="37"/>
      <c r="SNR8" s="37"/>
      <c r="SNT8" s="22"/>
      <c r="SNU8" s="35"/>
      <c r="SNV8" s="36"/>
      <c r="SNW8" s="37"/>
      <c r="SNX8" s="36"/>
      <c r="SNY8" s="37"/>
      <c r="SNZ8" s="36"/>
      <c r="SOA8" s="37"/>
      <c r="SOB8" s="36"/>
      <c r="SOC8" s="37"/>
      <c r="SOD8" s="36"/>
      <c r="SOE8" s="37"/>
      <c r="SOF8" s="36"/>
      <c r="SOG8" s="37"/>
      <c r="SOH8" s="36"/>
      <c r="SOI8" s="37"/>
      <c r="SOJ8" s="36"/>
      <c r="SOK8" s="37"/>
      <c r="SOL8" s="36"/>
      <c r="SOM8" s="37"/>
      <c r="SON8" s="36"/>
      <c r="SOO8" s="36"/>
      <c r="SOP8" s="37"/>
      <c r="SOQ8" s="37"/>
      <c r="SOS8" s="22"/>
      <c r="SOT8" s="35"/>
      <c r="SOU8" s="36"/>
      <c r="SOV8" s="37"/>
      <c r="SOW8" s="36"/>
      <c r="SOX8" s="37"/>
      <c r="SOY8" s="36"/>
      <c r="SOZ8" s="37"/>
      <c r="SPA8" s="36"/>
      <c r="SPB8" s="37"/>
      <c r="SPC8" s="36"/>
      <c r="SPD8" s="37"/>
      <c r="SPE8" s="36"/>
      <c r="SPF8" s="37"/>
      <c r="SPG8" s="36"/>
      <c r="SPH8" s="37"/>
      <c r="SPI8" s="36"/>
      <c r="SPJ8" s="37"/>
      <c r="SPK8" s="36"/>
      <c r="SPL8" s="37"/>
      <c r="SPM8" s="36"/>
      <c r="SPN8" s="36"/>
      <c r="SPO8" s="37"/>
      <c r="SPP8" s="37"/>
      <c r="SPR8" s="22"/>
      <c r="SPS8" s="35"/>
      <c r="SPT8" s="36"/>
      <c r="SPU8" s="37"/>
      <c r="SPV8" s="36"/>
      <c r="SPW8" s="37"/>
      <c r="SPX8" s="36"/>
      <c r="SPY8" s="37"/>
      <c r="SPZ8" s="36"/>
      <c r="SQA8" s="37"/>
      <c r="SQB8" s="36"/>
      <c r="SQC8" s="37"/>
      <c r="SQD8" s="36"/>
      <c r="SQE8" s="37"/>
      <c r="SQF8" s="36"/>
      <c r="SQG8" s="37"/>
      <c r="SQH8" s="36"/>
      <c r="SQI8" s="37"/>
      <c r="SQJ8" s="36"/>
      <c r="SQK8" s="37"/>
      <c r="SQL8" s="36"/>
      <c r="SQM8" s="36"/>
      <c r="SQN8" s="37"/>
      <c r="SQO8" s="37"/>
      <c r="SQQ8" s="22"/>
      <c r="SQR8" s="35"/>
      <c r="SQS8" s="36"/>
      <c r="SQT8" s="37"/>
      <c r="SQU8" s="36"/>
      <c r="SQV8" s="37"/>
      <c r="SQW8" s="36"/>
      <c r="SQX8" s="37"/>
      <c r="SQY8" s="36"/>
      <c r="SQZ8" s="37"/>
      <c r="SRA8" s="36"/>
      <c r="SRB8" s="37"/>
      <c r="SRC8" s="36"/>
      <c r="SRD8" s="37"/>
      <c r="SRE8" s="36"/>
      <c r="SRF8" s="37"/>
      <c r="SRG8" s="36"/>
      <c r="SRH8" s="37"/>
      <c r="SRI8" s="36"/>
      <c r="SRJ8" s="37"/>
      <c r="SRK8" s="36"/>
      <c r="SRL8" s="36"/>
      <c r="SRM8" s="37"/>
      <c r="SRN8" s="37"/>
      <c r="SRP8" s="22"/>
      <c r="SRQ8" s="35"/>
      <c r="SRR8" s="36"/>
      <c r="SRS8" s="37"/>
      <c r="SRT8" s="36"/>
      <c r="SRU8" s="37"/>
      <c r="SRV8" s="36"/>
      <c r="SRW8" s="37"/>
      <c r="SRX8" s="36"/>
      <c r="SRY8" s="37"/>
      <c r="SRZ8" s="36"/>
      <c r="SSA8" s="37"/>
      <c r="SSB8" s="36"/>
      <c r="SSC8" s="37"/>
      <c r="SSD8" s="36"/>
      <c r="SSE8" s="37"/>
      <c r="SSF8" s="36"/>
      <c r="SSG8" s="37"/>
      <c r="SSH8" s="36"/>
      <c r="SSI8" s="37"/>
      <c r="SSJ8" s="36"/>
      <c r="SSK8" s="36"/>
      <c r="SSL8" s="37"/>
      <c r="SSM8" s="37"/>
      <c r="SSO8" s="22"/>
      <c r="SSP8" s="35"/>
      <c r="SSQ8" s="36"/>
      <c r="SSR8" s="37"/>
      <c r="SSS8" s="36"/>
      <c r="SST8" s="37"/>
      <c r="SSU8" s="36"/>
      <c r="SSV8" s="37"/>
      <c r="SSW8" s="36"/>
      <c r="SSX8" s="37"/>
      <c r="SSY8" s="36"/>
      <c r="SSZ8" s="37"/>
      <c r="STA8" s="36"/>
      <c r="STB8" s="37"/>
      <c r="STC8" s="36"/>
      <c r="STD8" s="37"/>
      <c r="STE8" s="36"/>
      <c r="STF8" s="37"/>
      <c r="STG8" s="36"/>
      <c r="STH8" s="37"/>
      <c r="STI8" s="36"/>
      <c r="STJ8" s="36"/>
      <c r="STK8" s="37"/>
      <c r="STL8" s="37"/>
      <c r="STN8" s="22"/>
      <c r="STO8" s="35"/>
      <c r="STP8" s="36"/>
      <c r="STQ8" s="37"/>
      <c r="STR8" s="36"/>
      <c r="STS8" s="37"/>
      <c r="STT8" s="36"/>
      <c r="STU8" s="37"/>
      <c r="STV8" s="36"/>
      <c r="STW8" s="37"/>
      <c r="STX8" s="36"/>
      <c r="STY8" s="37"/>
      <c r="STZ8" s="36"/>
      <c r="SUA8" s="37"/>
      <c r="SUB8" s="36"/>
      <c r="SUC8" s="37"/>
      <c r="SUD8" s="36"/>
      <c r="SUE8" s="37"/>
      <c r="SUF8" s="36"/>
      <c r="SUG8" s="37"/>
      <c r="SUH8" s="36"/>
      <c r="SUI8" s="36"/>
      <c r="SUJ8" s="37"/>
      <c r="SUK8" s="37"/>
      <c r="SUM8" s="22"/>
      <c r="SUN8" s="35"/>
      <c r="SUO8" s="36"/>
      <c r="SUP8" s="37"/>
      <c r="SUQ8" s="36"/>
      <c r="SUR8" s="37"/>
      <c r="SUS8" s="36"/>
      <c r="SUT8" s="37"/>
      <c r="SUU8" s="36"/>
      <c r="SUV8" s="37"/>
      <c r="SUW8" s="36"/>
      <c r="SUX8" s="37"/>
      <c r="SUY8" s="36"/>
      <c r="SUZ8" s="37"/>
      <c r="SVA8" s="36"/>
      <c r="SVB8" s="37"/>
      <c r="SVC8" s="36"/>
      <c r="SVD8" s="37"/>
      <c r="SVE8" s="36"/>
      <c r="SVF8" s="37"/>
      <c r="SVG8" s="36"/>
      <c r="SVH8" s="36"/>
      <c r="SVI8" s="37"/>
      <c r="SVJ8" s="37"/>
      <c r="SVL8" s="22"/>
      <c r="SVM8" s="35"/>
      <c r="SVN8" s="36"/>
      <c r="SVO8" s="37"/>
      <c r="SVP8" s="36"/>
      <c r="SVQ8" s="37"/>
      <c r="SVR8" s="36"/>
      <c r="SVS8" s="37"/>
      <c r="SVT8" s="36"/>
      <c r="SVU8" s="37"/>
      <c r="SVV8" s="36"/>
      <c r="SVW8" s="37"/>
      <c r="SVX8" s="36"/>
      <c r="SVY8" s="37"/>
      <c r="SVZ8" s="36"/>
      <c r="SWA8" s="37"/>
      <c r="SWB8" s="36"/>
      <c r="SWC8" s="37"/>
      <c r="SWD8" s="36"/>
      <c r="SWE8" s="37"/>
      <c r="SWF8" s="36"/>
      <c r="SWG8" s="36"/>
      <c r="SWH8" s="37"/>
      <c r="SWI8" s="37"/>
      <c r="SWK8" s="22"/>
      <c r="SWL8" s="35"/>
      <c r="SWM8" s="36"/>
      <c r="SWN8" s="37"/>
      <c r="SWO8" s="36"/>
      <c r="SWP8" s="37"/>
      <c r="SWQ8" s="36"/>
      <c r="SWR8" s="37"/>
      <c r="SWS8" s="36"/>
      <c r="SWT8" s="37"/>
      <c r="SWU8" s="36"/>
      <c r="SWV8" s="37"/>
      <c r="SWW8" s="36"/>
      <c r="SWX8" s="37"/>
      <c r="SWY8" s="36"/>
      <c r="SWZ8" s="37"/>
      <c r="SXA8" s="36"/>
      <c r="SXB8" s="37"/>
      <c r="SXC8" s="36"/>
      <c r="SXD8" s="37"/>
      <c r="SXE8" s="36"/>
      <c r="SXF8" s="36"/>
      <c r="SXG8" s="37"/>
      <c r="SXH8" s="37"/>
      <c r="SXJ8" s="22"/>
      <c r="SXK8" s="35"/>
      <c r="SXL8" s="36"/>
      <c r="SXM8" s="37"/>
      <c r="SXN8" s="36"/>
      <c r="SXO8" s="37"/>
      <c r="SXP8" s="36"/>
      <c r="SXQ8" s="37"/>
      <c r="SXR8" s="36"/>
      <c r="SXS8" s="37"/>
      <c r="SXT8" s="36"/>
      <c r="SXU8" s="37"/>
      <c r="SXV8" s="36"/>
      <c r="SXW8" s="37"/>
      <c r="SXX8" s="36"/>
      <c r="SXY8" s="37"/>
      <c r="SXZ8" s="36"/>
      <c r="SYA8" s="37"/>
      <c r="SYB8" s="36"/>
      <c r="SYC8" s="37"/>
      <c r="SYD8" s="36"/>
      <c r="SYE8" s="36"/>
      <c r="SYF8" s="37"/>
      <c r="SYG8" s="37"/>
      <c r="SYI8" s="22"/>
      <c r="SYJ8" s="35"/>
      <c r="SYK8" s="36"/>
      <c r="SYL8" s="37"/>
      <c r="SYM8" s="36"/>
      <c r="SYN8" s="37"/>
      <c r="SYO8" s="36"/>
      <c r="SYP8" s="37"/>
      <c r="SYQ8" s="36"/>
      <c r="SYR8" s="37"/>
      <c r="SYS8" s="36"/>
      <c r="SYT8" s="37"/>
      <c r="SYU8" s="36"/>
      <c r="SYV8" s="37"/>
      <c r="SYW8" s="36"/>
      <c r="SYX8" s="37"/>
      <c r="SYY8" s="36"/>
      <c r="SYZ8" s="37"/>
      <c r="SZA8" s="36"/>
      <c r="SZB8" s="37"/>
      <c r="SZC8" s="36"/>
      <c r="SZD8" s="36"/>
      <c r="SZE8" s="37"/>
      <c r="SZF8" s="37"/>
      <c r="SZH8" s="22"/>
      <c r="SZI8" s="35"/>
      <c r="SZJ8" s="36"/>
      <c r="SZK8" s="37"/>
      <c r="SZL8" s="36"/>
      <c r="SZM8" s="37"/>
      <c r="SZN8" s="36"/>
      <c r="SZO8" s="37"/>
      <c r="SZP8" s="36"/>
      <c r="SZQ8" s="37"/>
      <c r="SZR8" s="36"/>
      <c r="SZS8" s="37"/>
      <c r="SZT8" s="36"/>
      <c r="SZU8" s="37"/>
      <c r="SZV8" s="36"/>
      <c r="SZW8" s="37"/>
      <c r="SZX8" s="36"/>
      <c r="SZY8" s="37"/>
      <c r="SZZ8" s="36"/>
      <c r="TAA8" s="37"/>
      <c r="TAB8" s="36"/>
      <c r="TAC8" s="36"/>
      <c r="TAD8" s="37"/>
      <c r="TAE8" s="37"/>
      <c r="TAG8" s="22"/>
      <c r="TAH8" s="35"/>
      <c r="TAI8" s="36"/>
      <c r="TAJ8" s="37"/>
      <c r="TAK8" s="36"/>
      <c r="TAL8" s="37"/>
      <c r="TAM8" s="36"/>
      <c r="TAN8" s="37"/>
      <c r="TAO8" s="36"/>
      <c r="TAP8" s="37"/>
      <c r="TAQ8" s="36"/>
      <c r="TAR8" s="37"/>
      <c r="TAS8" s="36"/>
      <c r="TAT8" s="37"/>
      <c r="TAU8" s="36"/>
      <c r="TAV8" s="37"/>
      <c r="TAW8" s="36"/>
      <c r="TAX8" s="37"/>
      <c r="TAY8" s="36"/>
      <c r="TAZ8" s="37"/>
      <c r="TBA8" s="36"/>
      <c r="TBB8" s="36"/>
      <c r="TBC8" s="37"/>
      <c r="TBD8" s="37"/>
      <c r="TBF8" s="22"/>
      <c r="TBG8" s="35"/>
      <c r="TBH8" s="36"/>
      <c r="TBI8" s="37"/>
      <c r="TBJ8" s="36"/>
      <c r="TBK8" s="37"/>
      <c r="TBL8" s="36"/>
      <c r="TBM8" s="37"/>
      <c r="TBN8" s="36"/>
      <c r="TBO8" s="37"/>
      <c r="TBP8" s="36"/>
      <c r="TBQ8" s="37"/>
      <c r="TBR8" s="36"/>
      <c r="TBS8" s="37"/>
      <c r="TBT8" s="36"/>
      <c r="TBU8" s="37"/>
      <c r="TBV8" s="36"/>
      <c r="TBW8" s="37"/>
      <c r="TBX8" s="36"/>
      <c r="TBY8" s="37"/>
      <c r="TBZ8" s="36"/>
      <c r="TCA8" s="36"/>
      <c r="TCB8" s="37"/>
      <c r="TCC8" s="37"/>
      <c r="TCE8" s="22"/>
      <c r="TCF8" s="35"/>
      <c r="TCG8" s="36"/>
      <c r="TCH8" s="37"/>
      <c r="TCI8" s="36"/>
      <c r="TCJ8" s="37"/>
      <c r="TCK8" s="36"/>
      <c r="TCL8" s="37"/>
      <c r="TCM8" s="36"/>
      <c r="TCN8" s="37"/>
      <c r="TCO8" s="36"/>
      <c r="TCP8" s="37"/>
      <c r="TCQ8" s="36"/>
      <c r="TCR8" s="37"/>
      <c r="TCS8" s="36"/>
      <c r="TCT8" s="37"/>
      <c r="TCU8" s="36"/>
      <c r="TCV8" s="37"/>
      <c r="TCW8" s="36"/>
      <c r="TCX8" s="37"/>
      <c r="TCY8" s="36"/>
      <c r="TCZ8" s="36"/>
      <c r="TDA8" s="37"/>
      <c r="TDB8" s="37"/>
      <c r="TDD8" s="22"/>
      <c r="TDE8" s="35"/>
      <c r="TDF8" s="36"/>
      <c r="TDG8" s="37"/>
      <c r="TDH8" s="36"/>
      <c r="TDI8" s="37"/>
      <c r="TDJ8" s="36"/>
      <c r="TDK8" s="37"/>
      <c r="TDL8" s="36"/>
      <c r="TDM8" s="37"/>
      <c r="TDN8" s="36"/>
      <c r="TDO8" s="37"/>
      <c r="TDP8" s="36"/>
      <c r="TDQ8" s="37"/>
      <c r="TDR8" s="36"/>
      <c r="TDS8" s="37"/>
      <c r="TDT8" s="36"/>
      <c r="TDU8" s="37"/>
      <c r="TDV8" s="36"/>
      <c r="TDW8" s="37"/>
      <c r="TDX8" s="36"/>
      <c r="TDY8" s="36"/>
      <c r="TDZ8" s="37"/>
      <c r="TEA8" s="37"/>
      <c r="TEC8" s="22"/>
      <c r="TED8" s="35"/>
      <c r="TEE8" s="36"/>
      <c r="TEF8" s="37"/>
      <c r="TEG8" s="36"/>
      <c r="TEH8" s="37"/>
      <c r="TEI8" s="36"/>
      <c r="TEJ8" s="37"/>
      <c r="TEK8" s="36"/>
      <c r="TEL8" s="37"/>
      <c r="TEM8" s="36"/>
      <c r="TEN8" s="37"/>
      <c r="TEO8" s="36"/>
      <c r="TEP8" s="37"/>
      <c r="TEQ8" s="36"/>
      <c r="TER8" s="37"/>
      <c r="TES8" s="36"/>
      <c r="TET8" s="37"/>
      <c r="TEU8" s="36"/>
      <c r="TEV8" s="37"/>
      <c r="TEW8" s="36"/>
      <c r="TEX8" s="36"/>
      <c r="TEY8" s="37"/>
      <c r="TEZ8" s="37"/>
      <c r="TFB8" s="22"/>
      <c r="TFC8" s="35"/>
      <c r="TFD8" s="36"/>
      <c r="TFE8" s="37"/>
      <c r="TFF8" s="36"/>
      <c r="TFG8" s="37"/>
      <c r="TFH8" s="36"/>
      <c r="TFI8" s="37"/>
      <c r="TFJ8" s="36"/>
      <c r="TFK8" s="37"/>
      <c r="TFL8" s="36"/>
      <c r="TFM8" s="37"/>
      <c r="TFN8" s="36"/>
      <c r="TFO8" s="37"/>
      <c r="TFP8" s="36"/>
      <c r="TFQ8" s="37"/>
      <c r="TFR8" s="36"/>
      <c r="TFS8" s="37"/>
      <c r="TFT8" s="36"/>
      <c r="TFU8" s="37"/>
      <c r="TFV8" s="36"/>
      <c r="TFW8" s="36"/>
      <c r="TFX8" s="37"/>
      <c r="TFY8" s="37"/>
      <c r="TGA8" s="22"/>
      <c r="TGB8" s="35"/>
      <c r="TGC8" s="36"/>
      <c r="TGD8" s="37"/>
      <c r="TGE8" s="36"/>
      <c r="TGF8" s="37"/>
      <c r="TGG8" s="36"/>
      <c r="TGH8" s="37"/>
      <c r="TGI8" s="36"/>
      <c r="TGJ8" s="37"/>
      <c r="TGK8" s="36"/>
      <c r="TGL8" s="37"/>
      <c r="TGM8" s="36"/>
      <c r="TGN8" s="37"/>
      <c r="TGO8" s="36"/>
      <c r="TGP8" s="37"/>
      <c r="TGQ8" s="36"/>
      <c r="TGR8" s="37"/>
      <c r="TGS8" s="36"/>
      <c r="TGT8" s="37"/>
      <c r="TGU8" s="36"/>
      <c r="TGV8" s="36"/>
      <c r="TGW8" s="37"/>
      <c r="TGX8" s="37"/>
      <c r="TGZ8" s="22"/>
      <c r="THA8" s="35"/>
      <c r="THB8" s="36"/>
      <c r="THC8" s="37"/>
      <c r="THD8" s="36"/>
      <c r="THE8" s="37"/>
      <c r="THF8" s="36"/>
      <c r="THG8" s="37"/>
      <c r="THH8" s="36"/>
      <c r="THI8" s="37"/>
      <c r="THJ8" s="36"/>
      <c r="THK8" s="37"/>
      <c r="THL8" s="36"/>
      <c r="THM8" s="37"/>
      <c r="THN8" s="36"/>
      <c r="THO8" s="37"/>
      <c r="THP8" s="36"/>
      <c r="THQ8" s="37"/>
      <c r="THR8" s="36"/>
      <c r="THS8" s="37"/>
      <c r="THT8" s="36"/>
      <c r="THU8" s="36"/>
      <c r="THV8" s="37"/>
      <c r="THW8" s="37"/>
      <c r="THY8" s="22"/>
      <c r="THZ8" s="35"/>
      <c r="TIA8" s="36"/>
      <c r="TIB8" s="37"/>
      <c r="TIC8" s="36"/>
      <c r="TID8" s="37"/>
      <c r="TIE8" s="36"/>
      <c r="TIF8" s="37"/>
      <c r="TIG8" s="36"/>
      <c r="TIH8" s="37"/>
      <c r="TII8" s="36"/>
      <c r="TIJ8" s="37"/>
      <c r="TIK8" s="36"/>
      <c r="TIL8" s="37"/>
      <c r="TIM8" s="36"/>
      <c r="TIN8" s="37"/>
      <c r="TIO8" s="36"/>
      <c r="TIP8" s="37"/>
      <c r="TIQ8" s="36"/>
      <c r="TIR8" s="37"/>
      <c r="TIS8" s="36"/>
      <c r="TIT8" s="36"/>
      <c r="TIU8" s="37"/>
      <c r="TIV8" s="37"/>
      <c r="TIX8" s="22"/>
      <c r="TIY8" s="35"/>
      <c r="TIZ8" s="36"/>
      <c r="TJA8" s="37"/>
      <c r="TJB8" s="36"/>
      <c r="TJC8" s="37"/>
      <c r="TJD8" s="36"/>
      <c r="TJE8" s="37"/>
      <c r="TJF8" s="36"/>
      <c r="TJG8" s="37"/>
      <c r="TJH8" s="36"/>
      <c r="TJI8" s="37"/>
      <c r="TJJ8" s="36"/>
      <c r="TJK8" s="37"/>
      <c r="TJL8" s="36"/>
      <c r="TJM8" s="37"/>
      <c r="TJN8" s="36"/>
      <c r="TJO8" s="37"/>
      <c r="TJP8" s="36"/>
      <c r="TJQ8" s="37"/>
      <c r="TJR8" s="36"/>
      <c r="TJS8" s="36"/>
      <c r="TJT8" s="37"/>
      <c r="TJU8" s="37"/>
      <c r="TJW8" s="22"/>
      <c r="TJX8" s="35"/>
      <c r="TJY8" s="36"/>
      <c r="TJZ8" s="37"/>
      <c r="TKA8" s="36"/>
      <c r="TKB8" s="37"/>
      <c r="TKC8" s="36"/>
      <c r="TKD8" s="37"/>
      <c r="TKE8" s="36"/>
      <c r="TKF8" s="37"/>
      <c r="TKG8" s="36"/>
      <c r="TKH8" s="37"/>
      <c r="TKI8" s="36"/>
      <c r="TKJ8" s="37"/>
      <c r="TKK8" s="36"/>
      <c r="TKL8" s="37"/>
      <c r="TKM8" s="36"/>
      <c r="TKN8" s="37"/>
      <c r="TKO8" s="36"/>
      <c r="TKP8" s="37"/>
      <c r="TKQ8" s="36"/>
      <c r="TKR8" s="36"/>
      <c r="TKS8" s="37"/>
      <c r="TKT8" s="37"/>
      <c r="TKV8" s="22"/>
      <c r="TKW8" s="35"/>
      <c r="TKX8" s="36"/>
      <c r="TKY8" s="37"/>
      <c r="TKZ8" s="36"/>
      <c r="TLA8" s="37"/>
      <c r="TLB8" s="36"/>
      <c r="TLC8" s="37"/>
      <c r="TLD8" s="36"/>
      <c r="TLE8" s="37"/>
      <c r="TLF8" s="36"/>
      <c r="TLG8" s="37"/>
      <c r="TLH8" s="36"/>
      <c r="TLI8" s="37"/>
      <c r="TLJ8" s="36"/>
      <c r="TLK8" s="37"/>
      <c r="TLL8" s="36"/>
      <c r="TLM8" s="37"/>
      <c r="TLN8" s="36"/>
      <c r="TLO8" s="37"/>
      <c r="TLP8" s="36"/>
      <c r="TLQ8" s="36"/>
      <c r="TLR8" s="37"/>
      <c r="TLS8" s="37"/>
      <c r="TLU8" s="22"/>
      <c r="TLV8" s="35"/>
      <c r="TLW8" s="36"/>
      <c r="TLX8" s="37"/>
      <c r="TLY8" s="36"/>
      <c r="TLZ8" s="37"/>
      <c r="TMA8" s="36"/>
      <c r="TMB8" s="37"/>
      <c r="TMC8" s="36"/>
      <c r="TMD8" s="37"/>
      <c r="TME8" s="36"/>
      <c r="TMF8" s="37"/>
      <c r="TMG8" s="36"/>
      <c r="TMH8" s="37"/>
      <c r="TMI8" s="36"/>
      <c r="TMJ8" s="37"/>
      <c r="TMK8" s="36"/>
      <c r="TML8" s="37"/>
      <c r="TMM8" s="36"/>
      <c r="TMN8" s="37"/>
      <c r="TMO8" s="36"/>
      <c r="TMP8" s="36"/>
      <c r="TMQ8" s="37"/>
      <c r="TMR8" s="37"/>
      <c r="TMT8" s="22"/>
      <c r="TMU8" s="35"/>
      <c r="TMV8" s="36"/>
      <c r="TMW8" s="37"/>
      <c r="TMX8" s="36"/>
      <c r="TMY8" s="37"/>
      <c r="TMZ8" s="36"/>
      <c r="TNA8" s="37"/>
      <c r="TNB8" s="36"/>
      <c r="TNC8" s="37"/>
      <c r="TND8" s="36"/>
      <c r="TNE8" s="37"/>
      <c r="TNF8" s="36"/>
      <c r="TNG8" s="37"/>
      <c r="TNH8" s="36"/>
      <c r="TNI8" s="37"/>
      <c r="TNJ8" s="36"/>
      <c r="TNK8" s="37"/>
      <c r="TNL8" s="36"/>
      <c r="TNM8" s="37"/>
      <c r="TNN8" s="36"/>
      <c r="TNO8" s="36"/>
      <c r="TNP8" s="37"/>
      <c r="TNQ8" s="37"/>
      <c r="TNS8" s="22"/>
      <c r="TNT8" s="35"/>
      <c r="TNU8" s="36"/>
      <c r="TNV8" s="37"/>
      <c r="TNW8" s="36"/>
      <c r="TNX8" s="37"/>
      <c r="TNY8" s="36"/>
      <c r="TNZ8" s="37"/>
      <c r="TOA8" s="36"/>
      <c r="TOB8" s="37"/>
      <c r="TOC8" s="36"/>
      <c r="TOD8" s="37"/>
      <c r="TOE8" s="36"/>
      <c r="TOF8" s="37"/>
      <c r="TOG8" s="36"/>
      <c r="TOH8" s="37"/>
      <c r="TOI8" s="36"/>
      <c r="TOJ8" s="37"/>
      <c r="TOK8" s="36"/>
      <c r="TOL8" s="37"/>
      <c r="TOM8" s="36"/>
      <c r="TON8" s="36"/>
      <c r="TOO8" s="37"/>
      <c r="TOP8" s="37"/>
      <c r="TOR8" s="22"/>
      <c r="TOS8" s="35"/>
      <c r="TOT8" s="36"/>
      <c r="TOU8" s="37"/>
      <c r="TOV8" s="36"/>
      <c r="TOW8" s="37"/>
      <c r="TOX8" s="36"/>
      <c r="TOY8" s="37"/>
      <c r="TOZ8" s="36"/>
      <c r="TPA8" s="37"/>
      <c r="TPB8" s="36"/>
      <c r="TPC8" s="37"/>
      <c r="TPD8" s="36"/>
      <c r="TPE8" s="37"/>
      <c r="TPF8" s="36"/>
      <c r="TPG8" s="37"/>
      <c r="TPH8" s="36"/>
      <c r="TPI8" s="37"/>
      <c r="TPJ8" s="36"/>
      <c r="TPK8" s="37"/>
      <c r="TPL8" s="36"/>
      <c r="TPM8" s="36"/>
      <c r="TPN8" s="37"/>
      <c r="TPO8" s="37"/>
      <c r="TPQ8" s="22"/>
      <c r="TPR8" s="35"/>
      <c r="TPS8" s="36"/>
      <c r="TPT8" s="37"/>
      <c r="TPU8" s="36"/>
      <c r="TPV8" s="37"/>
      <c r="TPW8" s="36"/>
      <c r="TPX8" s="37"/>
      <c r="TPY8" s="36"/>
      <c r="TPZ8" s="37"/>
      <c r="TQA8" s="36"/>
      <c r="TQB8" s="37"/>
      <c r="TQC8" s="36"/>
      <c r="TQD8" s="37"/>
      <c r="TQE8" s="36"/>
      <c r="TQF8" s="37"/>
      <c r="TQG8" s="36"/>
      <c r="TQH8" s="37"/>
      <c r="TQI8" s="36"/>
      <c r="TQJ8" s="37"/>
      <c r="TQK8" s="36"/>
      <c r="TQL8" s="36"/>
      <c r="TQM8" s="37"/>
      <c r="TQN8" s="37"/>
      <c r="TQP8" s="22"/>
      <c r="TQQ8" s="35"/>
      <c r="TQR8" s="36"/>
      <c r="TQS8" s="37"/>
      <c r="TQT8" s="36"/>
      <c r="TQU8" s="37"/>
      <c r="TQV8" s="36"/>
      <c r="TQW8" s="37"/>
      <c r="TQX8" s="36"/>
      <c r="TQY8" s="37"/>
      <c r="TQZ8" s="36"/>
      <c r="TRA8" s="37"/>
      <c r="TRB8" s="36"/>
      <c r="TRC8" s="37"/>
      <c r="TRD8" s="36"/>
      <c r="TRE8" s="37"/>
      <c r="TRF8" s="36"/>
      <c r="TRG8" s="37"/>
      <c r="TRH8" s="36"/>
      <c r="TRI8" s="37"/>
      <c r="TRJ8" s="36"/>
      <c r="TRK8" s="36"/>
      <c r="TRL8" s="37"/>
      <c r="TRM8" s="37"/>
      <c r="TRO8" s="22"/>
      <c r="TRP8" s="35"/>
      <c r="TRQ8" s="36"/>
      <c r="TRR8" s="37"/>
      <c r="TRS8" s="36"/>
      <c r="TRT8" s="37"/>
      <c r="TRU8" s="36"/>
      <c r="TRV8" s="37"/>
      <c r="TRW8" s="36"/>
      <c r="TRX8" s="37"/>
      <c r="TRY8" s="36"/>
      <c r="TRZ8" s="37"/>
      <c r="TSA8" s="36"/>
      <c r="TSB8" s="37"/>
      <c r="TSC8" s="36"/>
      <c r="TSD8" s="37"/>
      <c r="TSE8" s="36"/>
      <c r="TSF8" s="37"/>
      <c r="TSG8" s="36"/>
      <c r="TSH8" s="37"/>
      <c r="TSI8" s="36"/>
      <c r="TSJ8" s="36"/>
      <c r="TSK8" s="37"/>
      <c r="TSL8" s="37"/>
      <c r="TSN8" s="22"/>
      <c r="TSO8" s="35"/>
      <c r="TSP8" s="36"/>
      <c r="TSQ8" s="37"/>
      <c r="TSR8" s="36"/>
      <c r="TSS8" s="37"/>
      <c r="TST8" s="36"/>
      <c r="TSU8" s="37"/>
      <c r="TSV8" s="36"/>
      <c r="TSW8" s="37"/>
      <c r="TSX8" s="36"/>
      <c r="TSY8" s="37"/>
      <c r="TSZ8" s="36"/>
      <c r="TTA8" s="37"/>
      <c r="TTB8" s="36"/>
      <c r="TTC8" s="37"/>
      <c r="TTD8" s="36"/>
      <c r="TTE8" s="37"/>
      <c r="TTF8" s="36"/>
      <c r="TTG8" s="37"/>
      <c r="TTH8" s="36"/>
      <c r="TTI8" s="36"/>
      <c r="TTJ8" s="37"/>
      <c r="TTK8" s="37"/>
      <c r="TTM8" s="22"/>
      <c r="TTN8" s="35"/>
      <c r="TTO8" s="36"/>
      <c r="TTP8" s="37"/>
      <c r="TTQ8" s="36"/>
      <c r="TTR8" s="37"/>
      <c r="TTS8" s="36"/>
      <c r="TTT8" s="37"/>
      <c r="TTU8" s="36"/>
      <c r="TTV8" s="37"/>
      <c r="TTW8" s="36"/>
      <c r="TTX8" s="37"/>
      <c r="TTY8" s="36"/>
      <c r="TTZ8" s="37"/>
      <c r="TUA8" s="36"/>
      <c r="TUB8" s="37"/>
      <c r="TUC8" s="36"/>
      <c r="TUD8" s="37"/>
      <c r="TUE8" s="36"/>
      <c r="TUF8" s="37"/>
      <c r="TUG8" s="36"/>
      <c r="TUH8" s="36"/>
      <c r="TUI8" s="37"/>
      <c r="TUJ8" s="37"/>
      <c r="TUL8" s="22"/>
      <c r="TUM8" s="35"/>
      <c r="TUN8" s="36"/>
      <c r="TUO8" s="37"/>
      <c r="TUP8" s="36"/>
      <c r="TUQ8" s="37"/>
      <c r="TUR8" s="36"/>
      <c r="TUS8" s="37"/>
      <c r="TUT8" s="36"/>
      <c r="TUU8" s="37"/>
      <c r="TUV8" s="36"/>
      <c r="TUW8" s="37"/>
      <c r="TUX8" s="36"/>
      <c r="TUY8" s="37"/>
      <c r="TUZ8" s="36"/>
      <c r="TVA8" s="37"/>
      <c r="TVB8" s="36"/>
      <c r="TVC8" s="37"/>
      <c r="TVD8" s="36"/>
      <c r="TVE8" s="37"/>
      <c r="TVF8" s="36"/>
      <c r="TVG8" s="36"/>
      <c r="TVH8" s="37"/>
      <c r="TVI8" s="37"/>
      <c r="TVK8" s="22"/>
      <c r="TVL8" s="35"/>
      <c r="TVM8" s="36"/>
      <c r="TVN8" s="37"/>
      <c r="TVO8" s="36"/>
      <c r="TVP8" s="37"/>
      <c r="TVQ8" s="36"/>
      <c r="TVR8" s="37"/>
      <c r="TVS8" s="36"/>
      <c r="TVT8" s="37"/>
      <c r="TVU8" s="36"/>
      <c r="TVV8" s="37"/>
      <c r="TVW8" s="36"/>
      <c r="TVX8" s="37"/>
      <c r="TVY8" s="36"/>
      <c r="TVZ8" s="37"/>
      <c r="TWA8" s="36"/>
      <c r="TWB8" s="37"/>
      <c r="TWC8" s="36"/>
      <c r="TWD8" s="37"/>
      <c r="TWE8" s="36"/>
      <c r="TWF8" s="36"/>
      <c r="TWG8" s="37"/>
      <c r="TWH8" s="37"/>
      <c r="TWJ8" s="22"/>
      <c r="TWK8" s="35"/>
      <c r="TWL8" s="36"/>
      <c r="TWM8" s="37"/>
      <c r="TWN8" s="36"/>
      <c r="TWO8" s="37"/>
      <c r="TWP8" s="36"/>
      <c r="TWQ8" s="37"/>
      <c r="TWR8" s="36"/>
      <c r="TWS8" s="37"/>
      <c r="TWT8" s="36"/>
      <c r="TWU8" s="37"/>
      <c r="TWV8" s="36"/>
      <c r="TWW8" s="37"/>
      <c r="TWX8" s="36"/>
      <c r="TWY8" s="37"/>
      <c r="TWZ8" s="36"/>
      <c r="TXA8" s="37"/>
      <c r="TXB8" s="36"/>
      <c r="TXC8" s="37"/>
      <c r="TXD8" s="36"/>
      <c r="TXE8" s="36"/>
      <c r="TXF8" s="37"/>
      <c r="TXG8" s="37"/>
      <c r="TXI8" s="22"/>
      <c r="TXJ8" s="35"/>
      <c r="TXK8" s="36"/>
      <c r="TXL8" s="37"/>
      <c r="TXM8" s="36"/>
      <c r="TXN8" s="37"/>
      <c r="TXO8" s="36"/>
      <c r="TXP8" s="37"/>
      <c r="TXQ8" s="36"/>
      <c r="TXR8" s="37"/>
      <c r="TXS8" s="36"/>
      <c r="TXT8" s="37"/>
      <c r="TXU8" s="36"/>
      <c r="TXV8" s="37"/>
      <c r="TXW8" s="36"/>
      <c r="TXX8" s="37"/>
      <c r="TXY8" s="36"/>
      <c r="TXZ8" s="37"/>
      <c r="TYA8" s="36"/>
      <c r="TYB8" s="37"/>
      <c r="TYC8" s="36"/>
      <c r="TYD8" s="36"/>
      <c r="TYE8" s="37"/>
      <c r="TYF8" s="37"/>
      <c r="TYH8" s="22"/>
      <c r="TYI8" s="35"/>
      <c r="TYJ8" s="36"/>
      <c r="TYK8" s="37"/>
      <c r="TYL8" s="36"/>
      <c r="TYM8" s="37"/>
      <c r="TYN8" s="36"/>
      <c r="TYO8" s="37"/>
      <c r="TYP8" s="36"/>
      <c r="TYQ8" s="37"/>
      <c r="TYR8" s="36"/>
      <c r="TYS8" s="37"/>
      <c r="TYT8" s="36"/>
      <c r="TYU8" s="37"/>
      <c r="TYV8" s="36"/>
      <c r="TYW8" s="37"/>
      <c r="TYX8" s="36"/>
      <c r="TYY8" s="37"/>
      <c r="TYZ8" s="36"/>
      <c r="TZA8" s="37"/>
      <c r="TZB8" s="36"/>
      <c r="TZC8" s="36"/>
      <c r="TZD8" s="37"/>
      <c r="TZE8" s="37"/>
      <c r="TZG8" s="22"/>
      <c r="TZH8" s="35"/>
      <c r="TZI8" s="36"/>
      <c r="TZJ8" s="37"/>
      <c r="TZK8" s="36"/>
      <c r="TZL8" s="37"/>
      <c r="TZM8" s="36"/>
      <c r="TZN8" s="37"/>
      <c r="TZO8" s="36"/>
      <c r="TZP8" s="37"/>
      <c r="TZQ8" s="36"/>
      <c r="TZR8" s="37"/>
      <c r="TZS8" s="36"/>
      <c r="TZT8" s="37"/>
      <c r="TZU8" s="36"/>
      <c r="TZV8" s="37"/>
      <c r="TZW8" s="36"/>
      <c r="TZX8" s="37"/>
      <c r="TZY8" s="36"/>
      <c r="TZZ8" s="37"/>
      <c r="UAA8" s="36"/>
      <c r="UAB8" s="36"/>
      <c r="UAC8" s="37"/>
      <c r="UAD8" s="37"/>
      <c r="UAF8" s="22"/>
      <c r="UAG8" s="35"/>
      <c r="UAH8" s="36"/>
      <c r="UAI8" s="37"/>
      <c r="UAJ8" s="36"/>
      <c r="UAK8" s="37"/>
      <c r="UAL8" s="36"/>
      <c r="UAM8" s="37"/>
      <c r="UAN8" s="36"/>
      <c r="UAO8" s="37"/>
      <c r="UAP8" s="36"/>
      <c r="UAQ8" s="37"/>
      <c r="UAR8" s="36"/>
      <c r="UAS8" s="37"/>
      <c r="UAT8" s="36"/>
      <c r="UAU8" s="37"/>
      <c r="UAV8" s="36"/>
      <c r="UAW8" s="37"/>
      <c r="UAX8" s="36"/>
      <c r="UAY8" s="37"/>
      <c r="UAZ8" s="36"/>
      <c r="UBA8" s="36"/>
      <c r="UBB8" s="37"/>
      <c r="UBC8" s="37"/>
      <c r="UBE8" s="22"/>
      <c r="UBF8" s="35"/>
      <c r="UBG8" s="36"/>
      <c r="UBH8" s="37"/>
      <c r="UBI8" s="36"/>
      <c r="UBJ8" s="37"/>
      <c r="UBK8" s="36"/>
      <c r="UBL8" s="37"/>
      <c r="UBM8" s="36"/>
      <c r="UBN8" s="37"/>
      <c r="UBO8" s="36"/>
      <c r="UBP8" s="37"/>
      <c r="UBQ8" s="36"/>
      <c r="UBR8" s="37"/>
      <c r="UBS8" s="36"/>
      <c r="UBT8" s="37"/>
      <c r="UBU8" s="36"/>
      <c r="UBV8" s="37"/>
      <c r="UBW8" s="36"/>
      <c r="UBX8" s="37"/>
      <c r="UBY8" s="36"/>
      <c r="UBZ8" s="36"/>
      <c r="UCA8" s="37"/>
      <c r="UCB8" s="37"/>
      <c r="UCD8" s="22"/>
      <c r="UCE8" s="35"/>
      <c r="UCF8" s="36"/>
      <c r="UCG8" s="37"/>
      <c r="UCH8" s="36"/>
      <c r="UCI8" s="37"/>
      <c r="UCJ8" s="36"/>
      <c r="UCK8" s="37"/>
      <c r="UCL8" s="36"/>
      <c r="UCM8" s="37"/>
      <c r="UCN8" s="36"/>
      <c r="UCO8" s="37"/>
      <c r="UCP8" s="36"/>
      <c r="UCQ8" s="37"/>
      <c r="UCR8" s="36"/>
      <c r="UCS8" s="37"/>
      <c r="UCT8" s="36"/>
      <c r="UCU8" s="37"/>
      <c r="UCV8" s="36"/>
      <c r="UCW8" s="37"/>
      <c r="UCX8" s="36"/>
      <c r="UCY8" s="36"/>
      <c r="UCZ8" s="37"/>
      <c r="UDA8" s="37"/>
      <c r="UDC8" s="22"/>
      <c r="UDD8" s="35"/>
      <c r="UDE8" s="36"/>
      <c r="UDF8" s="37"/>
      <c r="UDG8" s="36"/>
      <c r="UDH8" s="37"/>
      <c r="UDI8" s="36"/>
      <c r="UDJ8" s="37"/>
      <c r="UDK8" s="36"/>
      <c r="UDL8" s="37"/>
      <c r="UDM8" s="36"/>
      <c r="UDN8" s="37"/>
      <c r="UDO8" s="36"/>
      <c r="UDP8" s="37"/>
      <c r="UDQ8" s="36"/>
      <c r="UDR8" s="37"/>
      <c r="UDS8" s="36"/>
      <c r="UDT8" s="37"/>
      <c r="UDU8" s="36"/>
      <c r="UDV8" s="37"/>
      <c r="UDW8" s="36"/>
      <c r="UDX8" s="36"/>
      <c r="UDY8" s="37"/>
      <c r="UDZ8" s="37"/>
      <c r="UEB8" s="22"/>
      <c r="UEC8" s="35"/>
      <c r="UED8" s="36"/>
      <c r="UEE8" s="37"/>
      <c r="UEF8" s="36"/>
      <c r="UEG8" s="37"/>
      <c r="UEH8" s="36"/>
      <c r="UEI8" s="37"/>
      <c r="UEJ8" s="36"/>
      <c r="UEK8" s="37"/>
      <c r="UEL8" s="36"/>
      <c r="UEM8" s="37"/>
      <c r="UEN8" s="36"/>
      <c r="UEO8" s="37"/>
      <c r="UEP8" s="36"/>
      <c r="UEQ8" s="37"/>
      <c r="UER8" s="36"/>
      <c r="UES8" s="37"/>
      <c r="UET8" s="36"/>
      <c r="UEU8" s="37"/>
      <c r="UEV8" s="36"/>
      <c r="UEW8" s="36"/>
      <c r="UEX8" s="37"/>
      <c r="UEY8" s="37"/>
      <c r="UFA8" s="22"/>
      <c r="UFB8" s="35"/>
      <c r="UFC8" s="36"/>
      <c r="UFD8" s="37"/>
      <c r="UFE8" s="36"/>
      <c r="UFF8" s="37"/>
      <c r="UFG8" s="36"/>
      <c r="UFH8" s="37"/>
      <c r="UFI8" s="36"/>
      <c r="UFJ8" s="37"/>
      <c r="UFK8" s="36"/>
      <c r="UFL8" s="37"/>
      <c r="UFM8" s="36"/>
      <c r="UFN8" s="37"/>
      <c r="UFO8" s="36"/>
      <c r="UFP8" s="37"/>
      <c r="UFQ8" s="36"/>
      <c r="UFR8" s="37"/>
      <c r="UFS8" s="36"/>
      <c r="UFT8" s="37"/>
      <c r="UFU8" s="36"/>
      <c r="UFV8" s="36"/>
      <c r="UFW8" s="37"/>
      <c r="UFX8" s="37"/>
      <c r="UFZ8" s="22"/>
      <c r="UGA8" s="35"/>
      <c r="UGB8" s="36"/>
      <c r="UGC8" s="37"/>
      <c r="UGD8" s="36"/>
      <c r="UGE8" s="37"/>
      <c r="UGF8" s="36"/>
      <c r="UGG8" s="37"/>
      <c r="UGH8" s="36"/>
      <c r="UGI8" s="37"/>
      <c r="UGJ8" s="36"/>
      <c r="UGK8" s="37"/>
      <c r="UGL8" s="36"/>
      <c r="UGM8" s="37"/>
      <c r="UGN8" s="36"/>
      <c r="UGO8" s="37"/>
      <c r="UGP8" s="36"/>
      <c r="UGQ8" s="37"/>
      <c r="UGR8" s="36"/>
      <c r="UGS8" s="37"/>
      <c r="UGT8" s="36"/>
      <c r="UGU8" s="36"/>
      <c r="UGV8" s="37"/>
      <c r="UGW8" s="37"/>
      <c r="UGY8" s="22"/>
      <c r="UGZ8" s="35"/>
      <c r="UHA8" s="36"/>
      <c r="UHB8" s="37"/>
      <c r="UHC8" s="36"/>
      <c r="UHD8" s="37"/>
      <c r="UHE8" s="36"/>
      <c r="UHF8" s="37"/>
      <c r="UHG8" s="36"/>
      <c r="UHH8" s="37"/>
      <c r="UHI8" s="36"/>
      <c r="UHJ8" s="37"/>
      <c r="UHK8" s="36"/>
      <c r="UHL8" s="37"/>
      <c r="UHM8" s="36"/>
      <c r="UHN8" s="37"/>
      <c r="UHO8" s="36"/>
      <c r="UHP8" s="37"/>
      <c r="UHQ8" s="36"/>
      <c r="UHR8" s="37"/>
      <c r="UHS8" s="36"/>
      <c r="UHT8" s="36"/>
      <c r="UHU8" s="37"/>
      <c r="UHV8" s="37"/>
      <c r="UHX8" s="22"/>
      <c r="UHY8" s="35"/>
      <c r="UHZ8" s="36"/>
      <c r="UIA8" s="37"/>
      <c r="UIB8" s="36"/>
      <c r="UIC8" s="37"/>
      <c r="UID8" s="36"/>
      <c r="UIE8" s="37"/>
      <c r="UIF8" s="36"/>
      <c r="UIG8" s="37"/>
      <c r="UIH8" s="36"/>
      <c r="UII8" s="37"/>
      <c r="UIJ8" s="36"/>
      <c r="UIK8" s="37"/>
      <c r="UIL8" s="36"/>
      <c r="UIM8" s="37"/>
      <c r="UIN8" s="36"/>
      <c r="UIO8" s="37"/>
      <c r="UIP8" s="36"/>
      <c r="UIQ8" s="37"/>
      <c r="UIR8" s="36"/>
      <c r="UIS8" s="36"/>
      <c r="UIT8" s="37"/>
      <c r="UIU8" s="37"/>
      <c r="UIW8" s="22"/>
      <c r="UIX8" s="35"/>
      <c r="UIY8" s="36"/>
      <c r="UIZ8" s="37"/>
      <c r="UJA8" s="36"/>
      <c r="UJB8" s="37"/>
      <c r="UJC8" s="36"/>
      <c r="UJD8" s="37"/>
      <c r="UJE8" s="36"/>
      <c r="UJF8" s="37"/>
      <c r="UJG8" s="36"/>
      <c r="UJH8" s="37"/>
      <c r="UJI8" s="36"/>
      <c r="UJJ8" s="37"/>
      <c r="UJK8" s="36"/>
      <c r="UJL8" s="37"/>
      <c r="UJM8" s="36"/>
      <c r="UJN8" s="37"/>
      <c r="UJO8" s="36"/>
      <c r="UJP8" s="37"/>
      <c r="UJQ8" s="36"/>
      <c r="UJR8" s="36"/>
      <c r="UJS8" s="37"/>
      <c r="UJT8" s="37"/>
      <c r="UJV8" s="22"/>
      <c r="UJW8" s="35"/>
      <c r="UJX8" s="36"/>
      <c r="UJY8" s="37"/>
      <c r="UJZ8" s="36"/>
      <c r="UKA8" s="37"/>
      <c r="UKB8" s="36"/>
      <c r="UKC8" s="37"/>
      <c r="UKD8" s="36"/>
      <c r="UKE8" s="37"/>
      <c r="UKF8" s="36"/>
      <c r="UKG8" s="37"/>
      <c r="UKH8" s="36"/>
      <c r="UKI8" s="37"/>
      <c r="UKJ8" s="36"/>
      <c r="UKK8" s="37"/>
      <c r="UKL8" s="36"/>
      <c r="UKM8" s="37"/>
      <c r="UKN8" s="36"/>
      <c r="UKO8" s="37"/>
      <c r="UKP8" s="36"/>
      <c r="UKQ8" s="36"/>
      <c r="UKR8" s="37"/>
      <c r="UKS8" s="37"/>
      <c r="UKU8" s="22"/>
      <c r="UKV8" s="35"/>
      <c r="UKW8" s="36"/>
      <c r="UKX8" s="37"/>
      <c r="UKY8" s="36"/>
      <c r="UKZ8" s="37"/>
      <c r="ULA8" s="36"/>
      <c r="ULB8" s="37"/>
      <c r="ULC8" s="36"/>
      <c r="ULD8" s="37"/>
      <c r="ULE8" s="36"/>
      <c r="ULF8" s="37"/>
      <c r="ULG8" s="36"/>
      <c r="ULH8" s="37"/>
      <c r="ULI8" s="36"/>
      <c r="ULJ8" s="37"/>
      <c r="ULK8" s="36"/>
      <c r="ULL8" s="37"/>
      <c r="ULM8" s="36"/>
      <c r="ULN8" s="37"/>
      <c r="ULO8" s="36"/>
      <c r="ULP8" s="36"/>
      <c r="ULQ8" s="37"/>
      <c r="ULR8" s="37"/>
      <c r="ULT8" s="22"/>
      <c r="ULU8" s="35"/>
      <c r="ULV8" s="36"/>
      <c r="ULW8" s="37"/>
      <c r="ULX8" s="36"/>
      <c r="ULY8" s="37"/>
      <c r="ULZ8" s="36"/>
      <c r="UMA8" s="37"/>
      <c r="UMB8" s="36"/>
      <c r="UMC8" s="37"/>
      <c r="UMD8" s="36"/>
      <c r="UME8" s="37"/>
      <c r="UMF8" s="36"/>
      <c r="UMG8" s="37"/>
      <c r="UMH8" s="36"/>
      <c r="UMI8" s="37"/>
      <c r="UMJ8" s="36"/>
      <c r="UMK8" s="37"/>
      <c r="UML8" s="36"/>
      <c r="UMM8" s="37"/>
      <c r="UMN8" s="36"/>
      <c r="UMO8" s="36"/>
      <c r="UMP8" s="37"/>
      <c r="UMQ8" s="37"/>
      <c r="UMS8" s="22"/>
      <c r="UMT8" s="35"/>
      <c r="UMU8" s="36"/>
      <c r="UMV8" s="37"/>
      <c r="UMW8" s="36"/>
      <c r="UMX8" s="37"/>
      <c r="UMY8" s="36"/>
      <c r="UMZ8" s="37"/>
      <c r="UNA8" s="36"/>
      <c r="UNB8" s="37"/>
      <c r="UNC8" s="36"/>
      <c r="UND8" s="37"/>
      <c r="UNE8" s="36"/>
      <c r="UNF8" s="37"/>
      <c r="UNG8" s="36"/>
      <c r="UNH8" s="37"/>
      <c r="UNI8" s="36"/>
      <c r="UNJ8" s="37"/>
      <c r="UNK8" s="36"/>
      <c r="UNL8" s="37"/>
      <c r="UNM8" s="36"/>
      <c r="UNN8" s="36"/>
      <c r="UNO8" s="37"/>
      <c r="UNP8" s="37"/>
      <c r="UNR8" s="22"/>
      <c r="UNS8" s="35"/>
      <c r="UNT8" s="36"/>
      <c r="UNU8" s="37"/>
      <c r="UNV8" s="36"/>
      <c r="UNW8" s="37"/>
      <c r="UNX8" s="36"/>
      <c r="UNY8" s="37"/>
      <c r="UNZ8" s="36"/>
      <c r="UOA8" s="37"/>
      <c r="UOB8" s="36"/>
      <c r="UOC8" s="37"/>
      <c r="UOD8" s="36"/>
      <c r="UOE8" s="37"/>
      <c r="UOF8" s="36"/>
      <c r="UOG8" s="37"/>
      <c r="UOH8" s="36"/>
      <c r="UOI8" s="37"/>
      <c r="UOJ8" s="36"/>
      <c r="UOK8" s="37"/>
      <c r="UOL8" s="36"/>
      <c r="UOM8" s="36"/>
      <c r="UON8" s="37"/>
      <c r="UOO8" s="37"/>
      <c r="UOQ8" s="22"/>
      <c r="UOR8" s="35"/>
      <c r="UOS8" s="36"/>
      <c r="UOT8" s="37"/>
      <c r="UOU8" s="36"/>
      <c r="UOV8" s="37"/>
      <c r="UOW8" s="36"/>
      <c r="UOX8" s="37"/>
      <c r="UOY8" s="36"/>
      <c r="UOZ8" s="37"/>
      <c r="UPA8" s="36"/>
      <c r="UPB8" s="37"/>
      <c r="UPC8" s="36"/>
      <c r="UPD8" s="37"/>
      <c r="UPE8" s="36"/>
      <c r="UPF8" s="37"/>
      <c r="UPG8" s="36"/>
      <c r="UPH8" s="37"/>
      <c r="UPI8" s="36"/>
      <c r="UPJ8" s="37"/>
      <c r="UPK8" s="36"/>
      <c r="UPL8" s="36"/>
      <c r="UPM8" s="37"/>
      <c r="UPN8" s="37"/>
      <c r="UPP8" s="22"/>
      <c r="UPQ8" s="35"/>
      <c r="UPR8" s="36"/>
      <c r="UPS8" s="37"/>
      <c r="UPT8" s="36"/>
      <c r="UPU8" s="37"/>
      <c r="UPV8" s="36"/>
      <c r="UPW8" s="37"/>
      <c r="UPX8" s="36"/>
      <c r="UPY8" s="37"/>
      <c r="UPZ8" s="36"/>
      <c r="UQA8" s="37"/>
      <c r="UQB8" s="36"/>
      <c r="UQC8" s="37"/>
      <c r="UQD8" s="36"/>
      <c r="UQE8" s="37"/>
      <c r="UQF8" s="36"/>
      <c r="UQG8" s="37"/>
      <c r="UQH8" s="36"/>
      <c r="UQI8" s="37"/>
      <c r="UQJ8" s="36"/>
      <c r="UQK8" s="36"/>
      <c r="UQL8" s="37"/>
      <c r="UQM8" s="37"/>
      <c r="UQO8" s="22"/>
      <c r="UQP8" s="35"/>
      <c r="UQQ8" s="36"/>
      <c r="UQR8" s="37"/>
      <c r="UQS8" s="36"/>
      <c r="UQT8" s="37"/>
      <c r="UQU8" s="36"/>
      <c r="UQV8" s="37"/>
      <c r="UQW8" s="36"/>
      <c r="UQX8" s="37"/>
      <c r="UQY8" s="36"/>
      <c r="UQZ8" s="37"/>
      <c r="URA8" s="36"/>
      <c r="URB8" s="37"/>
      <c r="URC8" s="36"/>
      <c r="URD8" s="37"/>
      <c r="URE8" s="36"/>
      <c r="URF8" s="37"/>
      <c r="URG8" s="36"/>
      <c r="URH8" s="37"/>
      <c r="URI8" s="36"/>
      <c r="URJ8" s="36"/>
      <c r="URK8" s="37"/>
      <c r="URL8" s="37"/>
      <c r="URN8" s="22"/>
      <c r="URO8" s="35"/>
      <c r="URP8" s="36"/>
      <c r="URQ8" s="37"/>
      <c r="URR8" s="36"/>
      <c r="URS8" s="37"/>
      <c r="URT8" s="36"/>
      <c r="URU8" s="37"/>
      <c r="URV8" s="36"/>
      <c r="URW8" s="37"/>
      <c r="URX8" s="36"/>
      <c r="URY8" s="37"/>
      <c r="URZ8" s="36"/>
      <c r="USA8" s="37"/>
      <c r="USB8" s="36"/>
      <c r="USC8" s="37"/>
      <c r="USD8" s="36"/>
      <c r="USE8" s="37"/>
      <c r="USF8" s="36"/>
      <c r="USG8" s="37"/>
      <c r="USH8" s="36"/>
      <c r="USI8" s="36"/>
      <c r="USJ8" s="37"/>
      <c r="USK8" s="37"/>
      <c r="USM8" s="22"/>
      <c r="USN8" s="35"/>
      <c r="USO8" s="36"/>
      <c r="USP8" s="37"/>
      <c r="USQ8" s="36"/>
      <c r="USR8" s="37"/>
      <c r="USS8" s="36"/>
      <c r="UST8" s="37"/>
      <c r="USU8" s="36"/>
      <c r="USV8" s="37"/>
      <c r="USW8" s="36"/>
      <c r="USX8" s="37"/>
      <c r="USY8" s="36"/>
      <c r="USZ8" s="37"/>
      <c r="UTA8" s="36"/>
      <c r="UTB8" s="37"/>
      <c r="UTC8" s="36"/>
      <c r="UTD8" s="37"/>
      <c r="UTE8" s="36"/>
      <c r="UTF8" s="37"/>
      <c r="UTG8" s="36"/>
      <c r="UTH8" s="36"/>
      <c r="UTI8" s="37"/>
      <c r="UTJ8" s="37"/>
      <c r="UTL8" s="22"/>
      <c r="UTM8" s="35"/>
      <c r="UTN8" s="36"/>
      <c r="UTO8" s="37"/>
      <c r="UTP8" s="36"/>
      <c r="UTQ8" s="37"/>
      <c r="UTR8" s="36"/>
      <c r="UTS8" s="37"/>
      <c r="UTT8" s="36"/>
      <c r="UTU8" s="37"/>
      <c r="UTV8" s="36"/>
      <c r="UTW8" s="37"/>
      <c r="UTX8" s="36"/>
      <c r="UTY8" s="37"/>
      <c r="UTZ8" s="36"/>
      <c r="UUA8" s="37"/>
      <c r="UUB8" s="36"/>
      <c r="UUC8" s="37"/>
      <c r="UUD8" s="36"/>
      <c r="UUE8" s="37"/>
      <c r="UUF8" s="36"/>
      <c r="UUG8" s="36"/>
      <c r="UUH8" s="37"/>
      <c r="UUI8" s="37"/>
      <c r="UUK8" s="22"/>
      <c r="UUL8" s="35"/>
      <c r="UUM8" s="36"/>
      <c r="UUN8" s="37"/>
      <c r="UUO8" s="36"/>
      <c r="UUP8" s="37"/>
      <c r="UUQ8" s="36"/>
      <c r="UUR8" s="37"/>
      <c r="UUS8" s="36"/>
      <c r="UUT8" s="37"/>
      <c r="UUU8" s="36"/>
      <c r="UUV8" s="37"/>
      <c r="UUW8" s="36"/>
      <c r="UUX8" s="37"/>
      <c r="UUY8" s="36"/>
      <c r="UUZ8" s="37"/>
      <c r="UVA8" s="36"/>
      <c r="UVB8" s="37"/>
      <c r="UVC8" s="36"/>
      <c r="UVD8" s="37"/>
      <c r="UVE8" s="36"/>
      <c r="UVF8" s="36"/>
      <c r="UVG8" s="37"/>
      <c r="UVH8" s="37"/>
      <c r="UVJ8" s="22"/>
      <c r="UVK8" s="35"/>
      <c r="UVL8" s="36"/>
      <c r="UVM8" s="37"/>
      <c r="UVN8" s="36"/>
      <c r="UVO8" s="37"/>
      <c r="UVP8" s="36"/>
      <c r="UVQ8" s="37"/>
      <c r="UVR8" s="36"/>
      <c r="UVS8" s="37"/>
      <c r="UVT8" s="36"/>
      <c r="UVU8" s="37"/>
      <c r="UVV8" s="36"/>
      <c r="UVW8" s="37"/>
      <c r="UVX8" s="36"/>
      <c r="UVY8" s="37"/>
      <c r="UVZ8" s="36"/>
      <c r="UWA8" s="37"/>
      <c r="UWB8" s="36"/>
      <c r="UWC8" s="37"/>
      <c r="UWD8" s="36"/>
      <c r="UWE8" s="36"/>
      <c r="UWF8" s="37"/>
      <c r="UWG8" s="37"/>
      <c r="UWI8" s="22"/>
      <c r="UWJ8" s="35"/>
      <c r="UWK8" s="36"/>
      <c r="UWL8" s="37"/>
      <c r="UWM8" s="36"/>
      <c r="UWN8" s="37"/>
      <c r="UWO8" s="36"/>
      <c r="UWP8" s="37"/>
      <c r="UWQ8" s="36"/>
      <c r="UWR8" s="37"/>
      <c r="UWS8" s="36"/>
      <c r="UWT8" s="37"/>
      <c r="UWU8" s="36"/>
      <c r="UWV8" s="37"/>
      <c r="UWW8" s="36"/>
      <c r="UWX8" s="37"/>
      <c r="UWY8" s="36"/>
      <c r="UWZ8" s="37"/>
      <c r="UXA8" s="36"/>
      <c r="UXB8" s="37"/>
      <c r="UXC8" s="36"/>
      <c r="UXD8" s="36"/>
      <c r="UXE8" s="37"/>
      <c r="UXF8" s="37"/>
      <c r="UXH8" s="22"/>
      <c r="UXI8" s="35"/>
      <c r="UXJ8" s="36"/>
      <c r="UXK8" s="37"/>
      <c r="UXL8" s="36"/>
      <c r="UXM8" s="37"/>
      <c r="UXN8" s="36"/>
      <c r="UXO8" s="37"/>
      <c r="UXP8" s="36"/>
      <c r="UXQ8" s="37"/>
      <c r="UXR8" s="36"/>
      <c r="UXS8" s="37"/>
      <c r="UXT8" s="36"/>
      <c r="UXU8" s="37"/>
      <c r="UXV8" s="36"/>
      <c r="UXW8" s="37"/>
      <c r="UXX8" s="36"/>
      <c r="UXY8" s="37"/>
      <c r="UXZ8" s="36"/>
      <c r="UYA8" s="37"/>
      <c r="UYB8" s="36"/>
      <c r="UYC8" s="36"/>
      <c r="UYD8" s="37"/>
      <c r="UYE8" s="37"/>
      <c r="UYG8" s="22"/>
      <c r="UYH8" s="35"/>
      <c r="UYI8" s="36"/>
      <c r="UYJ8" s="37"/>
      <c r="UYK8" s="36"/>
      <c r="UYL8" s="37"/>
      <c r="UYM8" s="36"/>
      <c r="UYN8" s="37"/>
      <c r="UYO8" s="36"/>
      <c r="UYP8" s="37"/>
      <c r="UYQ8" s="36"/>
      <c r="UYR8" s="37"/>
      <c r="UYS8" s="36"/>
      <c r="UYT8" s="37"/>
      <c r="UYU8" s="36"/>
      <c r="UYV8" s="37"/>
      <c r="UYW8" s="36"/>
      <c r="UYX8" s="37"/>
      <c r="UYY8" s="36"/>
      <c r="UYZ8" s="37"/>
      <c r="UZA8" s="36"/>
      <c r="UZB8" s="36"/>
      <c r="UZC8" s="37"/>
      <c r="UZD8" s="37"/>
      <c r="UZF8" s="22"/>
      <c r="UZG8" s="35"/>
      <c r="UZH8" s="36"/>
      <c r="UZI8" s="37"/>
      <c r="UZJ8" s="36"/>
      <c r="UZK8" s="37"/>
      <c r="UZL8" s="36"/>
      <c r="UZM8" s="37"/>
      <c r="UZN8" s="36"/>
      <c r="UZO8" s="37"/>
      <c r="UZP8" s="36"/>
      <c r="UZQ8" s="37"/>
      <c r="UZR8" s="36"/>
      <c r="UZS8" s="37"/>
      <c r="UZT8" s="36"/>
      <c r="UZU8" s="37"/>
      <c r="UZV8" s="36"/>
      <c r="UZW8" s="37"/>
      <c r="UZX8" s="36"/>
      <c r="UZY8" s="37"/>
      <c r="UZZ8" s="36"/>
      <c r="VAA8" s="36"/>
      <c r="VAB8" s="37"/>
      <c r="VAC8" s="37"/>
      <c r="VAE8" s="22"/>
      <c r="VAF8" s="35"/>
      <c r="VAG8" s="36"/>
      <c r="VAH8" s="37"/>
      <c r="VAI8" s="36"/>
      <c r="VAJ8" s="37"/>
      <c r="VAK8" s="36"/>
      <c r="VAL8" s="37"/>
      <c r="VAM8" s="36"/>
      <c r="VAN8" s="37"/>
      <c r="VAO8" s="36"/>
      <c r="VAP8" s="37"/>
      <c r="VAQ8" s="36"/>
      <c r="VAR8" s="37"/>
      <c r="VAS8" s="36"/>
      <c r="VAT8" s="37"/>
      <c r="VAU8" s="36"/>
      <c r="VAV8" s="37"/>
      <c r="VAW8" s="36"/>
      <c r="VAX8" s="37"/>
      <c r="VAY8" s="36"/>
      <c r="VAZ8" s="36"/>
      <c r="VBA8" s="37"/>
      <c r="VBB8" s="37"/>
      <c r="VBD8" s="22"/>
      <c r="VBE8" s="35"/>
      <c r="VBF8" s="36"/>
      <c r="VBG8" s="37"/>
      <c r="VBH8" s="36"/>
      <c r="VBI8" s="37"/>
      <c r="VBJ8" s="36"/>
      <c r="VBK8" s="37"/>
      <c r="VBL8" s="36"/>
      <c r="VBM8" s="37"/>
      <c r="VBN8" s="36"/>
      <c r="VBO8" s="37"/>
      <c r="VBP8" s="36"/>
      <c r="VBQ8" s="37"/>
      <c r="VBR8" s="36"/>
      <c r="VBS8" s="37"/>
      <c r="VBT8" s="36"/>
      <c r="VBU8" s="37"/>
      <c r="VBV8" s="36"/>
      <c r="VBW8" s="37"/>
      <c r="VBX8" s="36"/>
      <c r="VBY8" s="36"/>
      <c r="VBZ8" s="37"/>
      <c r="VCA8" s="37"/>
      <c r="VCC8" s="22"/>
      <c r="VCD8" s="35"/>
      <c r="VCE8" s="36"/>
      <c r="VCF8" s="37"/>
      <c r="VCG8" s="36"/>
      <c r="VCH8" s="37"/>
      <c r="VCI8" s="36"/>
      <c r="VCJ8" s="37"/>
      <c r="VCK8" s="36"/>
      <c r="VCL8" s="37"/>
      <c r="VCM8" s="36"/>
      <c r="VCN8" s="37"/>
      <c r="VCO8" s="36"/>
      <c r="VCP8" s="37"/>
      <c r="VCQ8" s="36"/>
      <c r="VCR8" s="37"/>
      <c r="VCS8" s="36"/>
      <c r="VCT8" s="37"/>
      <c r="VCU8" s="36"/>
      <c r="VCV8" s="37"/>
      <c r="VCW8" s="36"/>
      <c r="VCX8" s="36"/>
      <c r="VCY8" s="37"/>
      <c r="VCZ8" s="37"/>
      <c r="VDB8" s="22"/>
      <c r="VDC8" s="35"/>
      <c r="VDD8" s="36"/>
      <c r="VDE8" s="37"/>
      <c r="VDF8" s="36"/>
      <c r="VDG8" s="37"/>
      <c r="VDH8" s="36"/>
      <c r="VDI8" s="37"/>
      <c r="VDJ8" s="36"/>
      <c r="VDK8" s="37"/>
      <c r="VDL8" s="36"/>
      <c r="VDM8" s="37"/>
      <c r="VDN8" s="36"/>
      <c r="VDO8" s="37"/>
      <c r="VDP8" s="36"/>
      <c r="VDQ8" s="37"/>
      <c r="VDR8" s="36"/>
      <c r="VDS8" s="37"/>
      <c r="VDT8" s="36"/>
      <c r="VDU8" s="37"/>
      <c r="VDV8" s="36"/>
      <c r="VDW8" s="36"/>
      <c r="VDX8" s="37"/>
      <c r="VDY8" s="37"/>
      <c r="VEA8" s="22"/>
      <c r="VEB8" s="35"/>
      <c r="VEC8" s="36"/>
      <c r="VED8" s="37"/>
      <c r="VEE8" s="36"/>
      <c r="VEF8" s="37"/>
      <c r="VEG8" s="36"/>
      <c r="VEH8" s="37"/>
      <c r="VEI8" s="36"/>
      <c r="VEJ8" s="37"/>
      <c r="VEK8" s="36"/>
      <c r="VEL8" s="37"/>
      <c r="VEM8" s="36"/>
      <c r="VEN8" s="37"/>
      <c r="VEO8" s="36"/>
      <c r="VEP8" s="37"/>
      <c r="VEQ8" s="36"/>
      <c r="VER8" s="37"/>
      <c r="VES8" s="36"/>
      <c r="VET8" s="37"/>
      <c r="VEU8" s="36"/>
      <c r="VEV8" s="36"/>
      <c r="VEW8" s="37"/>
      <c r="VEX8" s="37"/>
      <c r="VEZ8" s="22"/>
      <c r="VFA8" s="35"/>
      <c r="VFB8" s="36"/>
      <c r="VFC8" s="37"/>
      <c r="VFD8" s="36"/>
      <c r="VFE8" s="37"/>
      <c r="VFF8" s="36"/>
      <c r="VFG8" s="37"/>
      <c r="VFH8" s="36"/>
      <c r="VFI8" s="37"/>
      <c r="VFJ8" s="36"/>
      <c r="VFK8" s="37"/>
      <c r="VFL8" s="36"/>
      <c r="VFM8" s="37"/>
      <c r="VFN8" s="36"/>
      <c r="VFO8" s="37"/>
      <c r="VFP8" s="36"/>
      <c r="VFQ8" s="37"/>
      <c r="VFR8" s="36"/>
      <c r="VFS8" s="37"/>
      <c r="VFT8" s="36"/>
      <c r="VFU8" s="36"/>
      <c r="VFV8" s="37"/>
      <c r="VFW8" s="37"/>
      <c r="VFY8" s="22"/>
      <c r="VFZ8" s="35"/>
      <c r="VGA8" s="36"/>
      <c r="VGB8" s="37"/>
      <c r="VGC8" s="36"/>
      <c r="VGD8" s="37"/>
      <c r="VGE8" s="36"/>
      <c r="VGF8" s="37"/>
      <c r="VGG8" s="36"/>
      <c r="VGH8" s="37"/>
      <c r="VGI8" s="36"/>
      <c r="VGJ8" s="37"/>
      <c r="VGK8" s="36"/>
      <c r="VGL8" s="37"/>
      <c r="VGM8" s="36"/>
      <c r="VGN8" s="37"/>
      <c r="VGO8" s="36"/>
      <c r="VGP8" s="37"/>
      <c r="VGQ8" s="36"/>
      <c r="VGR8" s="37"/>
      <c r="VGS8" s="36"/>
      <c r="VGT8" s="36"/>
      <c r="VGU8" s="37"/>
      <c r="VGV8" s="37"/>
      <c r="VGX8" s="22"/>
      <c r="VGY8" s="35"/>
      <c r="VGZ8" s="36"/>
      <c r="VHA8" s="37"/>
      <c r="VHB8" s="36"/>
      <c r="VHC8" s="37"/>
      <c r="VHD8" s="36"/>
      <c r="VHE8" s="37"/>
      <c r="VHF8" s="36"/>
      <c r="VHG8" s="37"/>
      <c r="VHH8" s="36"/>
      <c r="VHI8" s="37"/>
      <c r="VHJ8" s="36"/>
      <c r="VHK8" s="37"/>
      <c r="VHL8" s="36"/>
      <c r="VHM8" s="37"/>
      <c r="VHN8" s="36"/>
      <c r="VHO8" s="37"/>
      <c r="VHP8" s="36"/>
      <c r="VHQ8" s="37"/>
      <c r="VHR8" s="36"/>
      <c r="VHS8" s="36"/>
      <c r="VHT8" s="37"/>
      <c r="VHU8" s="37"/>
      <c r="VHW8" s="22"/>
      <c r="VHX8" s="35"/>
      <c r="VHY8" s="36"/>
      <c r="VHZ8" s="37"/>
      <c r="VIA8" s="36"/>
      <c r="VIB8" s="37"/>
      <c r="VIC8" s="36"/>
      <c r="VID8" s="37"/>
      <c r="VIE8" s="36"/>
      <c r="VIF8" s="37"/>
      <c r="VIG8" s="36"/>
      <c r="VIH8" s="37"/>
      <c r="VII8" s="36"/>
      <c r="VIJ8" s="37"/>
      <c r="VIK8" s="36"/>
      <c r="VIL8" s="37"/>
      <c r="VIM8" s="36"/>
      <c r="VIN8" s="37"/>
      <c r="VIO8" s="36"/>
      <c r="VIP8" s="37"/>
      <c r="VIQ8" s="36"/>
      <c r="VIR8" s="36"/>
      <c r="VIS8" s="37"/>
      <c r="VIT8" s="37"/>
      <c r="VIV8" s="22"/>
      <c r="VIW8" s="35"/>
      <c r="VIX8" s="36"/>
      <c r="VIY8" s="37"/>
      <c r="VIZ8" s="36"/>
      <c r="VJA8" s="37"/>
      <c r="VJB8" s="36"/>
      <c r="VJC8" s="37"/>
      <c r="VJD8" s="36"/>
      <c r="VJE8" s="37"/>
      <c r="VJF8" s="36"/>
      <c r="VJG8" s="37"/>
      <c r="VJH8" s="36"/>
      <c r="VJI8" s="37"/>
      <c r="VJJ8" s="36"/>
      <c r="VJK8" s="37"/>
      <c r="VJL8" s="36"/>
      <c r="VJM8" s="37"/>
      <c r="VJN8" s="36"/>
      <c r="VJO8" s="37"/>
      <c r="VJP8" s="36"/>
      <c r="VJQ8" s="36"/>
      <c r="VJR8" s="37"/>
      <c r="VJS8" s="37"/>
      <c r="VJU8" s="22"/>
      <c r="VJV8" s="35"/>
      <c r="VJW8" s="36"/>
      <c r="VJX8" s="37"/>
      <c r="VJY8" s="36"/>
      <c r="VJZ8" s="37"/>
      <c r="VKA8" s="36"/>
      <c r="VKB8" s="37"/>
      <c r="VKC8" s="36"/>
      <c r="VKD8" s="37"/>
      <c r="VKE8" s="36"/>
      <c r="VKF8" s="37"/>
      <c r="VKG8" s="36"/>
      <c r="VKH8" s="37"/>
      <c r="VKI8" s="36"/>
      <c r="VKJ8" s="37"/>
      <c r="VKK8" s="36"/>
      <c r="VKL8" s="37"/>
      <c r="VKM8" s="36"/>
      <c r="VKN8" s="37"/>
      <c r="VKO8" s="36"/>
      <c r="VKP8" s="36"/>
      <c r="VKQ8" s="37"/>
      <c r="VKR8" s="37"/>
      <c r="VKT8" s="22"/>
      <c r="VKU8" s="35"/>
      <c r="VKV8" s="36"/>
      <c r="VKW8" s="37"/>
      <c r="VKX8" s="36"/>
      <c r="VKY8" s="37"/>
      <c r="VKZ8" s="36"/>
      <c r="VLA8" s="37"/>
      <c r="VLB8" s="36"/>
      <c r="VLC8" s="37"/>
      <c r="VLD8" s="36"/>
      <c r="VLE8" s="37"/>
      <c r="VLF8" s="36"/>
      <c r="VLG8" s="37"/>
      <c r="VLH8" s="36"/>
      <c r="VLI8" s="37"/>
      <c r="VLJ8" s="36"/>
      <c r="VLK8" s="37"/>
      <c r="VLL8" s="36"/>
      <c r="VLM8" s="37"/>
      <c r="VLN8" s="36"/>
      <c r="VLO8" s="36"/>
      <c r="VLP8" s="37"/>
      <c r="VLQ8" s="37"/>
      <c r="VLS8" s="22"/>
      <c r="VLT8" s="35"/>
      <c r="VLU8" s="36"/>
      <c r="VLV8" s="37"/>
      <c r="VLW8" s="36"/>
      <c r="VLX8" s="37"/>
      <c r="VLY8" s="36"/>
      <c r="VLZ8" s="37"/>
      <c r="VMA8" s="36"/>
      <c r="VMB8" s="37"/>
      <c r="VMC8" s="36"/>
      <c r="VMD8" s="37"/>
      <c r="VME8" s="36"/>
      <c r="VMF8" s="37"/>
      <c r="VMG8" s="36"/>
      <c r="VMH8" s="37"/>
      <c r="VMI8" s="36"/>
      <c r="VMJ8" s="37"/>
      <c r="VMK8" s="36"/>
      <c r="VML8" s="37"/>
      <c r="VMM8" s="36"/>
      <c r="VMN8" s="36"/>
      <c r="VMO8" s="37"/>
      <c r="VMP8" s="37"/>
      <c r="VMR8" s="22"/>
      <c r="VMS8" s="35"/>
      <c r="VMT8" s="36"/>
      <c r="VMU8" s="37"/>
      <c r="VMV8" s="36"/>
      <c r="VMW8" s="37"/>
      <c r="VMX8" s="36"/>
      <c r="VMY8" s="37"/>
      <c r="VMZ8" s="36"/>
      <c r="VNA8" s="37"/>
      <c r="VNB8" s="36"/>
      <c r="VNC8" s="37"/>
      <c r="VND8" s="36"/>
      <c r="VNE8" s="37"/>
      <c r="VNF8" s="36"/>
      <c r="VNG8" s="37"/>
      <c r="VNH8" s="36"/>
      <c r="VNI8" s="37"/>
      <c r="VNJ8" s="36"/>
      <c r="VNK8" s="37"/>
      <c r="VNL8" s="36"/>
      <c r="VNM8" s="36"/>
      <c r="VNN8" s="37"/>
      <c r="VNO8" s="37"/>
      <c r="VNQ8" s="22"/>
      <c r="VNR8" s="35"/>
      <c r="VNS8" s="36"/>
      <c r="VNT8" s="37"/>
      <c r="VNU8" s="36"/>
      <c r="VNV8" s="37"/>
      <c r="VNW8" s="36"/>
      <c r="VNX8" s="37"/>
      <c r="VNY8" s="36"/>
      <c r="VNZ8" s="37"/>
      <c r="VOA8" s="36"/>
      <c r="VOB8" s="37"/>
      <c r="VOC8" s="36"/>
      <c r="VOD8" s="37"/>
      <c r="VOE8" s="36"/>
      <c r="VOF8" s="37"/>
      <c r="VOG8" s="36"/>
      <c r="VOH8" s="37"/>
      <c r="VOI8" s="36"/>
      <c r="VOJ8" s="37"/>
      <c r="VOK8" s="36"/>
      <c r="VOL8" s="36"/>
      <c r="VOM8" s="37"/>
      <c r="VON8" s="37"/>
      <c r="VOP8" s="22"/>
      <c r="VOQ8" s="35"/>
      <c r="VOR8" s="36"/>
      <c r="VOS8" s="37"/>
      <c r="VOT8" s="36"/>
      <c r="VOU8" s="37"/>
      <c r="VOV8" s="36"/>
      <c r="VOW8" s="37"/>
      <c r="VOX8" s="36"/>
      <c r="VOY8" s="37"/>
      <c r="VOZ8" s="36"/>
      <c r="VPA8" s="37"/>
      <c r="VPB8" s="36"/>
      <c r="VPC8" s="37"/>
      <c r="VPD8" s="36"/>
      <c r="VPE8" s="37"/>
      <c r="VPF8" s="36"/>
      <c r="VPG8" s="37"/>
      <c r="VPH8" s="36"/>
      <c r="VPI8" s="37"/>
      <c r="VPJ8" s="36"/>
      <c r="VPK8" s="36"/>
      <c r="VPL8" s="37"/>
      <c r="VPM8" s="37"/>
      <c r="VPO8" s="22"/>
      <c r="VPP8" s="35"/>
      <c r="VPQ8" s="36"/>
      <c r="VPR8" s="37"/>
      <c r="VPS8" s="36"/>
      <c r="VPT8" s="37"/>
      <c r="VPU8" s="36"/>
      <c r="VPV8" s="37"/>
      <c r="VPW8" s="36"/>
      <c r="VPX8" s="37"/>
      <c r="VPY8" s="36"/>
      <c r="VPZ8" s="37"/>
      <c r="VQA8" s="36"/>
      <c r="VQB8" s="37"/>
      <c r="VQC8" s="36"/>
      <c r="VQD8" s="37"/>
      <c r="VQE8" s="36"/>
      <c r="VQF8" s="37"/>
      <c r="VQG8" s="36"/>
      <c r="VQH8" s="37"/>
      <c r="VQI8" s="36"/>
      <c r="VQJ8" s="36"/>
      <c r="VQK8" s="37"/>
      <c r="VQL8" s="37"/>
      <c r="VQN8" s="22"/>
      <c r="VQO8" s="35"/>
      <c r="VQP8" s="36"/>
      <c r="VQQ8" s="37"/>
      <c r="VQR8" s="36"/>
      <c r="VQS8" s="37"/>
      <c r="VQT8" s="36"/>
      <c r="VQU8" s="37"/>
      <c r="VQV8" s="36"/>
      <c r="VQW8" s="37"/>
      <c r="VQX8" s="36"/>
      <c r="VQY8" s="37"/>
      <c r="VQZ8" s="36"/>
      <c r="VRA8" s="37"/>
      <c r="VRB8" s="36"/>
      <c r="VRC8" s="37"/>
      <c r="VRD8" s="36"/>
      <c r="VRE8" s="37"/>
      <c r="VRF8" s="36"/>
      <c r="VRG8" s="37"/>
      <c r="VRH8" s="36"/>
      <c r="VRI8" s="36"/>
      <c r="VRJ8" s="37"/>
      <c r="VRK8" s="37"/>
      <c r="VRM8" s="22"/>
      <c r="VRN8" s="35"/>
      <c r="VRO8" s="36"/>
      <c r="VRP8" s="37"/>
      <c r="VRQ8" s="36"/>
      <c r="VRR8" s="37"/>
      <c r="VRS8" s="36"/>
      <c r="VRT8" s="37"/>
      <c r="VRU8" s="36"/>
      <c r="VRV8" s="37"/>
      <c r="VRW8" s="36"/>
      <c r="VRX8" s="37"/>
      <c r="VRY8" s="36"/>
      <c r="VRZ8" s="37"/>
      <c r="VSA8" s="36"/>
      <c r="VSB8" s="37"/>
      <c r="VSC8" s="36"/>
      <c r="VSD8" s="37"/>
      <c r="VSE8" s="36"/>
      <c r="VSF8" s="37"/>
      <c r="VSG8" s="36"/>
      <c r="VSH8" s="36"/>
      <c r="VSI8" s="37"/>
      <c r="VSJ8" s="37"/>
      <c r="VSL8" s="22"/>
      <c r="VSM8" s="35"/>
      <c r="VSN8" s="36"/>
      <c r="VSO8" s="37"/>
      <c r="VSP8" s="36"/>
      <c r="VSQ8" s="37"/>
      <c r="VSR8" s="36"/>
      <c r="VSS8" s="37"/>
      <c r="VST8" s="36"/>
      <c r="VSU8" s="37"/>
      <c r="VSV8" s="36"/>
      <c r="VSW8" s="37"/>
      <c r="VSX8" s="36"/>
      <c r="VSY8" s="37"/>
      <c r="VSZ8" s="36"/>
      <c r="VTA8" s="37"/>
      <c r="VTB8" s="36"/>
      <c r="VTC8" s="37"/>
      <c r="VTD8" s="36"/>
      <c r="VTE8" s="37"/>
      <c r="VTF8" s="36"/>
      <c r="VTG8" s="36"/>
      <c r="VTH8" s="37"/>
      <c r="VTI8" s="37"/>
      <c r="VTK8" s="22"/>
      <c r="VTL8" s="35"/>
      <c r="VTM8" s="36"/>
      <c r="VTN8" s="37"/>
      <c r="VTO8" s="36"/>
      <c r="VTP8" s="37"/>
      <c r="VTQ8" s="36"/>
      <c r="VTR8" s="37"/>
      <c r="VTS8" s="36"/>
      <c r="VTT8" s="37"/>
      <c r="VTU8" s="36"/>
      <c r="VTV8" s="37"/>
      <c r="VTW8" s="36"/>
      <c r="VTX8" s="37"/>
      <c r="VTY8" s="36"/>
      <c r="VTZ8" s="37"/>
      <c r="VUA8" s="36"/>
      <c r="VUB8" s="37"/>
      <c r="VUC8" s="36"/>
      <c r="VUD8" s="37"/>
      <c r="VUE8" s="36"/>
      <c r="VUF8" s="36"/>
      <c r="VUG8" s="37"/>
      <c r="VUH8" s="37"/>
      <c r="VUJ8" s="22"/>
      <c r="VUK8" s="35"/>
      <c r="VUL8" s="36"/>
      <c r="VUM8" s="37"/>
      <c r="VUN8" s="36"/>
      <c r="VUO8" s="37"/>
      <c r="VUP8" s="36"/>
      <c r="VUQ8" s="37"/>
      <c r="VUR8" s="36"/>
      <c r="VUS8" s="37"/>
      <c r="VUT8" s="36"/>
      <c r="VUU8" s="37"/>
      <c r="VUV8" s="36"/>
      <c r="VUW8" s="37"/>
      <c r="VUX8" s="36"/>
      <c r="VUY8" s="37"/>
      <c r="VUZ8" s="36"/>
      <c r="VVA8" s="37"/>
      <c r="VVB8" s="36"/>
      <c r="VVC8" s="37"/>
      <c r="VVD8" s="36"/>
      <c r="VVE8" s="36"/>
      <c r="VVF8" s="37"/>
      <c r="VVG8" s="37"/>
      <c r="VVI8" s="22"/>
      <c r="VVJ8" s="35"/>
      <c r="VVK8" s="36"/>
      <c r="VVL8" s="37"/>
      <c r="VVM8" s="36"/>
      <c r="VVN8" s="37"/>
      <c r="VVO8" s="36"/>
      <c r="VVP8" s="37"/>
      <c r="VVQ8" s="36"/>
      <c r="VVR8" s="37"/>
      <c r="VVS8" s="36"/>
      <c r="VVT8" s="37"/>
      <c r="VVU8" s="36"/>
      <c r="VVV8" s="37"/>
      <c r="VVW8" s="36"/>
      <c r="VVX8" s="37"/>
      <c r="VVY8" s="36"/>
      <c r="VVZ8" s="37"/>
      <c r="VWA8" s="36"/>
      <c r="VWB8" s="37"/>
      <c r="VWC8" s="36"/>
      <c r="VWD8" s="36"/>
      <c r="VWE8" s="37"/>
      <c r="VWF8" s="37"/>
      <c r="VWH8" s="22"/>
      <c r="VWI8" s="35"/>
      <c r="VWJ8" s="36"/>
      <c r="VWK8" s="37"/>
      <c r="VWL8" s="36"/>
      <c r="VWM8" s="37"/>
      <c r="VWN8" s="36"/>
      <c r="VWO8" s="37"/>
      <c r="VWP8" s="36"/>
      <c r="VWQ8" s="37"/>
      <c r="VWR8" s="36"/>
      <c r="VWS8" s="37"/>
      <c r="VWT8" s="36"/>
      <c r="VWU8" s="37"/>
      <c r="VWV8" s="36"/>
      <c r="VWW8" s="37"/>
      <c r="VWX8" s="36"/>
      <c r="VWY8" s="37"/>
      <c r="VWZ8" s="36"/>
      <c r="VXA8" s="37"/>
      <c r="VXB8" s="36"/>
      <c r="VXC8" s="36"/>
      <c r="VXD8" s="37"/>
      <c r="VXE8" s="37"/>
      <c r="VXG8" s="22"/>
      <c r="VXH8" s="35"/>
      <c r="VXI8" s="36"/>
      <c r="VXJ8" s="37"/>
      <c r="VXK8" s="36"/>
      <c r="VXL8" s="37"/>
      <c r="VXM8" s="36"/>
      <c r="VXN8" s="37"/>
      <c r="VXO8" s="36"/>
      <c r="VXP8" s="37"/>
      <c r="VXQ8" s="36"/>
      <c r="VXR8" s="37"/>
      <c r="VXS8" s="36"/>
      <c r="VXT8" s="37"/>
      <c r="VXU8" s="36"/>
      <c r="VXV8" s="37"/>
      <c r="VXW8" s="36"/>
      <c r="VXX8" s="37"/>
      <c r="VXY8" s="36"/>
      <c r="VXZ8" s="37"/>
      <c r="VYA8" s="36"/>
      <c r="VYB8" s="36"/>
      <c r="VYC8" s="37"/>
      <c r="VYD8" s="37"/>
      <c r="VYF8" s="22"/>
      <c r="VYG8" s="35"/>
      <c r="VYH8" s="36"/>
      <c r="VYI8" s="37"/>
      <c r="VYJ8" s="36"/>
      <c r="VYK8" s="37"/>
      <c r="VYL8" s="36"/>
      <c r="VYM8" s="37"/>
      <c r="VYN8" s="36"/>
      <c r="VYO8" s="37"/>
      <c r="VYP8" s="36"/>
      <c r="VYQ8" s="37"/>
      <c r="VYR8" s="36"/>
      <c r="VYS8" s="37"/>
      <c r="VYT8" s="36"/>
      <c r="VYU8" s="37"/>
      <c r="VYV8" s="36"/>
      <c r="VYW8" s="37"/>
      <c r="VYX8" s="36"/>
      <c r="VYY8" s="37"/>
      <c r="VYZ8" s="36"/>
      <c r="VZA8" s="36"/>
      <c r="VZB8" s="37"/>
      <c r="VZC8" s="37"/>
      <c r="VZE8" s="22"/>
      <c r="VZF8" s="35"/>
      <c r="VZG8" s="36"/>
      <c r="VZH8" s="37"/>
      <c r="VZI8" s="36"/>
      <c r="VZJ8" s="37"/>
      <c r="VZK8" s="36"/>
      <c r="VZL8" s="37"/>
      <c r="VZM8" s="36"/>
      <c r="VZN8" s="37"/>
      <c r="VZO8" s="36"/>
      <c r="VZP8" s="37"/>
      <c r="VZQ8" s="36"/>
      <c r="VZR8" s="37"/>
      <c r="VZS8" s="36"/>
      <c r="VZT8" s="37"/>
      <c r="VZU8" s="36"/>
      <c r="VZV8" s="37"/>
      <c r="VZW8" s="36"/>
      <c r="VZX8" s="37"/>
      <c r="VZY8" s="36"/>
      <c r="VZZ8" s="36"/>
      <c r="WAA8" s="37"/>
      <c r="WAB8" s="37"/>
      <c r="WAD8" s="22"/>
      <c r="WAE8" s="35"/>
      <c r="WAF8" s="36"/>
      <c r="WAG8" s="37"/>
      <c r="WAH8" s="36"/>
      <c r="WAI8" s="37"/>
      <c r="WAJ8" s="36"/>
      <c r="WAK8" s="37"/>
      <c r="WAL8" s="36"/>
      <c r="WAM8" s="37"/>
      <c r="WAN8" s="36"/>
      <c r="WAO8" s="37"/>
      <c r="WAP8" s="36"/>
      <c r="WAQ8" s="37"/>
      <c r="WAR8" s="36"/>
      <c r="WAS8" s="37"/>
      <c r="WAT8" s="36"/>
      <c r="WAU8" s="37"/>
      <c r="WAV8" s="36"/>
      <c r="WAW8" s="37"/>
      <c r="WAX8" s="36"/>
      <c r="WAY8" s="36"/>
      <c r="WAZ8" s="37"/>
      <c r="WBA8" s="37"/>
      <c r="WBC8" s="22"/>
      <c r="WBD8" s="35"/>
      <c r="WBE8" s="36"/>
      <c r="WBF8" s="37"/>
      <c r="WBG8" s="36"/>
      <c r="WBH8" s="37"/>
      <c r="WBI8" s="36"/>
      <c r="WBJ8" s="37"/>
      <c r="WBK8" s="36"/>
      <c r="WBL8" s="37"/>
      <c r="WBM8" s="36"/>
      <c r="WBN8" s="37"/>
      <c r="WBO8" s="36"/>
      <c r="WBP8" s="37"/>
      <c r="WBQ8" s="36"/>
      <c r="WBR8" s="37"/>
      <c r="WBS8" s="36"/>
      <c r="WBT8" s="37"/>
      <c r="WBU8" s="36"/>
      <c r="WBV8" s="37"/>
      <c r="WBW8" s="36"/>
      <c r="WBX8" s="36"/>
      <c r="WBY8" s="37"/>
      <c r="WBZ8" s="37"/>
      <c r="WCB8" s="22"/>
      <c r="WCC8" s="35"/>
      <c r="WCD8" s="36"/>
      <c r="WCE8" s="37"/>
      <c r="WCF8" s="36"/>
      <c r="WCG8" s="37"/>
      <c r="WCH8" s="36"/>
      <c r="WCI8" s="37"/>
      <c r="WCJ8" s="36"/>
      <c r="WCK8" s="37"/>
      <c r="WCL8" s="36"/>
      <c r="WCM8" s="37"/>
      <c r="WCN8" s="36"/>
      <c r="WCO8" s="37"/>
      <c r="WCP8" s="36"/>
      <c r="WCQ8" s="37"/>
      <c r="WCR8" s="36"/>
      <c r="WCS8" s="37"/>
      <c r="WCT8" s="36"/>
      <c r="WCU8" s="37"/>
      <c r="WCV8" s="36"/>
      <c r="WCW8" s="36"/>
      <c r="WCX8" s="37"/>
      <c r="WCY8" s="37"/>
      <c r="WDA8" s="22"/>
      <c r="WDB8" s="35"/>
      <c r="WDC8" s="36"/>
      <c r="WDD8" s="37"/>
      <c r="WDE8" s="36"/>
      <c r="WDF8" s="37"/>
      <c r="WDG8" s="36"/>
      <c r="WDH8" s="37"/>
      <c r="WDI8" s="36"/>
      <c r="WDJ8" s="37"/>
      <c r="WDK8" s="36"/>
      <c r="WDL8" s="37"/>
      <c r="WDM8" s="36"/>
      <c r="WDN8" s="37"/>
      <c r="WDO8" s="36"/>
      <c r="WDP8" s="37"/>
      <c r="WDQ8" s="36"/>
      <c r="WDR8" s="37"/>
      <c r="WDS8" s="36"/>
      <c r="WDT8" s="37"/>
      <c r="WDU8" s="36"/>
      <c r="WDV8" s="36"/>
      <c r="WDW8" s="37"/>
      <c r="WDX8" s="37"/>
      <c r="WDZ8" s="22"/>
      <c r="WEA8" s="35"/>
      <c r="WEB8" s="36"/>
      <c r="WEC8" s="37"/>
      <c r="WED8" s="36"/>
      <c r="WEE8" s="37"/>
      <c r="WEF8" s="36"/>
      <c r="WEG8" s="37"/>
      <c r="WEH8" s="36"/>
      <c r="WEI8" s="37"/>
      <c r="WEJ8" s="36"/>
      <c r="WEK8" s="37"/>
      <c r="WEL8" s="36"/>
      <c r="WEM8" s="37"/>
      <c r="WEN8" s="36"/>
      <c r="WEO8" s="37"/>
      <c r="WEP8" s="36"/>
      <c r="WEQ8" s="37"/>
      <c r="WER8" s="36"/>
      <c r="WES8" s="37"/>
      <c r="WET8" s="36"/>
      <c r="WEU8" s="36"/>
      <c r="WEV8" s="37"/>
      <c r="WEW8" s="37"/>
      <c r="WEY8" s="22"/>
      <c r="WEZ8" s="35"/>
      <c r="WFA8" s="36"/>
      <c r="WFB8" s="37"/>
      <c r="WFC8" s="36"/>
      <c r="WFD8" s="37"/>
      <c r="WFE8" s="36"/>
      <c r="WFF8" s="37"/>
      <c r="WFG8" s="36"/>
      <c r="WFH8" s="37"/>
      <c r="WFI8" s="36"/>
      <c r="WFJ8" s="37"/>
      <c r="WFK8" s="36"/>
      <c r="WFL8" s="37"/>
      <c r="WFM8" s="36"/>
      <c r="WFN8" s="37"/>
      <c r="WFO8" s="36"/>
      <c r="WFP8" s="37"/>
      <c r="WFQ8" s="36"/>
      <c r="WFR8" s="37"/>
      <c r="WFS8" s="36"/>
      <c r="WFT8" s="36"/>
      <c r="WFU8" s="37"/>
      <c r="WFV8" s="37"/>
      <c r="WFX8" s="22"/>
      <c r="WFY8" s="35"/>
      <c r="WFZ8" s="36"/>
      <c r="WGA8" s="37"/>
      <c r="WGB8" s="36"/>
      <c r="WGC8" s="37"/>
      <c r="WGD8" s="36"/>
      <c r="WGE8" s="37"/>
      <c r="WGF8" s="36"/>
      <c r="WGG8" s="37"/>
      <c r="WGH8" s="36"/>
      <c r="WGI8" s="37"/>
      <c r="WGJ8" s="36"/>
      <c r="WGK8" s="37"/>
      <c r="WGL8" s="36"/>
      <c r="WGM8" s="37"/>
      <c r="WGN8" s="36"/>
      <c r="WGO8" s="37"/>
      <c r="WGP8" s="36"/>
      <c r="WGQ8" s="37"/>
      <c r="WGR8" s="36"/>
      <c r="WGS8" s="36"/>
      <c r="WGT8" s="37"/>
      <c r="WGU8" s="37"/>
      <c r="WGW8" s="22"/>
      <c r="WGX8" s="35"/>
      <c r="WGY8" s="36"/>
      <c r="WGZ8" s="37"/>
      <c r="WHA8" s="36"/>
      <c r="WHB8" s="37"/>
      <c r="WHC8" s="36"/>
      <c r="WHD8" s="37"/>
      <c r="WHE8" s="36"/>
      <c r="WHF8" s="37"/>
      <c r="WHG8" s="36"/>
      <c r="WHH8" s="37"/>
      <c r="WHI8" s="36"/>
      <c r="WHJ8" s="37"/>
      <c r="WHK8" s="36"/>
      <c r="WHL8" s="37"/>
      <c r="WHM8" s="36"/>
      <c r="WHN8" s="37"/>
      <c r="WHO8" s="36"/>
      <c r="WHP8" s="37"/>
      <c r="WHQ8" s="36"/>
      <c r="WHR8" s="36"/>
      <c r="WHS8" s="37"/>
      <c r="WHT8" s="37"/>
      <c r="WHV8" s="22"/>
      <c r="WHW8" s="35"/>
      <c r="WHX8" s="36"/>
      <c r="WHY8" s="37"/>
      <c r="WHZ8" s="36"/>
      <c r="WIA8" s="37"/>
      <c r="WIB8" s="36"/>
      <c r="WIC8" s="37"/>
      <c r="WID8" s="36"/>
      <c r="WIE8" s="37"/>
      <c r="WIF8" s="36"/>
      <c r="WIG8" s="37"/>
      <c r="WIH8" s="36"/>
      <c r="WII8" s="37"/>
      <c r="WIJ8" s="36"/>
      <c r="WIK8" s="37"/>
      <c r="WIL8" s="36"/>
      <c r="WIM8" s="37"/>
      <c r="WIN8" s="36"/>
      <c r="WIO8" s="37"/>
      <c r="WIP8" s="36"/>
      <c r="WIQ8" s="36"/>
      <c r="WIR8" s="37"/>
      <c r="WIS8" s="37"/>
      <c r="WIU8" s="22"/>
      <c r="WIV8" s="35"/>
      <c r="WIW8" s="36"/>
      <c r="WIX8" s="37"/>
      <c r="WIY8" s="36"/>
      <c r="WIZ8" s="37"/>
      <c r="WJA8" s="36"/>
      <c r="WJB8" s="37"/>
      <c r="WJC8" s="36"/>
      <c r="WJD8" s="37"/>
      <c r="WJE8" s="36"/>
      <c r="WJF8" s="37"/>
      <c r="WJG8" s="36"/>
      <c r="WJH8" s="37"/>
      <c r="WJI8" s="36"/>
      <c r="WJJ8" s="37"/>
      <c r="WJK8" s="36"/>
      <c r="WJL8" s="37"/>
      <c r="WJM8" s="36"/>
      <c r="WJN8" s="37"/>
      <c r="WJO8" s="36"/>
      <c r="WJP8" s="36"/>
      <c r="WJQ8" s="37"/>
      <c r="WJR8" s="37"/>
      <c r="WJT8" s="22"/>
      <c r="WJU8" s="35"/>
      <c r="WJV8" s="36"/>
      <c r="WJW8" s="37"/>
      <c r="WJX8" s="36"/>
      <c r="WJY8" s="37"/>
      <c r="WJZ8" s="36"/>
      <c r="WKA8" s="37"/>
      <c r="WKB8" s="36"/>
      <c r="WKC8" s="37"/>
      <c r="WKD8" s="36"/>
      <c r="WKE8" s="37"/>
      <c r="WKF8" s="36"/>
      <c r="WKG8" s="37"/>
      <c r="WKH8" s="36"/>
      <c r="WKI8" s="37"/>
      <c r="WKJ8" s="36"/>
      <c r="WKK8" s="37"/>
      <c r="WKL8" s="36"/>
      <c r="WKM8" s="37"/>
      <c r="WKN8" s="36"/>
      <c r="WKO8" s="36"/>
      <c r="WKP8" s="37"/>
      <c r="WKQ8" s="37"/>
      <c r="WKS8" s="22"/>
      <c r="WKT8" s="35"/>
      <c r="WKU8" s="36"/>
      <c r="WKV8" s="37"/>
      <c r="WKW8" s="36"/>
      <c r="WKX8" s="37"/>
      <c r="WKY8" s="36"/>
      <c r="WKZ8" s="37"/>
      <c r="WLA8" s="36"/>
      <c r="WLB8" s="37"/>
      <c r="WLC8" s="36"/>
      <c r="WLD8" s="37"/>
      <c r="WLE8" s="36"/>
      <c r="WLF8" s="37"/>
      <c r="WLG8" s="36"/>
      <c r="WLH8" s="37"/>
      <c r="WLI8" s="36"/>
      <c r="WLJ8" s="37"/>
      <c r="WLK8" s="36"/>
      <c r="WLL8" s="37"/>
      <c r="WLM8" s="36"/>
      <c r="WLN8" s="36"/>
      <c r="WLO8" s="37"/>
      <c r="WLP8" s="37"/>
      <c r="WLR8" s="22"/>
      <c r="WLS8" s="35"/>
      <c r="WLT8" s="36"/>
      <c r="WLU8" s="37"/>
      <c r="WLV8" s="36"/>
      <c r="WLW8" s="37"/>
      <c r="WLX8" s="36"/>
      <c r="WLY8" s="37"/>
      <c r="WLZ8" s="36"/>
      <c r="WMA8" s="37"/>
      <c r="WMB8" s="36"/>
      <c r="WMC8" s="37"/>
      <c r="WMD8" s="36"/>
      <c r="WME8" s="37"/>
      <c r="WMF8" s="36"/>
      <c r="WMG8" s="37"/>
      <c r="WMH8" s="36"/>
      <c r="WMI8" s="37"/>
      <c r="WMJ8" s="36"/>
      <c r="WMK8" s="37"/>
      <c r="WML8" s="36"/>
      <c r="WMM8" s="36"/>
      <c r="WMN8" s="37"/>
      <c r="WMO8" s="37"/>
      <c r="WMQ8" s="22"/>
      <c r="WMR8" s="35"/>
      <c r="WMS8" s="36"/>
      <c r="WMT8" s="37"/>
      <c r="WMU8" s="36"/>
      <c r="WMV8" s="37"/>
      <c r="WMW8" s="36"/>
      <c r="WMX8" s="37"/>
      <c r="WMY8" s="36"/>
      <c r="WMZ8" s="37"/>
      <c r="WNA8" s="36"/>
      <c r="WNB8" s="37"/>
      <c r="WNC8" s="36"/>
      <c r="WND8" s="37"/>
      <c r="WNE8" s="36"/>
      <c r="WNF8" s="37"/>
      <c r="WNG8" s="36"/>
      <c r="WNH8" s="37"/>
      <c r="WNI8" s="36"/>
      <c r="WNJ8" s="37"/>
      <c r="WNK8" s="36"/>
      <c r="WNL8" s="36"/>
      <c r="WNM8" s="37"/>
      <c r="WNN8" s="37"/>
      <c r="WNP8" s="22"/>
      <c r="WNQ8" s="35"/>
      <c r="WNR8" s="36"/>
      <c r="WNS8" s="37"/>
      <c r="WNT8" s="36"/>
      <c r="WNU8" s="37"/>
      <c r="WNV8" s="36"/>
      <c r="WNW8" s="37"/>
      <c r="WNX8" s="36"/>
      <c r="WNY8" s="37"/>
      <c r="WNZ8" s="36"/>
      <c r="WOA8" s="37"/>
      <c r="WOB8" s="36"/>
      <c r="WOC8" s="37"/>
      <c r="WOD8" s="36"/>
      <c r="WOE8" s="37"/>
      <c r="WOF8" s="36"/>
      <c r="WOG8" s="37"/>
      <c r="WOH8" s="36"/>
      <c r="WOI8" s="37"/>
      <c r="WOJ8" s="36"/>
      <c r="WOK8" s="36"/>
      <c r="WOL8" s="37"/>
      <c r="WOM8" s="37"/>
      <c r="WOO8" s="22"/>
      <c r="WOP8" s="35"/>
      <c r="WOQ8" s="36"/>
      <c r="WOR8" s="37"/>
      <c r="WOS8" s="36"/>
      <c r="WOT8" s="37"/>
      <c r="WOU8" s="36"/>
      <c r="WOV8" s="37"/>
      <c r="WOW8" s="36"/>
      <c r="WOX8" s="37"/>
      <c r="WOY8" s="36"/>
      <c r="WOZ8" s="37"/>
      <c r="WPA8" s="36"/>
      <c r="WPB8" s="37"/>
      <c r="WPC8" s="36"/>
      <c r="WPD8" s="37"/>
      <c r="WPE8" s="36"/>
      <c r="WPF8" s="37"/>
      <c r="WPG8" s="36"/>
      <c r="WPH8" s="37"/>
      <c r="WPI8" s="36"/>
      <c r="WPJ8" s="36"/>
      <c r="WPK8" s="37"/>
      <c r="WPL8" s="37"/>
      <c r="WPN8" s="22"/>
      <c r="WPO8" s="35"/>
      <c r="WPP8" s="36"/>
      <c r="WPQ8" s="37"/>
      <c r="WPR8" s="36"/>
      <c r="WPS8" s="37"/>
      <c r="WPT8" s="36"/>
      <c r="WPU8" s="37"/>
      <c r="WPV8" s="36"/>
      <c r="WPW8" s="37"/>
      <c r="WPX8" s="36"/>
      <c r="WPY8" s="37"/>
      <c r="WPZ8" s="36"/>
      <c r="WQA8" s="37"/>
      <c r="WQB8" s="36"/>
      <c r="WQC8" s="37"/>
      <c r="WQD8" s="36"/>
      <c r="WQE8" s="37"/>
      <c r="WQF8" s="36"/>
      <c r="WQG8" s="37"/>
      <c r="WQH8" s="36"/>
      <c r="WQI8" s="36"/>
      <c r="WQJ8" s="37"/>
      <c r="WQK8" s="37"/>
      <c r="WQM8" s="22"/>
      <c r="WQN8" s="35"/>
      <c r="WQO8" s="36"/>
      <c r="WQP8" s="37"/>
      <c r="WQQ8" s="36"/>
      <c r="WQR8" s="37"/>
      <c r="WQS8" s="36"/>
      <c r="WQT8" s="37"/>
      <c r="WQU8" s="36"/>
      <c r="WQV8" s="37"/>
      <c r="WQW8" s="36"/>
      <c r="WQX8" s="37"/>
      <c r="WQY8" s="36"/>
      <c r="WQZ8" s="37"/>
      <c r="WRA8" s="36"/>
      <c r="WRB8" s="37"/>
      <c r="WRC8" s="36"/>
      <c r="WRD8" s="37"/>
      <c r="WRE8" s="36"/>
      <c r="WRF8" s="37"/>
      <c r="WRG8" s="36"/>
      <c r="WRH8" s="36"/>
      <c r="WRI8" s="37"/>
      <c r="WRJ8" s="37"/>
      <c r="WRL8" s="22"/>
      <c r="WRM8" s="35"/>
      <c r="WRN8" s="36"/>
      <c r="WRO8" s="37"/>
      <c r="WRP8" s="36"/>
      <c r="WRQ8" s="37"/>
      <c r="WRR8" s="36"/>
      <c r="WRS8" s="37"/>
      <c r="WRT8" s="36"/>
      <c r="WRU8" s="37"/>
      <c r="WRV8" s="36"/>
      <c r="WRW8" s="37"/>
      <c r="WRX8" s="36"/>
      <c r="WRY8" s="37"/>
      <c r="WRZ8" s="36"/>
      <c r="WSA8" s="37"/>
      <c r="WSB8" s="36"/>
      <c r="WSC8" s="37"/>
      <c r="WSD8" s="36"/>
      <c r="WSE8" s="37"/>
      <c r="WSF8" s="36"/>
      <c r="WSG8" s="36"/>
      <c r="WSH8" s="37"/>
      <c r="WSI8" s="37"/>
      <c r="WSK8" s="22"/>
      <c r="WSL8" s="35"/>
      <c r="WSM8" s="36"/>
      <c r="WSN8" s="37"/>
      <c r="WSO8" s="36"/>
      <c r="WSP8" s="37"/>
      <c r="WSQ8" s="36"/>
      <c r="WSR8" s="37"/>
      <c r="WSS8" s="36"/>
      <c r="WST8" s="37"/>
      <c r="WSU8" s="36"/>
      <c r="WSV8" s="37"/>
      <c r="WSW8" s="36"/>
      <c r="WSX8" s="37"/>
      <c r="WSY8" s="36"/>
      <c r="WSZ8" s="37"/>
      <c r="WTA8" s="36"/>
      <c r="WTB8" s="37"/>
      <c r="WTC8" s="36"/>
      <c r="WTD8" s="37"/>
      <c r="WTE8" s="36"/>
      <c r="WTF8" s="36"/>
      <c r="WTG8" s="37"/>
      <c r="WTH8" s="37"/>
      <c r="WTJ8" s="22"/>
      <c r="WTK8" s="35"/>
      <c r="WTL8" s="36"/>
      <c r="WTM8" s="37"/>
      <c r="WTN8" s="36"/>
      <c r="WTO8" s="37"/>
      <c r="WTP8" s="36"/>
      <c r="WTQ8" s="37"/>
      <c r="WTR8" s="36"/>
      <c r="WTS8" s="37"/>
      <c r="WTT8" s="36"/>
      <c r="WTU8" s="37"/>
      <c r="WTV8" s="36"/>
      <c r="WTW8" s="37"/>
      <c r="WTX8" s="36"/>
      <c r="WTY8" s="37"/>
      <c r="WTZ8" s="36"/>
      <c r="WUA8" s="37"/>
      <c r="WUB8" s="36"/>
      <c r="WUC8" s="37"/>
      <c r="WUD8" s="36"/>
      <c r="WUE8" s="36"/>
      <c r="WUF8" s="37"/>
      <c r="WUG8" s="37"/>
      <c r="WUI8" s="22"/>
      <c r="WUJ8" s="35"/>
      <c r="WUK8" s="36"/>
      <c r="WUL8" s="37"/>
      <c r="WUM8" s="36"/>
      <c r="WUN8" s="37"/>
      <c r="WUO8" s="36"/>
      <c r="WUP8" s="37"/>
      <c r="WUQ8" s="36"/>
      <c r="WUR8" s="37"/>
      <c r="WUS8" s="36"/>
      <c r="WUT8" s="37"/>
      <c r="WUU8" s="36"/>
      <c r="WUV8" s="37"/>
      <c r="WUW8" s="36"/>
      <c r="WUX8" s="37"/>
      <c r="WUY8" s="36"/>
      <c r="WUZ8" s="37"/>
      <c r="WVA8" s="36"/>
      <c r="WVB8" s="37"/>
      <c r="WVC8" s="36"/>
      <c r="WVD8" s="36"/>
      <c r="WVE8" s="37"/>
      <c r="WVF8" s="37"/>
      <c r="WVH8" s="22"/>
      <c r="WVI8" s="35"/>
      <c r="WVJ8" s="36"/>
      <c r="WVK8" s="37"/>
      <c r="WVL8" s="36"/>
      <c r="WVM8" s="37"/>
      <c r="WVN8" s="36"/>
      <c r="WVO8" s="37"/>
      <c r="WVP8" s="36"/>
      <c r="WVQ8" s="37"/>
      <c r="WVR8" s="36"/>
      <c r="WVS8" s="37"/>
      <c r="WVT8" s="36"/>
      <c r="WVU8" s="37"/>
      <c r="WVV8" s="36"/>
      <c r="WVW8" s="37"/>
      <c r="WVX8" s="36"/>
      <c r="WVY8" s="37"/>
      <c r="WVZ8" s="36"/>
      <c r="WWA8" s="37"/>
      <c r="WWB8" s="36"/>
      <c r="WWC8" s="36"/>
      <c r="WWD8" s="37"/>
      <c r="WWE8" s="37"/>
      <c r="WWG8" s="22"/>
      <c r="WWH8" s="35"/>
      <c r="WWI8" s="36"/>
      <c r="WWJ8" s="37"/>
      <c r="WWK8" s="36"/>
      <c r="WWL8" s="37"/>
      <c r="WWM8" s="36"/>
      <c r="WWN8" s="37"/>
      <c r="WWO8" s="36"/>
      <c r="WWP8" s="37"/>
      <c r="WWQ8" s="36"/>
      <c r="WWR8" s="37"/>
      <c r="WWS8" s="36"/>
      <c r="WWT8" s="37"/>
      <c r="WWU8" s="36"/>
      <c r="WWV8" s="37"/>
      <c r="WWW8" s="36"/>
      <c r="WWX8" s="37"/>
      <c r="WWY8" s="36"/>
      <c r="WWZ8" s="37"/>
      <c r="WXA8" s="36"/>
      <c r="WXB8" s="36"/>
      <c r="WXC8" s="37"/>
      <c r="WXD8" s="37"/>
      <c r="WXF8" s="22"/>
      <c r="WXG8" s="35"/>
      <c r="WXH8" s="36"/>
      <c r="WXI8" s="37"/>
      <c r="WXJ8" s="36"/>
      <c r="WXK8" s="37"/>
      <c r="WXL8" s="36"/>
      <c r="WXM8" s="37"/>
      <c r="WXN8" s="36"/>
      <c r="WXO8" s="37"/>
      <c r="WXP8" s="36"/>
      <c r="WXQ8" s="37"/>
      <c r="WXR8" s="36"/>
      <c r="WXS8" s="37"/>
      <c r="WXT8" s="36"/>
      <c r="WXU8" s="37"/>
      <c r="WXV8" s="36"/>
      <c r="WXW8" s="37"/>
      <c r="WXX8" s="36"/>
      <c r="WXY8" s="37"/>
      <c r="WXZ8" s="36"/>
      <c r="WYA8" s="36"/>
      <c r="WYB8" s="37"/>
      <c r="WYC8" s="37"/>
      <c r="WYE8" s="22"/>
      <c r="WYF8" s="35"/>
      <c r="WYG8" s="36"/>
      <c r="WYH8" s="37"/>
      <c r="WYI8" s="36"/>
      <c r="WYJ8" s="37"/>
      <c r="WYK8" s="36"/>
      <c r="WYL8" s="37"/>
      <c r="WYM8" s="36"/>
      <c r="WYN8" s="37"/>
      <c r="WYO8" s="36"/>
      <c r="WYP8" s="37"/>
      <c r="WYQ8" s="36"/>
      <c r="WYR8" s="37"/>
      <c r="WYS8" s="36"/>
      <c r="WYT8" s="37"/>
      <c r="WYU8" s="36"/>
      <c r="WYV8" s="37"/>
      <c r="WYW8" s="36"/>
      <c r="WYX8" s="37"/>
      <c r="WYY8" s="36"/>
      <c r="WYZ8" s="36"/>
      <c r="WZA8" s="37"/>
      <c r="WZB8" s="37"/>
      <c r="WZD8" s="22"/>
      <c r="WZE8" s="35"/>
      <c r="WZF8" s="36"/>
      <c r="WZG8" s="37"/>
      <c r="WZH8" s="36"/>
      <c r="WZI8" s="37"/>
      <c r="WZJ8" s="36"/>
      <c r="WZK8" s="37"/>
      <c r="WZL8" s="36"/>
      <c r="WZM8" s="37"/>
      <c r="WZN8" s="36"/>
      <c r="WZO8" s="37"/>
      <c r="WZP8" s="36"/>
      <c r="WZQ8" s="37"/>
      <c r="WZR8" s="36"/>
      <c r="WZS8" s="37"/>
      <c r="WZT8" s="36"/>
      <c r="WZU8" s="37"/>
      <c r="WZV8" s="36"/>
      <c r="WZW8" s="37"/>
      <c r="WZX8" s="36"/>
      <c r="WZY8" s="36"/>
      <c r="WZZ8" s="37"/>
      <c r="XAA8" s="37"/>
      <c r="XAC8" s="22"/>
      <c r="XAD8" s="35"/>
      <c r="XAE8" s="36"/>
      <c r="XAF8" s="37"/>
      <c r="XAG8" s="36"/>
      <c r="XAH8" s="37"/>
      <c r="XAI8" s="36"/>
      <c r="XAJ8" s="37"/>
      <c r="XAK8" s="36"/>
      <c r="XAL8" s="37"/>
      <c r="XAM8" s="36"/>
      <c r="XAN8" s="37"/>
      <c r="XAO8" s="36"/>
      <c r="XAP8" s="37"/>
      <c r="XAQ8" s="36"/>
      <c r="XAR8" s="37"/>
      <c r="XAS8" s="36"/>
      <c r="XAT8" s="37"/>
      <c r="XAU8" s="36"/>
      <c r="XAV8" s="37"/>
      <c r="XAW8" s="36"/>
      <c r="XAX8" s="36"/>
      <c r="XAY8" s="37"/>
      <c r="XAZ8" s="37"/>
      <c r="XBB8" s="22"/>
      <c r="XBC8" s="35"/>
      <c r="XBD8" s="36"/>
      <c r="XBE8" s="37"/>
      <c r="XBF8" s="36"/>
      <c r="XBG8" s="37"/>
      <c r="XBH8" s="36"/>
      <c r="XBI8" s="37"/>
      <c r="XBJ8" s="36"/>
      <c r="XBK8" s="37"/>
      <c r="XBL8" s="36"/>
      <c r="XBM8" s="37"/>
      <c r="XBN8" s="36"/>
      <c r="XBO8" s="37"/>
      <c r="XBP8" s="36"/>
      <c r="XBQ8" s="37"/>
      <c r="XBR8" s="36"/>
      <c r="XBS8" s="37"/>
      <c r="XBT8" s="36"/>
      <c r="XBU8" s="37"/>
      <c r="XBV8" s="36"/>
      <c r="XBW8" s="36"/>
      <c r="XBX8" s="37"/>
      <c r="XBY8" s="37"/>
      <c r="XCA8" s="22"/>
      <c r="XCB8" s="35"/>
      <c r="XCC8" s="36"/>
      <c r="XCD8" s="37"/>
      <c r="XCE8" s="36"/>
      <c r="XCF8" s="37"/>
      <c r="XCG8" s="36"/>
      <c r="XCH8" s="37"/>
      <c r="XCI8" s="36"/>
      <c r="XCJ8" s="37"/>
      <c r="XCK8" s="36"/>
      <c r="XCL8" s="37"/>
      <c r="XCM8" s="36"/>
      <c r="XCN8" s="37"/>
      <c r="XCO8" s="36"/>
      <c r="XCP8" s="37"/>
      <c r="XCQ8" s="36"/>
      <c r="XCR8" s="37"/>
      <c r="XCS8" s="36"/>
      <c r="XCT8" s="37"/>
      <c r="XCU8" s="36"/>
      <c r="XCV8" s="36"/>
      <c r="XCW8" s="37"/>
      <c r="XCX8" s="37"/>
      <c r="XCZ8" s="22"/>
      <c r="XDA8" s="35"/>
      <c r="XDB8" s="36"/>
      <c r="XDC8" s="37"/>
      <c r="XDD8" s="36"/>
      <c r="XDE8" s="37"/>
      <c r="XDF8" s="36"/>
      <c r="XDG8" s="37"/>
      <c r="XDH8" s="36"/>
      <c r="XDI8" s="37"/>
      <c r="XDJ8" s="36"/>
      <c r="XDK8" s="37"/>
      <c r="XDL8" s="36"/>
      <c r="XDM8" s="37"/>
      <c r="XDN8" s="36"/>
      <c r="XDO8" s="37"/>
      <c r="XDP8" s="36"/>
      <c r="XDQ8" s="37"/>
      <c r="XDR8" s="36"/>
      <c r="XDS8" s="37"/>
      <c r="XDT8" s="36"/>
      <c r="XDU8" s="36"/>
      <c r="XDV8" s="37"/>
      <c r="XDW8" s="37"/>
      <c r="XDY8" s="22"/>
      <c r="XDZ8" s="35"/>
      <c r="XEA8" s="36"/>
      <c r="XEB8" s="37"/>
      <c r="XEC8" s="36"/>
      <c r="XED8" s="37"/>
      <c r="XEE8" s="36"/>
      <c r="XEF8" s="37"/>
      <c r="XEG8" s="36"/>
      <c r="XEH8" s="37"/>
      <c r="XEI8" s="36"/>
      <c r="XEJ8" s="37"/>
      <c r="XEK8" s="36"/>
      <c r="XEL8" s="37"/>
      <c r="XEM8" s="36"/>
      <c r="XEN8" s="37"/>
      <c r="XEO8" s="36"/>
      <c r="XEP8" s="37"/>
      <c r="XEQ8" s="36"/>
      <c r="XER8" s="37"/>
      <c r="XES8" s="36"/>
      <c r="XET8" s="36"/>
      <c r="XEU8" s="37"/>
      <c r="XEV8" s="37"/>
      <c r="XEX8" s="22"/>
      <c r="XEY8" s="35"/>
      <c r="XEZ8" s="36"/>
      <c r="XFA8" s="37"/>
      <c r="XFB8" s="36"/>
      <c r="XFC8" s="37"/>
      <c r="XFD8" s="36"/>
    </row>
    <row r="9" spans="1:16384" s="129" customFormat="1" ht="17.649999999999999" customHeight="1" thickBot="1" x14ac:dyDescent="0.25">
      <c r="A9" s="9"/>
      <c r="B9" s="9"/>
      <c r="C9" s="9"/>
      <c r="D9" s="22"/>
      <c r="E9" s="35"/>
      <c r="F9" s="227"/>
      <c r="G9" s="227"/>
      <c r="H9" s="227"/>
      <c r="I9" s="227"/>
      <c r="J9" s="227"/>
      <c r="K9" s="227"/>
      <c r="L9" s="227"/>
      <c r="M9" s="227"/>
      <c r="N9" s="227"/>
      <c r="O9" s="227"/>
      <c r="P9" s="227"/>
      <c r="Q9" s="227"/>
      <c r="R9" s="227"/>
      <c r="S9" s="227"/>
      <c r="T9" s="227"/>
      <c r="U9" s="227"/>
      <c r="V9" s="227"/>
      <c r="W9" s="227"/>
      <c r="X9" s="227"/>
      <c r="Y9" s="227"/>
      <c r="Z9" s="227"/>
      <c r="AA9" s="227"/>
    </row>
    <row r="10" spans="1:16384" s="129" customFormat="1" ht="12" thickBot="1" x14ac:dyDescent="0.25">
      <c r="A10" s="9"/>
      <c r="B10" s="9"/>
      <c r="C10" s="9"/>
      <c r="D10" s="18" t="s">
        <v>107</v>
      </c>
      <c r="E10" s="19" t="s">
        <v>158</v>
      </c>
      <c r="F10" s="228"/>
      <c r="G10" s="228"/>
      <c r="H10" s="228"/>
      <c r="I10" s="228"/>
      <c r="J10" s="228"/>
      <c r="K10" s="228"/>
      <c r="L10" s="228"/>
      <c r="M10" s="228"/>
      <c r="N10" s="228"/>
      <c r="O10" s="228"/>
      <c r="P10" s="228"/>
      <c r="Q10" s="228"/>
      <c r="R10" s="228"/>
      <c r="S10" s="228"/>
      <c r="T10" s="228"/>
      <c r="U10" s="228"/>
      <c r="V10" s="228"/>
      <c r="W10" s="228"/>
      <c r="X10" s="228"/>
      <c r="Y10" s="228"/>
      <c r="Z10" s="228"/>
      <c r="AA10" s="228"/>
    </row>
    <row r="11" spans="1:16384" s="129" customFormat="1" ht="16.5" customHeight="1" thickBot="1" x14ac:dyDescent="0.25">
      <c r="A11" s="9"/>
      <c r="B11" s="9"/>
      <c r="C11" s="22"/>
      <c r="D11" s="35">
        <f t="shared" ref="D11:D12" si="1">IF(OR(AA11&gt;-1,AA11&lt;1),1,0)</f>
        <v>1</v>
      </c>
      <c r="E11" s="35" t="s">
        <v>402</v>
      </c>
      <c r="F11" s="229">
        <f>'INPUT Capex'!AC54*IF('INPUT Capex'!AC$4=0,DASH!$E$8,1)-(SW!G42+SS!G42+GW!G42+GS!G42+GR!G42+WR!G42)</f>
        <v>0</v>
      </c>
      <c r="G11" s="229">
        <f>'INPUT Capex'!AD54*IF('INPUT Capex'!AD$4=0,DASH!$E$8,1)-(SW!H42+SS!H42+GW!H42+GS!H42+GR!H42+WR!H42)</f>
        <v>0</v>
      </c>
      <c r="H11" s="229">
        <f>'INPUT Capex'!AE54*IF('INPUT Capex'!AE$4=0,DASH!$E$8,1)-(SW!I42+SS!I42+GW!I42+GS!I42+GR!I42+WR!I42)</f>
        <v>0</v>
      </c>
      <c r="I11" s="229">
        <f>'INPUT Capex'!AF54*IF('INPUT Capex'!AF$4=0,DASH!$E$8,1)-(SW!J42+SS!J42+GW!J42+GS!J42+GR!J42+WR!J42)</f>
        <v>0</v>
      </c>
      <c r="J11" s="229">
        <f>'INPUT Capex'!AG54*IF('INPUT Capex'!AG$4=0,DASH!$E$8,1)-(SW!K42+SS!K42+GW!K42+GS!K42+GR!K42+WR!K42)</f>
        <v>0</v>
      </c>
      <c r="K11" s="229">
        <f>'INPUT Capex'!AH54*IF('INPUT Capex'!AH$4=0,DASH!$E$8,1)-(SW!L42+SS!L42+GW!L42+GS!L42+GR!L42+WR!L42)</f>
        <v>0</v>
      </c>
      <c r="L11" s="229">
        <f>'INPUT Capex'!AI54*IF('INPUT Capex'!AI$4=0,DASH!$E$8,1)-(SW!M42+SS!M42+GW!M42+GS!M42+GR!M42+WR!M42)</f>
        <v>0</v>
      </c>
      <c r="M11" s="229">
        <f>'INPUT Capex'!AJ54*IF('INPUT Capex'!AJ$4=0,DASH!$E$8,1)-(SW!N42+SS!N42+GW!N42+GS!N42+GR!N42+WR!N42)</f>
        <v>0</v>
      </c>
      <c r="N11" s="229">
        <f>'INPUT Capex'!AK54*IF('INPUT Capex'!AK$4=0,DASH!$E$8,1)-(SW!O42+SS!O42+GW!O42+GS!O42+GR!O42+WR!O42)</f>
        <v>0</v>
      </c>
      <c r="O11" s="229">
        <f>'INPUT Capex'!AL54*IF('INPUT Capex'!AL$4=0,DASH!$E$8,1)-(SW!P42+SS!P42+GW!P42+GS!P42+GR!P42+WR!P42)</f>
        <v>0</v>
      </c>
      <c r="P11" s="229">
        <f>'INPUT Capex'!AM54*IF('INPUT Capex'!AM$4=0,DASH!$E$8,1)-(SW!Q42+SS!Q42+GW!Q42+GS!Q42+GR!Q42+WR!Q42)</f>
        <v>0</v>
      </c>
      <c r="Q11" s="229">
        <f>'INPUT Capex'!AN54*IF('INPUT Capex'!AN$4=0,DASH!$E$8,1)-(SW!R42+SS!R42+GW!R42+GS!R42+GR!R42+WR!R42)</f>
        <v>0</v>
      </c>
      <c r="R11" s="229">
        <f>'INPUT Capex'!AO54*IF('INPUT Capex'!AO$4=0,DASH!$E$8,1)-(SW!S42+SS!S42+GW!S42+GS!S42+GR!S42+WR!S42)</f>
        <v>0</v>
      </c>
      <c r="S11" s="229">
        <f>'INPUT Capex'!AP54*IF('INPUT Capex'!AP$4=0,DASH!$E$8,1)-(SW!T42+SS!T42+GW!T42+GS!T42+GR!T42+WR!T42)</f>
        <v>0</v>
      </c>
      <c r="T11" s="229">
        <f>'INPUT Capex'!AQ54*IF('INPUT Capex'!AQ$4=0,DASH!$E$8,1)-(SW!U42+SS!U42+GW!U42+GS!U42+GR!U42+WR!U42)</f>
        <v>0</v>
      </c>
      <c r="U11" s="229">
        <f>'INPUT Capex'!AR54*IF('INPUT Capex'!AR$4=0,DASH!$E$8,1)-(SW!V42+SS!V42+GW!V42+GS!V42+GR!V42+WR!V42)</f>
        <v>0</v>
      </c>
      <c r="V11" s="229">
        <f>'INPUT Capex'!AS54*IF('INPUT Capex'!AS$4=0,DASH!$E$8,1)-(SW!W42+SS!W42+GW!W42+GS!W42+GR!W42+WR!W42)</f>
        <v>0</v>
      </c>
      <c r="W11" s="229">
        <f>'INPUT Capex'!AT54*IF('INPUT Capex'!AT$4=0,DASH!$E$8,1)-(SW!X42+SS!X42+GW!X42+GS!X42+GR!X42+WR!X42)</f>
        <v>0</v>
      </c>
      <c r="X11" s="229">
        <f>'INPUT Capex'!AU54*IF('INPUT Capex'!AU$4=0,DASH!$E$8,1)-(SW!Y42+SS!Y42+GW!Y42+GS!Y42+GR!Y42+WR!Y42)</f>
        <v>0</v>
      </c>
      <c r="Y11" s="229">
        <f>'INPUT Capex'!AV54*IF('INPUT Capex'!AV$4=0,DASH!$E$8,1)-(SW!Z42+SS!Z42+GW!Z42+GS!Z42+GR!Z42+WR!Z42)</f>
        <v>0</v>
      </c>
      <c r="Z11" s="229">
        <f>'INPUT Capex'!AW54*IF('INPUT Capex'!AW$4=0,DASH!$E$8,1)-(SW!AA42+SS!AA42+GW!AA42+GS!AA42+GR!AA42+WR!AA42)</f>
        <v>0</v>
      </c>
      <c r="AA11" s="229">
        <f>SUM(F11:Z11)</f>
        <v>0</v>
      </c>
      <c r="AB11" s="22"/>
      <c r="AC11" s="35"/>
      <c r="AD11" s="36"/>
      <c r="AE11" s="37"/>
      <c r="AF11" s="36"/>
      <c r="AG11" s="37"/>
      <c r="AH11" s="36"/>
      <c r="AI11" s="37"/>
      <c r="AJ11" s="36"/>
      <c r="AK11" s="37"/>
      <c r="AL11" s="36"/>
      <c r="AM11" s="37"/>
      <c r="AN11" s="36"/>
      <c r="AO11" s="37"/>
      <c r="AP11" s="36"/>
      <c r="AQ11" s="37"/>
      <c r="AR11" s="36"/>
      <c r="AS11" s="37"/>
      <c r="AT11" s="36"/>
      <c r="AU11" s="37"/>
      <c r="AV11" s="36"/>
      <c r="AW11" s="36"/>
      <c r="AX11" s="37"/>
      <c r="AY11" s="37"/>
      <c r="BA11" s="22"/>
      <c r="BB11" s="35"/>
      <c r="BC11" s="36"/>
      <c r="BD11" s="37"/>
      <c r="BE11" s="36"/>
      <c r="BF11" s="37"/>
      <c r="BG11" s="36"/>
      <c r="BH11" s="37"/>
      <c r="BI11" s="36"/>
      <c r="BJ11" s="37"/>
      <c r="BK11" s="36"/>
      <c r="BL11" s="37"/>
      <c r="BM11" s="36"/>
      <c r="BN11" s="37"/>
      <c r="BO11" s="36"/>
      <c r="BP11" s="37"/>
      <c r="BQ11" s="36"/>
      <c r="BR11" s="37"/>
      <c r="BS11" s="36"/>
      <c r="BT11" s="37"/>
      <c r="BU11" s="36"/>
      <c r="BV11" s="36"/>
      <c r="BW11" s="37"/>
      <c r="BX11" s="37"/>
      <c r="BZ11" s="22"/>
      <c r="CA11" s="35"/>
      <c r="CB11" s="36"/>
      <c r="CC11" s="37"/>
      <c r="CD11" s="36"/>
      <c r="CE11" s="37"/>
      <c r="CF11" s="36"/>
      <c r="CG11" s="37"/>
      <c r="CH11" s="36"/>
      <c r="CI11" s="37"/>
      <c r="CJ11" s="36"/>
      <c r="CK11" s="37"/>
      <c r="CL11" s="36"/>
      <c r="CM11" s="37"/>
      <c r="CN11" s="36"/>
      <c r="CO11" s="37"/>
      <c r="CP11" s="36"/>
      <c r="CQ11" s="37"/>
      <c r="CR11" s="36"/>
      <c r="CS11" s="37"/>
      <c r="CT11" s="36"/>
      <c r="CU11" s="36"/>
      <c r="CV11" s="37"/>
      <c r="CW11" s="37"/>
      <c r="CY11" s="22"/>
      <c r="CZ11" s="35"/>
      <c r="DA11" s="36"/>
      <c r="DB11" s="37"/>
      <c r="DC11" s="36"/>
      <c r="DD11" s="37"/>
      <c r="DE11" s="36"/>
      <c r="DF11" s="37"/>
      <c r="DG11" s="36"/>
      <c r="DH11" s="37"/>
      <c r="DI11" s="36"/>
      <c r="DJ11" s="37"/>
      <c r="DK11" s="36"/>
      <c r="DL11" s="37"/>
      <c r="DM11" s="36"/>
      <c r="DN11" s="37"/>
      <c r="DO11" s="36"/>
      <c r="DP11" s="37"/>
      <c r="DQ11" s="36"/>
      <c r="DR11" s="37"/>
      <c r="DS11" s="36"/>
      <c r="DT11" s="36"/>
      <c r="DU11" s="37"/>
      <c r="DV11" s="37"/>
      <c r="DX11" s="22"/>
      <c r="DY11" s="35"/>
      <c r="DZ11" s="36"/>
      <c r="EA11" s="37"/>
      <c r="EB11" s="36"/>
      <c r="EC11" s="37"/>
      <c r="ED11" s="36"/>
      <c r="EE11" s="37"/>
      <c r="EF11" s="36"/>
      <c r="EG11" s="37"/>
      <c r="EH11" s="36"/>
      <c r="EI11" s="37"/>
      <c r="EJ11" s="36"/>
      <c r="EK11" s="37"/>
      <c r="EL11" s="36"/>
      <c r="EM11" s="37"/>
      <c r="EN11" s="36"/>
      <c r="EO11" s="37"/>
      <c r="EP11" s="36"/>
      <c r="EQ11" s="37"/>
      <c r="ER11" s="36"/>
      <c r="ES11" s="36"/>
      <c r="ET11" s="37"/>
      <c r="EU11" s="37"/>
      <c r="EW11" s="22"/>
      <c r="EX11" s="35"/>
      <c r="EY11" s="36"/>
      <c r="EZ11" s="37"/>
      <c r="FA11" s="36"/>
      <c r="FB11" s="37"/>
      <c r="FC11" s="36"/>
      <c r="FD11" s="37"/>
      <c r="FE11" s="36"/>
      <c r="FF11" s="37"/>
      <c r="FG11" s="36"/>
      <c r="FH11" s="37"/>
      <c r="FI11" s="36"/>
      <c r="FJ11" s="37"/>
      <c r="FK11" s="36"/>
      <c r="FL11" s="37"/>
      <c r="FM11" s="36"/>
      <c r="FN11" s="37"/>
      <c r="FO11" s="36"/>
      <c r="FP11" s="37"/>
      <c r="FQ11" s="36"/>
      <c r="FR11" s="36"/>
      <c r="FS11" s="37"/>
      <c r="FT11" s="37"/>
      <c r="FV11" s="22"/>
      <c r="FW11" s="35"/>
      <c r="FX11" s="36"/>
      <c r="FY11" s="37"/>
      <c r="FZ11" s="36"/>
      <c r="GA11" s="37"/>
      <c r="GB11" s="36"/>
      <c r="GC11" s="37"/>
      <c r="GD11" s="36"/>
      <c r="GE11" s="37"/>
      <c r="GF11" s="36"/>
      <c r="GG11" s="37"/>
      <c r="GH11" s="36"/>
      <c r="GI11" s="37"/>
      <c r="GJ11" s="36"/>
      <c r="GK11" s="37"/>
      <c r="GL11" s="36"/>
      <c r="GM11" s="37"/>
      <c r="GN11" s="36"/>
      <c r="GO11" s="37"/>
      <c r="GP11" s="36"/>
      <c r="GQ11" s="36"/>
      <c r="GR11" s="37"/>
      <c r="GS11" s="37"/>
      <c r="GU11" s="22"/>
      <c r="GV11" s="35"/>
      <c r="GW11" s="36"/>
      <c r="GX11" s="37"/>
      <c r="GY11" s="36"/>
      <c r="GZ11" s="37"/>
      <c r="HA11" s="36"/>
      <c r="HB11" s="37"/>
      <c r="HC11" s="36"/>
      <c r="HD11" s="37"/>
      <c r="HE11" s="36"/>
      <c r="HF11" s="37"/>
      <c r="HG11" s="36"/>
      <c r="HH11" s="37"/>
      <c r="HI11" s="36"/>
      <c r="HJ11" s="37"/>
      <c r="HK11" s="36"/>
      <c r="HL11" s="37"/>
      <c r="HM11" s="36"/>
      <c r="HN11" s="37"/>
      <c r="HO11" s="36"/>
      <c r="HP11" s="36"/>
      <c r="HQ11" s="37"/>
      <c r="HR11" s="37"/>
      <c r="HT11" s="22"/>
      <c r="HU11" s="35"/>
      <c r="HV11" s="36"/>
      <c r="HW11" s="37"/>
      <c r="HX11" s="36"/>
      <c r="HY11" s="37"/>
      <c r="HZ11" s="36"/>
      <c r="IA11" s="37"/>
      <c r="IB11" s="36"/>
      <c r="IC11" s="37"/>
      <c r="ID11" s="36"/>
      <c r="IE11" s="37"/>
      <c r="IF11" s="36"/>
      <c r="IG11" s="37"/>
      <c r="IH11" s="36"/>
      <c r="II11" s="37"/>
      <c r="IJ11" s="36"/>
      <c r="IK11" s="37"/>
      <c r="IL11" s="36"/>
      <c r="IM11" s="37"/>
      <c r="IN11" s="36"/>
      <c r="IO11" s="36"/>
      <c r="IP11" s="37"/>
      <c r="IQ11" s="37"/>
      <c r="IS11" s="22"/>
      <c r="IT11" s="35"/>
      <c r="IU11" s="36"/>
      <c r="IV11" s="37"/>
      <c r="IW11" s="36"/>
      <c r="IX11" s="37"/>
      <c r="IY11" s="36"/>
      <c r="IZ11" s="37"/>
      <c r="JA11" s="36"/>
      <c r="JB11" s="37"/>
      <c r="JC11" s="36"/>
      <c r="JD11" s="37"/>
      <c r="JE11" s="36"/>
      <c r="JF11" s="37"/>
      <c r="JG11" s="36"/>
      <c r="JH11" s="37"/>
      <c r="JI11" s="36"/>
      <c r="JJ11" s="37"/>
      <c r="JK11" s="36"/>
      <c r="JL11" s="37"/>
      <c r="JM11" s="36"/>
      <c r="JN11" s="36"/>
      <c r="JO11" s="37"/>
      <c r="JP11" s="37"/>
      <c r="JR11" s="22"/>
      <c r="JS11" s="35"/>
      <c r="JT11" s="36"/>
      <c r="JU11" s="37"/>
      <c r="JV11" s="36"/>
      <c r="JW11" s="37"/>
      <c r="JX11" s="36"/>
      <c r="JY11" s="37"/>
      <c r="JZ11" s="36"/>
      <c r="KA11" s="37"/>
      <c r="KB11" s="36"/>
      <c r="KC11" s="37"/>
      <c r="KD11" s="36"/>
      <c r="KE11" s="37"/>
      <c r="KF11" s="36"/>
      <c r="KG11" s="37"/>
      <c r="KH11" s="36"/>
      <c r="KI11" s="37"/>
      <c r="KJ11" s="36"/>
      <c r="KK11" s="37"/>
      <c r="KL11" s="36"/>
      <c r="KM11" s="36"/>
      <c r="KN11" s="37"/>
      <c r="KO11" s="37"/>
      <c r="KQ11" s="22"/>
      <c r="KR11" s="35"/>
      <c r="KS11" s="36"/>
      <c r="KT11" s="37"/>
      <c r="KU11" s="36"/>
      <c r="KV11" s="37"/>
      <c r="KW11" s="36"/>
      <c r="KX11" s="37"/>
      <c r="KY11" s="36"/>
      <c r="KZ11" s="37"/>
      <c r="LA11" s="36"/>
      <c r="LB11" s="37"/>
      <c r="LC11" s="36"/>
      <c r="LD11" s="37"/>
      <c r="LE11" s="36"/>
      <c r="LF11" s="37"/>
      <c r="LG11" s="36"/>
      <c r="LH11" s="37"/>
      <c r="LI11" s="36"/>
      <c r="LJ11" s="37"/>
      <c r="LK11" s="36"/>
      <c r="LL11" s="36"/>
      <c r="LM11" s="37"/>
      <c r="LN11" s="37"/>
      <c r="LP11" s="22"/>
      <c r="LQ11" s="35"/>
      <c r="LR11" s="36"/>
      <c r="LS11" s="37"/>
      <c r="LT11" s="36"/>
      <c r="LU11" s="37"/>
      <c r="LV11" s="36"/>
      <c r="LW11" s="37"/>
      <c r="LX11" s="36"/>
      <c r="LY11" s="37"/>
      <c r="LZ11" s="36"/>
      <c r="MA11" s="37"/>
      <c r="MB11" s="36"/>
      <c r="MC11" s="37"/>
      <c r="MD11" s="36"/>
      <c r="ME11" s="37"/>
      <c r="MF11" s="36"/>
      <c r="MG11" s="37"/>
      <c r="MH11" s="36"/>
      <c r="MI11" s="37"/>
      <c r="MJ11" s="36"/>
      <c r="MK11" s="36"/>
      <c r="ML11" s="37"/>
      <c r="MM11" s="37"/>
      <c r="MO11" s="22"/>
      <c r="MP11" s="35"/>
      <c r="MQ11" s="36"/>
      <c r="MR11" s="37"/>
      <c r="MS11" s="36"/>
      <c r="MT11" s="37"/>
      <c r="MU11" s="36"/>
      <c r="MV11" s="37"/>
      <c r="MW11" s="36"/>
      <c r="MX11" s="37"/>
      <c r="MY11" s="36"/>
      <c r="MZ11" s="37"/>
      <c r="NA11" s="36"/>
      <c r="NB11" s="37"/>
      <c r="NC11" s="36"/>
      <c r="ND11" s="37"/>
      <c r="NE11" s="36"/>
      <c r="NF11" s="37"/>
      <c r="NG11" s="36"/>
      <c r="NH11" s="37"/>
      <c r="NI11" s="36"/>
      <c r="NJ11" s="36"/>
      <c r="NK11" s="37"/>
      <c r="NL11" s="37"/>
      <c r="NN11" s="22"/>
      <c r="NO11" s="35"/>
      <c r="NP11" s="36"/>
      <c r="NQ11" s="37"/>
      <c r="NR11" s="36"/>
      <c r="NS11" s="37"/>
      <c r="NT11" s="36"/>
      <c r="NU11" s="37"/>
      <c r="NV11" s="36"/>
      <c r="NW11" s="37"/>
      <c r="NX11" s="36"/>
      <c r="NY11" s="37"/>
      <c r="NZ11" s="36"/>
      <c r="OA11" s="37"/>
      <c r="OB11" s="36"/>
      <c r="OC11" s="37"/>
      <c r="OD11" s="36"/>
      <c r="OE11" s="37"/>
      <c r="OF11" s="36"/>
      <c r="OG11" s="37"/>
      <c r="OH11" s="36"/>
      <c r="OI11" s="36"/>
      <c r="OJ11" s="37"/>
      <c r="OK11" s="37"/>
      <c r="OM11" s="22"/>
      <c r="ON11" s="35"/>
      <c r="OO11" s="36"/>
      <c r="OP11" s="37"/>
      <c r="OQ11" s="36"/>
      <c r="OR11" s="37"/>
      <c r="OS11" s="36"/>
      <c r="OT11" s="37"/>
      <c r="OU11" s="36"/>
      <c r="OV11" s="37"/>
      <c r="OW11" s="36"/>
      <c r="OX11" s="37"/>
      <c r="OY11" s="36"/>
      <c r="OZ11" s="37"/>
      <c r="PA11" s="36"/>
      <c r="PB11" s="37"/>
      <c r="PC11" s="36"/>
      <c r="PD11" s="37"/>
      <c r="PE11" s="36"/>
      <c r="PF11" s="37"/>
      <c r="PG11" s="36"/>
      <c r="PH11" s="36"/>
      <c r="PI11" s="37"/>
      <c r="PJ11" s="37"/>
      <c r="PL11" s="22"/>
      <c r="PM11" s="35"/>
      <c r="PN11" s="36"/>
      <c r="PO11" s="37"/>
      <c r="PP11" s="36"/>
      <c r="PQ11" s="37"/>
      <c r="PR11" s="36"/>
      <c r="PS11" s="37"/>
      <c r="PT11" s="36"/>
      <c r="PU11" s="37"/>
      <c r="PV11" s="36"/>
      <c r="PW11" s="37"/>
      <c r="PX11" s="36"/>
      <c r="PY11" s="37"/>
      <c r="PZ11" s="36"/>
      <c r="QA11" s="37"/>
      <c r="QB11" s="36"/>
      <c r="QC11" s="37"/>
      <c r="QD11" s="36"/>
      <c r="QE11" s="37"/>
      <c r="QF11" s="36"/>
      <c r="QG11" s="36"/>
      <c r="QH11" s="37"/>
      <c r="QI11" s="37"/>
      <c r="QK11" s="22"/>
      <c r="QL11" s="35"/>
      <c r="QM11" s="36"/>
      <c r="QN11" s="37"/>
      <c r="QO11" s="36"/>
      <c r="QP11" s="37"/>
      <c r="QQ11" s="36"/>
      <c r="QR11" s="37"/>
      <c r="QS11" s="36"/>
      <c r="QT11" s="37"/>
      <c r="QU11" s="36"/>
      <c r="QV11" s="37"/>
      <c r="QW11" s="36"/>
      <c r="QX11" s="37"/>
      <c r="QY11" s="36"/>
      <c r="QZ11" s="37"/>
      <c r="RA11" s="36"/>
      <c r="RB11" s="37"/>
      <c r="RC11" s="36"/>
      <c r="RD11" s="37"/>
      <c r="RE11" s="36"/>
      <c r="RF11" s="36"/>
      <c r="RG11" s="37"/>
      <c r="RH11" s="37"/>
      <c r="RJ11" s="22"/>
      <c r="RK11" s="35"/>
      <c r="RL11" s="36"/>
      <c r="RM11" s="37"/>
      <c r="RN11" s="36"/>
      <c r="RO11" s="37"/>
      <c r="RP11" s="36"/>
      <c r="RQ11" s="37"/>
      <c r="RR11" s="36"/>
      <c r="RS11" s="37"/>
      <c r="RT11" s="36"/>
      <c r="RU11" s="37"/>
      <c r="RV11" s="36"/>
      <c r="RW11" s="37"/>
      <c r="RX11" s="36"/>
      <c r="RY11" s="37"/>
      <c r="RZ11" s="36"/>
      <c r="SA11" s="37"/>
      <c r="SB11" s="36"/>
      <c r="SC11" s="37"/>
      <c r="SD11" s="36"/>
      <c r="SE11" s="36"/>
      <c r="SF11" s="37"/>
      <c r="SG11" s="37"/>
      <c r="SI11" s="22"/>
      <c r="SJ11" s="35"/>
      <c r="SK11" s="36"/>
      <c r="SL11" s="37"/>
      <c r="SM11" s="36"/>
      <c r="SN11" s="37"/>
      <c r="SO11" s="36"/>
      <c r="SP11" s="37"/>
      <c r="SQ11" s="36"/>
      <c r="SR11" s="37"/>
      <c r="SS11" s="36"/>
      <c r="ST11" s="37"/>
      <c r="SU11" s="36"/>
      <c r="SV11" s="37"/>
      <c r="SW11" s="36"/>
      <c r="SX11" s="37"/>
      <c r="SY11" s="36"/>
      <c r="SZ11" s="37"/>
      <c r="TA11" s="36"/>
      <c r="TB11" s="37"/>
      <c r="TC11" s="36"/>
      <c r="TD11" s="36"/>
      <c r="TE11" s="37"/>
      <c r="TF11" s="37"/>
      <c r="TH11" s="22"/>
      <c r="TI11" s="35"/>
      <c r="TJ11" s="36"/>
      <c r="TK11" s="37"/>
      <c r="TL11" s="36"/>
      <c r="TM11" s="37"/>
      <c r="TN11" s="36"/>
      <c r="TO11" s="37"/>
      <c r="TP11" s="36"/>
      <c r="TQ11" s="37"/>
      <c r="TR11" s="36"/>
      <c r="TS11" s="37"/>
      <c r="TT11" s="36"/>
      <c r="TU11" s="37"/>
      <c r="TV11" s="36"/>
      <c r="TW11" s="37"/>
      <c r="TX11" s="36"/>
      <c r="TY11" s="37"/>
      <c r="TZ11" s="36"/>
      <c r="UA11" s="37"/>
      <c r="UB11" s="36"/>
      <c r="UC11" s="36"/>
      <c r="UD11" s="37"/>
      <c r="UE11" s="37"/>
      <c r="UG11" s="22"/>
      <c r="UH11" s="35"/>
      <c r="UI11" s="36"/>
      <c r="UJ11" s="37"/>
      <c r="UK11" s="36"/>
      <c r="UL11" s="37"/>
      <c r="UM11" s="36"/>
      <c r="UN11" s="37"/>
      <c r="UO11" s="36"/>
      <c r="UP11" s="37"/>
      <c r="UQ11" s="36"/>
      <c r="UR11" s="37"/>
      <c r="US11" s="36"/>
      <c r="UT11" s="37"/>
      <c r="UU11" s="36"/>
      <c r="UV11" s="37"/>
      <c r="UW11" s="36"/>
      <c r="UX11" s="37"/>
      <c r="UY11" s="36"/>
      <c r="UZ11" s="37"/>
      <c r="VA11" s="36"/>
      <c r="VB11" s="36"/>
      <c r="VC11" s="37"/>
      <c r="VD11" s="37"/>
      <c r="VF11" s="22"/>
      <c r="VG11" s="35"/>
      <c r="VH11" s="36"/>
      <c r="VI11" s="37"/>
      <c r="VJ11" s="36"/>
      <c r="VK11" s="37"/>
      <c r="VL11" s="36"/>
      <c r="VM11" s="37"/>
      <c r="VN11" s="36"/>
      <c r="VO11" s="37"/>
      <c r="VP11" s="36"/>
      <c r="VQ11" s="37"/>
      <c r="VR11" s="36"/>
      <c r="VS11" s="37"/>
      <c r="VT11" s="36"/>
      <c r="VU11" s="37"/>
      <c r="VV11" s="36"/>
      <c r="VW11" s="37"/>
      <c r="VX11" s="36"/>
      <c r="VY11" s="37"/>
      <c r="VZ11" s="36"/>
      <c r="WA11" s="36"/>
      <c r="WB11" s="37"/>
      <c r="WC11" s="37"/>
      <c r="WE11" s="22"/>
      <c r="WF11" s="35"/>
      <c r="WG11" s="36"/>
      <c r="WH11" s="37"/>
      <c r="WI11" s="36"/>
      <c r="WJ11" s="37"/>
      <c r="WK11" s="36"/>
      <c r="WL11" s="37"/>
      <c r="WM11" s="36"/>
      <c r="WN11" s="37"/>
      <c r="WO11" s="36"/>
      <c r="WP11" s="37"/>
      <c r="WQ11" s="36"/>
      <c r="WR11" s="37"/>
      <c r="WS11" s="36"/>
      <c r="WT11" s="37"/>
      <c r="WU11" s="36"/>
      <c r="WV11" s="37"/>
      <c r="WW11" s="36"/>
      <c r="WX11" s="37"/>
      <c r="WY11" s="36"/>
      <c r="WZ11" s="36"/>
      <c r="XA11" s="37"/>
      <c r="XB11" s="37"/>
      <c r="XD11" s="22"/>
      <c r="XE11" s="35"/>
      <c r="XF11" s="36"/>
      <c r="XG11" s="37"/>
      <c r="XH11" s="36"/>
      <c r="XI11" s="37"/>
      <c r="XJ11" s="36"/>
      <c r="XK11" s="37"/>
      <c r="XL11" s="36"/>
      <c r="XM11" s="37"/>
      <c r="XN11" s="36"/>
      <c r="XO11" s="37"/>
      <c r="XP11" s="36"/>
      <c r="XQ11" s="37"/>
      <c r="XR11" s="36"/>
      <c r="XS11" s="37"/>
      <c r="XT11" s="36"/>
      <c r="XU11" s="37"/>
      <c r="XV11" s="36"/>
      <c r="XW11" s="37"/>
      <c r="XX11" s="36"/>
      <c r="XY11" s="36"/>
      <c r="XZ11" s="37"/>
      <c r="YA11" s="37"/>
      <c r="YC11" s="22"/>
      <c r="YD11" s="35"/>
      <c r="YE11" s="36"/>
      <c r="YF11" s="37"/>
      <c r="YG11" s="36"/>
      <c r="YH11" s="37"/>
      <c r="YI11" s="36"/>
      <c r="YJ11" s="37"/>
      <c r="YK11" s="36"/>
      <c r="YL11" s="37"/>
      <c r="YM11" s="36"/>
      <c r="YN11" s="37"/>
      <c r="YO11" s="36"/>
      <c r="YP11" s="37"/>
      <c r="YQ11" s="36"/>
      <c r="YR11" s="37"/>
      <c r="YS11" s="36"/>
      <c r="YT11" s="37"/>
      <c r="YU11" s="36"/>
      <c r="YV11" s="37"/>
      <c r="YW11" s="36"/>
      <c r="YX11" s="36"/>
      <c r="YY11" s="37"/>
      <c r="YZ11" s="37"/>
      <c r="ZB11" s="22"/>
      <c r="ZC11" s="35"/>
      <c r="ZD11" s="36"/>
      <c r="ZE11" s="37"/>
      <c r="ZF11" s="36"/>
      <c r="ZG11" s="37"/>
      <c r="ZH11" s="36"/>
      <c r="ZI11" s="37"/>
      <c r="ZJ11" s="36"/>
      <c r="ZK11" s="37"/>
      <c r="ZL11" s="36"/>
      <c r="ZM11" s="37"/>
      <c r="ZN11" s="36"/>
      <c r="ZO11" s="37"/>
      <c r="ZP11" s="36"/>
      <c r="ZQ11" s="37"/>
      <c r="ZR11" s="36"/>
      <c r="ZS11" s="37"/>
      <c r="ZT11" s="36"/>
      <c r="ZU11" s="37"/>
      <c r="ZV11" s="36"/>
      <c r="ZW11" s="36"/>
      <c r="ZX11" s="37"/>
      <c r="ZY11" s="37"/>
      <c r="AAA11" s="22"/>
      <c r="AAB11" s="35"/>
      <c r="AAC11" s="36"/>
      <c r="AAD11" s="37"/>
      <c r="AAE11" s="36"/>
      <c r="AAF11" s="37"/>
      <c r="AAG11" s="36"/>
      <c r="AAH11" s="37"/>
      <c r="AAI11" s="36"/>
      <c r="AAJ11" s="37"/>
      <c r="AAK11" s="36"/>
      <c r="AAL11" s="37"/>
      <c r="AAM11" s="36"/>
      <c r="AAN11" s="37"/>
      <c r="AAO11" s="36"/>
      <c r="AAP11" s="37"/>
      <c r="AAQ11" s="36"/>
      <c r="AAR11" s="37"/>
      <c r="AAS11" s="36"/>
      <c r="AAT11" s="37"/>
      <c r="AAU11" s="36"/>
      <c r="AAV11" s="36"/>
      <c r="AAW11" s="37"/>
      <c r="AAX11" s="37"/>
      <c r="AAZ11" s="22"/>
      <c r="ABA11" s="35"/>
      <c r="ABB11" s="36"/>
      <c r="ABC11" s="37"/>
      <c r="ABD11" s="36"/>
      <c r="ABE11" s="37"/>
      <c r="ABF11" s="36"/>
      <c r="ABG11" s="37"/>
      <c r="ABH11" s="36"/>
      <c r="ABI11" s="37"/>
      <c r="ABJ11" s="36"/>
      <c r="ABK11" s="37"/>
      <c r="ABL11" s="36"/>
      <c r="ABM11" s="37"/>
      <c r="ABN11" s="36"/>
      <c r="ABO11" s="37"/>
      <c r="ABP11" s="36"/>
      <c r="ABQ11" s="37"/>
      <c r="ABR11" s="36"/>
      <c r="ABS11" s="37"/>
      <c r="ABT11" s="36"/>
      <c r="ABU11" s="36"/>
      <c r="ABV11" s="37"/>
      <c r="ABW11" s="37"/>
      <c r="ABY11" s="22"/>
      <c r="ABZ11" s="35"/>
      <c r="ACA11" s="36"/>
      <c r="ACB11" s="37"/>
      <c r="ACC11" s="36"/>
      <c r="ACD11" s="37"/>
      <c r="ACE11" s="36"/>
      <c r="ACF11" s="37"/>
      <c r="ACG11" s="36"/>
      <c r="ACH11" s="37"/>
      <c r="ACI11" s="36"/>
      <c r="ACJ11" s="37"/>
      <c r="ACK11" s="36"/>
      <c r="ACL11" s="37"/>
      <c r="ACM11" s="36"/>
      <c r="ACN11" s="37"/>
      <c r="ACO11" s="36"/>
      <c r="ACP11" s="37"/>
      <c r="ACQ11" s="36"/>
      <c r="ACR11" s="37"/>
      <c r="ACS11" s="36"/>
      <c r="ACT11" s="36"/>
      <c r="ACU11" s="37"/>
      <c r="ACV11" s="37"/>
      <c r="ACX11" s="22"/>
      <c r="ACY11" s="35"/>
      <c r="ACZ11" s="36"/>
      <c r="ADA11" s="37"/>
      <c r="ADB11" s="36"/>
      <c r="ADC11" s="37"/>
      <c r="ADD11" s="36"/>
      <c r="ADE11" s="37"/>
      <c r="ADF11" s="36"/>
      <c r="ADG11" s="37"/>
      <c r="ADH11" s="36"/>
      <c r="ADI11" s="37"/>
      <c r="ADJ11" s="36"/>
      <c r="ADK11" s="37"/>
      <c r="ADL11" s="36"/>
      <c r="ADM11" s="37"/>
      <c r="ADN11" s="36"/>
      <c r="ADO11" s="37"/>
      <c r="ADP11" s="36"/>
      <c r="ADQ11" s="37"/>
      <c r="ADR11" s="36"/>
      <c r="ADS11" s="36"/>
      <c r="ADT11" s="37"/>
      <c r="ADU11" s="37"/>
      <c r="ADW11" s="22"/>
      <c r="ADX11" s="35"/>
      <c r="ADY11" s="36"/>
      <c r="ADZ11" s="37"/>
      <c r="AEA11" s="36"/>
      <c r="AEB11" s="37"/>
      <c r="AEC11" s="36"/>
      <c r="AED11" s="37"/>
      <c r="AEE11" s="36"/>
      <c r="AEF11" s="37"/>
      <c r="AEG11" s="36"/>
      <c r="AEH11" s="37"/>
      <c r="AEI11" s="36"/>
      <c r="AEJ11" s="37"/>
      <c r="AEK11" s="36"/>
      <c r="AEL11" s="37"/>
      <c r="AEM11" s="36"/>
      <c r="AEN11" s="37"/>
      <c r="AEO11" s="36"/>
      <c r="AEP11" s="37"/>
      <c r="AEQ11" s="36"/>
      <c r="AER11" s="36"/>
      <c r="AES11" s="37"/>
      <c r="AET11" s="37"/>
      <c r="AEV11" s="22"/>
      <c r="AEW11" s="35"/>
      <c r="AEX11" s="36"/>
      <c r="AEY11" s="37"/>
      <c r="AEZ11" s="36"/>
      <c r="AFA11" s="37"/>
      <c r="AFB11" s="36"/>
      <c r="AFC11" s="37"/>
      <c r="AFD11" s="36"/>
      <c r="AFE11" s="37"/>
      <c r="AFF11" s="36"/>
      <c r="AFG11" s="37"/>
      <c r="AFH11" s="36"/>
      <c r="AFI11" s="37"/>
      <c r="AFJ11" s="36"/>
      <c r="AFK11" s="37"/>
      <c r="AFL11" s="36"/>
      <c r="AFM11" s="37"/>
      <c r="AFN11" s="36"/>
      <c r="AFO11" s="37"/>
      <c r="AFP11" s="36"/>
      <c r="AFQ11" s="36"/>
      <c r="AFR11" s="37"/>
      <c r="AFS11" s="37"/>
      <c r="AFU11" s="22"/>
      <c r="AFV11" s="35"/>
      <c r="AFW11" s="36"/>
      <c r="AFX11" s="37"/>
      <c r="AFY11" s="36"/>
      <c r="AFZ11" s="37"/>
      <c r="AGA11" s="36"/>
      <c r="AGB11" s="37"/>
      <c r="AGC11" s="36"/>
      <c r="AGD11" s="37"/>
      <c r="AGE11" s="36"/>
      <c r="AGF11" s="37"/>
      <c r="AGG11" s="36"/>
      <c r="AGH11" s="37"/>
      <c r="AGI11" s="36"/>
      <c r="AGJ11" s="37"/>
      <c r="AGK11" s="36"/>
      <c r="AGL11" s="37"/>
      <c r="AGM11" s="36"/>
      <c r="AGN11" s="37"/>
      <c r="AGO11" s="36"/>
      <c r="AGP11" s="36"/>
      <c r="AGQ11" s="37"/>
      <c r="AGR11" s="37"/>
      <c r="AGT11" s="22"/>
      <c r="AGU11" s="35"/>
      <c r="AGV11" s="36"/>
      <c r="AGW11" s="37"/>
      <c r="AGX11" s="36"/>
      <c r="AGY11" s="37"/>
      <c r="AGZ11" s="36"/>
      <c r="AHA11" s="37"/>
      <c r="AHB11" s="36"/>
      <c r="AHC11" s="37"/>
      <c r="AHD11" s="36"/>
      <c r="AHE11" s="37"/>
      <c r="AHF11" s="36"/>
      <c r="AHG11" s="37"/>
      <c r="AHH11" s="36"/>
      <c r="AHI11" s="37"/>
      <c r="AHJ11" s="36"/>
      <c r="AHK11" s="37"/>
      <c r="AHL11" s="36"/>
      <c r="AHM11" s="37"/>
      <c r="AHN11" s="36"/>
      <c r="AHO11" s="36"/>
      <c r="AHP11" s="37"/>
      <c r="AHQ11" s="37"/>
      <c r="AHS11" s="22"/>
      <c r="AHT11" s="35"/>
      <c r="AHU11" s="36"/>
      <c r="AHV11" s="37"/>
      <c r="AHW11" s="36"/>
      <c r="AHX11" s="37"/>
      <c r="AHY11" s="36"/>
      <c r="AHZ11" s="37"/>
      <c r="AIA11" s="36"/>
      <c r="AIB11" s="37"/>
      <c r="AIC11" s="36"/>
      <c r="AID11" s="37"/>
      <c r="AIE11" s="36"/>
      <c r="AIF11" s="37"/>
      <c r="AIG11" s="36"/>
      <c r="AIH11" s="37"/>
      <c r="AII11" s="36"/>
      <c r="AIJ11" s="37"/>
      <c r="AIK11" s="36"/>
      <c r="AIL11" s="37"/>
      <c r="AIM11" s="36"/>
      <c r="AIN11" s="36"/>
      <c r="AIO11" s="37"/>
      <c r="AIP11" s="37"/>
      <c r="AIR11" s="22"/>
      <c r="AIS11" s="35"/>
      <c r="AIT11" s="36"/>
      <c r="AIU11" s="37"/>
      <c r="AIV11" s="36"/>
      <c r="AIW11" s="37"/>
      <c r="AIX11" s="36"/>
      <c r="AIY11" s="37"/>
      <c r="AIZ11" s="36"/>
      <c r="AJA11" s="37"/>
      <c r="AJB11" s="36"/>
      <c r="AJC11" s="37"/>
      <c r="AJD11" s="36"/>
      <c r="AJE11" s="37"/>
      <c r="AJF11" s="36"/>
      <c r="AJG11" s="37"/>
      <c r="AJH11" s="36"/>
      <c r="AJI11" s="37"/>
      <c r="AJJ11" s="36"/>
      <c r="AJK11" s="37"/>
      <c r="AJL11" s="36"/>
      <c r="AJM11" s="36"/>
      <c r="AJN11" s="37"/>
      <c r="AJO11" s="37"/>
      <c r="AJQ11" s="22"/>
      <c r="AJR11" s="35"/>
      <c r="AJS11" s="36"/>
      <c r="AJT11" s="37"/>
      <c r="AJU11" s="36"/>
      <c r="AJV11" s="37"/>
      <c r="AJW11" s="36"/>
      <c r="AJX11" s="37"/>
      <c r="AJY11" s="36"/>
      <c r="AJZ11" s="37"/>
      <c r="AKA11" s="36"/>
      <c r="AKB11" s="37"/>
      <c r="AKC11" s="36"/>
      <c r="AKD11" s="37"/>
      <c r="AKE11" s="36"/>
      <c r="AKF11" s="37"/>
      <c r="AKG11" s="36"/>
      <c r="AKH11" s="37"/>
      <c r="AKI11" s="36"/>
      <c r="AKJ11" s="37"/>
      <c r="AKK11" s="36"/>
      <c r="AKL11" s="36"/>
      <c r="AKM11" s="37"/>
      <c r="AKN11" s="37"/>
      <c r="AKP11" s="22"/>
      <c r="AKQ11" s="35"/>
      <c r="AKR11" s="36"/>
      <c r="AKS11" s="37"/>
      <c r="AKT11" s="36"/>
      <c r="AKU11" s="37"/>
      <c r="AKV11" s="36"/>
      <c r="AKW11" s="37"/>
      <c r="AKX11" s="36"/>
      <c r="AKY11" s="37"/>
      <c r="AKZ11" s="36"/>
      <c r="ALA11" s="37"/>
      <c r="ALB11" s="36"/>
      <c r="ALC11" s="37"/>
      <c r="ALD11" s="36"/>
      <c r="ALE11" s="37"/>
      <c r="ALF11" s="36"/>
      <c r="ALG11" s="37"/>
      <c r="ALH11" s="36"/>
      <c r="ALI11" s="37"/>
      <c r="ALJ11" s="36"/>
      <c r="ALK11" s="36"/>
      <c r="ALL11" s="37"/>
      <c r="ALM11" s="37"/>
      <c r="ALO11" s="22"/>
      <c r="ALP11" s="35"/>
      <c r="ALQ11" s="36"/>
      <c r="ALR11" s="37"/>
      <c r="ALS11" s="36"/>
      <c r="ALT11" s="37"/>
      <c r="ALU11" s="36"/>
      <c r="ALV11" s="37"/>
      <c r="ALW11" s="36"/>
      <c r="ALX11" s="37"/>
      <c r="ALY11" s="36"/>
      <c r="ALZ11" s="37"/>
      <c r="AMA11" s="36"/>
      <c r="AMB11" s="37"/>
      <c r="AMC11" s="36"/>
      <c r="AMD11" s="37"/>
      <c r="AME11" s="36"/>
      <c r="AMF11" s="37"/>
      <c r="AMG11" s="36"/>
      <c r="AMH11" s="37"/>
      <c r="AMI11" s="36"/>
      <c r="AMJ11" s="36"/>
      <c r="AMK11" s="37"/>
      <c r="AML11" s="37"/>
      <c r="AMN11" s="22"/>
      <c r="AMO11" s="35"/>
      <c r="AMP11" s="36"/>
      <c r="AMQ11" s="37"/>
      <c r="AMR11" s="36"/>
      <c r="AMS11" s="37"/>
      <c r="AMT11" s="36"/>
      <c r="AMU11" s="37"/>
      <c r="AMV11" s="36"/>
      <c r="AMW11" s="37"/>
      <c r="AMX11" s="36"/>
      <c r="AMY11" s="37"/>
      <c r="AMZ11" s="36"/>
      <c r="ANA11" s="37"/>
      <c r="ANB11" s="36"/>
      <c r="ANC11" s="37"/>
      <c r="AND11" s="36"/>
      <c r="ANE11" s="37"/>
      <c r="ANF11" s="36"/>
      <c r="ANG11" s="37"/>
      <c r="ANH11" s="36"/>
      <c r="ANI11" s="36"/>
      <c r="ANJ11" s="37"/>
      <c r="ANK11" s="37"/>
      <c r="ANM11" s="22"/>
      <c r="ANN11" s="35"/>
      <c r="ANO11" s="36"/>
      <c r="ANP11" s="37"/>
      <c r="ANQ11" s="36"/>
      <c r="ANR11" s="37"/>
      <c r="ANS11" s="36"/>
      <c r="ANT11" s="37"/>
      <c r="ANU11" s="36"/>
      <c r="ANV11" s="37"/>
      <c r="ANW11" s="36"/>
      <c r="ANX11" s="37"/>
      <c r="ANY11" s="36"/>
      <c r="ANZ11" s="37"/>
      <c r="AOA11" s="36"/>
      <c r="AOB11" s="37"/>
      <c r="AOC11" s="36"/>
      <c r="AOD11" s="37"/>
      <c r="AOE11" s="36"/>
      <c r="AOF11" s="37"/>
      <c r="AOG11" s="36"/>
      <c r="AOH11" s="36"/>
      <c r="AOI11" s="37"/>
      <c r="AOJ11" s="37"/>
      <c r="AOL11" s="22"/>
      <c r="AOM11" s="35"/>
      <c r="AON11" s="36"/>
      <c r="AOO11" s="37"/>
      <c r="AOP11" s="36"/>
      <c r="AOQ11" s="37"/>
      <c r="AOR11" s="36"/>
      <c r="AOS11" s="37"/>
      <c r="AOT11" s="36"/>
      <c r="AOU11" s="37"/>
      <c r="AOV11" s="36"/>
      <c r="AOW11" s="37"/>
      <c r="AOX11" s="36"/>
      <c r="AOY11" s="37"/>
      <c r="AOZ11" s="36"/>
      <c r="APA11" s="37"/>
      <c r="APB11" s="36"/>
      <c r="APC11" s="37"/>
      <c r="APD11" s="36"/>
      <c r="APE11" s="37"/>
      <c r="APF11" s="36"/>
      <c r="APG11" s="36"/>
      <c r="APH11" s="37"/>
      <c r="API11" s="37"/>
      <c r="APK11" s="22"/>
      <c r="APL11" s="35"/>
      <c r="APM11" s="36"/>
      <c r="APN11" s="37"/>
      <c r="APO11" s="36"/>
      <c r="APP11" s="37"/>
      <c r="APQ11" s="36"/>
      <c r="APR11" s="37"/>
      <c r="APS11" s="36"/>
      <c r="APT11" s="37"/>
      <c r="APU11" s="36"/>
      <c r="APV11" s="37"/>
      <c r="APW11" s="36"/>
      <c r="APX11" s="37"/>
      <c r="APY11" s="36"/>
      <c r="APZ11" s="37"/>
      <c r="AQA11" s="36"/>
      <c r="AQB11" s="37"/>
      <c r="AQC11" s="36"/>
      <c r="AQD11" s="37"/>
      <c r="AQE11" s="36"/>
      <c r="AQF11" s="36"/>
      <c r="AQG11" s="37"/>
      <c r="AQH11" s="37"/>
      <c r="AQJ11" s="22"/>
      <c r="AQK11" s="35"/>
      <c r="AQL11" s="36"/>
      <c r="AQM11" s="37"/>
      <c r="AQN11" s="36"/>
      <c r="AQO11" s="37"/>
      <c r="AQP11" s="36"/>
      <c r="AQQ11" s="37"/>
      <c r="AQR11" s="36"/>
      <c r="AQS11" s="37"/>
      <c r="AQT11" s="36"/>
      <c r="AQU11" s="37"/>
      <c r="AQV11" s="36"/>
      <c r="AQW11" s="37"/>
      <c r="AQX11" s="36"/>
      <c r="AQY11" s="37"/>
      <c r="AQZ11" s="36"/>
      <c r="ARA11" s="37"/>
      <c r="ARB11" s="36"/>
      <c r="ARC11" s="37"/>
      <c r="ARD11" s="36"/>
      <c r="ARE11" s="36"/>
      <c r="ARF11" s="37"/>
      <c r="ARG11" s="37"/>
      <c r="ARI11" s="22"/>
      <c r="ARJ11" s="35"/>
      <c r="ARK11" s="36"/>
      <c r="ARL11" s="37"/>
      <c r="ARM11" s="36"/>
      <c r="ARN11" s="37"/>
      <c r="ARO11" s="36"/>
      <c r="ARP11" s="37"/>
      <c r="ARQ11" s="36"/>
      <c r="ARR11" s="37"/>
      <c r="ARS11" s="36"/>
      <c r="ART11" s="37"/>
      <c r="ARU11" s="36"/>
      <c r="ARV11" s="37"/>
      <c r="ARW11" s="36"/>
      <c r="ARX11" s="37"/>
      <c r="ARY11" s="36"/>
      <c r="ARZ11" s="37"/>
      <c r="ASA11" s="36"/>
      <c r="ASB11" s="37"/>
      <c r="ASC11" s="36"/>
      <c r="ASD11" s="36"/>
      <c r="ASE11" s="37"/>
      <c r="ASF11" s="37"/>
      <c r="ASH11" s="22"/>
      <c r="ASI11" s="35"/>
      <c r="ASJ11" s="36"/>
      <c r="ASK11" s="37"/>
      <c r="ASL11" s="36"/>
      <c r="ASM11" s="37"/>
      <c r="ASN11" s="36"/>
      <c r="ASO11" s="37"/>
      <c r="ASP11" s="36"/>
      <c r="ASQ11" s="37"/>
      <c r="ASR11" s="36"/>
      <c r="ASS11" s="37"/>
      <c r="AST11" s="36"/>
      <c r="ASU11" s="37"/>
      <c r="ASV11" s="36"/>
      <c r="ASW11" s="37"/>
      <c r="ASX11" s="36"/>
      <c r="ASY11" s="37"/>
      <c r="ASZ11" s="36"/>
      <c r="ATA11" s="37"/>
      <c r="ATB11" s="36"/>
      <c r="ATC11" s="36"/>
      <c r="ATD11" s="37"/>
      <c r="ATE11" s="37"/>
      <c r="ATG11" s="22"/>
      <c r="ATH11" s="35"/>
      <c r="ATI11" s="36"/>
      <c r="ATJ11" s="37"/>
      <c r="ATK11" s="36"/>
      <c r="ATL11" s="37"/>
      <c r="ATM11" s="36"/>
      <c r="ATN11" s="37"/>
      <c r="ATO11" s="36"/>
      <c r="ATP11" s="37"/>
      <c r="ATQ11" s="36"/>
      <c r="ATR11" s="37"/>
      <c r="ATS11" s="36"/>
      <c r="ATT11" s="37"/>
      <c r="ATU11" s="36"/>
      <c r="ATV11" s="37"/>
      <c r="ATW11" s="36"/>
      <c r="ATX11" s="37"/>
      <c r="ATY11" s="36"/>
      <c r="ATZ11" s="37"/>
      <c r="AUA11" s="36"/>
      <c r="AUB11" s="36"/>
      <c r="AUC11" s="37"/>
      <c r="AUD11" s="37"/>
      <c r="AUF11" s="22"/>
      <c r="AUG11" s="35"/>
      <c r="AUH11" s="36"/>
      <c r="AUI11" s="37"/>
      <c r="AUJ11" s="36"/>
      <c r="AUK11" s="37"/>
      <c r="AUL11" s="36"/>
      <c r="AUM11" s="37"/>
      <c r="AUN11" s="36"/>
      <c r="AUO11" s="37"/>
      <c r="AUP11" s="36"/>
      <c r="AUQ11" s="37"/>
      <c r="AUR11" s="36"/>
      <c r="AUS11" s="37"/>
      <c r="AUT11" s="36"/>
      <c r="AUU11" s="37"/>
      <c r="AUV11" s="36"/>
      <c r="AUW11" s="37"/>
      <c r="AUX11" s="36"/>
      <c r="AUY11" s="37"/>
      <c r="AUZ11" s="36"/>
      <c r="AVA11" s="36"/>
      <c r="AVB11" s="37"/>
      <c r="AVC11" s="37"/>
      <c r="AVE11" s="22"/>
      <c r="AVF11" s="35"/>
      <c r="AVG11" s="36"/>
      <c r="AVH11" s="37"/>
      <c r="AVI11" s="36"/>
      <c r="AVJ11" s="37"/>
      <c r="AVK11" s="36"/>
      <c r="AVL11" s="37"/>
      <c r="AVM11" s="36"/>
      <c r="AVN11" s="37"/>
      <c r="AVO11" s="36"/>
      <c r="AVP11" s="37"/>
      <c r="AVQ11" s="36"/>
      <c r="AVR11" s="37"/>
      <c r="AVS11" s="36"/>
      <c r="AVT11" s="37"/>
      <c r="AVU11" s="36"/>
      <c r="AVV11" s="37"/>
      <c r="AVW11" s="36"/>
      <c r="AVX11" s="37"/>
      <c r="AVY11" s="36"/>
      <c r="AVZ11" s="36"/>
      <c r="AWA11" s="37"/>
      <c r="AWB11" s="37"/>
      <c r="AWD11" s="22"/>
      <c r="AWE11" s="35"/>
      <c r="AWF11" s="36"/>
      <c r="AWG11" s="37"/>
      <c r="AWH11" s="36"/>
      <c r="AWI11" s="37"/>
      <c r="AWJ11" s="36"/>
      <c r="AWK11" s="37"/>
      <c r="AWL11" s="36"/>
      <c r="AWM11" s="37"/>
      <c r="AWN11" s="36"/>
      <c r="AWO11" s="37"/>
      <c r="AWP11" s="36"/>
      <c r="AWQ11" s="37"/>
      <c r="AWR11" s="36"/>
      <c r="AWS11" s="37"/>
      <c r="AWT11" s="36"/>
      <c r="AWU11" s="37"/>
      <c r="AWV11" s="36"/>
      <c r="AWW11" s="37"/>
      <c r="AWX11" s="36"/>
      <c r="AWY11" s="36"/>
      <c r="AWZ11" s="37"/>
      <c r="AXA11" s="37"/>
      <c r="AXC11" s="22"/>
      <c r="AXD11" s="35"/>
      <c r="AXE11" s="36"/>
      <c r="AXF11" s="37"/>
      <c r="AXG11" s="36"/>
      <c r="AXH11" s="37"/>
      <c r="AXI11" s="36"/>
      <c r="AXJ11" s="37"/>
      <c r="AXK11" s="36"/>
      <c r="AXL11" s="37"/>
      <c r="AXM11" s="36"/>
      <c r="AXN11" s="37"/>
      <c r="AXO11" s="36"/>
      <c r="AXP11" s="37"/>
      <c r="AXQ11" s="36"/>
      <c r="AXR11" s="37"/>
      <c r="AXS11" s="36"/>
      <c r="AXT11" s="37"/>
      <c r="AXU11" s="36"/>
      <c r="AXV11" s="37"/>
      <c r="AXW11" s="36"/>
      <c r="AXX11" s="36"/>
      <c r="AXY11" s="37"/>
      <c r="AXZ11" s="37"/>
      <c r="AYB11" s="22"/>
      <c r="AYC11" s="35"/>
      <c r="AYD11" s="36"/>
      <c r="AYE11" s="37"/>
      <c r="AYF11" s="36"/>
      <c r="AYG11" s="37"/>
      <c r="AYH11" s="36"/>
      <c r="AYI11" s="37"/>
      <c r="AYJ11" s="36"/>
      <c r="AYK11" s="37"/>
      <c r="AYL11" s="36"/>
      <c r="AYM11" s="37"/>
      <c r="AYN11" s="36"/>
      <c r="AYO11" s="37"/>
      <c r="AYP11" s="36"/>
      <c r="AYQ11" s="37"/>
      <c r="AYR11" s="36"/>
      <c r="AYS11" s="37"/>
      <c r="AYT11" s="36"/>
      <c r="AYU11" s="37"/>
      <c r="AYV11" s="36"/>
      <c r="AYW11" s="36"/>
      <c r="AYX11" s="37"/>
      <c r="AYY11" s="37"/>
      <c r="AZA11" s="22"/>
      <c r="AZB11" s="35"/>
      <c r="AZC11" s="36"/>
      <c r="AZD11" s="37"/>
      <c r="AZE11" s="36"/>
      <c r="AZF11" s="37"/>
      <c r="AZG11" s="36"/>
      <c r="AZH11" s="37"/>
      <c r="AZI11" s="36"/>
      <c r="AZJ11" s="37"/>
      <c r="AZK11" s="36"/>
      <c r="AZL11" s="37"/>
      <c r="AZM11" s="36"/>
      <c r="AZN11" s="37"/>
      <c r="AZO11" s="36"/>
      <c r="AZP11" s="37"/>
      <c r="AZQ11" s="36"/>
      <c r="AZR11" s="37"/>
      <c r="AZS11" s="36"/>
      <c r="AZT11" s="37"/>
      <c r="AZU11" s="36"/>
      <c r="AZV11" s="36"/>
      <c r="AZW11" s="37"/>
      <c r="AZX11" s="37"/>
      <c r="AZZ11" s="22"/>
      <c r="BAA11" s="35"/>
      <c r="BAB11" s="36"/>
      <c r="BAC11" s="37"/>
      <c r="BAD11" s="36"/>
      <c r="BAE11" s="37"/>
      <c r="BAF11" s="36"/>
      <c r="BAG11" s="37"/>
      <c r="BAH11" s="36"/>
      <c r="BAI11" s="37"/>
      <c r="BAJ11" s="36"/>
      <c r="BAK11" s="37"/>
      <c r="BAL11" s="36"/>
      <c r="BAM11" s="37"/>
      <c r="BAN11" s="36"/>
      <c r="BAO11" s="37"/>
      <c r="BAP11" s="36"/>
      <c r="BAQ11" s="37"/>
      <c r="BAR11" s="36"/>
      <c r="BAS11" s="37"/>
      <c r="BAT11" s="36"/>
      <c r="BAU11" s="36"/>
      <c r="BAV11" s="37"/>
      <c r="BAW11" s="37"/>
      <c r="BAY11" s="22"/>
      <c r="BAZ11" s="35"/>
      <c r="BBA11" s="36"/>
      <c r="BBB11" s="37"/>
      <c r="BBC11" s="36"/>
      <c r="BBD11" s="37"/>
      <c r="BBE11" s="36"/>
      <c r="BBF11" s="37"/>
      <c r="BBG11" s="36"/>
      <c r="BBH11" s="37"/>
      <c r="BBI11" s="36"/>
      <c r="BBJ11" s="37"/>
      <c r="BBK11" s="36"/>
      <c r="BBL11" s="37"/>
      <c r="BBM11" s="36"/>
      <c r="BBN11" s="37"/>
      <c r="BBO11" s="36"/>
      <c r="BBP11" s="37"/>
      <c r="BBQ11" s="36"/>
      <c r="BBR11" s="37"/>
      <c r="BBS11" s="36"/>
      <c r="BBT11" s="36"/>
      <c r="BBU11" s="37"/>
      <c r="BBV11" s="37"/>
      <c r="BBX11" s="22"/>
      <c r="BBY11" s="35"/>
      <c r="BBZ11" s="36"/>
      <c r="BCA11" s="37"/>
      <c r="BCB11" s="36"/>
      <c r="BCC11" s="37"/>
      <c r="BCD11" s="36"/>
      <c r="BCE11" s="37"/>
      <c r="BCF11" s="36"/>
      <c r="BCG11" s="37"/>
      <c r="BCH11" s="36"/>
      <c r="BCI11" s="37"/>
      <c r="BCJ11" s="36"/>
      <c r="BCK11" s="37"/>
      <c r="BCL11" s="36"/>
      <c r="BCM11" s="37"/>
      <c r="BCN11" s="36"/>
      <c r="BCO11" s="37"/>
      <c r="BCP11" s="36"/>
      <c r="BCQ11" s="37"/>
      <c r="BCR11" s="36"/>
      <c r="BCS11" s="36"/>
      <c r="BCT11" s="37"/>
      <c r="BCU11" s="37"/>
      <c r="BCW11" s="22"/>
      <c r="BCX11" s="35"/>
      <c r="BCY11" s="36"/>
      <c r="BCZ11" s="37"/>
      <c r="BDA11" s="36"/>
      <c r="BDB11" s="37"/>
      <c r="BDC11" s="36"/>
      <c r="BDD11" s="37"/>
      <c r="BDE11" s="36"/>
      <c r="BDF11" s="37"/>
      <c r="BDG11" s="36"/>
      <c r="BDH11" s="37"/>
      <c r="BDI11" s="36"/>
      <c r="BDJ11" s="37"/>
      <c r="BDK11" s="36"/>
      <c r="BDL11" s="37"/>
      <c r="BDM11" s="36"/>
      <c r="BDN11" s="37"/>
      <c r="BDO11" s="36"/>
      <c r="BDP11" s="37"/>
      <c r="BDQ11" s="36"/>
      <c r="BDR11" s="36"/>
      <c r="BDS11" s="37"/>
      <c r="BDT11" s="37"/>
      <c r="BDV11" s="22"/>
      <c r="BDW11" s="35"/>
      <c r="BDX11" s="36"/>
      <c r="BDY11" s="37"/>
      <c r="BDZ11" s="36"/>
      <c r="BEA11" s="37"/>
      <c r="BEB11" s="36"/>
      <c r="BEC11" s="37"/>
      <c r="BED11" s="36"/>
      <c r="BEE11" s="37"/>
      <c r="BEF11" s="36"/>
      <c r="BEG11" s="37"/>
      <c r="BEH11" s="36"/>
      <c r="BEI11" s="37"/>
      <c r="BEJ11" s="36"/>
      <c r="BEK11" s="37"/>
      <c r="BEL11" s="36"/>
      <c r="BEM11" s="37"/>
      <c r="BEN11" s="36"/>
      <c r="BEO11" s="37"/>
      <c r="BEP11" s="36"/>
      <c r="BEQ11" s="36"/>
      <c r="BER11" s="37"/>
      <c r="BES11" s="37"/>
      <c r="BEU11" s="22"/>
      <c r="BEV11" s="35"/>
      <c r="BEW11" s="36"/>
      <c r="BEX11" s="37"/>
      <c r="BEY11" s="36"/>
      <c r="BEZ11" s="37"/>
      <c r="BFA11" s="36"/>
      <c r="BFB11" s="37"/>
      <c r="BFC11" s="36"/>
      <c r="BFD11" s="37"/>
      <c r="BFE11" s="36"/>
      <c r="BFF11" s="37"/>
      <c r="BFG11" s="36"/>
      <c r="BFH11" s="37"/>
      <c r="BFI11" s="36"/>
      <c r="BFJ11" s="37"/>
      <c r="BFK11" s="36"/>
      <c r="BFL11" s="37"/>
      <c r="BFM11" s="36"/>
      <c r="BFN11" s="37"/>
      <c r="BFO11" s="36"/>
      <c r="BFP11" s="36"/>
      <c r="BFQ11" s="37"/>
      <c r="BFR11" s="37"/>
      <c r="BFT11" s="22"/>
      <c r="BFU11" s="35"/>
      <c r="BFV11" s="36"/>
      <c r="BFW11" s="37"/>
      <c r="BFX11" s="36"/>
      <c r="BFY11" s="37"/>
      <c r="BFZ11" s="36"/>
      <c r="BGA11" s="37"/>
      <c r="BGB11" s="36"/>
      <c r="BGC11" s="37"/>
      <c r="BGD11" s="36"/>
      <c r="BGE11" s="37"/>
      <c r="BGF11" s="36"/>
      <c r="BGG11" s="37"/>
      <c r="BGH11" s="36"/>
      <c r="BGI11" s="37"/>
      <c r="BGJ11" s="36"/>
      <c r="BGK11" s="37"/>
      <c r="BGL11" s="36"/>
      <c r="BGM11" s="37"/>
      <c r="BGN11" s="36"/>
      <c r="BGO11" s="36"/>
      <c r="BGP11" s="37"/>
      <c r="BGQ11" s="37"/>
      <c r="BGS11" s="22"/>
      <c r="BGT11" s="35"/>
      <c r="BGU11" s="36"/>
      <c r="BGV11" s="37"/>
      <c r="BGW11" s="36"/>
      <c r="BGX11" s="37"/>
      <c r="BGY11" s="36"/>
      <c r="BGZ11" s="37"/>
      <c r="BHA11" s="36"/>
      <c r="BHB11" s="37"/>
      <c r="BHC11" s="36"/>
      <c r="BHD11" s="37"/>
      <c r="BHE11" s="36"/>
      <c r="BHF11" s="37"/>
      <c r="BHG11" s="36"/>
      <c r="BHH11" s="37"/>
      <c r="BHI11" s="36"/>
      <c r="BHJ11" s="37"/>
      <c r="BHK11" s="36"/>
      <c r="BHL11" s="37"/>
      <c r="BHM11" s="36"/>
      <c r="BHN11" s="36"/>
      <c r="BHO11" s="37"/>
      <c r="BHP11" s="37"/>
      <c r="BHR11" s="22"/>
      <c r="BHS11" s="35"/>
      <c r="BHT11" s="36"/>
      <c r="BHU11" s="37"/>
      <c r="BHV11" s="36"/>
      <c r="BHW11" s="37"/>
      <c r="BHX11" s="36"/>
      <c r="BHY11" s="37"/>
      <c r="BHZ11" s="36"/>
      <c r="BIA11" s="37"/>
      <c r="BIB11" s="36"/>
      <c r="BIC11" s="37"/>
      <c r="BID11" s="36"/>
      <c r="BIE11" s="37"/>
      <c r="BIF11" s="36"/>
      <c r="BIG11" s="37"/>
      <c r="BIH11" s="36"/>
      <c r="BII11" s="37"/>
      <c r="BIJ11" s="36"/>
      <c r="BIK11" s="37"/>
      <c r="BIL11" s="36"/>
      <c r="BIM11" s="36"/>
      <c r="BIN11" s="37"/>
      <c r="BIO11" s="37"/>
      <c r="BIQ11" s="22"/>
      <c r="BIR11" s="35"/>
      <c r="BIS11" s="36"/>
      <c r="BIT11" s="37"/>
      <c r="BIU11" s="36"/>
      <c r="BIV11" s="37"/>
      <c r="BIW11" s="36"/>
      <c r="BIX11" s="37"/>
      <c r="BIY11" s="36"/>
      <c r="BIZ11" s="37"/>
      <c r="BJA11" s="36"/>
      <c r="BJB11" s="37"/>
      <c r="BJC11" s="36"/>
      <c r="BJD11" s="37"/>
      <c r="BJE11" s="36"/>
      <c r="BJF11" s="37"/>
      <c r="BJG11" s="36"/>
      <c r="BJH11" s="37"/>
      <c r="BJI11" s="36"/>
      <c r="BJJ11" s="37"/>
      <c r="BJK11" s="36"/>
      <c r="BJL11" s="36"/>
      <c r="BJM11" s="37"/>
      <c r="BJN11" s="37"/>
      <c r="BJP11" s="22"/>
      <c r="BJQ11" s="35"/>
      <c r="BJR11" s="36"/>
      <c r="BJS11" s="37"/>
      <c r="BJT11" s="36"/>
      <c r="BJU11" s="37"/>
      <c r="BJV11" s="36"/>
      <c r="BJW11" s="37"/>
      <c r="BJX11" s="36"/>
      <c r="BJY11" s="37"/>
      <c r="BJZ11" s="36"/>
      <c r="BKA11" s="37"/>
      <c r="BKB11" s="36"/>
      <c r="BKC11" s="37"/>
      <c r="BKD11" s="36"/>
      <c r="BKE11" s="37"/>
      <c r="BKF11" s="36"/>
      <c r="BKG11" s="37"/>
      <c r="BKH11" s="36"/>
      <c r="BKI11" s="37"/>
      <c r="BKJ11" s="36"/>
      <c r="BKK11" s="36"/>
      <c r="BKL11" s="37"/>
      <c r="BKM11" s="37"/>
      <c r="BKO11" s="22"/>
      <c r="BKP11" s="35"/>
      <c r="BKQ11" s="36"/>
      <c r="BKR11" s="37"/>
      <c r="BKS11" s="36"/>
      <c r="BKT11" s="37"/>
      <c r="BKU11" s="36"/>
      <c r="BKV11" s="37"/>
      <c r="BKW11" s="36"/>
      <c r="BKX11" s="37"/>
      <c r="BKY11" s="36"/>
      <c r="BKZ11" s="37"/>
      <c r="BLA11" s="36"/>
      <c r="BLB11" s="37"/>
      <c r="BLC11" s="36"/>
      <c r="BLD11" s="37"/>
      <c r="BLE11" s="36"/>
      <c r="BLF11" s="37"/>
      <c r="BLG11" s="36"/>
      <c r="BLH11" s="37"/>
      <c r="BLI11" s="36"/>
      <c r="BLJ11" s="36"/>
      <c r="BLK11" s="37"/>
      <c r="BLL11" s="37"/>
      <c r="BLN11" s="22"/>
      <c r="BLO11" s="35"/>
      <c r="BLP11" s="36"/>
      <c r="BLQ11" s="37"/>
      <c r="BLR11" s="36"/>
      <c r="BLS11" s="37"/>
      <c r="BLT11" s="36"/>
      <c r="BLU11" s="37"/>
      <c r="BLV11" s="36"/>
      <c r="BLW11" s="37"/>
      <c r="BLX11" s="36"/>
      <c r="BLY11" s="37"/>
      <c r="BLZ11" s="36"/>
      <c r="BMA11" s="37"/>
      <c r="BMB11" s="36"/>
      <c r="BMC11" s="37"/>
      <c r="BMD11" s="36"/>
      <c r="BME11" s="37"/>
      <c r="BMF11" s="36"/>
      <c r="BMG11" s="37"/>
      <c r="BMH11" s="36"/>
      <c r="BMI11" s="36"/>
      <c r="BMJ11" s="37"/>
      <c r="BMK11" s="37"/>
      <c r="BMM11" s="22"/>
      <c r="BMN11" s="35"/>
      <c r="BMO11" s="36"/>
      <c r="BMP11" s="37"/>
      <c r="BMQ11" s="36"/>
      <c r="BMR11" s="37"/>
      <c r="BMS11" s="36"/>
      <c r="BMT11" s="37"/>
      <c r="BMU11" s="36"/>
      <c r="BMV11" s="37"/>
      <c r="BMW11" s="36"/>
      <c r="BMX11" s="37"/>
      <c r="BMY11" s="36"/>
      <c r="BMZ11" s="37"/>
      <c r="BNA11" s="36"/>
      <c r="BNB11" s="37"/>
      <c r="BNC11" s="36"/>
      <c r="BND11" s="37"/>
      <c r="BNE11" s="36"/>
      <c r="BNF11" s="37"/>
      <c r="BNG11" s="36"/>
      <c r="BNH11" s="36"/>
      <c r="BNI11" s="37"/>
      <c r="BNJ11" s="37"/>
      <c r="BNL11" s="22"/>
      <c r="BNM11" s="35"/>
      <c r="BNN11" s="36"/>
      <c r="BNO11" s="37"/>
      <c r="BNP11" s="36"/>
      <c r="BNQ11" s="37"/>
      <c r="BNR11" s="36"/>
      <c r="BNS11" s="37"/>
      <c r="BNT11" s="36"/>
      <c r="BNU11" s="37"/>
      <c r="BNV11" s="36"/>
      <c r="BNW11" s="37"/>
      <c r="BNX11" s="36"/>
      <c r="BNY11" s="37"/>
      <c r="BNZ11" s="36"/>
      <c r="BOA11" s="37"/>
      <c r="BOB11" s="36"/>
      <c r="BOC11" s="37"/>
      <c r="BOD11" s="36"/>
      <c r="BOE11" s="37"/>
      <c r="BOF11" s="36"/>
      <c r="BOG11" s="36"/>
      <c r="BOH11" s="37"/>
      <c r="BOI11" s="37"/>
      <c r="BOK11" s="22"/>
      <c r="BOL11" s="35"/>
      <c r="BOM11" s="36"/>
      <c r="BON11" s="37"/>
      <c r="BOO11" s="36"/>
      <c r="BOP11" s="37"/>
      <c r="BOQ11" s="36"/>
      <c r="BOR11" s="37"/>
      <c r="BOS11" s="36"/>
      <c r="BOT11" s="37"/>
      <c r="BOU11" s="36"/>
      <c r="BOV11" s="37"/>
      <c r="BOW11" s="36"/>
      <c r="BOX11" s="37"/>
      <c r="BOY11" s="36"/>
      <c r="BOZ11" s="37"/>
      <c r="BPA11" s="36"/>
      <c r="BPB11" s="37"/>
      <c r="BPC11" s="36"/>
      <c r="BPD11" s="37"/>
      <c r="BPE11" s="36"/>
      <c r="BPF11" s="36"/>
      <c r="BPG11" s="37"/>
      <c r="BPH11" s="37"/>
      <c r="BPJ11" s="22"/>
      <c r="BPK11" s="35"/>
      <c r="BPL11" s="36"/>
      <c r="BPM11" s="37"/>
      <c r="BPN11" s="36"/>
      <c r="BPO11" s="37"/>
      <c r="BPP11" s="36"/>
      <c r="BPQ11" s="37"/>
      <c r="BPR11" s="36"/>
      <c r="BPS11" s="37"/>
      <c r="BPT11" s="36"/>
      <c r="BPU11" s="37"/>
      <c r="BPV11" s="36"/>
      <c r="BPW11" s="37"/>
      <c r="BPX11" s="36"/>
      <c r="BPY11" s="37"/>
      <c r="BPZ11" s="36"/>
      <c r="BQA11" s="37"/>
      <c r="BQB11" s="36"/>
      <c r="BQC11" s="37"/>
      <c r="BQD11" s="36"/>
      <c r="BQE11" s="36"/>
      <c r="BQF11" s="37"/>
      <c r="BQG11" s="37"/>
      <c r="BQI11" s="22"/>
      <c r="BQJ11" s="35"/>
      <c r="BQK11" s="36"/>
      <c r="BQL11" s="37"/>
      <c r="BQM11" s="36"/>
      <c r="BQN11" s="37"/>
      <c r="BQO11" s="36"/>
      <c r="BQP11" s="37"/>
      <c r="BQQ11" s="36"/>
      <c r="BQR11" s="37"/>
      <c r="BQS11" s="36"/>
      <c r="BQT11" s="37"/>
      <c r="BQU11" s="36"/>
      <c r="BQV11" s="37"/>
      <c r="BQW11" s="36"/>
      <c r="BQX11" s="37"/>
      <c r="BQY11" s="36"/>
      <c r="BQZ11" s="37"/>
      <c r="BRA11" s="36"/>
      <c r="BRB11" s="37"/>
      <c r="BRC11" s="36"/>
      <c r="BRD11" s="36"/>
      <c r="BRE11" s="37"/>
      <c r="BRF11" s="37"/>
      <c r="BRH11" s="22"/>
      <c r="BRI11" s="35"/>
      <c r="BRJ11" s="36"/>
      <c r="BRK11" s="37"/>
      <c r="BRL11" s="36"/>
      <c r="BRM11" s="37"/>
      <c r="BRN11" s="36"/>
      <c r="BRO11" s="37"/>
      <c r="BRP11" s="36"/>
      <c r="BRQ11" s="37"/>
      <c r="BRR11" s="36"/>
      <c r="BRS11" s="37"/>
      <c r="BRT11" s="36"/>
      <c r="BRU11" s="37"/>
      <c r="BRV11" s="36"/>
      <c r="BRW11" s="37"/>
      <c r="BRX11" s="36"/>
      <c r="BRY11" s="37"/>
      <c r="BRZ11" s="36"/>
      <c r="BSA11" s="37"/>
      <c r="BSB11" s="36"/>
      <c r="BSC11" s="36"/>
      <c r="BSD11" s="37"/>
      <c r="BSE11" s="37"/>
      <c r="BSG11" s="22"/>
      <c r="BSH11" s="35"/>
      <c r="BSI11" s="36"/>
      <c r="BSJ11" s="37"/>
      <c r="BSK11" s="36"/>
      <c r="BSL11" s="37"/>
      <c r="BSM11" s="36"/>
      <c r="BSN11" s="37"/>
      <c r="BSO11" s="36"/>
      <c r="BSP11" s="37"/>
      <c r="BSQ11" s="36"/>
      <c r="BSR11" s="37"/>
      <c r="BSS11" s="36"/>
      <c r="BST11" s="37"/>
      <c r="BSU11" s="36"/>
      <c r="BSV11" s="37"/>
      <c r="BSW11" s="36"/>
      <c r="BSX11" s="37"/>
      <c r="BSY11" s="36"/>
      <c r="BSZ11" s="37"/>
      <c r="BTA11" s="36"/>
      <c r="BTB11" s="36"/>
      <c r="BTC11" s="37"/>
      <c r="BTD11" s="37"/>
      <c r="BTF11" s="22"/>
      <c r="BTG11" s="35"/>
      <c r="BTH11" s="36"/>
      <c r="BTI11" s="37"/>
      <c r="BTJ11" s="36"/>
      <c r="BTK11" s="37"/>
      <c r="BTL11" s="36"/>
      <c r="BTM11" s="37"/>
      <c r="BTN11" s="36"/>
      <c r="BTO11" s="37"/>
      <c r="BTP11" s="36"/>
      <c r="BTQ11" s="37"/>
      <c r="BTR11" s="36"/>
      <c r="BTS11" s="37"/>
      <c r="BTT11" s="36"/>
      <c r="BTU11" s="37"/>
      <c r="BTV11" s="36"/>
      <c r="BTW11" s="37"/>
      <c r="BTX11" s="36"/>
      <c r="BTY11" s="37"/>
      <c r="BTZ11" s="36"/>
      <c r="BUA11" s="36"/>
      <c r="BUB11" s="37"/>
      <c r="BUC11" s="37"/>
      <c r="BUE11" s="22"/>
      <c r="BUF11" s="35"/>
      <c r="BUG11" s="36"/>
      <c r="BUH11" s="37"/>
      <c r="BUI11" s="36"/>
      <c r="BUJ11" s="37"/>
      <c r="BUK11" s="36"/>
      <c r="BUL11" s="37"/>
      <c r="BUM11" s="36"/>
      <c r="BUN11" s="37"/>
      <c r="BUO11" s="36"/>
      <c r="BUP11" s="37"/>
      <c r="BUQ11" s="36"/>
      <c r="BUR11" s="37"/>
      <c r="BUS11" s="36"/>
      <c r="BUT11" s="37"/>
      <c r="BUU11" s="36"/>
      <c r="BUV11" s="37"/>
      <c r="BUW11" s="36"/>
      <c r="BUX11" s="37"/>
      <c r="BUY11" s="36"/>
      <c r="BUZ11" s="36"/>
      <c r="BVA11" s="37"/>
      <c r="BVB11" s="37"/>
      <c r="BVD11" s="22"/>
      <c r="BVE11" s="35"/>
      <c r="BVF11" s="36"/>
      <c r="BVG11" s="37"/>
      <c r="BVH11" s="36"/>
      <c r="BVI11" s="37"/>
      <c r="BVJ11" s="36"/>
      <c r="BVK11" s="37"/>
      <c r="BVL11" s="36"/>
      <c r="BVM11" s="37"/>
      <c r="BVN11" s="36"/>
      <c r="BVO11" s="37"/>
      <c r="BVP11" s="36"/>
      <c r="BVQ11" s="37"/>
      <c r="BVR11" s="36"/>
      <c r="BVS11" s="37"/>
      <c r="BVT11" s="36"/>
      <c r="BVU11" s="37"/>
      <c r="BVV11" s="36"/>
      <c r="BVW11" s="37"/>
      <c r="BVX11" s="36"/>
      <c r="BVY11" s="36"/>
      <c r="BVZ11" s="37"/>
      <c r="BWA11" s="37"/>
      <c r="BWC11" s="22"/>
      <c r="BWD11" s="35"/>
      <c r="BWE11" s="36"/>
      <c r="BWF11" s="37"/>
      <c r="BWG11" s="36"/>
      <c r="BWH11" s="37"/>
      <c r="BWI11" s="36"/>
      <c r="BWJ11" s="37"/>
      <c r="BWK11" s="36"/>
      <c r="BWL11" s="37"/>
      <c r="BWM11" s="36"/>
      <c r="BWN11" s="37"/>
      <c r="BWO11" s="36"/>
      <c r="BWP11" s="37"/>
      <c r="BWQ11" s="36"/>
      <c r="BWR11" s="37"/>
      <c r="BWS11" s="36"/>
      <c r="BWT11" s="37"/>
      <c r="BWU11" s="36"/>
      <c r="BWV11" s="37"/>
      <c r="BWW11" s="36"/>
      <c r="BWX11" s="36"/>
      <c r="BWY11" s="37"/>
      <c r="BWZ11" s="37"/>
      <c r="BXB11" s="22"/>
      <c r="BXC11" s="35"/>
      <c r="BXD11" s="36"/>
      <c r="BXE11" s="37"/>
      <c r="BXF11" s="36"/>
      <c r="BXG11" s="37"/>
      <c r="BXH11" s="36"/>
      <c r="BXI11" s="37"/>
      <c r="BXJ11" s="36"/>
      <c r="BXK11" s="37"/>
      <c r="BXL11" s="36"/>
      <c r="BXM11" s="37"/>
      <c r="BXN11" s="36"/>
      <c r="BXO11" s="37"/>
      <c r="BXP11" s="36"/>
      <c r="BXQ11" s="37"/>
      <c r="BXR11" s="36"/>
      <c r="BXS11" s="37"/>
      <c r="BXT11" s="36"/>
      <c r="BXU11" s="37"/>
      <c r="BXV11" s="36"/>
      <c r="BXW11" s="36"/>
      <c r="BXX11" s="37"/>
      <c r="BXY11" s="37"/>
      <c r="BYA11" s="22"/>
      <c r="BYB11" s="35"/>
      <c r="BYC11" s="36"/>
      <c r="BYD11" s="37"/>
      <c r="BYE11" s="36"/>
      <c r="BYF11" s="37"/>
      <c r="BYG11" s="36"/>
      <c r="BYH11" s="37"/>
      <c r="BYI11" s="36"/>
      <c r="BYJ11" s="37"/>
      <c r="BYK11" s="36"/>
      <c r="BYL11" s="37"/>
      <c r="BYM11" s="36"/>
      <c r="BYN11" s="37"/>
      <c r="BYO11" s="36"/>
      <c r="BYP11" s="37"/>
      <c r="BYQ11" s="36"/>
      <c r="BYR11" s="37"/>
      <c r="BYS11" s="36"/>
      <c r="BYT11" s="37"/>
      <c r="BYU11" s="36"/>
      <c r="BYV11" s="36"/>
      <c r="BYW11" s="37"/>
      <c r="BYX11" s="37"/>
      <c r="BYZ11" s="22"/>
      <c r="BZA11" s="35"/>
      <c r="BZB11" s="36"/>
      <c r="BZC11" s="37"/>
      <c r="BZD11" s="36"/>
      <c r="BZE11" s="37"/>
      <c r="BZF11" s="36"/>
      <c r="BZG11" s="37"/>
      <c r="BZH11" s="36"/>
      <c r="BZI11" s="37"/>
      <c r="BZJ11" s="36"/>
      <c r="BZK11" s="37"/>
      <c r="BZL11" s="36"/>
      <c r="BZM11" s="37"/>
      <c r="BZN11" s="36"/>
      <c r="BZO11" s="37"/>
      <c r="BZP11" s="36"/>
      <c r="BZQ11" s="37"/>
      <c r="BZR11" s="36"/>
      <c r="BZS11" s="37"/>
      <c r="BZT11" s="36"/>
      <c r="BZU11" s="36"/>
      <c r="BZV11" s="37"/>
      <c r="BZW11" s="37"/>
      <c r="BZY11" s="22"/>
      <c r="BZZ11" s="35"/>
      <c r="CAA11" s="36"/>
      <c r="CAB11" s="37"/>
      <c r="CAC11" s="36"/>
      <c r="CAD11" s="37"/>
      <c r="CAE11" s="36"/>
      <c r="CAF11" s="37"/>
      <c r="CAG11" s="36"/>
      <c r="CAH11" s="37"/>
      <c r="CAI11" s="36"/>
      <c r="CAJ11" s="37"/>
      <c r="CAK11" s="36"/>
      <c r="CAL11" s="37"/>
      <c r="CAM11" s="36"/>
      <c r="CAN11" s="37"/>
      <c r="CAO11" s="36"/>
      <c r="CAP11" s="37"/>
      <c r="CAQ11" s="36"/>
      <c r="CAR11" s="37"/>
      <c r="CAS11" s="36"/>
      <c r="CAT11" s="36"/>
      <c r="CAU11" s="37"/>
      <c r="CAV11" s="37"/>
      <c r="CAX11" s="22"/>
      <c r="CAY11" s="35"/>
      <c r="CAZ11" s="36"/>
      <c r="CBA11" s="37"/>
      <c r="CBB11" s="36"/>
      <c r="CBC11" s="37"/>
      <c r="CBD11" s="36"/>
      <c r="CBE11" s="37"/>
      <c r="CBF11" s="36"/>
      <c r="CBG11" s="37"/>
      <c r="CBH11" s="36"/>
      <c r="CBI11" s="37"/>
      <c r="CBJ11" s="36"/>
      <c r="CBK11" s="37"/>
      <c r="CBL11" s="36"/>
      <c r="CBM11" s="37"/>
      <c r="CBN11" s="36"/>
      <c r="CBO11" s="37"/>
      <c r="CBP11" s="36"/>
      <c r="CBQ11" s="37"/>
      <c r="CBR11" s="36"/>
      <c r="CBS11" s="36"/>
      <c r="CBT11" s="37"/>
      <c r="CBU11" s="37"/>
      <c r="CBW11" s="22"/>
      <c r="CBX11" s="35"/>
      <c r="CBY11" s="36"/>
      <c r="CBZ11" s="37"/>
      <c r="CCA11" s="36"/>
      <c r="CCB11" s="37"/>
      <c r="CCC11" s="36"/>
      <c r="CCD11" s="37"/>
      <c r="CCE11" s="36"/>
      <c r="CCF11" s="37"/>
      <c r="CCG11" s="36"/>
      <c r="CCH11" s="37"/>
      <c r="CCI11" s="36"/>
      <c r="CCJ11" s="37"/>
      <c r="CCK11" s="36"/>
      <c r="CCL11" s="37"/>
      <c r="CCM11" s="36"/>
      <c r="CCN11" s="37"/>
      <c r="CCO11" s="36"/>
      <c r="CCP11" s="37"/>
      <c r="CCQ11" s="36"/>
      <c r="CCR11" s="36"/>
      <c r="CCS11" s="37"/>
      <c r="CCT11" s="37"/>
      <c r="CCV11" s="22"/>
      <c r="CCW11" s="35"/>
      <c r="CCX11" s="36"/>
      <c r="CCY11" s="37"/>
      <c r="CCZ11" s="36"/>
      <c r="CDA11" s="37"/>
      <c r="CDB11" s="36"/>
      <c r="CDC11" s="37"/>
      <c r="CDD11" s="36"/>
      <c r="CDE11" s="37"/>
      <c r="CDF11" s="36"/>
      <c r="CDG11" s="37"/>
      <c r="CDH11" s="36"/>
      <c r="CDI11" s="37"/>
      <c r="CDJ11" s="36"/>
      <c r="CDK11" s="37"/>
      <c r="CDL11" s="36"/>
      <c r="CDM11" s="37"/>
      <c r="CDN11" s="36"/>
      <c r="CDO11" s="37"/>
      <c r="CDP11" s="36"/>
      <c r="CDQ11" s="36"/>
      <c r="CDR11" s="37"/>
      <c r="CDS11" s="37"/>
      <c r="CDU11" s="22"/>
      <c r="CDV11" s="35"/>
      <c r="CDW11" s="36"/>
      <c r="CDX11" s="37"/>
      <c r="CDY11" s="36"/>
      <c r="CDZ11" s="37"/>
      <c r="CEA11" s="36"/>
      <c r="CEB11" s="37"/>
      <c r="CEC11" s="36"/>
      <c r="CED11" s="37"/>
      <c r="CEE11" s="36"/>
      <c r="CEF11" s="37"/>
      <c r="CEG11" s="36"/>
      <c r="CEH11" s="37"/>
      <c r="CEI11" s="36"/>
      <c r="CEJ11" s="37"/>
      <c r="CEK11" s="36"/>
      <c r="CEL11" s="37"/>
      <c r="CEM11" s="36"/>
      <c r="CEN11" s="37"/>
      <c r="CEO11" s="36"/>
      <c r="CEP11" s="36"/>
      <c r="CEQ11" s="37"/>
      <c r="CER11" s="37"/>
      <c r="CET11" s="22"/>
      <c r="CEU11" s="35"/>
      <c r="CEV11" s="36"/>
      <c r="CEW11" s="37"/>
      <c r="CEX11" s="36"/>
      <c r="CEY11" s="37"/>
      <c r="CEZ11" s="36"/>
      <c r="CFA11" s="37"/>
      <c r="CFB11" s="36"/>
      <c r="CFC11" s="37"/>
      <c r="CFD11" s="36"/>
      <c r="CFE11" s="37"/>
      <c r="CFF11" s="36"/>
      <c r="CFG11" s="37"/>
      <c r="CFH11" s="36"/>
      <c r="CFI11" s="37"/>
      <c r="CFJ11" s="36"/>
      <c r="CFK11" s="37"/>
      <c r="CFL11" s="36"/>
      <c r="CFM11" s="37"/>
      <c r="CFN11" s="36"/>
      <c r="CFO11" s="36"/>
      <c r="CFP11" s="37"/>
      <c r="CFQ11" s="37"/>
      <c r="CFS11" s="22"/>
      <c r="CFT11" s="35"/>
      <c r="CFU11" s="36"/>
      <c r="CFV11" s="37"/>
      <c r="CFW11" s="36"/>
      <c r="CFX11" s="37"/>
      <c r="CFY11" s="36"/>
      <c r="CFZ11" s="37"/>
      <c r="CGA11" s="36"/>
      <c r="CGB11" s="37"/>
      <c r="CGC11" s="36"/>
      <c r="CGD11" s="37"/>
      <c r="CGE11" s="36"/>
      <c r="CGF11" s="37"/>
      <c r="CGG11" s="36"/>
      <c r="CGH11" s="37"/>
      <c r="CGI11" s="36"/>
      <c r="CGJ11" s="37"/>
      <c r="CGK11" s="36"/>
      <c r="CGL11" s="37"/>
      <c r="CGM11" s="36"/>
      <c r="CGN11" s="36"/>
      <c r="CGO11" s="37"/>
      <c r="CGP11" s="37"/>
      <c r="CGR11" s="22"/>
      <c r="CGS11" s="35"/>
      <c r="CGT11" s="36"/>
      <c r="CGU11" s="37"/>
      <c r="CGV11" s="36"/>
      <c r="CGW11" s="37"/>
      <c r="CGX11" s="36"/>
      <c r="CGY11" s="37"/>
      <c r="CGZ11" s="36"/>
      <c r="CHA11" s="37"/>
      <c r="CHB11" s="36"/>
      <c r="CHC11" s="37"/>
      <c r="CHD11" s="36"/>
      <c r="CHE11" s="37"/>
      <c r="CHF11" s="36"/>
      <c r="CHG11" s="37"/>
      <c r="CHH11" s="36"/>
      <c r="CHI11" s="37"/>
      <c r="CHJ11" s="36"/>
      <c r="CHK11" s="37"/>
      <c r="CHL11" s="36"/>
      <c r="CHM11" s="36"/>
      <c r="CHN11" s="37"/>
      <c r="CHO11" s="37"/>
      <c r="CHQ11" s="22"/>
      <c r="CHR11" s="35"/>
      <c r="CHS11" s="36"/>
      <c r="CHT11" s="37"/>
      <c r="CHU11" s="36"/>
      <c r="CHV11" s="37"/>
      <c r="CHW11" s="36"/>
      <c r="CHX11" s="37"/>
      <c r="CHY11" s="36"/>
      <c r="CHZ11" s="37"/>
      <c r="CIA11" s="36"/>
      <c r="CIB11" s="37"/>
      <c r="CIC11" s="36"/>
      <c r="CID11" s="37"/>
      <c r="CIE11" s="36"/>
      <c r="CIF11" s="37"/>
      <c r="CIG11" s="36"/>
      <c r="CIH11" s="37"/>
      <c r="CII11" s="36"/>
      <c r="CIJ11" s="37"/>
      <c r="CIK11" s="36"/>
      <c r="CIL11" s="36"/>
      <c r="CIM11" s="37"/>
      <c r="CIN11" s="37"/>
      <c r="CIP11" s="22"/>
      <c r="CIQ11" s="35"/>
      <c r="CIR11" s="36"/>
      <c r="CIS11" s="37"/>
      <c r="CIT11" s="36"/>
      <c r="CIU11" s="37"/>
      <c r="CIV11" s="36"/>
      <c r="CIW11" s="37"/>
      <c r="CIX11" s="36"/>
      <c r="CIY11" s="37"/>
      <c r="CIZ11" s="36"/>
      <c r="CJA11" s="37"/>
      <c r="CJB11" s="36"/>
      <c r="CJC11" s="37"/>
      <c r="CJD11" s="36"/>
      <c r="CJE11" s="37"/>
      <c r="CJF11" s="36"/>
      <c r="CJG11" s="37"/>
      <c r="CJH11" s="36"/>
      <c r="CJI11" s="37"/>
      <c r="CJJ11" s="36"/>
      <c r="CJK11" s="36"/>
      <c r="CJL11" s="37"/>
      <c r="CJM11" s="37"/>
      <c r="CJO11" s="22"/>
      <c r="CJP11" s="35"/>
      <c r="CJQ11" s="36"/>
      <c r="CJR11" s="37"/>
      <c r="CJS11" s="36"/>
      <c r="CJT11" s="37"/>
      <c r="CJU11" s="36"/>
      <c r="CJV11" s="37"/>
      <c r="CJW11" s="36"/>
      <c r="CJX11" s="37"/>
      <c r="CJY11" s="36"/>
      <c r="CJZ11" s="37"/>
      <c r="CKA11" s="36"/>
      <c r="CKB11" s="37"/>
      <c r="CKC11" s="36"/>
      <c r="CKD11" s="37"/>
      <c r="CKE11" s="36"/>
      <c r="CKF11" s="37"/>
      <c r="CKG11" s="36"/>
      <c r="CKH11" s="37"/>
      <c r="CKI11" s="36"/>
      <c r="CKJ11" s="36"/>
      <c r="CKK11" s="37"/>
      <c r="CKL11" s="37"/>
      <c r="CKN11" s="22"/>
      <c r="CKO11" s="35"/>
      <c r="CKP11" s="36"/>
      <c r="CKQ11" s="37"/>
      <c r="CKR11" s="36"/>
      <c r="CKS11" s="37"/>
      <c r="CKT11" s="36"/>
      <c r="CKU11" s="37"/>
      <c r="CKV11" s="36"/>
      <c r="CKW11" s="37"/>
      <c r="CKX11" s="36"/>
      <c r="CKY11" s="37"/>
      <c r="CKZ11" s="36"/>
      <c r="CLA11" s="37"/>
      <c r="CLB11" s="36"/>
      <c r="CLC11" s="37"/>
      <c r="CLD11" s="36"/>
      <c r="CLE11" s="37"/>
      <c r="CLF11" s="36"/>
      <c r="CLG11" s="37"/>
      <c r="CLH11" s="36"/>
      <c r="CLI11" s="36"/>
      <c r="CLJ11" s="37"/>
      <c r="CLK11" s="37"/>
      <c r="CLM11" s="22"/>
      <c r="CLN11" s="35"/>
      <c r="CLO11" s="36"/>
      <c r="CLP11" s="37"/>
      <c r="CLQ11" s="36"/>
      <c r="CLR11" s="37"/>
      <c r="CLS11" s="36"/>
      <c r="CLT11" s="37"/>
      <c r="CLU11" s="36"/>
      <c r="CLV11" s="37"/>
      <c r="CLW11" s="36"/>
      <c r="CLX11" s="37"/>
      <c r="CLY11" s="36"/>
      <c r="CLZ11" s="37"/>
      <c r="CMA11" s="36"/>
      <c r="CMB11" s="37"/>
      <c r="CMC11" s="36"/>
      <c r="CMD11" s="37"/>
      <c r="CME11" s="36"/>
      <c r="CMF11" s="37"/>
      <c r="CMG11" s="36"/>
      <c r="CMH11" s="36"/>
      <c r="CMI11" s="37"/>
      <c r="CMJ11" s="37"/>
      <c r="CML11" s="22"/>
      <c r="CMM11" s="35"/>
      <c r="CMN11" s="36"/>
      <c r="CMO11" s="37"/>
      <c r="CMP11" s="36"/>
      <c r="CMQ11" s="37"/>
      <c r="CMR11" s="36"/>
      <c r="CMS11" s="37"/>
      <c r="CMT11" s="36"/>
      <c r="CMU11" s="37"/>
      <c r="CMV11" s="36"/>
      <c r="CMW11" s="37"/>
      <c r="CMX11" s="36"/>
      <c r="CMY11" s="37"/>
      <c r="CMZ11" s="36"/>
      <c r="CNA11" s="37"/>
      <c r="CNB11" s="36"/>
      <c r="CNC11" s="37"/>
      <c r="CND11" s="36"/>
      <c r="CNE11" s="37"/>
      <c r="CNF11" s="36"/>
      <c r="CNG11" s="36"/>
      <c r="CNH11" s="37"/>
      <c r="CNI11" s="37"/>
      <c r="CNK11" s="22"/>
      <c r="CNL11" s="35"/>
      <c r="CNM11" s="36"/>
      <c r="CNN11" s="37"/>
      <c r="CNO11" s="36"/>
      <c r="CNP11" s="37"/>
      <c r="CNQ11" s="36"/>
      <c r="CNR11" s="37"/>
      <c r="CNS11" s="36"/>
      <c r="CNT11" s="37"/>
      <c r="CNU11" s="36"/>
      <c r="CNV11" s="37"/>
      <c r="CNW11" s="36"/>
      <c r="CNX11" s="37"/>
      <c r="CNY11" s="36"/>
      <c r="CNZ11" s="37"/>
      <c r="COA11" s="36"/>
      <c r="COB11" s="37"/>
      <c r="COC11" s="36"/>
      <c r="COD11" s="37"/>
      <c r="COE11" s="36"/>
      <c r="COF11" s="36"/>
      <c r="COG11" s="37"/>
      <c r="COH11" s="37"/>
      <c r="COJ11" s="22"/>
      <c r="COK11" s="35"/>
      <c r="COL11" s="36"/>
      <c r="COM11" s="37"/>
      <c r="CON11" s="36"/>
      <c r="COO11" s="37"/>
      <c r="COP11" s="36"/>
      <c r="COQ11" s="37"/>
      <c r="COR11" s="36"/>
      <c r="COS11" s="37"/>
      <c r="COT11" s="36"/>
      <c r="COU11" s="37"/>
      <c r="COV11" s="36"/>
      <c r="COW11" s="37"/>
      <c r="COX11" s="36"/>
      <c r="COY11" s="37"/>
      <c r="COZ11" s="36"/>
      <c r="CPA11" s="37"/>
      <c r="CPB11" s="36"/>
      <c r="CPC11" s="37"/>
      <c r="CPD11" s="36"/>
      <c r="CPE11" s="36"/>
      <c r="CPF11" s="37"/>
      <c r="CPG11" s="37"/>
      <c r="CPI11" s="22"/>
      <c r="CPJ11" s="35"/>
      <c r="CPK11" s="36"/>
      <c r="CPL11" s="37"/>
      <c r="CPM11" s="36"/>
      <c r="CPN11" s="37"/>
      <c r="CPO11" s="36"/>
      <c r="CPP11" s="37"/>
      <c r="CPQ11" s="36"/>
      <c r="CPR11" s="37"/>
      <c r="CPS11" s="36"/>
      <c r="CPT11" s="37"/>
      <c r="CPU11" s="36"/>
      <c r="CPV11" s="37"/>
      <c r="CPW11" s="36"/>
      <c r="CPX11" s="37"/>
      <c r="CPY11" s="36"/>
      <c r="CPZ11" s="37"/>
      <c r="CQA11" s="36"/>
      <c r="CQB11" s="37"/>
      <c r="CQC11" s="36"/>
      <c r="CQD11" s="36"/>
      <c r="CQE11" s="37"/>
      <c r="CQF11" s="37"/>
      <c r="CQH11" s="22"/>
      <c r="CQI11" s="35"/>
      <c r="CQJ11" s="36"/>
      <c r="CQK11" s="37"/>
      <c r="CQL11" s="36"/>
      <c r="CQM11" s="37"/>
      <c r="CQN11" s="36"/>
      <c r="CQO11" s="37"/>
      <c r="CQP11" s="36"/>
      <c r="CQQ11" s="37"/>
      <c r="CQR11" s="36"/>
      <c r="CQS11" s="37"/>
      <c r="CQT11" s="36"/>
      <c r="CQU11" s="37"/>
      <c r="CQV11" s="36"/>
      <c r="CQW11" s="37"/>
      <c r="CQX11" s="36"/>
      <c r="CQY11" s="37"/>
      <c r="CQZ11" s="36"/>
      <c r="CRA11" s="37"/>
      <c r="CRB11" s="36"/>
      <c r="CRC11" s="36"/>
      <c r="CRD11" s="37"/>
      <c r="CRE11" s="37"/>
      <c r="CRG11" s="22"/>
      <c r="CRH11" s="35"/>
      <c r="CRI11" s="36"/>
      <c r="CRJ11" s="37"/>
      <c r="CRK11" s="36"/>
      <c r="CRL11" s="37"/>
      <c r="CRM11" s="36"/>
      <c r="CRN11" s="37"/>
      <c r="CRO11" s="36"/>
      <c r="CRP11" s="37"/>
      <c r="CRQ11" s="36"/>
      <c r="CRR11" s="37"/>
      <c r="CRS11" s="36"/>
      <c r="CRT11" s="37"/>
      <c r="CRU11" s="36"/>
      <c r="CRV11" s="37"/>
      <c r="CRW11" s="36"/>
      <c r="CRX11" s="37"/>
      <c r="CRY11" s="36"/>
      <c r="CRZ11" s="37"/>
      <c r="CSA11" s="36"/>
      <c r="CSB11" s="36"/>
      <c r="CSC11" s="37"/>
      <c r="CSD11" s="37"/>
      <c r="CSF11" s="22"/>
      <c r="CSG11" s="35"/>
      <c r="CSH11" s="36"/>
      <c r="CSI11" s="37"/>
      <c r="CSJ11" s="36"/>
      <c r="CSK11" s="37"/>
      <c r="CSL11" s="36"/>
      <c r="CSM11" s="37"/>
      <c r="CSN11" s="36"/>
      <c r="CSO11" s="37"/>
      <c r="CSP11" s="36"/>
      <c r="CSQ11" s="37"/>
      <c r="CSR11" s="36"/>
      <c r="CSS11" s="37"/>
      <c r="CST11" s="36"/>
      <c r="CSU11" s="37"/>
      <c r="CSV11" s="36"/>
      <c r="CSW11" s="37"/>
      <c r="CSX11" s="36"/>
      <c r="CSY11" s="37"/>
      <c r="CSZ11" s="36"/>
      <c r="CTA11" s="36"/>
      <c r="CTB11" s="37"/>
      <c r="CTC11" s="37"/>
      <c r="CTE11" s="22"/>
      <c r="CTF11" s="35"/>
      <c r="CTG11" s="36"/>
      <c r="CTH11" s="37"/>
      <c r="CTI11" s="36"/>
      <c r="CTJ11" s="37"/>
      <c r="CTK11" s="36"/>
      <c r="CTL11" s="37"/>
      <c r="CTM11" s="36"/>
      <c r="CTN11" s="37"/>
      <c r="CTO11" s="36"/>
      <c r="CTP11" s="37"/>
      <c r="CTQ11" s="36"/>
      <c r="CTR11" s="37"/>
      <c r="CTS11" s="36"/>
      <c r="CTT11" s="37"/>
      <c r="CTU11" s="36"/>
      <c r="CTV11" s="37"/>
      <c r="CTW11" s="36"/>
      <c r="CTX11" s="37"/>
      <c r="CTY11" s="36"/>
      <c r="CTZ11" s="36"/>
      <c r="CUA11" s="37"/>
      <c r="CUB11" s="37"/>
      <c r="CUD11" s="22"/>
      <c r="CUE11" s="35"/>
      <c r="CUF11" s="36"/>
      <c r="CUG11" s="37"/>
      <c r="CUH11" s="36"/>
      <c r="CUI11" s="37"/>
      <c r="CUJ11" s="36"/>
      <c r="CUK11" s="37"/>
      <c r="CUL11" s="36"/>
      <c r="CUM11" s="37"/>
      <c r="CUN11" s="36"/>
      <c r="CUO11" s="37"/>
      <c r="CUP11" s="36"/>
      <c r="CUQ11" s="37"/>
      <c r="CUR11" s="36"/>
      <c r="CUS11" s="37"/>
      <c r="CUT11" s="36"/>
      <c r="CUU11" s="37"/>
      <c r="CUV11" s="36"/>
      <c r="CUW11" s="37"/>
      <c r="CUX11" s="36"/>
      <c r="CUY11" s="36"/>
      <c r="CUZ11" s="37"/>
      <c r="CVA11" s="37"/>
      <c r="CVC11" s="22"/>
      <c r="CVD11" s="35"/>
      <c r="CVE11" s="36"/>
      <c r="CVF11" s="37"/>
      <c r="CVG11" s="36"/>
      <c r="CVH11" s="37"/>
      <c r="CVI11" s="36"/>
      <c r="CVJ11" s="37"/>
      <c r="CVK11" s="36"/>
      <c r="CVL11" s="37"/>
      <c r="CVM11" s="36"/>
      <c r="CVN11" s="37"/>
      <c r="CVO11" s="36"/>
      <c r="CVP11" s="37"/>
      <c r="CVQ11" s="36"/>
      <c r="CVR11" s="37"/>
      <c r="CVS11" s="36"/>
      <c r="CVT11" s="37"/>
      <c r="CVU11" s="36"/>
      <c r="CVV11" s="37"/>
      <c r="CVW11" s="36"/>
      <c r="CVX11" s="36"/>
      <c r="CVY11" s="37"/>
      <c r="CVZ11" s="37"/>
      <c r="CWB11" s="22"/>
      <c r="CWC11" s="35"/>
      <c r="CWD11" s="36"/>
      <c r="CWE11" s="37"/>
      <c r="CWF11" s="36"/>
      <c r="CWG11" s="37"/>
      <c r="CWH11" s="36"/>
      <c r="CWI11" s="37"/>
      <c r="CWJ11" s="36"/>
      <c r="CWK11" s="37"/>
      <c r="CWL11" s="36"/>
      <c r="CWM11" s="37"/>
      <c r="CWN11" s="36"/>
      <c r="CWO11" s="37"/>
      <c r="CWP11" s="36"/>
      <c r="CWQ11" s="37"/>
      <c r="CWR11" s="36"/>
      <c r="CWS11" s="37"/>
      <c r="CWT11" s="36"/>
      <c r="CWU11" s="37"/>
      <c r="CWV11" s="36"/>
      <c r="CWW11" s="36"/>
      <c r="CWX11" s="37"/>
      <c r="CWY11" s="37"/>
      <c r="CXA11" s="22"/>
      <c r="CXB11" s="35"/>
      <c r="CXC11" s="36"/>
      <c r="CXD11" s="37"/>
      <c r="CXE11" s="36"/>
      <c r="CXF11" s="37"/>
      <c r="CXG11" s="36"/>
      <c r="CXH11" s="37"/>
      <c r="CXI11" s="36"/>
      <c r="CXJ11" s="37"/>
      <c r="CXK11" s="36"/>
      <c r="CXL11" s="37"/>
      <c r="CXM11" s="36"/>
      <c r="CXN11" s="37"/>
      <c r="CXO11" s="36"/>
      <c r="CXP11" s="37"/>
      <c r="CXQ11" s="36"/>
      <c r="CXR11" s="37"/>
      <c r="CXS11" s="36"/>
      <c r="CXT11" s="37"/>
      <c r="CXU11" s="36"/>
      <c r="CXV11" s="36"/>
      <c r="CXW11" s="37"/>
      <c r="CXX11" s="37"/>
      <c r="CXZ11" s="22"/>
      <c r="CYA11" s="35"/>
      <c r="CYB11" s="36"/>
      <c r="CYC11" s="37"/>
      <c r="CYD11" s="36"/>
      <c r="CYE11" s="37"/>
      <c r="CYF11" s="36"/>
      <c r="CYG11" s="37"/>
      <c r="CYH11" s="36"/>
      <c r="CYI11" s="37"/>
      <c r="CYJ11" s="36"/>
      <c r="CYK11" s="37"/>
      <c r="CYL11" s="36"/>
      <c r="CYM11" s="37"/>
      <c r="CYN11" s="36"/>
      <c r="CYO11" s="37"/>
      <c r="CYP11" s="36"/>
      <c r="CYQ11" s="37"/>
      <c r="CYR11" s="36"/>
      <c r="CYS11" s="37"/>
      <c r="CYT11" s="36"/>
      <c r="CYU11" s="36"/>
      <c r="CYV11" s="37"/>
      <c r="CYW11" s="37"/>
      <c r="CYY11" s="22"/>
      <c r="CYZ11" s="35"/>
      <c r="CZA11" s="36"/>
      <c r="CZB11" s="37"/>
      <c r="CZC11" s="36"/>
      <c r="CZD11" s="37"/>
      <c r="CZE11" s="36"/>
      <c r="CZF11" s="37"/>
      <c r="CZG11" s="36"/>
      <c r="CZH11" s="37"/>
      <c r="CZI11" s="36"/>
      <c r="CZJ11" s="37"/>
      <c r="CZK11" s="36"/>
      <c r="CZL11" s="37"/>
      <c r="CZM11" s="36"/>
      <c r="CZN11" s="37"/>
      <c r="CZO11" s="36"/>
      <c r="CZP11" s="37"/>
      <c r="CZQ11" s="36"/>
      <c r="CZR11" s="37"/>
      <c r="CZS11" s="36"/>
      <c r="CZT11" s="36"/>
      <c r="CZU11" s="37"/>
      <c r="CZV11" s="37"/>
      <c r="CZX11" s="22"/>
      <c r="CZY11" s="35"/>
      <c r="CZZ11" s="36"/>
      <c r="DAA11" s="37"/>
      <c r="DAB11" s="36"/>
      <c r="DAC11" s="37"/>
      <c r="DAD11" s="36"/>
      <c r="DAE11" s="37"/>
      <c r="DAF11" s="36"/>
      <c r="DAG11" s="37"/>
      <c r="DAH11" s="36"/>
      <c r="DAI11" s="37"/>
      <c r="DAJ11" s="36"/>
      <c r="DAK11" s="37"/>
      <c r="DAL11" s="36"/>
      <c r="DAM11" s="37"/>
      <c r="DAN11" s="36"/>
      <c r="DAO11" s="37"/>
      <c r="DAP11" s="36"/>
      <c r="DAQ11" s="37"/>
      <c r="DAR11" s="36"/>
      <c r="DAS11" s="36"/>
      <c r="DAT11" s="37"/>
      <c r="DAU11" s="37"/>
      <c r="DAW11" s="22"/>
      <c r="DAX11" s="35"/>
      <c r="DAY11" s="36"/>
      <c r="DAZ11" s="37"/>
      <c r="DBA11" s="36"/>
      <c r="DBB11" s="37"/>
      <c r="DBC11" s="36"/>
      <c r="DBD11" s="37"/>
      <c r="DBE11" s="36"/>
      <c r="DBF11" s="37"/>
      <c r="DBG11" s="36"/>
      <c r="DBH11" s="37"/>
      <c r="DBI11" s="36"/>
      <c r="DBJ11" s="37"/>
      <c r="DBK11" s="36"/>
      <c r="DBL11" s="37"/>
      <c r="DBM11" s="36"/>
      <c r="DBN11" s="37"/>
      <c r="DBO11" s="36"/>
      <c r="DBP11" s="37"/>
      <c r="DBQ11" s="36"/>
      <c r="DBR11" s="36"/>
      <c r="DBS11" s="37"/>
      <c r="DBT11" s="37"/>
      <c r="DBV11" s="22"/>
      <c r="DBW11" s="35"/>
      <c r="DBX11" s="36"/>
      <c r="DBY11" s="37"/>
      <c r="DBZ11" s="36"/>
      <c r="DCA11" s="37"/>
      <c r="DCB11" s="36"/>
      <c r="DCC11" s="37"/>
      <c r="DCD11" s="36"/>
      <c r="DCE11" s="37"/>
      <c r="DCF11" s="36"/>
      <c r="DCG11" s="37"/>
      <c r="DCH11" s="36"/>
      <c r="DCI11" s="37"/>
      <c r="DCJ11" s="36"/>
      <c r="DCK11" s="37"/>
      <c r="DCL11" s="36"/>
      <c r="DCM11" s="37"/>
      <c r="DCN11" s="36"/>
      <c r="DCO11" s="37"/>
      <c r="DCP11" s="36"/>
      <c r="DCQ11" s="36"/>
      <c r="DCR11" s="37"/>
      <c r="DCS11" s="37"/>
      <c r="DCU11" s="22"/>
      <c r="DCV11" s="35"/>
      <c r="DCW11" s="36"/>
      <c r="DCX11" s="37"/>
      <c r="DCY11" s="36"/>
      <c r="DCZ11" s="37"/>
      <c r="DDA11" s="36"/>
      <c r="DDB11" s="37"/>
      <c r="DDC11" s="36"/>
      <c r="DDD11" s="37"/>
      <c r="DDE11" s="36"/>
      <c r="DDF11" s="37"/>
      <c r="DDG11" s="36"/>
      <c r="DDH11" s="37"/>
      <c r="DDI11" s="36"/>
      <c r="DDJ11" s="37"/>
      <c r="DDK11" s="36"/>
      <c r="DDL11" s="37"/>
      <c r="DDM11" s="36"/>
      <c r="DDN11" s="37"/>
      <c r="DDO11" s="36"/>
      <c r="DDP11" s="36"/>
      <c r="DDQ11" s="37"/>
      <c r="DDR11" s="37"/>
      <c r="DDT11" s="22"/>
      <c r="DDU11" s="35"/>
      <c r="DDV11" s="36"/>
      <c r="DDW11" s="37"/>
      <c r="DDX11" s="36"/>
      <c r="DDY11" s="37"/>
      <c r="DDZ11" s="36"/>
      <c r="DEA11" s="37"/>
      <c r="DEB11" s="36"/>
      <c r="DEC11" s="37"/>
      <c r="DED11" s="36"/>
      <c r="DEE11" s="37"/>
      <c r="DEF11" s="36"/>
      <c r="DEG11" s="37"/>
      <c r="DEH11" s="36"/>
      <c r="DEI11" s="37"/>
      <c r="DEJ11" s="36"/>
      <c r="DEK11" s="37"/>
      <c r="DEL11" s="36"/>
      <c r="DEM11" s="37"/>
      <c r="DEN11" s="36"/>
      <c r="DEO11" s="36"/>
      <c r="DEP11" s="37"/>
      <c r="DEQ11" s="37"/>
      <c r="DES11" s="22"/>
      <c r="DET11" s="35"/>
      <c r="DEU11" s="36"/>
      <c r="DEV11" s="37"/>
      <c r="DEW11" s="36"/>
      <c r="DEX11" s="37"/>
      <c r="DEY11" s="36"/>
      <c r="DEZ11" s="37"/>
      <c r="DFA11" s="36"/>
      <c r="DFB11" s="37"/>
      <c r="DFC11" s="36"/>
      <c r="DFD11" s="37"/>
      <c r="DFE11" s="36"/>
      <c r="DFF11" s="37"/>
      <c r="DFG11" s="36"/>
      <c r="DFH11" s="37"/>
      <c r="DFI11" s="36"/>
      <c r="DFJ11" s="37"/>
      <c r="DFK11" s="36"/>
      <c r="DFL11" s="37"/>
      <c r="DFM11" s="36"/>
      <c r="DFN11" s="36"/>
      <c r="DFO11" s="37"/>
      <c r="DFP11" s="37"/>
      <c r="DFR11" s="22"/>
      <c r="DFS11" s="35"/>
      <c r="DFT11" s="36"/>
      <c r="DFU11" s="37"/>
      <c r="DFV11" s="36"/>
      <c r="DFW11" s="37"/>
      <c r="DFX11" s="36"/>
      <c r="DFY11" s="37"/>
      <c r="DFZ11" s="36"/>
      <c r="DGA11" s="37"/>
      <c r="DGB11" s="36"/>
      <c r="DGC11" s="37"/>
      <c r="DGD11" s="36"/>
      <c r="DGE11" s="37"/>
      <c r="DGF11" s="36"/>
      <c r="DGG11" s="37"/>
      <c r="DGH11" s="36"/>
      <c r="DGI11" s="37"/>
      <c r="DGJ11" s="36"/>
      <c r="DGK11" s="37"/>
      <c r="DGL11" s="36"/>
      <c r="DGM11" s="36"/>
      <c r="DGN11" s="37"/>
      <c r="DGO11" s="37"/>
      <c r="DGQ11" s="22"/>
      <c r="DGR11" s="35"/>
      <c r="DGS11" s="36"/>
      <c r="DGT11" s="37"/>
      <c r="DGU11" s="36"/>
      <c r="DGV11" s="37"/>
      <c r="DGW11" s="36"/>
      <c r="DGX11" s="37"/>
      <c r="DGY11" s="36"/>
      <c r="DGZ11" s="37"/>
      <c r="DHA11" s="36"/>
      <c r="DHB11" s="37"/>
      <c r="DHC11" s="36"/>
      <c r="DHD11" s="37"/>
      <c r="DHE11" s="36"/>
      <c r="DHF11" s="37"/>
      <c r="DHG11" s="36"/>
      <c r="DHH11" s="37"/>
      <c r="DHI11" s="36"/>
      <c r="DHJ11" s="37"/>
      <c r="DHK11" s="36"/>
      <c r="DHL11" s="36"/>
      <c r="DHM11" s="37"/>
      <c r="DHN11" s="37"/>
      <c r="DHP11" s="22"/>
      <c r="DHQ11" s="35"/>
      <c r="DHR11" s="36"/>
      <c r="DHS11" s="37"/>
      <c r="DHT11" s="36"/>
      <c r="DHU11" s="37"/>
      <c r="DHV11" s="36"/>
      <c r="DHW11" s="37"/>
      <c r="DHX11" s="36"/>
      <c r="DHY11" s="37"/>
      <c r="DHZ11" s="36"/>
      <c r="DIA11" s="37"/>
      <c r="DIB11" s="36"/>
      <c r="DIC11" s="37"/>
      <c r="DID11" s="36"/>
      <c r="DIE11" s="37"/>
      <c r="DIF11" s="36"/>
      <c r="DIG11" s="37"/>
      <c r="DIH11" s="36"/>
      <c r="DII11" s="37"/>
      <c r="DIJ11" s="36"/>
      <c r="DIK11" s="36"/>
      <c r="DIL11" s="37"/>
      <c r="DIM11" s="37"/>
      <c r="DIO11" s="22"/>
      <c r="DIP11" s="35"/>
      <c r="DIQ11" s="36"/>
      <c r="DIR11" s="37"/>
      <c r="DIS11" s="36"/>
      <c r="DIT11" s="37"/>
      <c r="DIU11" s="36"/>
      <c r="DIV11" s="37"/>
      <c r="DIW11" s="36"/>
      <c r="DIX11" s="37"/>
      <c r="DIY11" s="36"/>
      <c r="DIZ11" s="37"/>
      <c r="DJA11" s="36"/>
      <c r="DJB11" s="37"/>
      <c r="DJC11" s="36"/>
      <c r="DJD11" s="37"/>
      <c r="DJE11" s="36"/>
      <c r="DJF11" s="37"/>
      <c r="DJG11" s="36"/>
      <c r="DJH11" s="37"/>
      <c r="DJI11" s="36"/>
      <c r="DJJ11" s="36"/>
      <c r="DJK11" s="37"/>
      <c r="DJL11" s="37"/>
      <c r="DJN11" s="22"/>
      <c r="DJO11" s="35"/>
      <c r="DJP11" s="36"/>
      <c r="DJQ11" s="37"/>
      <c r="DJR11" s="36"/>
      <c r="DJS11" s="37"/>
      <c r="DJT11" s="36"/>
      <c r="DJU11" s="37"/>
      <c r="DJV11" s="36"/>
      <c r="DJW11" s="37"/>
      <c r="DJX11" s="36"/>
      <c r="DJY11" s="37"/>
      <c r="DJZ11" s="36"/>
      <c r="DKA11" s="37"/>
      <c r="DKB11" s="36"/>
      <c r="DKC11" s="37"/>
      <c r="DKD11" s="36"/>
      <c r="DKE11" s="37"/>
      <c r="DKF11" s="36"/>
      <c r="DKG11" s="37"/>
      <c r="DKH11" s="36"/>
      <c r="DKI11" s="36"/>
      <c r="DKJ11" s="37"/>
      <c r="DKK11" s="37"/>
      <c r="DKM11" s="22"/>
      <c r="DKN11" s="35"/>
      <c r="DKO11" s="36"/>
      <c r="DKP11" s="37"/>
      <c r="DKQ11" s="36"/>
      <c r="DKR11" s="37"/>
      <c r="DKS11" s="36"/>
      <c r="DKT11" s="37"/>
      <c r="DKU11" s="36"/>
      <c r="DKV11" s="37"/>
      <c r="DKW11" s="36"/>
      <c r="DKX11" s="37"/>
      <c r="DKY11" s="36"/>
      <c r="DKZ11" s="37"/>
      <c r="DLA11" s="36"/>
      <c r="DLB11" s="37"/>
      <c r="DLC11" s="36"/>
      <c r="DLD11" s="37"/>
      <c r="DLE11" s="36"/>
      <c r="DLF11" s="37"/>
      <c r="DLG11" s="36"/>
      <c r="DLH11" s="36"/>
      <c r="DLI11" s="37"/>
      <c r="DLJ11" s="37"/>
      <c r="DLL11" s="22"/>
      <c r="DLM11" s="35"/>
      <c r="DLN11" s="36"/>
      <c r="DLO11" s="37"/>
      <c r="DLP11" s="36"/>
      <c r="DLQ11" s="37"/>
      <c r="DLR11" s="36"/>
      <c r="DLS11" s="37"/>
      <c r="DLT11" s="36"/>
      <c r="DLU11" s="37"/>
      <c r="DLV11" s="36"/>
      <c r="DLW11" s="37"/>
      <c r="DLX11" s="36"/>
      <c r="DLY11" s="37"/>
      <c r="DLZ11" s="36"/>
      <c r="DMA11" s="37"/>
      <c r="DMB11" s="36"/>
      <c r="DMC11" s="37"/>
      <c r="DMD11" s="36"/>
      <c r="DME11" s="37"/>
      <c r="DMF11" s="36"/>
      <c r="DMG11" s="36"/>
      <c r="DMH11" s="37"/>
      <c r="DMI11" s="37"/>
      <c r="DMK11" s="22"/>
      <c r="DML11" s="35"/>
      <c r="DMM11" s="36"/>
      <c r="DMN11" s="37"/>
      <c r="DMO11" s="36"/>
      <c r="DMP11" s="37"/>
      <c r="DMQ11" s="36"/>
      <c r="DMR11" s="37"/>
      <c r="DMS11" s="36"/>
      <c r="DMT11" s="37"/>
      <c r="DMU11" s="36"/>
      <c r="DMV11" s="37"/>
      <c r="DMW11" s="36"/>
      <c r="DMX11" s="37"/>
      <c r="DMY11" s="36"/>
      <c r="DMZ11" s="37"/>
      <c r="DNA11" s="36"/>
      <c r="DNB11" s="37"/>
      <c r="DNC11" s="36"/>
      <c r="DND11" s="37"/>
      <c r="DNE11" s="36"/>
      <c r="DNF11" s="36"/>
      <c r="DNG11" s="37"/>
      <c r="DNH11" s="37"/>
      <c r="DNJ11" s="22"/>
      <c r="DNK11" s="35"/>
      <c r="DNL11" s="36"/>
      <c r="DNM11" s="37"/>
      <c r="DNN11" s="36"/>
      <c r="DNO11" s="37"/>
      <c r="DNP11" s="36"/>
      <c r="DNQ11" s="37"/>
      <c r="DNR11" s="36"/>
      <c r="DNS11" s="37"/>
      <c r="DNT11" s="36"/>
      <c r="DNU11" s="37"/>
      <c r="DNV11" s="36"/>
      <c r="DNW11" s="37"/>
      <c r="DNX11" s="36"/>
      <c r="DNY11" s="37"/>
      <c r="DNZ11" s="36"/>
      <c r="DOA11" s="37"/>
      <c r="DOB11" s="36"/>
      <c r="DOC11" s="37"/>
      <c r="DOD11" s="36"/>
      <c r="DOE11" s="36"/>
      <c r="DOF11" s="37"/>
      <c r="DOG11" s="37"/>
      <c r="DOI11" s="22"/>
      <c r="DOJ11" s="35"/>
      <c r="DOK11" s="36"/>
      <c r="DOL11" s="37"/>
      <c r="DOM11" s="36"/>
      <c r="DON11" s="37"/>
      <c r="DOO11" s="36"/>
      <c r="DOP11" s="37"/>
      <c r="DOQ11" s="36"/>
      <c r="DOR11" s="37"/>
      <c r="DOS11" s="36"/>
      <c r="DOT11" s="37"/>
      <c r="DOU11" s="36"/>
      <c r="DOV11" s="37"/>
      <c r="DOW11" s="36"/>
      <c r="DOX11" s="37"/>
      <c r="DOY11" s="36"/>
      <c r="DOZ11" s="37"/>
      <c r="DPA11" s="36"/>
      <c r="DPB11" s="37"/>
      <c r="DPC11" s="36"/>
      <c r="DPD11" s="36"/>
      <c r="DPE11" s="37"/>
      <c r="DPF11" s="37"/>
      <c r="DPH11" s="22"/>
      <c r="DPI11" s="35"/>
      <c r="DPJ11" s="36"/>
      <c r="DPK11" s="37"/>
      <c r="DPL11" s="36"/>
      <c r="DPM11" s="37"/>
      <c r="DPN11" s="36"/>
      <c r="DPO11" s="37"/>
      <c r="DPP11" s="36"/>
      <c r="DPQ11" s="37"/>
      <c r="DPR11" s="36"/>
      <c r="DPS11" s="37"/>
      <c r="DPT11" s="36"/>
      <c r="DPU11" s="37"/>
      <c r="DPV11" s="36"/>
      <c r="DPW11" s="37"/>
      <c r="DPX11" s="36"/>
      <c r="DPY11" s="37"/>
      <c r="DPZ11" s="36"/>
      <c r="DQA11" s="37"/>
      <c r="DQB11" s="36"/>
      <c r="DQC11" s="36"/>
      <c r="DQD11" s="37"/>
      <c r="DQE11" s="37"/>
      <c r="DQG11" s="22"/>
      <c r="DQH11" s="35"/>
      <c r="DQI11" s="36"/>
      <c r="DQJ11" s="37"/>
      <c r="DQK11" s="36"/>
      <c r="DQL11" s="37"/>
      <c r="DQM11" s="36"/>
      <c r="DQN11" s="37"/>
      <c r="DQO11" s="36"/>
      <c r="DQP11" s="37"/>
      <c r="DQQ11" s="36"/>
      <c r="DQR11" s="37"/>
      <c r="DQS11" s="36"/>
      <c r="DQT11" s="37"/>
      <c r="DQU11" s="36"/>
      <c r="DQV11" s="37"/>
      <c r="DQW11" s="36"/>
      <c r="DQX11" s="37"/>
      <c r="DQY11" s="36"/>
      <c r="DQZ11" s="37"/>
      <c r="DRA11" s="36"/>
      <c r="DRB11" s="36"/>
      <c r="DRC11" s="37"/>
      <c r="DRD11" s="37"/>
      <c r="DRF11" s="22"/>
      <c r="DRG11" s="35"/>
      <c r="DRH11" s="36"/>
      <c r="DRI11" s="37"/>
      <c r="DRJ11" s="36"/>
      <c r="DRK11" s="37"/>
      <c r="DRL11" s="36"/>
      <c r="DRM11" s="37"/>
      <c r="DRN11" s="36"/>
      <c r="DRO11" s="37"/>
      <c r="DRP11" s="36"/>
      <c r="DRQ11" s="37"/>
      <c r="DRR11" s="36"/>
      <c r="DRS11" s="37"/>
      <c r="DRT11" s="36"/>
      <c r="DRU11" s="37"/>
      <c r="DRV11" s="36"/>
      <c r="DRW11" s="37"/>
      <c r="DRX11" s="36"/>
      <c r="DRY11" s="37"/>
      <c r="DRZ11" s="36"/>
      <c r="DSA11" s="36"/>
      <c r="DSB11" s="37"/>
      <c r="DSC11" s="37"/>
      <c r="DSE11" s="22"/>
      <c r="DSF11" s="35"/>
      <c r="DSG11" s="36"/>
      <c r="DSH11" s="37"/>
      <c r="DSI11" s="36"/>
      <c r="DSJ11" s="37"/>
      <c r="DSK11" s="36"/>
      <c r="DSL11" s="37"/>
      <c r="DSM11" s="36"/>
      <c r="DSN11" s="37"/>
      <c r="DSO11" s="36"/>
      <c r="DSP11" s="37"/>
      <c r="DSQ11" s="36"/>
      <c r="DSR11" s="37"/>
      <c r="DSS11" s="36"/>
      <c r="DST11" s="37"/>
      <c r="DSU11" s="36"/>
      <c r="DSV11" s="37"/>
      <c r="DSW11" s="36"/>
      <c r="DSX11" s="37"/>
      <c r="DSY11" s="36"/>
      <c r="DSZ11" s="36"/>
      <c r="DTA11" s="37"/>
      <c r="DTB11" s="37"/>
      <c r="DTD11" s="22"/>
      <c r="DTE11" s="35"/>
      <c r="DTF11" s="36"/>
      <c r="DTG11" s="37"/>
      <c r="DTH11" s="36"/>
      <c r="DTI11" s="37"/>
      <c r="DTJ11" s="36"/>
      <c r="DTK11" s="37"/>
      <c r="DTL11" s="36"/>
      <c r="DTM11" s="37"/>
      <c r="DTN11" s="36"/>
      <c r="DTO11" s="37"/>
      <c r="DTP11" s="36"/>
      <c r="DTQ11" s="37"/>
      <c r="DTR11" s="36"/>
      <c r="DTS11" s="37"/>
      <c r="DTT11" s="36"/>
      <c r="DTU11" s="37"/>
      <c r="DTV11" s="36"/>
      <c r="DTW11" s="37"/>
      <c r="DTX11" s="36"/>
      <c r="DTY11" s="36"/>
      <c r="DTZ11" s="37"/>
      <c r="DUA11" s="37"/>
      <c r="DUC11" s="22"/>
      <c r="DUD11" s="35"/>
      <c r="DUE11" s="36"/>
      <c r="DUF11" s="37"/>
      <c r="DUG11" s="36"/>
      <c r="DUH11" s="37"/>
      <c r="DUI11" s="36"/>
      <c r="DUJ11" s="37"/>
      <c r="DUK11" s="36"/>
      <c r="DUL11" s="37"/>
      <c r="DUM11" s="36"/>
      <c r="DUN11" s="37"/>
      <c r="DUO11" s="36"/>
      <c r="DUP11" s="37"/>
      <c r="DUQ11" s="36"/>
      <c r="DUR11" s="37"/>
      <c r="DUS11" s="36"/>
      <c r="DUT11" s="37"/>
      <c r="DUU11" s="36"/>
      <c r="DUV11" s="37"/>
      <c r="DUW11" s="36"/>
      <c r="DUX11" s="36"/>
      <c r="DUY11" s="37"/>
      <c r="DUZ11" s="37"/>
      <c r="DVB11" s="22"/>
      <c r="DVC11" s="35"/>
      <c r="DVD11" s="36"/>
      <c r="DVE11" s="37"/>
      <c r="DVF11" s="36"/>
      <c r="DVG11" s="37"/>
      <c r="DVH11" s="36"/>
      <c r="DVI11" s="37"/>
      <c r="DVJ11" s="36"/>
      <c r="DVK11" s="37"/>
      <c r="DVL11" s="36"/>
      <c r="DVM11" s="37"/>
      <c r="DVN11" s="36"/>
      <c r="DVO11" s="37"/>
      <c r="DVP11" s="36"/>
      <c r="DVQ11" s="37"/>
      <c r="DVR11" s="36"/>
      <c r="DVS11" s="37"/>
      <c r="DVT11" s="36"/>
      <c r="DVU11" s="37"/>
      <c r="DVV11" s="36"/>
      <c r="DVW11" s="36"/>
      <c r="DVX11" s="37"/>
      <c r="DVY11" s="37"/>
      <c r="DWA11" s="22"/>
      <c r="DWB11" s="35"/>
      <c r="DWC11" s="36"/>
      <c r="DWD11" s="37"/>
      <c r="DWE11" s="36"/>
      <c r="DWF11" s="37"/>
      <c r="DWG11" s="36"/>
      <c r="DWH11" s="37"/>
      <c r="DWI11" s="36"/>
      <c r="DWJ11" s="37"/>
      <c r="DWK11" s="36"/>
      <c r="DWL11" s="37"/>
      <c r="DWM11" s="36"/>
      <c r="DWN11" s="37"/>
      <c r="DWO11" s="36"/>
      <c r="DWP11" s="37"/>
      <c r="DWQ11" s="36"/>
      <c r="DWR11" s="37"/>
      <c r="DWS11" s="36"/>
      <c r="DWT11" s="37"/>
      <c r="DWU11" s="36"/>
      <c r="DWV11" s="36"/>
      <c r="DWW11" s="37"/>
      <c r="DWX11" s="37"/>
      <c r="DWZ11" s="22"/>
      <c r="DXA11" s="35"/>
      <c r="DXB11" s="36"/>
      <c r="DXC11" s="37"/>
      <c r="DXD11" s="36"/>
      <c r="DXE11" s="37"/>
      <c r="DXF11" s="36"/>
      <c r="DXG11" s="37"/>
      <c r="DXH11" s="36"/>
      <c r="DXI11" s="37"/>
      <c r="DXJ11" s="36"/>
      <c r="DXK11" s="37"/>
      <c r="DXL11" s="36"/>
      <c r="DXM11" s="37"/>
      <c r="DXN11" s="36"/>
      <c r="DXO11" s="37"/>
      <c r="DXP11" s="36"/>
      <c r="DXQ11" s="37"/>
      <c r="DXR11" s="36"/>
      <c r="DXS11" s="37"/>
      <c r="DXT11" s="36"/>
      <c r="DXU11" s="36"/>
      <c r="DXV11" s="37"/>
      <c r="DXW11" s="37"/>
      <c r="DXY11" s="22"/>
      <c r="DXZ11" s="35"/>
      <c r="DYA11" s="36"/>
      <c r="DYB11" s="37"/>
      <c r="DYC11" s="36"/>
      <c r="DYD11" s="37"/>
      <c r="DYE11" s="36"/>
      <c r="DYF11" s="37"/>
      <c r="DYG11" s="36"/>
      <c r="DYH11" s="37"/>
      <c r="DYI11" s="36"/>
      <c r="DYJ11" s="37"/>
      <c r="DYK11" s="36"/>
      <c r="DYL11" s="37"/>
      <c r="DYM11" s="36"/>
      <c r="DYN11" s="37"/>
      <c r="DYO11" s="36"/>
      <c r="DYP11" s="37"/>
      <c r="DYQ11" s="36"/>
      <c r="DYR11" s="37"/>
      <c r="DYS11" s="36"/>
      <c r="DYT11" s="36"/>
      <c r="DYU11" s="37"/>
      <c r="DYV11" s="37"/>
      <c r="DYX11" s="22"/>
      <c r="DYY11" s="35"/>
      <c r="DYZ11" s="36"/>
      <c r="DZA11" s="37"/>
      <c r="DZB11" s="36"/>
      <c r="DZC11" s="37"/>
      <c r="DZD11" s="36"/>
      <c r="DZE11" s="37"/>
      <c r="DZF11" s="36"/>
      <c r="DZG11" s="37"/>
      <c r="DZH11" s="36"/>
      <c r="DZI11" s="37"/>
      <c r="DZJ11" s="36"/>
      <c r="DZK11" s="37"/>
      <c r="DZL11" s="36"/>
      <c r="DZM11" s="37"/>
      <c r="DZN11" s="36"/>
      <c r="DZO11" s="37"/>
      <c r="DZP11" s="36"/>
      <c r="DZQ11" s="37"/>
      <c r="DZR11" s="36"/>
      <c r="DZS11" s="36"/>
      <c r="DZT11" s="37"/>
      <c r="DZU11" s="37"/>
      <c r="DZW11" s="22"/>
      <c r="DZX11" s="35"/>
      <c r="DZY11" s="36"/>
      <c r="DZZ11" s="37"/>
      <c r="EAA11" s="36"/>
      <c r="EAB11" s="37"/>
      <c r="EAC11" s="36"/>
      <c r="EAD11" s="37"/>
      <c r="EAE11" s="36"/>
      <c r="EAF11" s="37"/>
      <c r="EAG11" s="36"/>
      <c r="EAH11" s="37"/>
      <c r="EAI11" s="36"/>
      <c r="EAJ11" s="37"/>
      <c r="EAK11" s="36"/>
      <c r="EAL11" s="37"/>
      <c r="EAM11" s="36"/>
      <c r="EAN11" s="37"/>
      <c r="EAO11" s="36"/>
      <c r="EAP11" s="37"/>
      <c r="EAQ11" s="36"/>
      <c r="EAR11" s="36"/>
      <c r="EAS11" s="37"/>
      <c r="EAT11" s="37"/>
      <c r="EAV11" s="22"/>
      <c r="EAW11" s="35"/>
      <c r="EAX11" s="36"/>
      <c r="EAY11" s="37"/>
      <c r="EAZ11" s="36"/>
      <c r="EBA11" s="37"/>
      <c r="EBB11" s="36"/>
      <c r="EBC11" s="37"/>
      <c r="EBD11" s="36"/>
      <c r="EBE11" s="37"/>
      <c r="EBF11" s="36"/>
      <c r="EBG11" s="37"/>
      <c r="EBH11" s="36"/>
      <c r="EBI11" s="37"/>
      <c r="EBJ11" s="36"/>
      <c r="EBK11" s="37"/>
      <c r="EBL11" s="36"/>
      <c r="EBM11" s="37"/>
      <c r="EBN11" s="36"/>
      <c r="EBO11" s="37"/>
      <c r="EBP11" s="36"/>
      <c r="EBQ11" s="36"/>
      <c r="EBR11" s="37"/>
      <c r="EBS11" s="37"/>
      <c r="EBU11" s="22"/>
      <c r="EBV11" s="35"/>
      <c r="EBW11" s="36"/>
      <c r="EBX11" s="37"/>
      <c r="EBY11" s="36"/>
      <c r="EBZ11" s="37"/>
      <c r="ECA11" s="36"/>
      <c r="ECB11" s="37"/>
      <c r="ECC11" s="36"/>
      <c r="ECD11" s="37"/>
      <c r="ECE11" s="36"/>
      <c r="ECF11" s="37"/>
      <c r="ECG11" s="36"/>
      <c r="ECH11" s="37"/>
      <c r="ECI11" s="36"/>
      <c r="ECJ11" s="37"/>
      <c r="ECK11" s="36"/>
      <c r="ECL11" s="37"/>
      <c r="ECM11" s="36"/>
      <c r="ECN11" s="37"/>
      <c r="ECO11" s="36"/>
      <c r="ECP11" s="36"/>
      <c r="ECQ11" s="37"/>
      <c r="ECR11" s="37"/>
      <c r="ECT11" s="22"/>
      <c r="ECU11" s="35"/>
      <c r="ECV11" s="36"/>
      <c r="ECW11" s="37"/>
      <c r="ECX11" s="36"/>
      <c r="ECY11" s="37"/>
      <c r="ECZ11" s="36"/>
      <c r="EDA11" s="37"/>
      <c r="EDB11" s="36"/>
      <c r="EDC11" s="37"/>
      <c r="EDD11" s="36"/>
      <c r="EDE11" s="37"/>
      <c r="EDF11" s="36"/>
      <c r="EDG11" s="37"/>
      <c r="EDH11" s="36"/>
      <c r="EDI11" s="37"/>
      <c r="EDJ11" s="36"/>
      <c r="EDK11" s="37"/>
      <c r="EDL11" s="36"/>
      <c r="EDM11" s="37"/>
      <c r="EDN11" s="36"/>
      <c r="EDO11" s="36"/>
      <c r="EDP11" s="37"/>
      <c r="EDQ11" s="37"/>
      <c r="EDS11" s="22"/>
      <c r="EDT11" s="35"/>
      <c r="EDU11" s="36"/>
      <c r="EDV11" s="37"/>
      <c r="EDW11" s="36"/>
      <c r="EDX11" s="37"/>
      <c r="EDY11" s="36"/>
      <c r="EDZ11" s="37"/>
      <c r="EEA11" s="36"/>
      <c r="EEB11" s="37"/>
      <c r="EEC11" s="36"/>
      <c r="EED11" s="37"/>
      <c r="EEE11" s="36"/>
      <c r="EEF11" s="37"/>
      <c r="EEG11" s="36"/>
      <c r="EEH11" s="37"/>
      <c r="EEI11" s="36"/>
      <c r="EEJ11" s="37"/>
      <c r="EEK11" s="36"/>
      <c r="EEL11" s="37"/>
      <c r="EEM11" s="36"/>
      <c r="EEN11" s="36"/>
      <c r="EEO11" s="37"/>
      <c r="EEP11" s="37"/>
      <c r="EER11" s="22"/>
      <c r="EES11" s="35"/>
      <c r="EET11" s="36"/>
      <c r="EEU11" s="37"/>
      <c r="EEV11" s="36"/>
      <c r="EEW11" s="37"/>
      <c r="EEX11" s="36"/>
      <c r="EEY11" s="37"/>
      <c r="EEZ11" s="36"/>
      <c r="EFA11" s="37"/>
      <c r="EFB11" s="36"/>
      <c r="EFC11" s="37"/>
      <c r="EFD11" s="36"/>
      <c r="EFE11" s="37"/>
      <c r="EFF11" s="36"/>
      <c r="EFG11" s="37"/>
      <c r="EFH11" s="36"/>
      <c r="EFI11" s="37"/>
      <c r="EFJ11" s="36"/>
      <c r="EFK11" s="37"/>
      <c r="EFL11" s="36"/>
      <c r="EFM11" s="36"/>
      <c r="EFN11" s="37"/>
      <c r="EFO11" s="37"/>
      <c r="EFQ11" s="22"/>
      <c r="EFR11" s="35"/>
      <c r="EFS11" s="36"/>
      <c r="EFT11" s="37"/>
      <c r="EFU11" s="36"/>
      <c r="EFV11" s="37"/>
      <c r="EFW11" s="36"/>
      <c r="EFX11" s="37"/>
      <c r="EFY11" s="36"/>
      <c r="EFZ11" s="37"/>
      <c r="EGA11" s="36"/>
      <c r="EGB11" s="37"/>
      <c r="EGC11" s="36"/>
      <c r="EGD11" s="37"/>
      <c r="EGE11" s="36"/>
      <c r="EGF11" s="37"/>
      <c r="EGG11" s="36"/>
      <c r="EGH11" s="37"/>
      <c r="EGI11" s="36"/>
      <c r="EGJ11" s="37"/>
      <c r="EGK11" s="36"/>
      <c r="EGL11" s="36"/>
      <c r="EGM11" s="37"/>
      <c r="EGN11" s="37"/>
      <c r="EGP11" s="22"/>
      <c r="EGQ11" s="35"/>
      <c r="EGR11" s="36"/>
      <c r="EGS11" s="37"/>
      <c r="EGT11" s="36"/>
      <c r="EGU11" s="37"/>
      <c r="EGV11" s="36"/>
      <c r="EGW11" s="37"/>
      <c r="EGX11" s="36"/>
      <c r="EGY11" s="37"/>
      <c r="EGZ11" s="36"/>
      <c r="EHA11" s="37"/>
      <c r="EHB11" s="36"/>
      <c r="EHC11" s="37"/>
      <c r="EHD11" s="36"/>
      <c r="EHE11" s="37"/>
      <c r="EHF11" s="36"/>
      <c r="EHG11" s="37"/>
      <c r="EHH11" s="36"/>
      <c r="EHI11" s="37"/>
      <c r="EHJ11" s="36"/>
      <c r="EHK11" s="36"/>
      <c r="EHL11" s="37"/>
      <c r="EHM11" s="37"/>
      <c r="EHO11" s="22"/>
      <c r="EHP11" s="35"/>
      <c r="EHQ11" s="36"/>
      <c r="EHR11" s="37"/>
      <c r="EHS11" s="36"/>
      <c r="EHT11" s="37"/>
      <c r="EHU11" s="36"/>
      <c r="EHV11" s="37"/>
      <c r="EHW11" s="36"/>
      <c r="EHX11" s="37"/>
      <c r="EHY11" s="36"/>
      <c r="EHZ11" s="37"/>
      <c r="EIA11" s="36"/>
      <c r="EIB11" s="37"/>
      <c r="EIC11" s="36"/>
      <c r="EID11" s="37"/>
      <c r="EIE11" s="36"/>
      <c r="EIF11" s="37"/>
      <c r="EIG11" s="36"/>
      <c r="EIH11" s="37"/>
      <c r="EII11" s="36"/>
      <c r="EIJ11" s="36"/>
      <c r="EIK11" s="37"/>
      <c r="EIL11" s="37"/>
      <c r="EIN11" s="22"/>
      <c r="EIO11" s="35"/>
      <c r="EIP11" s="36"/>
      <c r="EIQ11" s="37"/>
      <c r="EIR11" s="36"/>
      <c r="EIS11" s="37"/>
      <c r="EIT11" s="36"/>
      <c r="EIU11" s="37"/>
      <c r="EIV11" s="36"/>
      <c r="EIW11" s="37"/>
      <c r="EIX11" s="36"/>
      <c r="EIY11" s="37"/>
      <c r="EIZ11" s="36"/>
      <c r="EJA11" s="37"/>
      <c r="EJB11" s="36"/>
      <c r="EJC11" s="37"/>
      <c r="EJD11" s="36"/>
      <c r="EJE11" s="37"/>
      <c r="EJF11" s="36"/>
      <c r="EJG11" s="37"/>
      <c r="EJH11" s="36"/>
      <c r="EJI11" s="36"/>
      <c r="EJJ11" s="37"/>
      <c r="EJK11" s="37"/>
      <c r="EJM11" s="22"/>
      <c r="EJN11" s="35"/>
      <c r="EJO11" s="36"/>
      <c r="EJP11" s="37"/>
      <c r="EJQ11" s="36"/>
      <c r="EJR11" s="37"/>
      <c r="EJS11" s="36"/>
      <c r="EJT11" s="37"/>
      <c r="EJU11" s="36"/>
      <c r="EJV11" s="37"/>
      <c r="EJW11" s="36"/>
      <c r="EJX11" s="37"/>
      <c r="EJY11" s="36"/>
      <c r="EJZ11" s="37"/>
      <c r="EKA11" s="36"/>
      <c r="EKB11" s="37"/>
      <c r="EKC11" s="36"/>
      <c r="EKD11" s="37"/>
      <c r="EKE11" s="36"/>
      <c r="EKF11" s="37"/>
      <c r="EKG11" s="36"/>
      <c r="EKH11" s="36"/>
      <c r="EKI11" s="37"/>
      <c r="EKJ11" s="37"/>
      <c r="EKL11" s="22"/>
      <c r="EKM11" s="35"/>
      <c r="EKN11" s="36"/>
      <c r="EKO11" s="37"/>
      <c r="EKP11" s="36"/>
      <c r="EKQ11" s="37"/>
      <c r="EKR11" s="36"/>
      <c r="EKS11" s="37"/>
      <c r="EKT11" s="36"/>
      <c r="EKU11" s="37"/>
      <c r="EKV11" s="36"/>
      <c r="EKW11" s="37"/>
      <c r="EKX11" s="36"/>
      <c r="EKY11" s="37"/>
      <c r="EKZ11" s="36"/>
      <c r="ELA11" s="37"/>
      <c r="ELB11" s="36"/>
      <c r="ELC11" s="37"/>
      <c r="ELD11" s="36"/>
      <c r="ELE11" s="37"/>
      <c r="ELF11" s="36"/>
      <c r="ELG11" s="36"/>
      <c r="ELH11" s="37"/>
      <c r="ELI11" s="37"/>
      <c r="ELK11" s="22"/>
      <c r="ELL11" s="35"/>
      <c r="ELM11" s="36"/>
      <c r="ELN11" s="37"/>
      <c r="ELO11" s="36"/>
      <c r="ELP11" s="37"/>
      <c r="ELQ11" s="36"/>
      <c r="ELR11" s="37"/>
      <c r="ELS11" s="36"/>
      <c r="ELT11" s="37"/>
      <c r="ELU11" s="36"/>
      <c r="ELV11" s="37"/>
      <c r="ELW11" s="36"/>
      <c r="ELX11" s="37"/>
      <c r="ELY11" s="36"/>
      <c r="ELZ11" s="37"/>
      <c r="EMA11" s="36"/>
      <c r="EMB11" s="37"/>
      <c r="EMC11" s="36"/>
      <c r="EMD11" s="37"/>
      <c r="EME11" s="36"/>
      <c r="EMF11" s="36"/>
      <c r="EMG11" s="37"/>
      <c r="EMH11" s="37"/>
      <c r="EMJ11" s="22"/>
      <c r="EMK11" s="35"/>
      <c r="EML11" s="36"/>
      <c r="EMM11" s="37"/>
      <c r="EMN11" s="36"/>
      <c r="EMO11" s="37"/>
      <c r="EMP11" s="36"/>
      <c r="EMQ11" s="37"/>
      <c r="EMR11" s="36"/>
      <c r="EMS11" s="37"/>
      <c r="EMT11" s="36"/>
      <c r="EMU11" s="37"/>
      <c r="EMV11" s="36"/>
      <c r="EMW11" s="37"/>
      <c r="EMX11" s="36"/>
      <c r="EMY11" s="37"/>
      <c r="EMZ11" s="36"/>
      <c r="ENA11" s="37"/>
      <c r="ENB11" s="36"/>
      <c r="ENC11" s="37"/>
      <c r="END11" s="36"/>
      <c r="ENE11" s="36"/>
      <c r="ENF11" s="37"/>
      <c r="ENG11" s="37"/>
      <c r="ENI11" s="22"/>
      <c r="ENJ11" s="35"/>
      <c r="ENK11" s="36"/>
      <c r="ENL11" s="37"/>
      <c r="ENM11" s="36"/>
      <c r="ENN11" s="37"/>
      <c r="ENO11" s="36"/>
      <c r="ENP11" s="37"/>
      <c r="ENQ11" s="36"/>
      <c r="ENR11" s="37"/>
      <c r="ENS11" s="36"/>
      <c r="ENT11" s="37"/>
      <c r="ENU11" s="36"/>
      <c r="ENV11" s="37"/>
      <c r="ENW11" s="36"/>
      <c r="ENX11" s="37"/>
      <c r="ENY11" s="36"/>
      <c r="ENZ11" s="37"/>
      <c r="EOA11" s="36"/>
      <c r="EOB11" s="37"/>
      <c r="EOC11" s="36"/>
      <c r="EOD11" s="36"/>
      <c r="EOE11" s="37"/>
      <c r="EOF11" s="37"/>
      <c r="EOH11" s="22"/>
      <c r="EOI11" s="35"/>
      <c r="EOJ11" s="36"/>
      <c r="EOK11" s="37"/>
      <c r="EOL11" s="36"/>
      <c r="EOM11" s="37"/>
      <c r="EON11" s="36"/>
      <c r="EOO11" s="37"/>
      <c r="EOP11" s="36"/>
      <c r="EOQ11" s="37"/>
      <c r="EOR11" s="36"/>
      <c r="EOS11" s="37"/>
      <c r="EOT11" s="36"/>
      <c r="EOU11" s="37"/>
      <c r="EOV11" s="36"/>
      <c r="EOW11" s="37"/>
      <c r="EOX11" s="36"/>
      <c r="EOY11" s="37"/>
      <c r="EOZ11" s="36"/>
      <c r="EPA11" s="37"/>
      <c r="EPB11" s="36"/>
      <c r="EPC11" s="36"/>
      <c r="EPD11" s="37"/>
      <c r="EPE11" s="37"/>
      <c r="EPG11" s="22"/>
      <c r="EPH11" s="35"/>
      <c r="EPI11" s="36"/>
      <c r="EPJ11" s="37"/>
      <c r="EPK11" s="36"/>
      <c r="EPL11" s="37"/>
      <c r="EPM11" s="36"/>
      <c r="EPN11" s="37"/>
      <c r="EPO11" s="36"/>
      <c r="EPP11" s="37"/>
      <c r="EPQ11" s="36"/>
      <c r="EPR11" s="37"/>
      <c r="EPS11" s="36"/>
      <c r="EPT11" s="37"/>
      <c r="EPU11" s="36"/>
      <c r="EPV11" s="37"/>
      <c r="EPW11" s="36"/>
      <c r="EPX11" s="37"/>
      <c r="EPY11" s="36"/>
      <c r="EPZ11" s="37"/>
      <c r="EQA11" s="36"/>
      <c r="EQB11" s="36"/>
      <c r="EQC11" s="37"/>
      <c r="EQD11" s="37"/>
      <c r="EQF11" s="22"/>
      <c r="EQG11" s="35"/>
      <c r="EQH11" s="36"/>
      <c r="EQI11" s="37"/>
      <c r="EQJ11" s="36"/>
      <c r="EQK11" s="37"/>
      <c r="EQL11" s="36"/>
      <c r="EQM11" s="37"/>
      <c r="EQN11" s="36"/>
      <c r="EQO11" s="37"/>
      <c r="EQP11" s="36"/>
      <c r="EQQ11" s="37"/>
      <c r="EQR11" s="36"/>
      <c r="EQS11" s="37"/>
      <c r="EQT11" s="36"/>
      <c r="EQU11" s="37"/>
      <c r="EQV11" s="36"/>
      <c r="EQW11" s="37"/>
      <c r="EQX11" s="36"/>
      <c r="EQY11" s="37"/>
      <c r="EQZ11" s="36"/>
      <c r="ERA11" s="36"/>
      <c r="ERB11" s="37"/>
      <c r="ERC11" s="37"/>
      <c r="ERE11" s="22"/>
      <c r="ERF11" s="35"/>
      <c r="ERG11" s="36"/>
      <c r="ERH11" s="37"/>
      <c r="ERI11" s="36"/>
      <c r="ERJ11" s="37"/>
      <c r="ERK11" s="36"/>
      <c r="ERL11" s="37"/>
      <c r="ERM11" s="36"/>
      <c r="ERN11" s="37"/>
      <c r="ERO11" s="36"/>
      <c r="ERP11" s="37"/>
      <c r="ERQ11" s="36"/>
      <c r="ERR11" s="37"/>
      <c r="ERS11" s="36"/>
      <c r="ERT11" s="37"/>
      <c r="ERU11" s="36"/>
      <c r="ERV11" s="37"/>
      <c r="ERW11" s="36"/>
      <c r="ERX11" s="37"/>
      <c r="ERY11" s="36"/>
      <c r="ERZ11" s="36"/>
      <c r="ESA11" s="37"/>
      <c r="ESB11" s="37"/>
      <c r="ESD11" s="22"/>
      <c r="ESE11" s="35"/>
      <c r="ESF11" s="36"/>
      <c r="ESG11" s="37"/>
      <c r="ESH11" s="36"/>
      <c r="ESI11" s="37"/>
      <c r="ESJ11" s="36"/>
      <c r="ESK11" s="37"/>
      <c r="ESL11" s="36"/>
      <c r="ESM11" s="37"/>
      <c r="ESN11" s="36"/>
      <c r="ESO11" s="37"/>
      <c r="ESP11" s="36"/>
      <c r="ESQ11" s="37"/>
      <c r="ESR11" s="36"/>
      <c r="ESS11" s="37"/>
      <c r="EST11" s="36"/>
      <c r="ESU11" s="37"/>
      <c r="ESV11" s="36"/>
      <c r="ESW11" s="37"/>
      <c r="ESX11" s="36"/>
      <c r="ESY11" s="36"/>
      <c r="ESZ11" s="37"/>
      <c r="ETA11" s="37"/>
      <c r="ETC11" s="22"/>
      <c r="ETD11" s="35"/>
      <c r="ETE11" s="36"/>
      <c r="ETF11" s="37"/>
      <c r="ETG11" s="36"/>
      <c r="ETH11" s="37"/>
      <c r="ETI11" s="36"/>
      <c r="ETJ11" s="37"/>
      <c r="ETK11" s="36"/>
      <c r="ETL11" s="37"/>
      <c r="ETM11" s="36"/>
      <c r="ETN11" s="37"/>
      <c r="ETO11" s="36"/>
      <c r="ETP11" s="37"/>
      <c r="ETQ11" s="36"/>
      <c r="ETR11" s="37"/>
      <c r="ETS11" s="36"/>
      <c r="ETT11" s="37"/>
      <c r="ETU11" s="36"/>
      <c r="ETV11" s="37"/>
      <c r="ETW11" s="36"/>
      <c r="ETX11" s="36"/>
      <c r="ETY11" s="37"/>
      <c r="ETZ11" s="37"/>
      <c r="EUB11" s="22"/>
      <c r="EUC11" s="35"/>
      <c r="EUD11" s="36"/>
      <c r="EUE11" s="37"/>
      <c r="EUF11" s="36"/>
      <c r="EUG11" s="37"/>
      <c r="EUH11" s="36"/>
      <c r="EUI11" s="37"/>
      <c r="EUJ11" s="36"/>
      <c r="EUK11" s="37"/>
      <c r="EUL11" s="36"/>
      <c r="EUM11" s="37"/>
      <c r="EUN11" s="36"/>
      <c r="EUO11" s="37"/>
      <c r="EUP11" s="36"/>
      <c r="EUQ11" s="37"/>
      <c r="EUR11" s="36"/>
      <c r="EUS11" s="37"/>
      <c r="EUT11" s="36"/>
      <c r="EUU11" s="37"/>
      <c r="EUV11" s="36"/>
      <c r="EUW11" s="36"/>
      <c r="EUX11" s="37"/>
      <c r="EUY11" s="37"/>
      <c r="EVA11" s="22"/>
      <c r="EVB11" s="35"/>
      <c r="EVC11" s="36"/>
      <c r="EVD11" s="37"/>
      <c r="EVE11" s="36"/>
      <c r="EVF11" s="37"/>
      <c r="EVG11" s="36"/>
      <c r="EVH11" s="37"/>
      <c r="EVI11" s="36"/>
      <c r="EVJ11" s="37"/>
      <c r="EVK11" s="36"/>
      <c r="EVL11" s="37"/>
      <c r="EVM11" s="36"/>
      <c r="EVN11" s="37"/>
      <c r="EVO11" s="36"/>
      <c r="EVP11" s="37"/>
      <c r="EVQ11" s="36"/>
      <c r="EVR11" s="37"/>
      <c r="EVS11" s="36"/>
      <c r="EVT11" s="37"/>
      <c r="EVU11" s="36"/>
      <c r="EVV11" s="36"/>
      <c r="EVW11" s="37"/>
      <c r="EVX11" s="37"/>
      <c r="EVZ11" s="22"/>
      <c r="EWA11" s="35"/>
      <c r="EWB11" s="36"/>
      <c r="EWC11" s="37"/>
      <c r="EWD11" s="36"/>
      <c r="EWE11" s="37"/>
      <c r="EWF11" s="36"/>
      <c r="EWG11" s="37"/>
      <c r="EWH11" s="36"/>
      <c r="EWI11" s="37"/>
      <c r="EWJ11" s="36"/>
      <c r="EWK11" s="37"/>
      <c r="EWL11" s="36"/>
      <c r="EWM11" s="37"/>
      <c r="EWN11" s="36"/>
      <c r="EWO11" s="37"/>
      <c r="EWP11" s="36"/>
      <c r="EWQ11" s="37"/>
      <c r="EWR11" s="36"/>
      <c r="EWS11" s="37"/>
      <c r="EWT11" s="36"/>
      <c r="EWU11" s="36"/>
      <c r="EWV11" s="37"/>
      <c r="EWW11" s="37"/>
      <c r="EWY11" s="22"/>
      <c r="EWZ11" s="35"/>
      <c r="EXA11" s="36"/>
      <c r="EXB11" s="37"/>
      <c r="EXC11" s="36"/>
      <c r="EXD11" s="37"/>
      <c r="EXE11" s="36"/>
      <c r="EXF11" s="37"/>
      <c r="EXG11" s="36"/>
      <c r="EXH11" s="37"/>
      <c r="EXI11" s="36"/>
      <c r="EXJ11" s="37"/>
      <c r="EXK11" s="36"/>
      <c r="EXL11" s="37"/>
      <c r="EXM11" s="36"/>
      <c r="EXN11" s="37"/>
      <c r="EXO11" s="36"/>
      <c r="EXP11" s="37"/>
      <c r="EXQ11" s="36"/>
      <c r="EXR11" s="37"/>
      <c r="EXS11" s="36"/>
      <c r="EXT11" s="36"/>
      <c r="EXU11" s="37"/>
      <c r="EXV11" s="37"/>
      <c r="EXX11" s="22"/>
      <c r="EXY11" s="35"/>
      <c r="EXZ11" s="36"/>
      <c r="EYA11" s="37"/>
      <c r="EYB11" s="36"/>
      <c r="EYC11" s="37"/>
      <c r="EYD11" s="36"/>
      <c r="EYE11" s="37"/>
      <c r="EYF11" s="36"/>
      <c r="EYG11" s="37"/>
      <c r="EYH11" s="36"/>
      <c r="EYI11" s="37"/>
      <c r="EYJ11" s="36"/>
      <c r="EYK11" s="37"/>
      <c r="EYL11" s="36"/>
      <c r="EYM11" s="37"/>
      <c r="EYN11" s="36"/>
      <c r="EYO11" s="37"/>
      <c r="EYP11" s="36"/>
      <c r="EYQ11" s="37"/>
      <c r="EYR11" s="36"/>
      <c r="EYS11" s="36"/>
      <c r="EYT11" s="37"/>
      <c r="EYU11" s="37"/>
      <c r="EYW11" s="22"/>
      <c r="EYX11" s="35"/>
      <c r="EYY11" s="36"/>
      <c r="EYZ11" s="37"/>
      <c r="EZA11" s="36"/>
      <c r="EZB11" s="37"/>
      <c r="EZC11" s="36"/>
      <c r="EZD11" s="37"/>
      <c r="EZE11" s="36"/>
      <c r="EZF11" s="37"/>
      <c r="EZG11" s="36"/>
      <c r="EZH11" s="37"/>
      <c r="EZI11" s="36"/>
      <c r="EZJ11" s="37"/>
      <c r="EZK11" s="36"/>
      <c r="EZL11" s="37"/>
      <c r="EZM11" s="36"/>
      <c r="EZN11" s="37"/>
      <c r="EZO11" s="36"/>
      <c r="EZP11" s="37"/>
      <c r="EZQ11" s="36"/>
      <c r="EZR11" s="36"/>
      <c r="EZS11" s="37"/>
      <c r="EZT11" s="37"/>
      <c r="EZV11" s="22"/>
      <c r="EZW11" s="35"/>
      <c r="EZX11" s="36"/>
      <c r="EZY11" s="37"/>
      <c r="EZZ11" s="36"/>
      <c r="FAA11" s="37"/>
      <c r="FAB11" s="36"/>
      <c r="FAC11" s="37"/>
      <c r="FAD11" s="36"/>
      <c r="FAE11" s="37"/>
      <c r="FAF11" s="36"/>
      <c r="FAG11" s="37"/>
      <c r="FAH11" s="36"/>
      <c r="FAI11" s="37"/>
      <c r="FAJ11" s="36"/>
      <c r="FAK11" s="37"/>
      <c r="FAL11" s="36"/>
      <c r="FAM11" s="37"/>
      <c r="FAN11" s="36"/>
      <c r="FAO11" s="37"/>
      <c r="FAP11" s="36"/>
      <c r="FAQ11" s="36"/>
      <c r="FAR11" s="37"/>
      <c r="FAS11" s="37"/>
      <c r="FAU11" s="22"/>
      <c r="FAV11" s="35"/>
      <c r="FAW11" s="36"/>
      <c r="FAX11" s="37"/>
      <c r="FAY11" s="36"/>
      <c r="FAZ11" s="37"/>
      <c r="FBA11" s="36"/>
      <c r="FBB11" s="37"/>
      <c r="FBC11" s="36"/>
      <c r="FBD11" s="37"/>
      <c r="FBE11" s="36"/>
      <c r="FBF11" s="37"/>
      <c r="FBG11" s="36"/>
      <c r="FBH11" s="37"/>
      <c r="FBI11" s="36"/>
      <c r="FBJ11" s="37"/>
      <c r="FBK11" s="36"/>
      <c r="FBL11" s="37"/>
      <c r="FBM11" s="36"/>
      <c r="FBN11" s="37"/>
      <c r="FBO11" s="36"/>
      <c r="FBP11" s="36"/>
      <c r="FBQ11" s="37"/>
      <c r="FBR11" s="37"/>
      <c r="FBT11" s="22"/>
      <c r="FBU11" s="35"/>
      <c r="FBV11" s="36"/>
      <c r="FBW11" s="37"/>
      <c r="FBX11" s="36"/>
      <c r="FBY11" s="37"/>
      <c r="FBZ11" s="36"/>
      <c r="FCA11" s="37"/>
      <c r="FCB11" s="36"/>
      <c r="FCC11" s="37"/>
      <c r="FCD11" s="36"/>
      <c r="FCE11" s="37"/>
      <c r="FCF11" s="36"/>
      <c r="FCG11" s="37"/>
      <c r="FCH11" s="36"/>
      <c r="FCI11" s="37"/>
      <c r="FCJ11" s="36"/>
      <c r="FCK11" s="37"/>
      <c r="FCL11" s="36"/>
      <c r="FCM11" s="37"/>
      <c r="FCN11" s="36"/>
      <c r="FCO11" s="36"/>
      <c r="FCP11" s="37"/>
      <c r="FCQ11" s="37"/>
      <c r="FCS11" s="22"/>
      <c r="FCT11" s="35"/>
      <c r="FCU11" s="36"/>
      <c r="FCV11" s="37"/>
      <c r="FCW11" s="36"/>
      <c r="FCX11" s="37"/>
      <c r="FCY11" s="36"/>
      <c r="FCZ11" s="37"/>
      <c r="FDA11" s="36"/>
      <c r="FDB11" s="37"/>
      <c r="FDC11" s="36"/>
      <c r="FDD11" s="37"/>
      <c r="FDE11" s="36"/>
      <c r="FDF11" s="37"/>
      <c r="FDG11" s="36"/>
      <c r="FDH11" s="37"/>
      <c r="FDI11" s="36"/>
      <c r="FDJ11" s="37"/>
      <c r="FDK11" s="36"/>
      <c r="FDL11" s="37"/>
      <c r="FDM11" s="36"/>
      <c r="FDN11" s="36"/>
      <c r="FDO11" s="37"/>
      <c r="FDP11" s="37"/>
      <c r="FDR11" s="22"/>
      <c r="FDS11" s="35"/>
      <c r="FDT11" s="36"/>
      <c r="FDU11" s="37"/>
      <c r="FDV11" s="36"/>
      <c r="FDW11" s="37"/>
      <c r="FDX11" s="36"/>
      <c r="FDY11" s="37"/>
      <c r="FDZ11" s="36"/>
      <c r="FEA11" s="37"/>
      <c r="FEB11" s="36"/>
      <c r="FEC11" s="37"/>
      <c r="FED11" s="36"/>
      <c r="FEE11" s="37"/>
      <c r="FEF11" s="36"/>
      <c r="FEG11" s="37"/>
      <c r="FEH11" s="36"/>
      <c r="FEI11" s="37"/>
      <c r="FEJ11" s="36"/>
      <c r="FEK11" s="37"/>
      <c r="FEL11" s="36"/>
      <c r="FEM11" s="36"/>
      <c r="FEN11" s="37"/>
      <c r="FEO11" s="37"/>
      <c r="FEQ11" s="22"/>
      <c r="FER11" s="35"/>
      <c r="FES11" s="36"/>
      <c r="FET11" s="37"/>
      <c r="FEU11" s="36"/>
      <c r="FEV11" s="37"/>
      <c r="FEW11" s="36"/>
      <c r="FEX11" s="37"/>
      <c r="FEY11" s="36"/>
      <c r="FEZ11" s="37"/>
      <c r="FFA11" s="36"/>
      <c r="FFB11" s="37"/>
      <c r="FFC11" s="36"/>
      <c r="FFD11" s="37"/>
      <c r="FFE11" s="36"/>
      <c r="FFF11" s="37"/>
      <c r="FFG11" s="36"/>
      <c r="FFH11" s="37"/>
      <c r="FFI11" s="36"/>
      <c r="FFJ11" s="37"/>
      <c r="FFK11" s="36"/>
      <c r="FFL11" s="36"/>
      <c r="FFM11" s="37"/>
      <c r="FFN11" s="37"/>
      <c r="FFP11" s="22"/>
      <c r="FFQ11" s="35"/>
      <c r="FFR11" s="36"/>
      <c r="FFS11" s="37"/>
      <c r="FFT11" s="36"/>
      <c r="FFU11" s="37"/>
      <c r="FFV11" s="36"/>
      <c r="FFW11" s="37"/>
      <c r="FFX11" s="36"/>
      <c r="FFY11" s="37"/>
      <c r="FFZ11" s="36"/>
      <c r="FGA11" s="37"/>
      <c r="FGB11" s="36"/>
      <c r="FGC11" s="37"/>
      <c r="FGD11" s="36"/>
      <c r="FGE11" s="37"/>
      <c r="FGF11" s="36"/>
      <c r="FGG11" s="37"/>
      <c r="FGH11" s="36"/>
      <c r="FGI11" s="37"/>
      <c r="FGJ11" s="36"/>
      <c r="FGK11" s="36"/>
      <c r="FGL11" s="37"/>
      <c r="FGM11" s="37"/>
      <c r="FGO11" s="22"/>
      <c r="FGP11" s="35"/>
      <c r="FGQ11" s="36"/>
      <c r="FGR11" s="37"/>
      <c r="FGS11" s="36"/>
      <c r="FGT11" s="37"/>
      <c r="FGU11" s="36"/>
      <c r="FGV11" s="37"/>
      <c r="FGW11" s="36"/>
      <c r="FGX11" s="37"/>
      <c r="FGY11" s="36"/>
      <c r="FGZ11" s="37"/>
      <c r="FHA11" s="36"/>
      <c r="FHB11" s="37"/>
      <c r="FHC11" s="36"/>
      <c r="FHD11" s="37"/>
      <c r="FHE11" s="36"/>
      <c r="FHF11" s="37"/>
      <c r="FHG11" s="36"/>
      <c r="FHH11" s="37"/>
      <c r="FHI11" s="36"/>
      <c r="FHJ11" s="36"/>
      <c r="FHK11" s="37"/>
      <c r="FHL11" s="37"/>
      <c r="FHN11" s="22"/>
      <c r="FHO11" s="35"/>
      <c r="FHP11" s="36"/>
      <c r="FHQ11" s="37"/>
      <c r="FHR11" s="36"/>
      <c r="FHS11" s="37"/>
      <c r="FHT11" s="36"/>
      <c r="FHU11" s="37"/>
      <c r="FHV11" s="36"/>
      <c r="FHW11" s="37"/>
      <c r="FHX11" s="36"/>
      <c r="FHY11" s="37"/>
      <c r="FHZ11" s="36"/>
      <c r="FIA11" s="37"/>
      <c r="FIB11" s="36"/>
      <c r="FIC11" s="37"/>
      <c r="FID11" s="36"/>
      <c r="FIE11" s="37"/>
      <c r="FIF11" s="36"/>
      <c r="FIG11" s="37"/>
      <c r="FIH11" s="36"/>
      <c r="FII11" s="36"/>
      <c r="FIJ11" s="37"/>
      <c r="FIK11" s="37"/>
      <c r="FIM11" s="22"/>
      <c r="FIN11" s="35"/>
      <c r="FIO11" s="36"/>
      <c r="FIP11" s="37"/>
      <c r="FIQ11" s="36"/>
      <c r="FIR11" s="37"/>
      <c r="FIS11" s="36"/>
      <c r="FIT11" s="37"/>
      <c r="FIU11" s="36"/>
      <c r="FIV11" s="37"/>
      <c r="FIW11" s="36"/>
      <c r="FIX11" s="37"/>
      <c r="FIY11" s="36"/>
      <c r="FIZ11" s="37"/>
      <c r="FJA11" s="36"/>
      <c r="FJB11" s="37"/>
      <c r="FJC11" s="36"/>
      <c r="FJD11" s="37"/>
      <c r="FJE11" s="36"/>
      <c r="FJF11" s="37"/>
      <c r="FJG11" s="36"/>
      <c r="FJH11" s="36"/>
      <c r="FJI11" s="37"/>
      <c r="FJJ11" s="37"/>
      <c r="FJL11" s="22"/>
      <c r="FJM11" s="35"/>
      <c r="FJN11" s="36"/>
      <c r="FJO11" s="37"/>
      <c r="FJP11" s="36"/>
      <c r="FJQ11" s="37"/>
      <c r="FJR11" s="36"/>
      <c r="FJS11" s="37"/>
      <c r="FJT11" s="36"/>
      <c r="FJU11" s="37"/>
      <c r="FJV11" s="36"/>
      <c r="FJW11" s="37"/>
      <c r="FJX11" s="36"/>
      <c r="FJY11" s="37"/>
      <c r="FJZ11" s="36"/>
      <c r="FKA11" s="37"/>
      <c r="FKB11" s="36"/>
      <c r="FKC11" s="37"/>
      <c r="FKD11" s="36"/>
      <c r="FKE11" s="37"/>
      <c r="FKF11" s="36"/>
      <c r="FKG11" s="36"/>
      <c r="FKH11" s="37"/>
      <c r="FKI11" s="37"/>
      <c r="FKK11" s="22"/>
      <c r="FKL11" s="35"/>
      <c r="FKM11" s="36"/>
      <c r="FKN11" s="37"/>
      <c r="FKO11" s="36"/>
      <c r="FKP11" s="37"/>
      <c r="FKQ11" s="36"/>
      <c r="FKR11" s="37"/>
      <c r="FKS11" s="36"/>
      <c r="FKT11" s="37"/>
      <c r="FKU11" s="36"/>
      <c r="FKV11" s="37"/>
      <c r="FKW11" s="36"/>
      <c r="FKX11" s="37"/>
      <c r="FKY11" s="36"/>
      <c r="FKZ11" s="37"/>
      <c r="FLA11" s="36"/>
      <c r="FLB11" s="37"/>
      <c r="FLC11" s="36"/>
      <c r="FLD11" s="37"/>
      <c r="FLE11" s="36"/>
      <c r="FLF11" s="36"/>
      <c r="FLG11" s="37"/>
      <c r="FLH11" s="37"/>
      <c r="FLJ11" s="22"/>
      <c r="FLK11" s="35"/>
      <c r="FLL11" s="36"/>
      <c r="FLM11" s="37"/>
      <c r="FLN11" s="36"/>
      <c r="FLO11" s="37"/>
      <c r="FLP11" s="36"/>
      <c r="FLQ11" s="37"/>
      <c r="FLR11" s="36"/>
      <c r="FLS11" s="37"/>
      <c r="FLT11" s="36"/>
      <c r="FLU11" s="37"/>
      <c r="FLV11" s="36"/>
      <c r="FLW11" s="37"/>
      <c r="FLX11" s="36"/>
      <c r="FLY11" s="37"/>
      <c r="FLZ11" s="36"/>
      <c r="FMA11" s="37"/>
      <c r="FMB11" s="36"/>
      <c r="FMC11" s="37"/>
      <c r="FMD11" s="36"/>
      <c r="FME11" s="36"/>
      <c r="FMF11" s="37"/>
      <c r="FMG11" s="37"/>
      <c r="FMI11" s="22"/>
      <c r="FMJ11" s="35"/>
      <c r="FMK11" s="36"/>
      <c r="FML11" s="37"/>
      <c r="FMM11" s="36"/>
      <c r="FMN11" s="37"/>
      <c r="FMO11" s="36"/>
      <c r="FMP11" s="37"/>
      <c r="FMQ11" s="36"/>
      <c r="FMR11" s="37"/>
      <c r="FMS11" s="36"/>
      <c r="FMT11" s="37"/>
      <c r="FMU11" s="36"/>
      <c r="FMV11" s="37"/>
      <c r="FMW11" s="36"/>
      <c r="FMX11" s="37"/>
      <c r="FMY11" s="36"/>
      <c r="FMZ11" s="37"/>
      <c r="FNA11" s="36"/>
      <c r="FNB11" s="37"/>
      <c r="FNC11" s="36"/>
      <c r="FND11" s="36"/>
      <c r="FNE11" s="37"/>
      <c r="FNF11" s="37"/>
      <c r="FNH11" s="22"/>
      <c r="FNI11" s="35"/>
      <c r="FNJ11" s="36"/>
      <c r="FNK11" s="37"/>
      <c r="FNL11" s="36"/>
      <c r="FNM11" s="37"/>
      <c r="FNN11" s="36"/>
      <c r="FNO11" s="37"/>
      <c r="FNP11" s="36"/>
      <c r="FNQ11" s="37"/>
      <c r="FNR11" s="36"/>
      <c r="FNS11" s="37"/>
      <c r="FNT11" s="36"/>
      <c r="FNU11" s="37"/>
      <c r="FNV11" s="36"/>
      <c r="FNW11" s="37"/>
      <c r="FNX11" s="36"/>
      <c r="FNY11" s="37"/>
      <c r="FNZ11" s="36"/>
      <c r="FOA11" s="37"/>
      <c r="FOB11" s="36"/>
      <c r="FOC11" s="36"/>
      <c r="FOD11" s="37"/>
      <c r="FOE11" s="37"/>
      <c r="FOG11" s="22"/>
      <c r="FOH11" s="35"/>
      <c r="FOI11" s="36"/>
      <c r="FOJ11" s="37"/>
      <c r="FOK11" s="36"/>
      <c r="FOL11" s="37"/>
      <c r="FOM11" s="36"/>
      <c r="FON11" s="37"/>
      <c r="FOO11" s="36"/>
      <c r="FOP11" s="37"/>
      <c r="FOQ11" s="36"/>
      <c r="FOR11" s="37"/>
      <c r="FOS11" s="36"/>
      <c r="FOT11" s="37"/>
      <c r="FOU11" s="36"/>
      <c r="FOV11" s="37"/>
      <c r="FOW11" s="36"/>
      <c r="FOX11" s="37"/>
      <c r="FOY11" s="36"/>
      <c r="FOZ11" s="37"/>
      <c r="FPA11" s="36"/>
      <c r="FPB11" s="36"/>
      <c r="FPC11" s="37"/>
      <c r="FPD11" s="37"/>
      <c r="FPF11" s="22"/>
      <c r="FPG11" s="35"/>
      <c r="FPH11" s="36"/>
      <c r="FPI11" s="37"/>
      <c r="FPJ11" s="36"/>
      <c r="FPK11" s="37"/>
      <c r="FPL11" s="36"/>
      <c r="FPM11" s="37"/>
      <c r="FPN11" s="36"/>
      <c r="FPO11" s="37"/>
      <c r="FPP11" s="36"/>
      <c r="FPQ11" s="37"/>
      <c r="FPR11" s="36"/>
      <c r="FPS11" s="37"/>
      <c r="FPT11" s="36"/>
      <c r="FPU11" s="37"/>
      <c r="FPV11" s="36"/>
      <c r="FPW11" s="37"/>
      <c r="FPX11" s="36"/>
      <c r="FPY11" s="37"/>
      <c r="FPZ11" s="36"/>
      <c r="FQA11" s="36"/>
      <c r="FQB11" s="37"/>
      <c r="FQC11" s="37"/>
      <c r="FQE11" s="22"/>
      <c r="FQF11" s="35"/>
      <c r="FQG11" s="36"/>
      <c r="FQH11" s="37"/>
      <c r="FQI11" s="36"/>
      <c r="FQJ11" s="37"/>
      <c r="FQK11" s="36"/>
      <c r="FQL11" s="37"/>
      <c r="FQM11" s="36"/>
      <c r="FQN11" s="37"/>
      <c r="FQO11" s="36"/>
      <c r="FQP11" s="37"/>
      <c r="FQQ11" s="36"/>
      <c r="FQR11" s="37"/>
      <c r="FQS11" s="36"/>
      <c r="FQT11" s="37"/>
      <c r="FQU11" s="36"/>
      <c r="FQV11" s="37"/>
      <c r="FQW11" s="36"/>
      <c r="FQX11" s="37"/>
      <c r="FQY11" s="36"/>
      <c r="FQZ11" s="36"/>
      <c r="FRA11" s="37"/>
      <c r="FRB11" s="37"/>
      <c r="FRD11" s="22"/>
      <c r="FRE11" s="35"/>
      <c r="FRF11" s="36"/>
      <c r="FRG11" s="37"/>
      <c r="FRH11" s="36"/>
      <c r="FRI11" s="37"/>
      <c r="FRJ11" s="36"/>
      <c r="FRK11" s="37"/>
      <c r="FRL11" s="36"/>
      <c r="FRM11" s="37"/>
      <c r="FRN11" s="36"/>
      <c r="FRO11" s="37"/>
      <c r="FRP11" s="36"/>
      <c r="FRQ11" s="37"/>
      <c r="FRR11" s="36"/>
      <c r="FRS11" s="37"/>
      <c r="FRT11" s="36"/>
      <c r="FRU11" s="37"/>
      <c r="FRV11" s="36"/>
      <c r="FRW11" s="37"/>
      <c r="FRX11" s="36"/>
      <c r="FRY11" s="36"/>
      <c r="FRZ11" s="37"/>
      <c r="FSA11" s="37"/>
      <c r="FSC11" s="22"/>
      <c r="FSD11" s="35"/>
      <c r="FSE11" s="36"/>
      <c r="FSF11" s="37"/>
      <c r="FSG11" s="36"/>
      <c r="FSH11" s="37"/>
      <c r="FSI11" s="36"/>
      <c r="FSJ11" s="37"/>
      <c r="FSK11" s="36"/>
      <c r="FSL11" s="37"/>
      <c r="FSM11" s="36"/>
      <c r="FSN11" s="37"/>
      <c r="FSO11" s="36"/>
      <c r="FSP11" s="37"/>
      <c r="FSQ11" s="36"/>
      <c r="FSR11" s="37"/>
      <c r="FSS11" s="36"/>
      <c r="FST11" s="37"/>
      <c r="FSU11" s="36"/>
      <c r="FSV11" s="37"/>
      <c r="FSW11" s="36"/>
      <c r="FSX11" s="36"/>
      <c r="FSY11" s="37"/>
      <c r="FSZ11" s="37"/>
      <c r="FTB11" s="22"/>
      <c r="FTC11" s="35"/>
      <c r="FTD11" s="36"/>
      <c r="FTE11" s="37"/>
      <c r="FTF11" s="36"/>
      <c r="FTG11" s="37"/>
      <c r="FTH11" s="36"/>
      <c r="FTI11" s="37"/>
      <c r="FTJ11" s="36"/>
      <c r="FTK11" s="37"/>
      <c r="FTL11" s="36"/>
      <c r="FTM11" s="37"/>
      <c r="FTN11" s="36"/>
      <c r="FTO11" s="37"/>
      <c r="FTP11" s="36"/>
      <c r="FTQ11" s="37"/>
      <c r="FTR11" s="36"/>
      <c r="FTS11" s="37"/>
      <c r="FTT11" s="36"/>
      <c r="FTU11" s="37"/>
      <c r="FTV11" s="36"/>
      <c r="FTW11" s="36"/>
      <c r="FTX11" s="37"/>
      <c r="FTY11" s="37"/>
      <c r="FUA11" s="22"/>
      <c r="FUB11" s="35"/>
      <c r="FUC11" s="36"/>
      <c r="FUD11" s="37"/>
      <c r="FUE11" s="36"/>
      <c r="FUF11" s="37"/>
      <c r="FUG11" s="36"/>
      <c r="FUH11" s="37"/>
      <c r="FUI11" s="36"/>
      <c r="FUJ11" s="37"/>
      <c r="FUK11" s="36"/>
      <c r="FUL11" s="37"/>
      <c r="FUM11" s="36"/>
      <c r="FUN11" s="37"/>
      <c r="FUO11" s="36"/>
      <c r="FUP11" s="37"/>
      <c r="FUQ11" s="36"/>
      <c r="FUR11" s="37"/>
      <c r="FUS11" s="36"/>
      <c r="FUT11" s="37"/>
      <c r="FUU11" s="36"/>
      <c r="FUV11" s="36"/>
      <c r="FUW11" s="37"/>
      <c r="FUX11" s="37"/>
      <c r="FUZ11" s="22"/>
      <c r="FVA11" s="35"/>
      <c r="FVB11" s="36"/>
      <c r="FVC11" s="37"/>
      <c r="FVD11" s="36"/>
      <c r="FVE11" s="37"/>
      <c r="FVF11" s="36"/>
      <c r="FVG11" s="37"/>
      <c r="FVH11" s="36"/>
      <c r="FVI11" s="37"/>
      <c r="FVJ11" s="36"/>
      <c r="FVK11" s="37"/>
      <c r="FVL11" s="36"/>
      <c r="FVM11" s="37"/>
      <c r="FVN11" s="36"/>
      <c r="FVO11" s="37"/>
      <c r="FVP11" s="36"/>
      <c r="FVQ11" s="37"/>
      <c r="FVR11" s="36"/>
      <c r="FVS11" s="37"/>
      <c r="FVT11" s="36"/>
      <c r="FVU11" s="36"/>
      <c r="FVV11" s="37"/>
      <c r="FVW11" s="37"/>
      <c r="FVY11" s="22"/>
      <c r="FVZ11" s="35"/>
      <c r="FWA11" s="36"/>
      <c r="FWB11" s="37"/>
      <c r="FWC11" s="36"/>
      <c r="FWD11" s="37"/>
      <c r="FWE11" s="36"/>
      <c r="FWF11" s="37"/>
      <c r="FWG11" s="36"/>
      <c r="FWH11" s="37"/>
      <c r="FWI11" s="36"/>
      <c r="FWJ11" s="37"/>
      <c r="FWK11" s="36"/>
      <c r="FWL11" s="37"/>
      <c r="FWM11" s="36"/>
      <c r="FWN11" s="37"/>
      <c r="FWO11" s="36"/>
      <c r="FWP11" s="37"/>
      <c r="FWQ11" s="36"/>
      <c r="FWR11" s="37"/>
      <c r="FWS11" s="36"/>
      <c r="FWT11" s="36"/>
      <c r="FWU11" s="37"/>
      <c r="FWV11" s="37"/>
      <c r="FWX11" s="22"/>
      <c r="FWY11" s="35"/>
      <c r="FWZ11" s="36"/>
      <c r="FXA11" s="37"/>
      <c r="FXB11" s="36"/>
      <c r="FXC11" s="37"/>
      <c r="FXD11" s="36"/>
      <c r="FXE11" s="37"/>
      <c r="FXF11" s="36"/>
      <c r="FXG11" s="37"/>
      <c r="FXH11" s="36"/>
      <c r="FXI11" s="37"/>
      <c r="FXJ11" s="36"/>
      <c r="FXK11" s="37"/>
      <c r="FXL11" s="36"/>
      <c r="FXM11" s="37"/>
      <c r="FXN11" s="36"/>
      <c r="FXO11" s="37"/>
      <c r="FXP11" s="36"/>
      <c r="FXQ11" s="37"/>
      <c r="FXR11" s="36"/>
      <c r="FXS11" s="36"/>
      <c r="FXT11" s="37"/>
      <c r="FXU11" s="37"/>
      <c r="FXW11" s="22"/>
      <c r="FXX11" s="35"/>
      <c r="FXY11" s="36"/>
      <c r="FXZ11" s="37"/>
      <c r="FYA11" s="36"/>
      <c r="FYB11" s="37"/>
      <c r="FYC11" s="36"/>
      <c r="FYD11" s="37"/>
      <c r="FYE11" s="36"/>
      <c r="FYF11" s="37"/>
      <c r="FYG11" s="36"/>
      <c r="FYH11" s="37"/>
      <c r="FYI11" s="36"/>
      <c r="FYJ11" s="37"/>
      <c r="FYK11" s="36"/>
      <c r="FYL11" s="37"/>
      <c r="FYM11" s="36"/>
      <c r="FYN11" s="37"/>
      <c r="FYO11" s="36"/>
      <c r="FYP11" s="37"/>
      <c r="FYQ11" s="36"/>
      <c r="FYR11" s="36"/>
      <c r="FYS11" s="37"/>
      <c r="FYT11" s="37"/>
      <c r="FYV11" s="22"/>
      <c r="FYW11" s="35"/>
      <c r="FYX11" s="36"/>
      <c r="FYY11" s="37"/>
      <c r="FYZ11" s="36"/>
      <c r="FZA11" s="37"/>
      <c r="FZB11" s="36"/>
      <c r="FZC11" s="37"/>
      <c r="FZD11" s="36"/>
      <c r="FZE11" s="37"/>
      <c r="FZF11" s="36"/>
      <c r="FZG11" s="37"/>
      <c r="FZH11" s="36"/>
      <c r="FZI11" s="37"/>
      <c r="FZJ11" s="36"/>
      <c r="FZK11" s="37"/>
      <c r="FZL11" s="36"/>
      <c r="FZM11" s="37"/>
      <c r="FZN11" s="36"/>
      <c r="FZO11" s="37"/>
      <c r="FZP11" s="36"/>
      <c r="FZQ11" s="36"/>
      <c r="FZR11" s="37"/>
      <c r="FZS11" s="37"/>
      <c r="FZU11" s="22"/>
      <c r="FZV11" s="35"/>
      <c r="FZW11" s="36"/>
      <c r="FZX11" s="37"/>
      <c r="FZY11" s="36"/>
      <c r="FZZ11" s="37"/>
      <c r="GAA11" s="36"/>
      <c r="GAB11" s="37"/>
      <c r="GAC11" s="36"/>
      <c r="GAD11" s="37"/>
      <c r="GAE11" s="36"/>
      <c r="GAF11" s="37"/>
      <c r="GAG11" s="36"/>
      <c r="GAH11" s="37"/>
      <c r="GAI11" s="36"/>
      <c r="GAJ11" s="37"/>
      <c r="GAK11" s="36"/>
      <c r="GAL11" s="37"/>
      <c r="GAM11" s="36"/>
      <c r="GAN11" s="37"/>
      <c r="GAO11" s="36"/>
      <c r="GAP11" s="36"/>
      <c r="GAQ11" s="37"/>
      <c r="GAR11" s="37"/>
      <c r="GAT11" s="22"/>
      <c r="GAU11" s="35"/>
      <c r="GAV11" s="36"/>
      <c r="GAW11" s="37"/>
      <c r="GAX11" s="36"/>
      <c r="GAY11" s="37"/>
      <c r="GAZ11" s="36"/>
      <c r="GBA11" s="37"/>
      <c r="GBB11" s="36"/>
      <c r="GBC11" s="37"/>
      <c r="GBD11" s="36"/>
      <c r="GBE11" s="37"/>
      <c r="GBF11" s="36"/>
      <c r="GBG11" s="37"/>
      <c r="GBH11" s="36"/>
      <c r="GBI11" s="37"/>
      <c r="GBJ11" s="36"/>
      <c r="GBK11" s="37"/>
      <c r="GBL11" s="36"/>
      <c r="GBM11" s="37"/>
      <c r="GBN11" s="36"/>
      <c r="GBO11" s="36"/>
      <c r="GBP11" s="37"/>
      <c r="GBQ11" s="37"/>
      <c r="GBS11" s="22"/>
      <c r="GBT11" s="35"/>
      <c r="GBU11" s="36"/>
      <c r="GBV11" s="37"/>
      <c r="GBW11" s="36"/>
      <c r="GBX11" s="37"/>
      <c r="GBY11" s="36"/>
      <c r="GBZ11" s="37"/>
      <c r="GCA11" s="36"/>
      <c r="GCB11" s="37"/>
      <c r="GCC11" s="36"/>
      <c r="GCD11" s="37"/>
      <c r="GCE11" s="36"/>
      <c r="GCF11" s="37"/>
      <c r="GCG11" s="36"/>
      <c r="GCH11" s="37"/>
      <c r="GCI11" s="36"/>
      <c r="GCJ11" s="37"/>
      <c r="GCK11" s="36"/>
      <c r="GCL11" s="37"/>
      <c r="GCM11" s="36"/>
      <c r="GCN11" s="36"/>
      <c r="GCO11" s="37"/>
      <c r="GCP11" s="37"/>
      <c r="GCR11" s="22"/>
      <c r="GCS11" s="35"/>
      <c r="GCT11" s="36"/>
      <c r="GCU11" s="37"/>
      <c r="GCV11" s="36"/>
      <c r="GCW11" s="37"/>
      <c r="GCX11" s="36"/>
      <c r="GCY11" s="37"/>
      <c r="GCZ11" s="36"/>
      <c r="GDA11" s="37"/>
      <c r="GDB11" s="36"/>
      <c r="GDC11" s="37"/>
      <c r="GDD11" s="36"/>
      <c r="GDE11" s="37"/>
      <c r="GDF11" s="36"/>
      <c r="GDG11" s="37"/>
      <c r="GDH11" s="36"/>
      <c r="GDI11" s="37"/>
      <c r="GDJ11" s="36"/>
      <c r="GDK11" s="37"/>
      <c r="GDL11" s="36"/>
      <c r="GDM11" s="36"/>
      <c r="GDN11" s="37"/>
      <c r="GDO11" s="37"/>
      <c r="GDQ11" s="22"/>
      <c r="GDR11" s="35"/>
      <c r="GDS11" s="36"/>
      <c r="GDT11" s="37"/>
      <c r="GDU11" s="36"/>
      <c r="GDV11" s="37"/>
      <c r="GDW11" s="36"/>
      <c r="GDX11" s="37"/>
      <c r="GDY11" s="36"/>
      <c r="GDZ11" s="37"/>
      <c r="GEA11" s="36"/>
      <c r="GEB11" s="37"/>
      <c r="GEC11" s="36"/>
      <c r="GED11" s="37"/>
      <c r="GEE11" s="36"/>
      <c r="GEF11" s="37"/>
      <c r="GEG11" s="36"/>
      <c r="GEH11" s="37"/>
      <c r="GEI11" s="36"/>
      <c r="GEJ11" s="37"/>
      <c r="GEK11" s="36"/>
      <c r="GEL11" s="36"/>
      <c r="GEM11" s="37"/>
      <c r="GEN11" s="37"/>
      <c r="GEP11" s="22"/>
      <c r="GEQ11" s="35"/>
      <c r="GER11" s="36"/>
      <c r="GES11" s="37"/>
      <c r="GET11" s="36"/>
      <c r="GEU11" s="37"/>
      <c r="GEV11" s="36"/>
      <c r="GEW11" s="37"/>
      <c r="GEX11" s="36"/>
      <c r="GEY11" s="37"/>
      <c r="GEZ11" s="36"/>
      <c r="GFA11" s="37"/>
      <c r="GFB11" s="36"/>
      <c r="GFC11" s="37"/>
      <c r="GFD11" s="36"/>
      <c r="GFE11" s="37"/>
      <c r="GFF11" s="36"/>
      <c r="GFG11" s="37"/>
      <c r="GFH11" s="36"/>
      <c r="GFI11" s="37"/>
      <c r="GFJ11" s="36"/>
      <c r="GFK11" s="36"/>
      <c r="GFL11" s="37"/>
      <c r="GFM11" s="37"/>
      <c r="GFO11" s="22"/>
      <c r="GFP11" s="35"/>
      <c r="GFQ11" s="36"/>
      <c r="GFR11" s="37"/>
      <c r="GFS11" s="36"/>
      <c r="GFT11" s="37"/>
      <c r="GFU11" s="36"/>
      <c r="GFV11" s="37"/>
      <c r="GFW11" s="36"/>
      <c r="GFX11" s="37"/>
      <c r="GFY11" s="36"/>
      <c r="GFZ11" s="37"/>
      <c r="GGA11" s="36"/>
      <c r="GGB11" s="37"/>
      <c r="GGC11" s="36"/>
      <c r="GGD11" s="37"/>
      <c r="GGE11" s="36"/>
      <c r="GGF11" s="37"/>
      <c r="GGG11" s="36"/>
      <c r="GGH11" s="37"/>
      <c r="GGI11" s="36"/>
      <c r="GGJ11" s="36"/>
      <c r="GGK11" s="37"/>
      <c r="GGL11" s="37"/>
      <c r="GGN11" s="22"/>
      <c r="GGO11" s="35"/>
      <c r="GGP11" s="36"/>
      <c r="GGQ11" s="37"/>
      <c r="GGR11" s="36"/>
      <c r="GGS11" s="37"/>
      <c r="GGT11" s="36"/>
      <c r="GGU11" s="37"/>
      <c r="GGV11" s="36"/>
      <c r="GGW11" s="37"/>
      <c r="GGX11" s="36"/>
      <c r="GGY11" s="37"/>
      <c r="GGZ11" s="36"/>
      <c r="GHA11" s="37"/>
      <c r="GHB11" s="36"/>
      <c r="GHC11" s="37"/>
      <c r="GHD11" s="36"/>
      <c r="GHE11" s="37"/>
      <c r="GHF11" s="36"/>
      <c r="GHG11" s="37"/>
      <c r="GHH11" s="36"/>
      <c r="GHI11" s="36"/>
      <c r="GHJ11" s="37"/>
      <c r="GHK11" s="37"/>
      <c r="GHM11" s="22"/>
      <c r="GHN11" s="35"/>
      <c r="GHO11" s="36"/>
      <c r="GHP11" s="37"/>
      <c r="GHQ11" s="36"/>
      <c r="GHR11" s="37"/>
      <c r="GHS11" s="36"/>
      <c r="GHT11" s="37"/>
      <c r="GHU11" s="36"/>
      <c r="GHV11" s="37"/>
      <c r="GHW11" s="36"/>
      <c r="GHX11" s="37"/>
      <c r="GHY11" s="36"/>
      <c r="GHZ11" s="37"/>
      <c r="GIA11" s="36"/>
      <c r="GIB11" s="37"/>
      <c r="GIC11" s="36"/>
      <c r="GID11" s="37"/>
      <c r="GIE11" s="36"/>
      <c r="GIF11" s="37"/>
      <c r="GIG11" s="36"/>
      <c r="GIH11" s="36"/>
      <c r="GII11" s="37"/>
      <c r="GIJ11" s="37"/>
      <c r="GIL11" s="22"/>
      <c r="GIM11" s="35"/>
      <c r="GIN11" s="36"/>
      <c r="GIO11" s="37"/>
      <c r="GIP11" s="36"/>
      <c r="GIQ11" s="37"/>
      <c r="GIR11" s="36"/>
      <c r="GIS11" s="37"/>
      <c r="GIT11" s="36"/>
      <c r="GIU11" s="37"/>
      <c r="GIV11" s="36"/>
      <c r="GIW11" s="37"/>
      <c r="GIX11" s="36"/>
      <c r="GIY11" s="37"/>
      <c r="GIZ11" s="36"/>
      <c r="GJA11" s="37"/>
      <c r="GJB11" s="36"/>
      <c r="GJC11" s="37"/>
      <c r="GJD11" s="36"/>
      <c r="GJE11" s="37"/>
      <c r="GJF11" s="36"/>
      <c r="GJG11" s="36"/>
      <c r="GJH11" s="37"/>
      <c r="GJI11" s="37"/>
      <c r="GJK11" s="22"/>
      <c r="GJL11" s="35"/>
      <c r="GJM11" s="36"/>
      <c r="GJN11" s="37"/>
      <c r="GJO11" s="36"/>
      <c r="GJP11" s="37"/>
      <c r="GJQ11" s="36"/>
      <c r="GJR11" s="37"/>
      <c r="GJS11" s="36"/>
      <c r="GJT11" s="37"/>
      <c r="GJU11" s="36"/>
      <c r="GJV11" s="37"/>
      <c r="GJW11" s="36"/>
      <c r="GJX11" s="37"/>
      <c r="GJY11" s="36"/>
      <c r="GJZ11" s="37"/>
      <c r="GKA11" s="36"/>
      <c r="GKB11" s="37"/>
      <c r="GKC11" s="36"/>
      <c r="GKD11" s="37"/>
      <c r="GKE11" s="36"/>
      <c r="GKF11" s="36"/>
      <c r="GKG11" s="37"/>
      <c r="GKH11" s="37"/>
      <c r="GKJ11" s="22"/>
      <c r="GKK11" s="35"/>
      <c r="GKL11" s="36"/>
      <c r="GKM11" s="37"/>
      <c r="GKN11" s="36"/>
      <c r="GKO11" s="37"/>
      <c r="GKP11" s="36"/>
      <c r="GKQ11" s="37"/>
      <c r="GKR11" s="36"/>
      <c r="GKS11" s="37"/>
      <c r="GKT11" s="36"/>
      <c r="GKU11" s="37"/>
      <c r="GKV11" s="36"/>
      <c r="GKW11" s="37"/>
      <c r="GKX11" s="36"/>
      <c r="GKY11" s="37"/>
      <c r="GKZ11" s="36"/>
      <c r="GLA11" s="37"/>
      <c r="GLB11" s="36"/>
      <c r="GLC11" s="37"/>
      <c r="GLD11" s="36"/>
      <c r="GLE11" s="36"/>
      <c r="GLF11" s="37"/>
      <c r="GLG11" s="37"/>
      <c r="GLI11" s="22"/>
      <c r="GLJ11" s="35"/>
      <c r="GLK11" s="36"/>
      <c r="GLL11" s="37"/>
      <c r="GLM11" s="36"/>
      <c r="GLN11" s="37"/>
      <c r="GLO11" s="36"/>
      <c r="GLP11" s="37"/>
      <c r="GLQ11" s="36"/>
      <c r="GLR11" s="37"/>
      <c r="GLS11" s="36"/>
      <c r="GLT11" s="37"/>
      <c r="GLU11" s="36"/>
      <c r="GLV11" s="37"/>
      <c r="GLW11" s="36"/>
      <c r="GLX11" s="37"/>
      <c r="GLY11" s="36"/>
      <c r="GLZ11" s="37"/>
      <c r="GMA11" s="36"/>
      <c r="GMB11" s="37"/>
      <c r="GMC11" s="36"/>
      <c r="GMD11" s="36"/>
      <c r="GME11" s="37"/>
      <c r="GMF11" s="37"/>
      <c r="GMH11" s="22"/>
      <c r="GMI11" s="35"/>
      <c r="GMJ11" s="36"/>
      <c r="GMK11" s="37"/>
      <c r="GML11" s="36"/>
      <c r="GMM11" s="37"/>
      <c r="GMN11" s="36"/>
      <c r="GMO11" s="37"/>
      <c r="GMP11" s="36"/>
      <c r="GMQ11" s="37"/>
      <c r="GMR11" s="36"/>
      <c r="GMS11" s="37"/>
      <c r="GMT11" s="36"/>
      <c r="GMU11" s="37"/>
      <c r="GMV11" s="36"/>
      <c r="GMW11" s="37"/>
      <c r="GMX11" s="36"/>
      <c r="GMY11" s="37"/>
      <c r="GMZ11" s="36"/>
      <c r="GNA11" s="37"/>
      <c r="GNB11" s="36"/>
      <c r="GNC11" s="36"/>
      <c r="GND11" s="37"/>
      <c r="GNE11" s="37"/>
      <c r="GNG11" s="22"/>
      <c r="GNH11" s="35"/>
      <c r="GNI11" s="36"/>
      <c r="GNJ11" s="37"/>
      <c r="GNK11" s="36"/>
      <c r="GNL11" s="37"/>
      <c r="GNM11" s="36"/>
      <c r="GNN11" s="37"/>
      <c r="GNO11" s="36"/>
      <c r="GNP11" s="37"/>
      <c r="GNQ11" s="36"/>
      <c r="GNR11" s="37"/>
      <c r="GNS11" s="36"/>
      <c r="GNT11" s="37"/>
      <c r="GNU11" s="36"/>
      <c r="GNV11" s="37"/>
      <c r="GNW11" s="36"/>
      <c r="GNX11" s="37"/>
      <c r="GNY11" s="36"/>
      <c r="GNZ11" s="37"/>
      <c r="GOA11" s="36"/>
      <c r="GOB11" s="36"/>
      <c r="GOC11" s="37"/>
      <c r="GOD11" s="37"/>
      <c r="GOF11" s="22"/>
      <c r="GOG11" s="35"/>
      <c r="GOH11" s="36"/>
      <c r="GOI11" s="37"/>
      <c r="GOJ11" s="36"/>
      <c r="GOK11" s="37"/>
      <c r="GOL11" s="36"/>
      <c r="GOM11" s="37"/>
      <c r="GON11" s="36"/>
      <c r="GOO11" s="37"/>
      <c r="GOP11" s="36"/>
      <c r="GOQ11" s="37"/>
      <c r="GOR11" s="36"/>
      <c r="GOS11" s="37"/>
      <c r="GOT11" s="36"/>
      <c r="GOU11" s="37"/>
      <c r="GOV11" s="36"/>
      <c r="GOW11" s="37"/>
      <c r="GOX11" s="36"/>
      <c r="GOY11" s="37"/>
      <c r="GOZ11" s="36"/>
      <c r="GPA11" s="36"/>
      <c r="GPB11" s="37"/>
      <c r="GPC11" s="37"/>
      <c r="GPE11" s="22"/>
      <c r="GPF11" s="35"/>
      <c r="GPG11" s="36"/>
      <c r="GPH11" s="37"/>
      <c r="GPI11" s="36"/>
      <c r="GPJ11" s="37"/>
      <c r="GPK11" s="36"/>
      <c r="GPL11" s="37"/>
      <c r="GPM11" s="36"/>
      <c r="GPN11" s="37"/>
      <c r="GPO11" s="36"/>
      <c r="GPP11" s="37"/>
      <c r="GPQ11" s="36"/>
      <c r="GPR11" s="37"/>
      <c r="GPS11" s="36"/>
      <c r="GPT11" s="37"/>
      <c r="GPU11" s="36"/>
      <c r="GPV11" s="37"/>
      <c r="GPW11" s="36"/>
      <c r="GPX11" s="37"/>
      <c r="GPY11" s="36"/>
      <c r="GPZ11" s="36"/>
      <c r="GQA11" s="37"/>
      <c r="GQB11" s="37"/>
      <c r="GQD11" s="22"/>
      <c r="GQE11" s="35"/>
      <c r="GQF11" s="36"/>
      <c r="GQG11" s="37"/>
      <c r="GQH11" s="36"/>
      <c r="GQI11" s="37"/>
      <c r="GQJ11" s="36"/>
      <c r="GQK11" s="37"/>
      <c r="GQL11" s="36"/>
      <c r="GQM11" s="37"/>
      <c r="GQN11" s="36"/>
      <c r="GQO11" s="37"/>
      <c r="GQP11" s="36"/>
      <c r="GQQ11" s="37"/>
      <c r="GQR11" s="36"/>
      <c r="GQS11" s="37"/>
      <c r="GQT11" s="36"/>
      <c r="GQU11" s="37"/>
      <c r="GQV11" s="36"/>
      <c r="GQW11" s="37"/>
      <c r="GQX11" s="36"/>
      <c r="GQY11" s="36"/>
      <c r="GQZ11" s="37"/>
      <c r="GRA11" s="37"/>
      <c r="GRC11" s="22"/>
      <c r="GRD11" s="35"/>
      <c r="GRE11" s="36"/>
      <c r="GRF11" s="37"/>
      <c r="GRG11" s="36"/>
      <c r="GRH11" s="37"/>
      <c r="GRI11" s="36"/>
      <c r="GRJ11" s="37"/>
      <c r="GRK11" s="36"/>
      <c r="GRL11" s="37"/>
      <c r="GRM11" s="36"/>
      <c r="GRN11" s="37"/>
      <c r="GRO11" s="36"/>
      <c r="GRP11" s="37"/>
      <c r="GRQ11" s="36"/>
      <c r="GRR11" s="37"/>
      <c r="GRS11" s="36"/>
      <c r="GRT11" s="37"/>
      <c r="GRU11" s="36"/>
      <c r="GRV11" s="37"/>
      <c r="GRW11" s="36"/>
      <c r="GRX11" s="36"/>
      <c r="GRY11" s="37"/>
      <c r="GRZ11" s="37"/>
      <c r="GSB11" s="22"/>
      <c r="GSC11" s="35"/>
      <c r="GSD11" s="36"/>
      <c r="GSE11" s="37"/>
      <c r="GSF11" s="36"/>
      <c r="GSG11" s="37"/>
      <c r="GSH11" s="36"/>
      <c r="GSI11" s="37"/>
      <c r="GSJ11" s="36"/>
      <c r="GSK11" s="37"/>
      <c r="GSL11" s="36"/>
      <c r="GSM11" s="37"/>
      <c r="GSN11" s="36"/>
      <c r="GSO11" s="37"/>
      <c r="GSP11" s="36"/>
      <c r="GSQ11" s="37"/>
      <c r="GSR11" s="36"/>
      <c r="GSS11" s="37"/>
      <c r="GST11" s="36"/>
      <c r="GSU11" s="37"/>
      <c r="GSV11" s="36"/>
      <c r="GSW11" s="36"/>
      <c r="GSX11" s="37"/>
      <c r="GSY11" s="37"/>
      <c r="GTA11" s="22"/>
      <c r="GTB11" s="35"/>
      <c r="GTC11" s="36"/>
      <c r="GTD11" s="37"/>
      <c r="GTE11" s="36"/>
      <c r="GTF11" s="37"/>
      <c r="GTG11" s="36"/>
      <c r="GTH11" s="37"/>
      <c r="GTI11" s="36"/>
      <c r="GTJ11" s="37"/>
      <c r="GTK11" s="36"/>
      <c r="GTL11" s="37"/>
      <c r="GTM11" s="36"/>
      <c r="GTN11" s="37"/>
      <c r="GTO11" s="36"/>
      <c r="GTP11" s="37"/>
      <c r="GTQ11" s="36"/>
      <c r="GTR11" s="37"/>
      <c r="GTS11" s="36"/>
      <c r="GTT11" s="37"/>
      <c r="GTU11" s="36"/>
      <c r="GTV11" s="36"/>
      <c r="GTW11" s="37"/>
      <c r="GTX11" s="37"/>
      <c r="GTZ11" s="22"/>
      <c r="GUA11" s="35"/>
      <c r="GUB11" s="36"/>
      <c r="GUC11" s="37"/>
      <c r="GUD11" s="36"/>
      <c r="GUE11" s="37"/>
      <c r="GUF11" s="36"/>
      <c r="GUG11" s="37"/>
      <c r="GUH11" s="36"/>
      <c r="GUI11" s="37"/>
      <c r="GUJ11" s="36"/>
      <c r="GUK11" s="37"/>
      <c r="GUL11" s="36"/>
      <c r="GUM11" s="37"/>
      <c r="GUN11" s="36"/>
      <c r="GUO11" s="37"/>
      <c r="GUP11" s="36"/>
      <c r="GUQ11" s="37"/>
      <c r="GUR11" s="36"/>
      <c r="GUS11" s="37"/>
      <c r="GUT11" s="36"/>
      <c r="GUU11" s="36"/>
      <c r="GUV11" s="37"/>
      <c r="GUW11" s="37"/>
      <c r="GUY11" s="22"/>
      <c r="GUZ11" s="35"/>
      <c r="GVA11" s="36"/>
      <c r="GVB11" s="37"/>
      <c r="GVC11" s="36"/>
      <c r="GVD11" s="37"/>
      <c r="GVE11" s="36"/>
      <c r="GVF11" s="37"/>
      <c r="GVG11" s="36"/>
      <c r="GVH11" s="37"/>
      <c r="GVI11" s="36"/>
      <c r="GVJ11" s="37"/>
      <c r="GVK11" s="36"/>
      <c r="GVL11" s="37"/>
      <c r="GVM11" s="36"/>
      <c r="GVN11" s="37"/>
      <c r="GVO11" s="36"/>
      <c r="GVP11" s="37"/>
      <c r="GVQ11" s="36"/>
      <c r="GVR11" s="37"/>
      <c r="GVS11" s="36"/>
      <c r="GVT11" s="36"/>
      <c r="GVU11" s="37"/>
      <c r="GVV11" s="37"/>
      <c r="GVX11" s="22"/>
      <c r="GVY11" s="35"/>
      <c r="GVZ11" s="36"/>
      <c r="GWA11" s="37"/>
      <c r="GWB11" s="36"/>
      <c r="GWC11" s="37"/>
      <c r="GWD11" s="36"/>
      <c r="GWE11" s="37"/>
      <c r="GWF11" s="36"/>
      <c r="GWG11" s="37"/>
      <c r="GWH11" s="36"/>
      <c r="GWI11" s="37"/>
      <c r="GWJ11" s="36"/>
      <c r="GWK11" s="37"/>
      <c r="GWL11" s="36"/>
      <c r="GWM11" s="37"/>
      <c r="GWN11" s="36"/>
      <c r="GWO11" s="37"/>
      <c r="GWP11" s="36"/>
      <c r="GWQ11" s="37"/>
      <c r="GWR11" s="36"/>
      <c r="GWS11" s="36"/>
      <c r="GWT11" s="37"/>
      <c r="GWU11" s="37"/>
      <c r="GWW11" s="22"/>
      <c r="GWX11" s="35"/>
      <c r="GWY11" s="36"/>
      <c r="GWZ11" s="37"/>
      <c r="GXA11" s="36"/>
      <c r="GXB11" s="37"/>
      <c r="GXC11" s="36"/>
      <c r="GXD11" s="37"/>
      <c r="GXE11" s="36"/>
      <c r="GXF11" s="37"/>
      <c r="GXG11" s="36"/>
      <c r="GXH11" s="37"/>
      <c r="GXI11" s="36"/>
      <c r="GXJ11" s="37"/>
      <c r="GXK11" s="36"/>
      <c r="GXL11" s="37"/>
      <c r="GXM11" s="36"/>
      <c r="GXN11" s="37"/>
      <c r="GXO11" s="36"/>
      <c r="GXP11" s="37"/>
      <c r="GXQ11" s="36"/>
      <c r="GXR11" s="36"/>
      <c r="GXS11" s="37"/>
      <c r="GXT11" s="37"/>
      <c r="GXV11" s="22"/>
      <c r="GXW11" s="35"/>
      <c r="GXX11" s="36"/>
      <c r="GXY11" s="37"/>
      <c r="GXZ11" s="36"/>
      <c r="GYA11" s="37"/>
      <c r="GYB11" s="36"/>
      <c r="GYC11" s="37"/>
      <c r="GYD11" s="36"/>
      <c r="GYE11" s="37"/>
      <c r="GYF11" s="36"/>
      <c r="GYG11" s="37"/>
      <c r="GYH11" s="36"/>
      <c r="GYI11" s="37"/>
      <c r="GYJ11" s="36"/>
      <c r="GYK11" s="37"/>
      <c r="GYL11" s="36"/>
      <c r="GYM11" s="37"/>
      <c r="GYN11" s="36"/>
      <c r="GYO11" s="37"/>
      <c r="GYP11" s="36"/>
      <c r="GYQ11" s="36"/>
      <c r="GYR11" s="37"/>
      <c r="GYS11" s="37"/>
      <c r="GYU11" s="22"/>
      <c r="GYV11" s="35"/>
      <c r="GYW11" s="36"/>
      <c r="GYX11" s="37"/>
      <c r="GYY11" s="36"/>
      <c r="GYZ11" s="37"/>
      <c r="GZA11" s="36"/>
      <c r="GZB11" s="37"/>
      <c r="GZC11" s="36"/>
      <c r="GZD11" s="37"/>
      <c r="GZE11" s="36"/>
      <c r="GZF11" s="37"/>
      <c r="GZG11" s="36"/>
      <c r="GZH11" s="37"/>
      <c r="GZI11" s="36"/>
      <c r="GZJ11" s="37"/>
      <c r="GZK11" s="36"/>
      <c r="GZL11" s="37"/>
      <c r="GZM11" s="36"/>
      <c r="GZN11" s="37"/>
      <c r="GZO11" s="36"/>
      <c r="GZP11" s="36"/>
      <c r="GZQ11" s="37"/>
      <c r="GZR11" s="37"/>
      <c r="GZT11" s="22"/>
      <c r="GZU11" s="35"/>
      <c r="GZV11" s="36"/>
      <c r="GZW11" s="37"/>
      <c r="GZX11" s="36"/>
      <c r="GZY11" s="37"/>
      <c r="GZZ11" s="36"/>
      <c r="HAA11" s="37"/>
      <c r="HAB11" s="36"/>
      <c r="HAC11" s="37"/>
      <c r="HAD11" s="36"/>
      <c r="HAE11" s="37"/>
      <c r="HAF11" s="36"/>
      <c r="HAG11" s="37"/>
      <c r="HAH11" s="36"/>
      <c r="HAI11" s="37"/>
      <c r="HAJ11" s="36"/>
      <c r="HAK11" s="37"/>
      <c r="HAL11" s="36"/>
      <c r="HAM11" s="37"/>
      <c r="HAN11" s="36"/>
      <c r="HAO11" s="36"/>
      <c r="HAP11" s="37"/>
      <c r="HAQ11" s="37"/>
      <c r="HAS11" s="22"/>
      <c r="HAT11" s="35"/>
      <c r="HAU11" s="36"/>
      <c r="HAV11" s="37"/>
      <c r="HAW11" s="36"/>
      <c r="HAX11" s="37"/>
      <c r="HAY11" s="36"/>
      <c r="HAZ11" s="37"/>
      <c r="HBA11" s="36"/>
      <c r="HBB11" s="37"/>
      <c r="HBC11" s="36"/>
      <c r="HBD11" s="37"/>
      <c r="HBE11" s="36"/>
      <c r="HBF11" s="37"/>
      <c r="HBG11" s="36"/>
      <c r="HBH11" s="37"/>
      <c r="HBI11" s="36"/>
      <c r="HBJ11" s="37"/>
      <c r="HBK11" s="36"/>
      <c r="HBL11" s="37"/>
      <c r="HBM11" s="36"/>
      <c r="HBN11" s="36"/>
      <c r="HBO11" s="37"/>
      <c r="HBP11" s="37"/>
      <c r="HBR11" s="22"/>
      <c r="HBS11" s="35"/>
      <c r="HBT11" s="36"/>
      <c r="HBU11" s="37"/>
      <c r="HBV11" s="36"/>
      <c r="HBW11" s="37"/>
      <c r="HBX11" s="36"/>
      <c r="HBY11" s="37"/>
      <c r="HBZ11" s="36"/>
      <c r="HCA11" s="37"/>
      <c r="HCB11" s="36"/>
      <c r="HCC11" s="37"/>
      <c r="HCD11" s="36"/>
      <c r="HCE11" s="37"/>
      <c r="HCF11" s="36"/>
      <c r="HCG11" s="37"/>
      <c r="HCH11" s="36"/>
      <c r="HCI11" s="37"/>
      <c r="HCJ11" s="36"/>
      <c r="HCK11" s="37"/>
      <c r="HCL11" s="36"/>
      <c r="HCM11" s="36"/>
      <c r="HCN11" s="37"/>
      <c r="HCO11" s="37"/>
      <c r="HCQ11" s="22"/>
      <c r="HCR11" s="35"/>
      <c r="HCS11" s="36"/>
      <c r="HCT11" s="37"/>
      <c r="HCU11" s="36"/>
      <c r="HCV11" s="37"/>
      <c r="HCW11" s="36"/>
      <c r="HCX11" s="37"/>
      <c r="HCY11" s="36"/>
      <c r="HCZ11" s="37"/>
      <c r="HDA11" s="36"/>
      <c r="HDB11" s="37"/>
      <c r="HDC11" s="36"/>
      <c r="HDD11" s="37"/>
      <c r="HDE11" s="36"/>
      <c r="HDF11" s="37"/>
      <c r="HDG11" s="36"/>
      <c r="HDH11" s="37"/>
      <c r="HDI11" s="36"/>
      <c r="HDJ11" s="37"/>
      <c r="HDK11" s="36"/>
      <c r="HDL11" s="36"/>
      <c r="HDM11" s="37"/>
      <c r="HDN11" s="37"/>
      <c r="HDP11" s="22"/>
      <c r="HDQ11" s="35"/>
      <c r="HDR11" s="36"/>
      <c r="HDS11" s="37"/>
      <c r="HDT11" s="36"/>
      <c r="HDU11" s="37"/>
      <c r="HDV11" s="36"/>
      <c r="HDW11" s="37"/>
      <c r="HDX11" s="36"/>
      <c r="HDY11" s="37"/>
      <c r="HDZ11" s="36"/>
      <c r="HEA11" s="37"/>
      <c r="HEB11" s="36"/>
      <c r="HEC11" s="37"/>
      <c r="HED11" s="36"/>
      <c r="HEE11" s="37"/>
      <c r="HEF11" s="36"/>
      <c r="HEG11" s="37"/>
      <c r="HEH11" s="36"/>
      <c r="HEI11" s="37"/>
      <c r="HEJ11" s="36"/>
      <c r="HEK11" s="36"/>
      <c r="HEL11" s="37"/>
      <c r="HEM11" s="37"/>
      <c r="HEO11" s="22"/>
      <c r="HEP11" s="35"/>
      <c r="HEQ11" s="36"/>
      <c r="HER11" s="37"/>
      <c r="HES11" s="36"/>
      <c r="HET11" s="37"/>
      <c r="HEU11" s="36"/>
      <c r="HEV11" s="37"/>
      <c r="HEW11" s="36"/>
      <c r="HEX11" s="37"/>
      <c r="HEY11" s="36"/>
      <c r="HEZ11" s="37"/>
      <c r="HFA11" s="36"/>
      <c r="HFB11" s="37"/>
      <c r="HFC11" s="36"/>
      <c r="HFD11" s="37"/>
      <c r="HFE11" s="36"/>
      <c r="HFF11" s="37"/>
      <c r="HFG11" s="36"/>
      <c r="HFH11" s="37"/>
      <c r="HFI11" s="36"/>
      <c r="HFJ11" s="36"/>
      <c r="HFK11" s="37"/>
      <c r="HFL11" s="37"/>
      <c r="HFN11" s="22"/>
      <c r="HFO11" s="35"/>
      <c r="HFP11" s="36"/>
      <c r="HFQ11" s="37"/>
      <c r="HFR11" s="36"/>
      <c r="HFS11" s="37"/>
      <c r="HFT11" s="36"/>
      <c r="HFU11" s="37"/>
      <c r="HFV11" s="36"/>
      <c r="HFW11" s="37"/>
      <c r="HFX11" s="36"/>
      <c r="HFY11" s="37"/>
      <c r="HFZ11" s="36"/>
      <c r="HGA11" s="37"/>
      <c r="HGB11" s="36"/>
      <c r="HGC11" s="37"/>
      <c r="HGD11" s="36"/>
      <c r="HGE11" s="37"/>
      <c r="HGF11" s="36"/>
      <c r="HGG11" s="37"/>
      <c r="HGH11" s="36"/>
      <c r="HGI11" s="36"/>
      <c r="HGJ11" s="37"/>
      <c r="HGK11" s="37"/>
      <c r="HGM11" s="22"/>
      <c r="HGN11" s="35"/>
      <c r="HGO11" s="36"/>
      <c r="HGP11" s="37"/>
      <c r="HGQ11" s="36"/>
      <c r="HGR11" s="37"/>
      <c r="HGS11" s="36"/>
      <c r="HGT11" s="37"/>
      <c r="HGU11" s="36"/>
      <c r="HGV11" s="37"/>
      <c r="HGW11" s="36"/>
      <c r="HGX11" s="37"/>
      <c r="HGY11" s="36"/>
      <c r="HGZ11" s="37"/>
      <c r="HHA11" s="36"/>
      <c r="HHB11" s="37"/>
      <c r="HHC11" s="36"/>
      <c r="HHD11" s="37"/>
      <c r="HHE11" s="36"/>
      <c r="HHF11" s="37"/>
      <c r="HHG11" s="36"/>
      <c r="HHH11" s="36"/>
      <c r="HHI11" s="37"/>
      <c r="HHJ11" s="37"/>
      <c r="HHL11" s="22"/>
      <c r="HHM11" s="35"/>
      <c r="HHN11" s="36"/>
      <c r="HHO11" s="37"/>
      <c r="HHP11" s="36"/>
      <c r="HHQ11" s="37"/>
      <c r="HHR11" s="36"/>
      <c r="HHS11" s="37"/>
      <c r="HHT11" s="36"/>
      <c r="HHU11" s="37"/>
      <c r="HHV11" s="36"/>
      <c r="HHW11" s="37"/>
      <c r="HHX11" s="36"/>
      <c r="HHY11" s="37"/>
      <c r="HHZ11" s="36"/>
      <c r="HIA11" s="37"/>
      <c r="HIB11" s="36"/>
      <c r="HIC11" s="37"/>
      <c r="HID11" s="36"/>
      <c r="HIE11" s="37"/>
      <c r="HIF11" s="36"/>
      <c r="HIG11" s="36"/>
      <c r="HIH11" s="37"/>
      <c r="HII11" s="37"/>
      <c r="HIK11" s="22"/>
      <c r="HIL11" s="35"/>
      <c r="HIM11" s="36"/>
      <c r="HIN11" s="37"/>
      <c r="HIO11" s="36"/>
      <c r="HIP11" s="37"/>
      <c r="HIQ11" s="36"/>
      <c r="HIR11" s="37"/>
      <c r="HIS11" s="36"/>
      <c r="HIT11" s="37"/>
      <c r="HIU11" s="36"/>
      <c r="HIV11" s="37"/>
      <c r="HIW11" s="36"/>
      <c r="HIX11" s="37"/>
      <c r="HIY11" s="36"/>
      <c r="HIZ11" s="37"/>
      <c r="HJA11" s="36"/>
      <c r="HJB11" s="37"/>
      <c r="HJC11" s="36"/>
      <c r="HJD11" s="37"/>
      <c r="HJE11" s="36"/>
      <c r="HJF11" s="36"/>
      <c r="HJG11" s="37"/>
      <c r="HJH11" s="37"/>
      <c r="HJJ11" s="22"/>
      <c r="HJK11" s="35"/>
      <c r="HJL11" s="36"/>
      <c r="HJM11" s="37"/>
      <c r="HJN11" s="36"/>
      <c r="HJO11" s="37"/>
      <c r="HJP11" s="36"/>
      <c r="HJQ11" s="37"/>
      <c r="HJR11" s="36"/>
      <c r="HJS11" s="37"/>
      <c r="HJT11" s="36"/>
      <c r="HJU11" s="37"/>
      <c r="HJV11" s="36"/>
      <c r="HJW11" s="37"/>
      <c r="HJX11" s="36"/>
      <c r="HJY11" s="37"/>
      <c r="HJZ11" s="36"/>
      <c r="HKA11" s="37"/>
      <c r="HKB11" s="36"/>
      <c r="HKC11" s="37"/>
      <c r="HKD11" s="36"/>
      <c r="HKE11" s="36"/>
      <c r="HKF11" s="37"/>
      <c r="HKG11" s="37"/>
      <c r="HKI11" s="22"/>
      <c r="HKJ11" s="35"/>
      <c r="HKK11" s="36"/>
      <c r="HKL11" s="37"/>
      <c r="HKM11" s="36"/>
      <c r="HKN11" s="37"/>
      <c r="HKO11" s="36"/>
      <c r="HKP11" s="37"/>
      <c r="HKQ11" s="36"/>
      <c r="HKR11" s="37"/>
      <c r="HKS11" s="36"/>
      <c r="HKT11" s="37"/>
      <c r="HKU11" s="36"/>
      <c r="HKV11" s="37"/>
      <c r="HKW11" s="36"/>
      <c r="HKX11" s="37"/>
      <c r="HKY11" s="36"/>
      <c r="HKZ11" s="37"/>
      <c r="HLA11" s="36"/>
      <c r="HLB11" s="37"/>
      <c r="HLC11" s="36"/>
      <c r="HLD11" s="36"/>
      <c r="HLE11" s="37"/>
      <c r="HLF11" s="37"/>
      <c r="HLH11" s="22"/>
      <c r="HLI11" s="35"/>
      <c r="HLJ11" s="36"/>
      <c r="HLK11" s="37"/>
      <c r="HLL11" s="36"/>
      <c r="HLM11" s="37"/>
      <c r="HLN11" s="36"/>
      <c r="HLO11" s="37"/>
      <c r="HLP11" s="36"/>
      <c r="HLQ11" s="37"/>
      <c r="HLR11" s="36"/>
      <c r="HLS11" s="37"/>
      <c r="HLT11" s="36"/>
      <c r="HLU11" s="37"/>
      <c r="HLV11" s="36"/>
      <c r="HLW11" s="37"/>
      <c r="HLX11" s="36"/>
      <c r="HLY11" s="37"/>
      <c r="HLZ11" s="36"/>
      <c r="HMA11" s="37"/>
      <c r="HMB11" s="36"/>
      <c r="HMC11" s="36"/>
      <c r="HMD11" s="37"/>
      <c r="HME11" s="37"/>
      <c r="HMG11" s="22"/>
      <c r="HMH11" s="35"/>
      <c r="HMI11" s="36"/>
      <c r="HMJ11" s="37"/>
      <c r="HMK11" s="36"/>
      <c r="HML11" s="37"/>
      <c r="HMM11" s="36"/>
      <c r="HMN11" s="37"/>
      <c r="HMO11" s="36"/>
      <c r="HMP11" s="37"/>
      <c r="HMQ11" s="36"/>
      <c r="HMR11" s="37"/>
      <c r="HMS11" s="36"/>
      <c r="HMT11" s="37"/>
      <c r="HMU11" s="36"/>
      <c r="HMV11" s="37"/>
      <c r="HMW11" s="36"/>
      <c r="HMX11" s="37"/>
      <c r="HMY11" s="36"/>
      <c r="HMZ11" s="37"/>
      <c r="HNA11" s="36"/>
      <c r="HNB11" s="36"/>
      <c r="HNC11" s="37"/>
      <c r="HND11" s="37"/>
      <c r="HNF11" s="22"/>
      <c r="HNG11" s="35"/>
      <c r="HNH11" s="36"/>
      <c r="HNI11" s="37"/>
      <c r="HNJ11" s="36"/>
      <c r="HNK11" s="37"/>
      <c r="HNL11" s="36"/>
      <c r="HNM11" s="37"/>
      <c r="HNN11" s="36"/>
      <c r="HNO11" s="37"/>
      <c r="HNP11" s="36"/>
      <c r="HNQ11" s="37"/>
      <c r="HNR11" s="36"/>
      <c r="HNS11" s="37"/>
      <c r="HNT11" s="36"/>
      <c r="HNU11" s="37"/>
      <c r="HNV11" s="36"/>
      <c r="HNW11" s="37"/>
      <c r="HNX11" s="36"/>
      <c r="HNY11" s="37"/>
      <c r="HNZ11" s="36"/>
      <c r="HOA11" s="36"/>
      <c r="HOB11" s="37"/>
      <c r="HOC11" s="37"/>
      <c r="HOE11" s="22"/>
      <c r="HOF11" s="35"/>
      <c r="HOG11" s="36"/>
      <c r="HOH11" s="37"/>
      <c r="HOI11" s="36"/>
      <c r="HOJ11" s="37"/>
      <c r="HOK11" s="36"/>
      <c r="HOL11" s="37"/>
      <c r="HOM11" s="36"/>
      <c r="HON11" s="37"/>
      <c r="HOO11" s="36"/>
      <c r="HOP11" s="37"/>
      <c r="HOQ11" s="36"/>
      <c r="HOR11" s="37"/>
      <c r="HOS11" s="36"/>
      <c r="HOT11" s="37"/>
      <c r="HOU11" s="36"/>
      <c r="HOV11" s="37"/>
      <c r="HOW11" s="36"/>
      <c r="HOX11" s="37"/>
      <c r="HOY11" s="36"/>
      <c r="HOZ11" s="36"/>
      <c r="HPA11" s="37"/>
      <c r="HPB11" s="37"/>
      <c r="HPD11" s="22"/>
      <c r="HPE11" s="35"/>
      <c r="HPF11" s="36"/>
      <c r="HPG11" s="37"/>
      <c r="HPH11" s="36"/>
      <c r="HPI11" s="37"/>
      <c r="HPJ11" s="36"/>
      <c r="HPK11" s="37"/>
      <c r="HPL11" s="36"/>
      <c r="HPM11" s="37"/>
      <c r="HPN11" s="36"/>
      <c r="HPO11" s="37"/>
      <c r="HPP11" s="36"/>
      <c r="HPQ11" s="37"/>
      <c r="HPR11" s="36"/>
      <c r="HPS11" s="37"/>
      <c r="HPT11" s="36"/>
      <c r="HPU11" s="37"/>
      <c r="HPV11" s="36"/>
      <c r="HPW11" s="37"/>
      <c r="HPX11" s="36"/>
      <c r="HPY11" s="36"/>
      <c r="HPZ11" s="37"/>
      <c r="HQA11" s="37"/>
      <c r="HQC11" s="22"/>
      <c r="HQD11" s="35"/>
      <c r="HQE11" s="36"/>
      <c r="HQF11" s="37"/>
      <c r="HQG11" s="36"/>
      <c r="HQH11" s="37"/>
      <c r="HQI11" s="36"/>
      <c r="HQJ11" s="37"/>
      <c r="HQK11" s="36"/>
      <c r="HQL11" s="37"/>
      <c r="HQM11" s="36"/>
      <c r="HQN11" s="37"/>
      <c r="HQO11" s="36"/>
      <c r="HQP11" s="37"/>
      <c r="HQQ11" s="36"/>
      <c r="HQR11" s="37"/>
      <c r="HQS11" s="36"/>
      <c r="HQT11" s="37"/>
      <c r="HQU11" s="36"/>
      <c r="HQV11" s="37"/>
      <c r="HQW11" s="36"/>
      <c r="HQX11" s="36"/>
      <c r="HQY11" s="37"/>
      <c r="HQZ11" s="37"/>
      <c r="HRB11" s="22"/>
      <c r="HRC11" s="35"/>
      <c r="HRD11" s="36"/>
      <c r="HRE11" s="37"/>
      <c r="HRF11" s="36"/>
      <c r="HRG11" s="37"/>
      <c r="HRH11" s="36"/>
      <c r="HRI11" s="37"/>
      <c r="HRJ11" s="36"/>
      <c r="HRK11" s="37"/>
      <c r="HRL11" s="36"/>
      <c r="HRM11" s="37"/>
      <c r="HRN11" s="36"/>
      <c r="HRO11" s="37"/>
      <c r="HRP11" s="36"/>
      <c r="HRQ11" s="37"/>
      <c r="HRR11" s="36"/>
      <c r="HRS11" s="37"/>
      <c r="HRT11" s="36"/>
      <c r="HRU11" s="37"/>
      <c r="HRV11" s="36"/>
      <c r="HRW11" s="36"/>
      <c r="HRX11" s="37"/>
      <c r="HRY11" s="37"/>
      <c r="HSA11" s="22"/>
      <c r="HSB11" s="35"/>
      <c r="HSC11" s="36"/>
      <c r="HSD11" s="37"/>
      <c r="HSE11" s="36"/>
      <c r="HSF11" s="37"/>
      <c r="HSG11" s="36"/>
      <c r="HSH11" s="37"/>
      <c r="HSI11" s="36"/>
      <c r="HSJ11" s="37"/>
      <c r="HSK11" s="36"/>
      <c r="HSL11" s="37"/>
      <c r="HSM11" s="36"/>
      <c r="HSN11" s="37"/>
      <c r="HSO11" s="36"/>
      <c r="HSP11" s="37"/>
      <c r="HSQ11" s="36"/>
      <c r="HSR11" s="37"/>
      <c r="HSS11" s="36"/>
      <c r="HST11" s="37"/>
      <c r="HSU11" s="36"/>
      <c r="HSV11" s="36"/>
      <c r="HSW11" s="37"/>
      <c r="HSX11" s="37"/>
      <c r="HSZ11" s="22"/>
      <c r="HTA11" s="35"/>
      <c r="HTB11" s="36"/>
      <c r="HTC11" s="37"/>
      <c r="HTD11" s="36"/>
      <c r="HTE11" s="37"/>
      <c r="HTF11" s="36"/>
      <c r="HTG11" s="37"/>
      <c r="HTH11" s="36"/>
      <c r="HTI11" s="37"/>
      <c r="HTJ11" s="36"/>
      <c r="HTK11" s="37"/>
      <c r="HTL11" s="36"/>
      <c r="HTM11" s="37"/>
      <c r="HTN11" s="36"/>
      <c r="HTO11" s="37"/>
      <c r="HTP11" s="36"/>
      <c r="HTQ11" s="37"/>
      <c r="HTR11" s="36"/>
      <c r="HTS11" s="37"/>
      <c r="HTT11" s="36"/>
      <c r="HTU11" s="36"/>
      <c r="HTV11" s="37"/>
      <c r="HTW11" s="37"/>
      <c r="HTY11" s="22"/>
      <c r="HTZ11" s="35"/>
      <c r="HUA11" s="36"/>
      <c r="HUB11" s="37"/>
      <c r="HUC11" s="36"/>
      <c r="HUD11" s="37"/>
      <c r="HUE11" s="36"/>
      <c r="HUF11" s="37"/>
      <c r="HUG11" s="36"/>
      <c r="HUH11" s="37"/>
      <c r="HUI11" s="36"/>
      <c r="HUJ11" s="37"/>
      <c r="HUK11" s="36"/>
      <c r="HUL11" s="37"/>
      <c r="HUM11" s="36"/>
      <c r="HUN11" s="37"/>
      <c r="HUO11" s="36"/>
      <c r="HUP11" s="37"/>
      <c r="HUQ11" s="36"/>
      <c r="HUR11" s="37"/>
      <c r="HUS11" s="36"/>
      <c r="HUT11" s="36"/>
      <c r="HUU11" s="37"/>
      <c r="HUV11" s="37"/>
      <c r="HUX11" s="22"/>
      <c r="HUY11" s="35"/>
      <c r="HUZ11" s="36"/>
      <c r="HVA11" s="37"/>
      <c r="HVB11" s="36"/>
      <c r="HVC11" s="37"/>
      <c r="HVD11" s="36"/>
      <c r="HVE11" s="37"/>
      <c r="HVF11" s="36"/>
      <c r="HVG11" s="37"/>
      <c r="HVH11" s="36"/>
      <c r="HVI11" s="37"/>
      <c r="HVJ11" s="36"/>
      <c r="HVK11" s="37"/>
      <c r="HVL11" s="36"/>
      <c r="HVM11" s="37"/>
      <c r="HVN11" s="36"/>
      <c r="HVO11" s="37"/>
      <c r="HVP11" s="36"/>
      <c r="HVQ11" s="37"/>
      <c r="HVR11" s="36"/>
      <c r="HVS11" s="36"/>
      <c r="HVT11" s="37"/>
      <c r="HVU11" s="37"/>
      <c r="HVW11" s="22"/>
      <c r="HVX11" s="35"/>
      <c r="HVY11" s="36"/>
      <c r="HVZ11" s="37"/>
      <c r="HWA11" s="36"/>
      <c r="HWB11" s="37"/>
      <c r="HWC11" s="36"/>
      <c r="HWD11" s="37"/>
      <c r="HWE11" s="36"/>
      <c r="HWF11" s="37"/>
      <c r="HWG11" s="36"/>
      <c r="HWH11" s="37"/>
      <c r="HWI11" s="36"/>
      <c r="HWJ11" s="37"/>
      <c r="HWK11" s="36"/>
      <c r="HWL11" s="37"/>
      <c r="HWM11" s="36"/>
      <c r="HWN11" s="37"/>
      <c r="HWO11" s="36"/>
      <c r="HWP11" s="37"/>
      <c r="HWQ11" s="36"/>
      <c r="HWR11" s="36"/>
      <c r="HWS11" s="37"/>
      <c r="HWT11" s="37"/>
      <c r="HWV11" s="22"/>
      <c r="HWW11" s="35"/>
      <c r="HWX11" s="36"/>
      <c r="HWY11" s="37"/>
      <c r="HWZ11" s="36"/>
      <c r="HXA11" s="37"/>
      <c r="HXB11" s="36"/>
      <c r="HXC11" s="37"/>
      <c r="HXD11" s="36"/>
      <c r="HXE11" s="37"/>
      <c r="HXF11" s="36"/>
      <c r="HXG11" s="37"/>
      <c r="HXH11" s="36"/>
      <c r="HXI11" s="37"/>
      <c r="HXJ11" s="36"/>
      <c r="HXK11" s="37"/>
      <c r="HXL11" s="36"/>
      <c r="HXM11" s="37"/>
      <c r="HXN11" s="36"/>
      <c r="HXO11" s="37"/>
      <c r="HXP11" s="36"/>
      <c r="HXQ11" s="36"/>
      <c r="HXR11" s="37"/>
      <c r="HXS11" s="37"/>
      <c r="HXU11" s="22"/>
      <c r="HXV11" s="35"/>
      <c r="HXW11" s="36"/>
      <c r="HXX11" s="37"/>
      <c r="HXY11" s="36"/>
      <c r="HXZ11" s="37"/>
      <c r="HYA11" s="36"/>
      <c r="HYB11" s="37"/>
      <c r="HYC11" s="36"/>
      <c r="HYD11" s="37"/>
      <c r="HYE11" s="36"/>
      <c r="HYF11" s="37"/>
      <c r="HYG11" s="36"/>
      <c r="HYH11" s="37"/>
      <c r="HYI11" s="36"/>
      <c r="HYJ11" s="37"/>
      <c r="HYK11" s="36"/>
      <c r="HYL11" s="37"/>
      <c r="HYM11" s="36"/>
      <c r="HYN11" s="37"/>
      <c r="HYO11" s="36"/>
      <c r="HYP11" s="36"/>
      <c r="HYQ11" s="37"/>
      <c r="HYR11" s="37"/>
      <c r="HYT11" s="22"/>
      <c r="HYU11" s="35"/>
      <c r="HYV11" s="36"/>
      <c r="HYW11" s="37"/>
      <c r="HYX11" s="36"/>
      <c r="HYY11" s="37"/>
      <c r="HYZ11" s="36"/>
      <c r="HZA11" s="37"/>
      <c r="HZB11" s="36"/>
      <c r="HZC11" s="37"/>
      <c r="HZD11" s="36"/>
      <c r="HZE11" s="37"/>
      <c r="HZF11" s="36"/>
      <c r="HZG11" s="37"/>
      <c r="HZH11" s="36"/>
      <c r="HZI11" s="37"/>
      <c r="HZJ11" s="36"/>
      <c r="HZK11" s="37"/>
      <c r="HZL11" s="36"/>
      <c r="HZM11" s="37"/>
      <c r="HZN11" s="36"/>
      <c r="HZO11" s="36"/>
      <c r="HZP11" s="37"/>
      <c r="HZQ11" s="37"/>
      <c r="HZS11" s="22"/>
      <c r="HZT11" s="35"/>
      <c r="HZU11" s="36"/>
      <c r="HZV11" s="37"/>
      <c r="HZW11" s="36"/>
      <c r="HZX11" s="37"/>
      <c r="HZY11" s="36"/>
      <c r="HZZ11" s="37"/>
      <c r="IAA11" s="36"/>
      <c r="IAB11" s="37"/>
      <c r="IAC11" s="36"/>
      <c r="IAD11" s="37"/>
      <c r="IAE11" s="36"/>
      <c r="IAF11" s="37"/>
      <c r="IAG11" s="36"/>
      <c r="IAH11" s="37"/>
      <c r="IAI11" s="36"/>
      <c r="IAJ11" s="37"/>
      <c r="IAK11" s="36"/>
      <c r="IAL11" s="37"/>
      <c r="IAM11" s="36"/>
      <c r="IAN11" s="36"/>
      <c r="IAO11" s="37"/>
      <c r="IAP11" s="37"/>
      <c r="IAR11" s="22"/>
      <c r="IAS11" s="35"/>
      <c r="IAT11" s="36"/>
      <c r="IAU11" s="37"/>
      <c r="IAV11" s="36"/>
      <c r="IAW11" s="37"/>
      <c r="IAX11" s="36"/>
      <c r="IAY11" s="37"/>
      <c r="IAZ11" s="36"/>
      <c r="IBA11" s="37"/>
      <c r="IBB11" s="36"/>
      <c r="IBC11" s="37"/>
      <c r="IBD11" s="36"/>
      <c r="IBE11" s="37"/>
      <c r="IBF11" s="36"/>
      <c r="IBG11" s="37"/>
      <c r="IBH11" s="36"/>
      <c r="IBI11" s="37"/>
      <c r="IBJ11" s="36"/>
      <c r="IBK11" s="37"/>
      <c r="IBL11" s="36"/>
      <c r="IBM11" s="36"/>
      <c r="IBN11" s="37"/>
      <c r="IBO11" s="37"/>
      <c r="IBQ11" s="22"/>
      <c r="IBR11" s="35"/>
      <c r="IBS11" s="36"/>
      <c r="IBT11" s="37"/>
      <c r="IBU11" s="36"/>
      <c r="IBV11" s="37"/>
      <c r="IBW11" s="36"/>
      <c r="IBX11" s="37"/>
      <c r="IBY11" s="36"/>
      <c r="IBZ11" s="37"/>
      <c r="ICA11" s="36"/>
      <c r="ICB11" s="37"/>
      <c r="ICC11" s="36"/>
      <c r="ICD11" s="37"/>
      <c r="ICE11" s="36"/>
      <c r="ICF11" s="37"/>
      <c r="ICG11" s="36"/>
      <c r="ICH11" s="37"/>
      <c r="ICI11" s="36"/>
      <c r="ICJ11" s="37"/>
      <c r="ICK11" s="36"/>
      <c r="ICL11" s="36"/>
      <c r="ICM11" s="37"/>
      <c r="ICN11" s="37"/>
      <c r="ICP11" s="22"/>
      <c r="ICQ11" s="35"/>
      <c r="ICR11" s="36"/>
      <c r="ICS11" s="37"/>
      <c r="ICT11" s="36"/>
      <c r="ICU11" s="37"/>
      <c r="ICV11" s="36"/>
      <c r="ICW11" s="37"/>
      <c r="ICX11" s="36"/>
      <c r="ICY11" s="37"/>
      <c r="ICZ11" s="36"/>
      <c r="IDA11" s="37"/>
      <c r="IDB11" s="36"/>
      <c r="IDC11" s="37"/>
      <c r="IDD11" s="36"/>
      <c r="IDE11" s="37"/>
      <c r="IDF11" s="36"/>
      <c r="IDG11" s="37"/>
      <c r="IDH11" s="36"/>
      <c r="IDI11" s="37"/>
      <c r="IDJ11" s="36"/>
      <c r="IDK11" s="36"/>
      <c r="IDL11" s="37"/>
      <c r="IDM11" s="37"/>
      <c r="IDO11" s="22"/>
      <c r="IDP11" s="35"/>
      <c r="IDQ11" s="36"/>
      <c r="IDR11" s="37"/>
      <c r="IDS11" s="36"/>
      <c r="IDT11" s="37"/>
      <c r="IDU11" s="36"/>
      <c r="IDV11" s="37"/>
      <c r="IDW11" s="36"/>
      <c r="IDX11" s="37"/>
      <c r="IDY11" s="36"/>
      <c r="IDZ11" s="37"/>
      <c r="IEA11" s="36"/>
      <c r="IEB11" s="37"/>
      <c r="IEC11" s="36"/>
      <c r="IED11" s="37"/>
      <c r="IEE11" s="36"/>
      <c r="IEF11" s="37"/>
      <c r="IEG11" s="36"/>
      <c r="IEH11" s="37"/>
      <c r="IEI11" s="36"/>
      <c r="IEJ11" s="36"/>
      <c r="IEK11" s="37"/>
      <c r="IEL11" s="37"/>
      <c r="IEN11" s="22"/>
      <c r="IEO11" s="35"/>
      <c r="IEP11" s="36"/>
      <c r="IEQ11" s="37"/>
      <c r="IER11" s="36"/>
      <c r="IES11" s="37"/>
      <c r="IET11" s="36"/>
      <c r="IEU11" s="37"/>
      <c r="IEV11" s="36"/>
      <c r="IEW11" s="37"/>
      <c r="IEX11" s="36"/>
      <c r="IEY11" s="37"/>
      <c r="IEZ11" s="36"/>
      <c r="IFA11" s="37"/>
      <c r="IFB11" s="36"/>
      <c r="IFC11" s="37"/>
      <c r="IFD11" s="36"/>
      <c r="IFE11" s="37"/>
      <c r="IFF11" s="36"/>
      <c r="IFG11" s="37"/>
      <c r="IFH11" s="36"/>
      <c r="IFI11" s="36"/>
      <c r="IFJ11" s="37"/>
      <c r="IFK11" s="37"/>
      <c r="IFM11" s="22"/>
      <c r="IFN11" s="35"/>
      <c r="IFO11" s="36"/>
      <c r="IFP11" s="37"/>
      <c r="IFQ11" s="36"/>
      <c r="IFR11" s="37"/>
      <c r="IFS11" s="36"/>
      <c r="IFT11" s="37"/>
      <c r="IFU11" s="36"/>
      <c r="IFV11" s="37"/>
      <c r="IFW11" s="36"/>
      <c r="IFX11" s="37"/>
      <c r="IFY11" s="36"/>
      <c r="IFZ11" s="37"/>
      <c r="IGA11" s="36"/>
      <c r="IGB11" s="37"/>
      <c r="IGC11" s="36"/>
      <c r="IGD11" s="37"/>
      <c r="IGE11" s="36"/>
      <c r="IGF11" s="37"/>
      <c r="IGG11" s="36"/>
      <c r="IGH11" s="36"/>
      <c r="IGI11" s="37"/>
      <c r="IGJ11" s="37"/>
      <c r="IGL11" s="22"/>
      <c r="IGM11" s="35"/>
      <c r="IGN11" s="36"/>
      <c r="IGO11" s="37"/>
      <c r="IGP11" s="36"/>
      <c r="IGQ11" s="37"/>
      <c r="IGR11" s="36"/>
      <c r="IGS11" s="37"/>
      <c r="IGT11" s="36"/>
      <c r="IGU11" s="37"/>
      <c r="IGV11" s="36"/>
      <c r="IGW11" s="37"/>
      <c r="IGX11" s="36"/>
      <c r="IGY11" s="37"/>
      <c r="IGZ11" s="36"/>
      <c r="IHA11" s="37"/>
      <c r="IHB11" s="36"/>
      <c r="IHC11" s="37"/>
      <c r="IHD11" s="36"/>
      <c r="IHE11" s="37"/>
      <c r="IHF11" s="36"/>
      <c r="IHG11" s="36"/>
      <c r="IHH11" s="37"/>
      <c r="IHI11" s="37"/>
      <c r="IHK11" s="22"/>
      <c r="IHL11" s="35"/>
      <c r="IHM11" s="36"/>
      <c r="IHN11" s="37"/>
      <c r="IHO11" s="36"/>
      <c r="IHP11" s="37"/>
      <c r="IHQ11" s="36"/>
      <c r="IHR11" s="37"/>
      <c r="IHS11" s="36"/>
      <c r="IHT11" s="37"/>
      <c r="IHU11" s="36"/>
      <c r="IHV11" s="37"/>
      <c r="IHW11" s="36"/>
      <c r="IHX11" s="37"/>
      <c r="IHY11" s="36"/>
      <c r="IHZ11" s="37"/>
      <c r="IIA11" s="36"/>
      <c r="IIB11" s="37"/>
      <c r="IIC11" s="36"/>
      <c r="IID11" s="37"/>
      <c r="IIE11" s="36"/>
      <c r="IIF11" s="36"/>
      <c r="IIG11" s="37"/>
      <c r="IIH11" s="37"/>
      <c r="IIJ11" s="22"/>
      <c r="IIK11" s="35"/>
      <c r="IIL11" s="36"/>
      <c r="IIM11" s="37"/>
      <c r="IIN11" s="36"/>
      <c r="IIO11" s="37"/>
      <c r="IIP11" s="36"/>
      <c r="IIQ11" s="37"/>
      <c r="IIR11" s="36"/>
      <c r="IIS11" s="37"/>
      <c r="IIT11" s="36"/>
      <c r="IIU11" s="37"/>
      <c r="IIV11" s="36"/>
      <c r="IIW11" s="37"/>
      <c r="IIX11" s="36"/>
      <c r="IIY11" s="37"/>
      <c r="IIZ11" s="36"/>
      <c r="IJA11" s="37"/>
      <c r="IJB11" s="36"/>
      <c r="IJC11" s="37"/>
      <c r="IJD11" s="36"/>
      <c r="IJE11" s="36"/>
      <c r="IJF11" s="37"/>
      <c r="IJG11" s="37"/>
      <c r="IJI11" s="22"/>
      <c r="IJJ11" s="35"/>
      <c r="IJK11" s="36"/>
      <c r="IJL11" s="37"/>
      <c r="IJM11" s="36"/>
      <c r="IJN11" s="37"/>
      <c r="IJO11" s="36"/>
      <c r="IJP11" s="37"/>
      <c r="IJQ11" s="36"/>
      <c r="IJR11" s="37"/>
      <c r="IJS11" s="36"/>
      <c r="IJT11" s="37"/>
      <c r="IJU11" s="36"/>
      <c r="IJV11" s="37"/>
      <c r="IJW11" s="36"/>
      <c r="IJX11" s="37"/>
      <c r="IJY11" s="36"/>
      <c r="IJZ11" s="37"/>
      <c r="IKA11" s="36"/>
      <c r="IKB11" s="37"/>
      <c r="IKC11" s="36"/>
      <c r="IKD11" s="36"/>
      <c r="IKE11" s="37"/>
      <c r="IKF11" s="37"/>
      <c r="IKH11" s="22"/>
      <c r="IKI11" s="35"/>
      <c r="IKJ11" s="36"/>
      <c r="IKK11" s="37"/>
      <c r="IKL11" s="36"/>
      <c r="IKM11" s="37"/>
      <c r="IKN11" s="36"/>
      <c r="IKO11" s="37"/>
      <c r="IKP11" s="36"/>
      <c r="IKQ11" s="37"/>
      <c r="IKR11" s="36"/>
      <c r="IKS11" s="37"/>
      <c r="IKT11" s="36"/>
      <c r="IKU11" s="37"/>
      <c r="IKV11" s="36"/>
      <c r="IKW11" s="37"/>
      <c r="IKX11" s="36"/>
      <c r="IKY11" s="37"/>
      <c r="IKZ11" s="36"/>
      <c r="ILA11" s="37"/>
      <c r="ILB11" s="36"/>
      <c r="ILC11" s="36"/>
      <c r="ILD11" s="37"/>
      <c r="ILE11" s="37"/>
      <c r="ILG11" s="22"/>
      <c r="ILH11" s="35"/>
      <c r="ILI11" s="36"/>
      <c r="ILJ11" s="37"/>
      <c r="ILK11" s="36"/>
      <c r="ILL11" s="37"/>
      <c r="ILM11" s="36"/>
      <c r="ILN11" s="37"/>
      <c r="ILO11" s="36"/>
      <c r="ILP11" s="37"/>
      <c r="ILQ11" s="36"/>
      <c r="ILR11" s="37"/>
      <c r="ILS11" s="36"/>
      <c r="ILT11" s="37"/>
      <c r="ILU11" s="36"/>
      <c r="ILV11" s="37"/>
      <c r="ILW11" s="36"/>
      <c r="ILX11" s="37"/>
      <c r="ILY11" s="36"/>
      <c r="ILZ11" s="37"/>
      <c r="IMA11" s="36"/>
      <c r="IMB11" s="36"/>
      <c r="IMC11" s="37"/>
      <c r="IMD11" s="37"/>
      <c r="IMF11" s="22"/>
      <c r="IMG11" s="35"/>
      <c r="IMH11" s="36"/>
      <c r="IMI11" s="37"/>
      <c r="IMJ11" s="36"/>
      <c r="IMK11" s="37"/>
      <c r="IML11" s="36"/>
      <c r="IMM11" s="37"/>
      <c r="IMN11" s="36"/>
      <c r="IMO11" s="37"/>
      <c r="IMP11" s="36"/>
      <c r="IMQ11" s="37"/>
      <c r="IMR11" s="36"/>
      <c r="IMS11" s="37"/>
      <c r="IMT11" s="36"/>
      <c r="IMU11" s="37"/>
      <c r="IMV11" s="36"/>
      <c r="IMW11" s="37"/>
      <c r="IMX11" s="36"/>
      <c r="IMY11" s="37"/>
      <c r="IMZ11" s="36"/>
      <c r="INA11" s="36"/>
      <c r="INB11" s="37"/>
      <c r="INC11" s="37"/>
      <c r="INE11" s="22"/>
      <c r="INF11" s="35"/>
      <c r="ING11" s="36"/>
      <c r="INH11" s="37"/>
      <c r="INI11" s="36"/>
      <c r="INJ11" s="37"/>
      <c r="INK11" s="36"/>
      <c r="INL11" s="37"/>
      <c r="INM11" s="36"/>
      <c r="INN11" s="37"/>
      <c r="INO11" s="36"/>
      <c r="INP11" s="37"/>
      <c r="INQ11" s="36"/>
      <c r="INR11" s="37"/>
      <c r="INS11" s="36"/>
      <c r="INT11" s="37"/>
      <c r="INU11" s="36"/>
      <c r="INV11" s="37"/>
      <c r="INW11" s="36"/>
      <c r="INX11" s="37"/>
      <c r="INY11" s="36"/>
      <c r="INZ11" s="36"/>
      <c r="IOA11" s="37"/>
      <c r="IOB11" s="37"/>
      <c r="IOD11" s="22"/>
      <c r="IOE11" s="35"/>
      <c r="IOF11" s="36"/>
      <c r="IOG11" s="37"/>
      <c r="IOH11" s="36"/>
      <c r="IOI11" s="37"/>
      <c r="IOJ11" s="36"/>
      <c r="IOK11" s="37"/>
      <c r="IOL11" s="36"/>
      <c r="IOM11" s="37"/>
      <c r="ION11" s="36"/>
      <c r="IOO11" s="37"/>
      <c r="IOP11" s="36"/>
      <c r="IOQ11" s="37"/>
      <c r="IOR11" s="36"/>
      <c r="IOS11" s="37"/>
      <c r="IOT11" s="36"/>
      <c r="IOU11" s="37"/>
      <c r="IOV11" s="36"/>
      <c r="IOW11" s="37"/>
      <c r="IOX11" s="36"/>
      <c r="IOY11" s="36"/>
      <c r="IOZ11" s="37"/>
      <c r="IPA11" s="37"/>
      <c r="IPC11" s="22"/>
      <c r="IPD11" s="35"/>
      <c r="IPE11" s="36"/>
      <c r="IPF11" s="37"/>
      <c r="IPG11" s="36"/>
      <c r="IPH11" s="37"/>
      <c r="IPI11" s="36"/>
      <c r="IPJ11" s="37"/>
      <c r="IPK11" s="36"/>
      <c r="IPL11" s="37"/>
      <c r="IPM11" s="36"/>
      <c r="IPN11" s="37"/>
      <c r="IPO11" s="36"/>
      <c r="IPP11" s="37"/>
      <c r="IPQ11" s="36"/>
      <c r="IPR11" s="37"/>
      <c r="IPS11" s="36"/>
      <c r="IPT11" s="37"/>
      <c r="IPU11" s="36"/>
      <c r="IPV11" s="37"/>
      <c r="IPW11" s="36"/>
      <c r="IPX11" s="36"/>
      <c r="IPY11" s="37"/>
      <c r="IPZ11" s="37"/>
      <c r="IQB11" s="22"/>
      <c r="IQC11" s="35"/>
      <c r="IQD11" s="36"/>
      <c r="IQE11" s="37"/>
      <c r="IQF11" s="36"/>
      <c r="IQG11" s="37"/>
      <c r="IQH11" s="36"/>
      <c r="IQI11" s="37"/>
      <c r="IQJ11" s="36"/>
      <c r="IQK11" s="37"/>
      <c r="IQL11" s="36"/>
      <c r="IQM11" s="37"/>
      <c r="IQN11" s="36"/>
      <c r="IQO11" s="37"/>
      <c r="IQP11" s="36"/>
      <c r="IQQ11" s="37"/>
      <c r="IQR11" s="36"/>
      <c r="IQS11" s="37"/>
      <c r="IQT11" s="36"/>
      <c r="IQU11" s="37"/>
      <c r="IQV11" s="36"/>
      <c r="IQW11" s="36"/>
      <c r="IQX11" s="37"/>
      <c r="IQY11" s="37"/>
      <c r="IRA11" s="22"/>
      <c r="IRB11" s="35"/>
      <c r="IRC11" s="36"/>
      <c r="IRD11" s="37"/>
      <c r="IRE11" s="36"/>
      <c r="IRF11" s="37"/>
      <c r="IRG11" s="36"/>
      <c r="IRH11" s="37"/>
      <c r="IRI11" s="36"/>
      <c r="IRJ11" s="37"/>
      <c r="IRK11" s="36"/>
      <c r="IRL11" s="37"/>
      <c r="IRM11" s="36"/>
      <c r="IRN11" s="37"/>
      <c r="IRO11" s="36"/>
      <c r="IRP11" s="37"/>
      <c r="IRQ11" s="36"/>
      <c r="IRR11" s="37"/>
      <c r="IRS11" s="36"/>
      <c r="IRT11" s="37"/>
      <c r="IRU11" s="36"/>
      <c r="IRV11" s="36"/>
      <c r="IRW11" s="37"/>
      <c r="IRX11" s="37"/>
      <c r="IRZ11" s="22"/>
      <c r="ISA11" s="35"/>
      <c r="ISB11" s="36"/>
      <c r="ISC11" s="37"/>
      <c r="ISD11" s="36"/>
      <c r="ISE11" s="37"/>
      <c r="ISF11" s="36"/>
      <c r="ISG11" s="37"/>
      <c r="ISH11" s="36"/>
      <c r="ISI11" s="37"/>
      <c r="ISJ11" s="36"/>
      <c r="ISK11" s="37"/>
      <c r="ISL11" s="36"/>
      <c r="ISM11" s="37"/>
      <c r="ISN11" s="36"/>
      <c r="ISO11" s="37"/>
      <c r="ISP11" s="36"/>
      <c r="ISQ11" s="37"/>
      <c r="ISR11" s="36"/>
      <c r="ISS11" s="37"/>
      <c r="IST11" s="36"/>
      <c r="ISU11" s="36"/>
      <c r="ISV11" s="37"/>
      <c r="ISW11" s="37"/>
      <c r="ISY11" s="22"/>
      <c r="ISZ11" s="35"/>
      <c r="ITA11" s="36"/>
      <c r="ITB11" s="37"/>
      <c r="ITC11" s="36"/>
      <c r="ITD11" s="37"/>
      <c r="ITE11" s="36"/>
      <c r="ITF11" s="37"/>
      <c r="ITG11" s="36"/>
      <c r="ITH11" s="37"/>
      <c r="ITI11" s="36"/>
      <c r="ITJ11" s="37"/>
      <c r="ITK11" s="36"/>
      <c r="ITL11" s="37"/>
      <c r="ITM11" s="36"/>
      <c r="ITN11" s="37"/>
      <c r="ITO11" s="36"/>
      <c r="ITP11" s="37"/>
      <c r="ITQ11" s="36"/>
      <c r="ITR11" s="37"/>
      <c r="ITS11" s="36"/>
      <c r="ITT11" s="36"/>
      <c r="ITU11" s="37"/>
      <c r="ITV11" s="37"/>
      <c r="ITX11" s="22"/>
      <c r="ITY11" s="35"/>
      <c r="ITZ11" s="36"/>
      <c r="IUA11" s="37"/>
      <c r="IUB11" s="36"/>
      <c r="IUC11" s="37"/>
      <c r="IUD11" s="36"/>
      <c r="IUE11" s="37"/>
      <c r="IUF11" s="36"/>
      <c r="IUG11" s="37"/>
      <c r="IUH11" s="36"/>
      <c r="IUI11" s="37"/>
      <c r="IUJ11" s="36"/>
      <c r="IUK11" s="37"/>
      <c r="IUL11" s="36"/>
      <c r="IUM11" s="37"/>
      <c r="IUN11" s="36"/>
      <c r="IUO11" s="37"/>
      <c r="IUP11" s="36"/>
      <c r="IUQ11" s="37"/>
      <c r="IUR11" s="36"/>
      <c r="IUS11" s="36"/>
      <c r="IUT11" s="37"/>
      <c r="IUU11" s="37"/>
      <c r="IUW11" s="22"/>
      <c r="IUX11" s="35"/>
      <c r="IUY11" s="36"/>
      <c r="IUZ11" s="37"/>
      <c r="IVA11" s="36"/>
      <c r="IVB11" s="37"/>
      <c r="IVC11" s="36"/>
      <c r="IVD11" s="37"/>
      <c r="IVE11" s="36"/>
      <c r="IVF11" s="37"/>
      <c r="IVG11" s="36"/>
      <c r="IVH11" s="37"/>
      <c r="IVI11" s="36"/>
      <c r="IVJ11" s="37"/>
      <c r="IVK11" s="36"/>
      <c r="IVL11" s="37"/>
      <c r="IVM11" s="36"/>
      <c r="IVN11" s="37"/>
      <c r="IVO11" s="36"/>
      <c r="IVP11" s="37"/>
      <c r="IVQ11" s="36"/>
      <c r="IVR11" s="36"/>
      <c r="IVS11" s="37"/>
      <c r="IVT11" s="37"/>
      <c r="IVV11" s="22"/>
      <c r="IVW11" s="35"/>
      <c r="IVX11" s="36"/>
      <c r="IVY11" s="37"/>
      <c r="IVZ11" s="36"/>
      <c r="IWA11" s="37"/>
      <c r="IWB11" s="36"/>
      <c r="IWC11" s="37"/>
      <c r="IWD11" s="36"/>
      <c r="IWE11" s="37"/>
      <c r="IWF11" s="36"/>
      <c r="IWG11" s="37"/>
      <c r="IWH11" s="36"/>
      <c r="IWI11" s="37"/>
      <c r="IWJ11" s="36"/>
      <c r="IWK11" s="37"/>
      <c r="IWL11" s="36"/>
      <c r="IWM11" s="37"/>
      <c r="IWN11" s="36"/>
      <c r="IWO11" s="37"/>
      <c r="IWP11" s="36"/>
      <c r="IWQ11" s="36"/>
      <c r="IWR11" s="37"/>
      <c r="IWS11" s="37"/>
      <c r="IWU11" s="22"/>
      <c r="IWV11" s="35"/>
      <c r="IWW11" s="36"/>
      <c r="IWX11" s="37"/>
      <c r="IWY11" s="36"/>
      <c r="IWZ11" s="37"/>
      <c r="IXA11" s="36"/>
      <c r="IXB11" s="37"/>
      <c r="IXC11" s="36"/>
      <c r="IXD11" s="37"/>
      <c r="IXE11" s="36"/>
      <c r="IXF11" s="37"/>
      <c r="IXG11" s="36"/>
      <c r="IXH11" s="37"/>
      <c r="IXI11" s="36"/>
      <c r="IXJ11" s="37"/>
      <c r="IXK11" s="36"/>
      <c r="IXL11" s="37"/>
      <c r="IXM11" s="36"/>
      <c r="IXN11" s="37"/>
      <c r="IXO11" s="36"/>
      <c r="IXP11" s="36"/>
      <c r="IXQ11" s="37"/>
      <c r="IXR11" s="37"/>
      <c r="IXT11" s="22"/>
      <c r="IXU11" s="35"/>
      <c r="IXV11" s="36"/>
      <c r="IXW11" s="37"/>
      <c r="IXX11" s="36"/>
      <c r="IXY11" s="37"/>
      <c r="IXZ11" s="36"/>
      <c r="IYA11" s="37"/>
      <c r="IYB11" s="36"/>
      <c r="IYC11" s="37"/>
      <c r="IYD11" s="36"/>
      <c r="IYE11" s="37"/>
      <c r="IYF11" s="36"/>
      <c r="IYG11" s="37"/>
      <c r="IYH11" s="36"/>
      <c r="IYI11" s="37"/>
      <c r="IYJ11" s="36"/>
      <c r="IYK11" s="37"/>
      <c r="IYL11" s="36"/>
      <c r="IYM11" s="37"/>
      <c r="IYN11" s="36"/>
      <c r="IYO11" s="36"/>
      <c r="IYP11" s="37"/>
      <c r="IYQ11" s="37"/>
      <c r="IYS11" s="22"/>
      <c r="IYT11" s="35"/>
      <c r="IYU11" s="36"/>
      <c r="IYV11" s="37"/>
      <c r="IYW11" s="36"/>
      <c r="IYX11" s="37"/>
      <c r="IYY11" s="36"/>
      <c r="IYZ11" s="37"/>
      <c r="IZA11" s="36"/>
      <c r="IZB11" s="37"/>
      <c r="IZC11" s="36"/>
      <c r="IZD11" s="37"/>
      <c r="IZE11" s="36"/>
      <c r="IZF11" s="37"/>
      <c r="IZG11" s="36"/>
      <c r="IZH11" s="37"/>
      <c r="IZI11" s="36"/>
      <c r="IZJ11" s="37"/>
      <c r="IZK11" s="36"/>
      <c r="IZL11" s="37"/>
      <c r="IZM11" s="36"/>
      <c r="IZN11" s="36"/>
      <c r="IZO11" s="37"/>
      <c r="IZP11" s="37"/>
      <c r="IZR11" s="22"/>
      <c r="IZS11" s="35"/>
      <c r="IZT11" s="36"/>
      <c r="IZU11" s="37"/>
      <c r="IZV11" s="36"/>
      <c r="IZW11" s="37"/>
      <c r="IZX11" s="36"/>
      <c r="IZY11" s="37"/>
      <c r="IZZ11" s="36"/>
      <c r="JAA11" s="37"/>
      <c r="JAB11" s="36"/>
      <c r="JAC11" s="37"/>
      <c r="JAD11" s="36"/>
      <c r="JAE11" s="37"/>
      <c r="JAF11" s="36"/>
      <c r="JAG11" s="37"/>
      <c r="JAH11" s="36"/>
      <c r="JAI11" s="37"/>
      <c r="JAJ11" s="36"/>
      <c r="JAK11" s="37"/>
      <c r="JAL11" s="36"/>
      <c r="JAM11" s="36"/>
      <c r="JAN11" s="37"/>
      <c r="JAO11" s="37"/>
      <c r="JAQ11" s="22"/>
      <c r="JAR11" s="35"/>
      <c r="JAS11" s="36"/>
      <c r="JAT11" s="37"/>
      <c r="JAU11" s="36"/>
      <c r="JAV11" s="37"/>
      <c r="JAW11" s="36"/>
      <c r="JAX11" s="37"/>
      <c r="JAY11" s="36"/>
      <c r="JAZ11" s="37"/>
      <c r="JBA11" s="36"/>
      <c r="JBB11" s="37"/>
      <c r="JBC11" s="36"/>
      <c r="JBD11" s="37"/>
      <c r="JBE11" s="36"/>
      <c r="JBF11" s="37"/>
      <c r="JBG11" s="36"/>
      <c r="JBH11" s="37"/>
      <c r="JBI11" s="36"/>
      <c r="JBJ11" s="37"/>
      <c r="JBK11" s="36"/>
      <c r="JBL11" s="36"/>
      <c r="JBM11" s="37"/>
      <c r="JBN11" s="37"/>
      <c r="JBP11" s="22"/>
      <c r="JBQ11" s="35"/>
      <c r="JBR11" s="36"/>
      <c r="JBS11" s="37"/>
      <c r="JBT11" s="36"/>
      <c r="JBU11" s="37"/>
      <c r="JBV11" s="36"/>
      <c r="JBW11" s="37"/>
      <c r="JBX11" s="36"/>
      <c r="JBY11" s="37"/>
      <c r="JBZ11" s="36"/>
      <c r="JCA11" s="37"/>
      <c r="JCB11" s="36"/>
      <c r="JCC11" s="37"/>
      <c r="JCD11" s="36"/>
      <c r="JCE11" s="37"/>
      <c r="JCF11" s="36"/>
      <c r="JCG11" s="37"/>
      <c r="JCH11" s="36"/>
      <c r="JCI11" s="37"/>
      <c r="JCJ11" s="36"/>
      <c r="JCK11" s="36"/>
      <c r="JCL11" s="37"/>
      <c r="JCM11" s="37"/>
      <c r="JCO11" s="22"/>
      <c r="JCP11" s="35"/>
      <c r="JCQ11" s="36"/>
      <c r="JCR11" s="37"/>
      <c r="JCS11" s="36"/>
      <c r="JCT11" s="37"/>
      <c r="JCU11" s="36"/>
      <c r="JCV11" s="37"/>
      <c r="JCW11" s="36"/>
      <c r="JCX11" s="37"/>
      <c r="JCY11" s="36"/>
      <c r="JCZ11" s="37"/>
      <c r="JDA11" s="36"/>
      <c r="JDB11" s="37"/>
      <c r="JDC11" s="36"/>
      <c r="JDD11" s="37"/>
      <c r="JDE11" s="36"/>
      <c r="JDF11" s="37"/>
      <c r="JDG11" s="36"/>
      <c r="JDH11" s="37"/>
      <c r="JDI11" s="36"/>
      <c r="JDJ11" s="36"/>
      <c r="JDK11" s="37"/>
      <c r="JDL11" s="37"/>
      <c r="JDN11" s="22"/>
      <c r="JDO11" s="35"/>
      <c r="JDP11" s="36"/>
      <c r="JDQ11" s="37"/>
      <c r="JDR11" s="36"/>
      <c r="JDS11" s="37"/>
      <c r="JDT11" s="36"/>
      <c r="JDU11" s="37"/>
      <c r="JDV11" s="36"/>
      <c r="JDW11" s="37"/>
      <c r="JDX11" s="36"/>
      <c r="JDY11" s="37"/>
      <c r="JDZ11" s="36"/>
      <c r="JEA11" s="37"/>
      <c r="JEB11" s="36"/>
      <c r="JEC11" s="37"/>
      <c r="JED11" s="36"/>
      <c r="JEE11" s="37"/>
      <c r="JEF11" s="36"/>
      <c r="JEG11" s="37"/>
      <c r="JEH11" s="36"/>
      <c r="JEI11" s="36"/>
      <c r="JEJ11" s="37"/>
      <c r="JEK11" s="37"/>
      <c r="JEM11" s="22"/>
      <c r="JEN11" s="35"/>
      <c r="JEO11" s="36"/>
      <c r="JEP11" s="37"/>
      <c r="JEQ11" s="36"/>
      <c r="JER11" s="37"/>
      <c r="JES11" s="36"/>
      <c r="JET11" s="37"/>
      <c r="JEU11" s="36"/>
      <c r="JEV11" s="37"/>
      <c r="JEW11" s="36"/>
      <c r="JEX11" s="37"/>
      <c r="JEY11" s="36"/>
      <c r="JEZ11" s="37"/>
      <c r="JFA11" s="36"/>
      <c r="JFB11" s="37"/>
      <c r="JFC11" s="36"/>
      <c r="JFD11" s="37"/>
      <c r="JFE11" s="36"/>
      <c r="JFF11" s="37"/>
      <c r="JFG11" s="36"/>
      <c r="JFH11" s="36"/>
      <c r="JFI11" s="37"/>
      <c r="JFJ11" s="37"/>
      <c r="JFL11" s="22"/>
      <c r="JFM11" s="35"/>
      <c r="JFN11" s="36"/>
      <c r="JFO11" s="37"/>
      <c r="JFP11" s="36"/>
      <c r="JFQ11" s="37"/>
      <c r="JFR11" s="36"/>
      <c r="JFS11" s="37"/>
      <c r="JFT11" s="36"/>
      <c r="JFU11" s="37"/>
      <c r="JFV11" s="36"/>
      <c r="JFW11" s="37"/>
      <c r="JFX11" s="36"/>
      <c r="JFY11" s="37"/>
      <c r="JFZ11" s="36"/>
      <c r="JGA11" s="37"/>
      <c r="JGB11" s="36"/>
      <c r="JGC11" s="37"/>
      <c r="JGD11" s="36"/>
      <c r="JGE11" s="37"/>
      <c r="JGF11" s="36"/>
      <c r="JGG11" s="36"/>
      <c r="JGH11" s="37"/>
      <c r="JGI11" s="37"/>
      <c r="JGK11" s="22"/>
      <c r="JGL11" s="35"/>
      <c r="JGM11" s="36"/>
      <c r="JGN11" s="37"/>
      <c r="JGO11" s="36"/>
      <c r="JGP11" s="37"/>
      <c r="JGQ11" s="36"/>
      <c r="JGR11" s="37"/>
      <c r="JGS11" s="36"/>
      <c r="JGT11" s="37"/>
      <c r="JGU11" s="36"/>
      <c r="JGV11" s="37"/>
      <c r="JGW11" s="36"/>
      <c r="JGX11" s="37"/>
      <c r="JGY11" s="36"/>
      <c r="JGZ11" s="37"/>
      <c r="JHA11" s="36"/>
      <c r="JHB11" s="37"/>
      <c r="JHC11" s="36"/>
      <c r="JHD11" s="37"/>
      <c r="JHE11" s="36"/>
      <c r="JHF11" s="36"/>
      <c r="JHG11" s="37"/>
      <c r="JHH11" s="37"/>
      <c r="JHJ11" s="22"/>
      <c r="JHK11" s="35"/>
      <c r="JHL11" s="36"/>
      <c r="JHM11" s="37"/>
      <c r="JHN11" s="36"/>
      <c r="JHO11" s="37"/>
      <c r="JHP11" s="36"/>
      <c r="JHQ11" s="37"/>
      <c r="JHR11" s="36"/>
      <c r="JHS11" s="37"/>
      <c r="JHT11" s="36"/>
      <c r="JHU11" s="37"/>
      <c r="JHV11" s="36"/>
      <c r="JHW11" s="37"/>
      <c r="JHX11" s="36"/>
      <c r="JHY11" s="37"/>
      <c r="JHZ11" s="36"/>
      <c r="JIA11" s="37"/>
      <c r="JIB11" s="36"/>
      <c r="JIC11" s="37"/>
      <c r="JID11" s="36"/>
      <c r="JIE11" s="36"/>
      <c r="JIF11" s="37"/>
      <c r="JIG11" s="37"/>
      <c r="JII11" s="22"/>
      <c r="JIJ11" s="35"/>
      <c r="JIK11" s="36"/>
      <c r="JIL11" s="37"/>
      <c r="JIM11" s="36"/>
      <c r="JIN11" s="37"/>
      <c r="JIO11" s="36"/>
      <c r="JIP11" s="37"/>
      <c r="JIQ11" s="36"/>
      <c r="JIR11" s="37"/>
      <c r="JIS11" s="36"/>
      <c r="JIT11" s="37"/>
      <c r="JIU11" s="36"/>
      <c r="JIV11" s="37"/>
      <c r="JIW11" s="36"/>
      <c r="JIX11" s="37"/>
      <c r="JIY11" s="36"/>
      <c r="JIZ11" s="37"/>
      <c r="JJA11" s="36"/>
      <c r="JJB11" s="37"/>
      <c r="JJC11" s="36"/>
      <c r="JJD11" s="36"/>
      <c r="JJE11" s="37"/>
      <c r="JJF11" s="37"/>
      <c r="JJH11" s="22"/>
      <c r="JJI11" s="35"/>
      <c r="JJJ11" s="36"/>
      <c r="JJK11" s="37"/>
      <c r="JJL11" s="36"/>
      <c r="JJM11" s="37"/>
      <c r="JJN11" s="36"/>
      <c r="JJO11" s="37"/>
      <c r="JJP11" s="36"/>
      <c r="JJQ11" s="37"/>
      <c r="JJR11" s="36"/>
      <c r="JJS11" s="37"/>
      <c r="JJT11" s="36"/>
      <c r="JJU11" s="37"/>
      <c r="JJV11" s="36"/>
      <c r="JJW11" s="37"/>
      <c r="JJX11" s="36"/>
      <c r="JJY11" s="37"/>
      <c r="JJZ11" s="36"/>
      <c r="JKA11" s="37"/>
      <c r="JKB11" s="36"/>
      <c r="JKC11" s="36"/>
      <c r="JKD11" s="37"/>
      <c r="JKE11" s="37"/>
      <c r="JKG11" s="22"/>
      <c r="JKH11" s="35"/>
      <c r="JKI11" s="36"/>
      <c r="JKJ11" s="37"/>
      <c r="JKK11" s="36"/>
      <c r="JKL11" s="37"/>
      <c r="JKM11" s="36"/>
      <c r="JKN11" s="37"/>
      <c r="JKO11" s="36"/>
      <c r="JKP11" s="37"/>
      <c r="JKQ11" s="36"/>
      <c r="JKR11" s="37"/>
      <c r="JKS11" s="36"/>
      <c r="JKT11" s="37"/>
      <c r="JKU11" s="36"/>
      <c r="JKV11" s="37"/>
      <c r="JKW11" s="36"/>
      <c r="JKX11" s="37"/>
      <c r="JKY11" s="36"/>
      <c r="JKZ11" s="37"/>
      <c r="JLA11" s="36"/>
      <c r="JLB11" s="36"/>
      <c r="JLC11" s="37"/>
      <c r="JLD11" s="37"/>
      <c r="JLF11" s="22"/>
      <c r="JLG11" s="35"/>
      <c r="JLH11" s="36"/>
      <c r="JLI11" s="37"/>
      <c r="JLJ11" s="36"/>
      <c r="JLK11" s="37"/>
      <c r="JLL11" s="36"/>
      <c r="JLM11" s="37"/>
      <c r="JLN11" s="36"/>
      <c r="JLO11" s="37"/>
      <c r="JLP11" s="36"/>
      <c r="JLQ11" s="37"/>
      <c r="JLR11" s="36"/>
      <c r="JLS11" s="37"/>
      <c r="JLT11" s="36"/>
      <c r="JLU11" s="37"/>
      <c r="JLV11" s="36"/>
      <c r="JLW11" s="37"/>
      <c r="JLX11" s="36"/>
      <c r="JLY11" s="37"/>
      <c r="JLZ11" s="36"/>
      <c r="JMA11" s="36"/>
      <c r="JMB11" s="37"/>
      <c r="JMC11" s="37"/>
      <c r="JME11" s="22"/>
      <c r="JMF11" s="35"/>
      <c r="JMG11" s="36"/>
      <c r="JMH11" s="37"/>
      <c r="JMI11" s="36"/>
      <c r="JMJ11" s="37"/>
      <c r="JMK11" s="36"/>
      <c r="JML11" s="37"/>
      <c r="JMM11" s="36"/>
      <c r="JMN11" s="37"/>
      <c r="JMO11" s="36"/>
      <c r="JMP11" s="37"/>
      <c r="JMQ11" s="36"/>
      <c r="JMR11" s="37"/>
      <c r="JMS11" s="36"/>
      <c r="JMT11" s="37"/>
      <c r="JMU11" s="36"/>
      <c r="JMV11" s="37"/>
      <c r="JMW11" s="36"/>
      <c r="JMX11" s="37"/>
      <c r="JMY11" s="36"/>
      <c r="JMZ11" s="36"/>
      <c r="JNA11" s="37"/>
      <c r="JNB11" s="37"/>
      <c r="JND11" s="22"/>
      <c r="JNE11" s="35"/>
      <c r="JNF11" s="36"/>
      <c r="JNG11" s="37"/>
      <c r="JNH11" s="36"/>
      <c r="JNI11" s="37"/>
      <c r="JNJ11" s="36"/>
      <c r="JNK11" s="37"/>
      <c r="JNL11" s="36"/>
      <c r="JNM11" s="37"/>
      <c r="JNN11" s="36"/>
      <c r="JNO11" s="37"/>
      <c r="JNP11" s="36"/>
      <c r="JNQ11" s="37"/>
      <c r="JNR11" s="36"/>
      <c r="JNS11" s="37"/>
      <c r="JNT11" s="36"/>
      <c r="JNU11" s="37"/>
      <c r="JNV11" s="36"/>
      <c r="JNW11" s="37"/>
      <c r="JNX11" s="36"/>
      <c r="JNY11" s="36"/>
      <c r="JNZ11" s="37"/>
      <c r="JOA11" s="37"/>
      <c r="JOC11" s="22"/>
      <c r="JOD11" s="35"/>
      <c r="JOE11" s="36"/>
      <c r="JOF11" s="37"/>
      <c r="JOG11" s="36"/>
      <c r="JOH11" s="37"/>
      <c r="JOI11" s="36"/>
      <c r="JOJ11" s="37"/>
      <c r="JOK11" s="36"/>
      <c r="JOL11" s="37"/>
      <c r="JOM11" s="36"/>
      <c r="JON11" s="37"/>
      <c r="JOO11" s="36"/>
      <c r="JOP11" s="37"/>
      <c r="JOQ11" s="36"/>
      <c r="JOR11" s="37"/>
      <c r="JOS11" s="36"/>
      <c r="JOT11" s="37"/>
      <c r="JOU11" s="36"/>
      <c r="JOV11" s="37"/>
      <c r="JOW11" s="36"/>
      <c r="JOX11" s="36"/>
      <c r="JOY11" s="37"/>
      <c r="JOZ11" s="37"/>
      <c r="JPB11" s="22"/>
      <c r="JPC11" s="35"/>
      <c r="JPD11" s="36"/>
      <c r="JPE11" s="37"/>
      <c r="JPF11" s="36"/>
      <c r="JPG11" s="37"/>
      <c r="JPH11" s="36"/>
      <c r="JPI11" s="37"/>
      <c r="JPJ11" s="36"/>
      <c r="JPK11" s="37"/>
      <c r="JPL11" s="36"/>
      <c r="JPM11" s="37"/>
      <c r="JPN11" s="36"/>
      <c r="JPO11" s="37"/>
      <c r="JPP11" s="36"/>
      <c r="JPQ11" s="37"/>
      <c r="JPR11" s="36"/>
      <c r="JPS11" s="37"/>
      <c r="JPT11" s="36"/>
      <c r="JPU11" s="37"/>
      <c r="JPV11" s="36"/>
      <c r="JPW11" s="36"/>
      <c r="JPX11" s="37"/>
      <c r="JPY11" s="37"/>
      <c r="JQA11" s="22"/>
      <c r="JQB11" s="35"/>
      <c r="JQC11" s="36"/>
      <c r="JQD11" s="37"/>
      <c r="JQE11" s="36"/>
      <c r="JQF11" s="37"/>
      <c r="JQG11" s="36"/>
      <c r="JQH11" s="37"/>
      <c r="JQI11" s="36"/>
      <c r="JQJ11" s="37"/>
      <c r="JQK11" s="36"/>
      <c r="JQL11" s="37"/>
      <c r="JQM11" s="36"/>
      <c r="JQN11" s="37"/>
      <c r="JQO11" s="36"/>
      <c r="JQP11" s="37"/>
      <c r="JQQ11" s="36"/>
      <c r="JQR11" s="37"/>
      <c r="JQS11" s="36"/>
      <c r="JQT11" s="37"/>
      <c r="JQU11" s="36"/>
      <c r="JQV11" s="36"/>
      <c r="JQW11" s="37"/>
      <c r="JQX11" s="37"/>
      <c r="JQZ11" s="22"/>
      <c r="JRA11" s="35"/>
      <c r="JRB11" s="36"/>
      <c r="JRC11" s="37"/>
      <c r="JRD11" s="36"/>
      <c r="JRE11" s="37"/>
      <c r="JRF11" s="36"/>
      <c r="JRG11" s="37"/>
      <c r="JRH11" s="36"/>
      <c r="JRI11" s="37"/>
      <c r="JRJ11" s="36"/>
      <c r="JRK11" s="37"/>
      <c r="JRL11" s="36"/>
      <c r="JRM11" s="37"/>
      <c r="JRN11" s="36"/>
      <c r="JRO11" s="37"/>
      <c r="JRP11" s="36"/>
      <c r="JRQ11" s="37"/>
      <c r="JRR11" s="36"/>
      <c r="JRS11" s="37"/>
      <c r="JRT11" s="36"/>
      <c r="JRU11" s="36"/>
      <c r="JRV11" s="37"/>
      <c r="JRW11" s="37"/>
      <c r="JRY11" s="22"/>
      <c r="JRZ11" s="35"/>
      <c r="JSA11" s="36"/>
      <c r="JSB11" s="37"/>
      <c r="JSC11" s="36"/>
      <c r="JSD11" s="37"/>
      <c r="JSE11" s="36"/>
      <c r="JSF11" s="37"/>
      <c r="JSG11" s="36"/>
      <c r="JSH11" s="37"/>
      <c r="JSI11" s="36"/>
      <c r="JSJ11" s="37"/>
      <c r="JSK11" s="36"/>
      <c r="JSL11" s="37"/>
      <c r="JSM11" s="36"/>
      <c r="JSN11" s="37"/>
      <c r="JSO11" s="36"/>
      <c r="JSP11" s="37"/>
      <c r="JSQ11" s="36"/>
      <c r="JSR11" s="37"/>
      <c r="JSS11" s="36"/>
      <c r="JST11" s="36"/>
      <c r="JSU11" s="37"/>
      <c r="JSV11" s="37"/>
      <c r="JSX11" s="22"/>
      <c r="JSY11" s="35"/>
      <c r="JSZ11" s="36"/>
      <c r="JTA11" s="37"/>
      <c r="JTB11" s="36"/>
      <c r="JTC11" s="37"/>
      <c r="JTD11" s="36"/>
      <c r="JTE11" s="37"/>
      <c r="JTF11" s="36"/>
      <c r="JTG11" s="37"/>
      <c r="JTH11" s="36"/>
      <c r="JTI11" s="37"/>
      <c r="JTJ11" s="36"/>
      <c r="JTK11" s="37"/>
      <c r="JTL11" s="36"/>
      <c r="JTM11" s="37"/>
      <c r="JTN11" s="36"/>
      <c r="JTO11" s="37"/>
      <c r="JTP11" s="36"/>
      <c r="JTQ11" s="37"/>
      <c r="JTR11" s="36"/>
      <c r="JTS11" s="36"/>
      <c r="JTT11" s="37"/>
      <c r="JTU11" s="37"/>
      <c r="JTW11" s="22"/>
      <c r="JTX11" s="35"/>
      <c r="JTY11" s="36"/>
      <c r="JTZ11" s="37"/>
      <c r="JUA11" s="36"/>
      <c r="JUB11" s="37"/>
      <c r="JUC11" s="36"/>
      <c r="JUD11" s="37"/>
      <c r="JUE11" s="36"/>
      <c r="JUF11" s="37"/>
      <c r="JUG11" s="36"/>
      <c r="JUH11" s="37"/>
      <c r="JUI11" s="36"/>
      <c r="JUJ11" s="37"/>
      <c r="JUK11" s="36"/>
      <c r="JUL11" s="37"/>
      <c r="JUM11" s="36"/>
      <c r="JUN11" s="37"/>
      <c r="JUO11" s="36"/>
      <c r="JUP11" s="37"/>
      <c r="JUQ11" s="36"/>
      <c r="JUR11" s="36"/>
      <c r="JUS11" s="37"/>
      <c r="JUT11" s="37"/>
      <c r="JUV11" s="22"/>
      <c r="JUW11" s="35"/>
      <c r="JUX11" s="36"/>
      <c r="JUY11" s="37"/>
      <c r="JUZ11" s="36"/>
      <c r="JVA11" s="37"/>
      <c r="JVB11" s="36"/>
      <c r="JVC11" s="37"/>
      <c r="JVD11" s="36"/>
      <c r="JVE11" s="37"/>
      <c r="JVF11" s="36"/>
      <c r="JVG11" s="37"/>
      <c r="JVH11" s="36"/>
      <c r="JVI11" s="37"/>
      <c r="JVJ11" s="36"/>
      <c r="JVK11" s="37"/>
      <c r="JVL11" s="36"/>
      <c r="JVM11" s="37"/>
      <c r="JVN11" s="36"/>
      <c r="JVO11" s="37"/>
      <c r="JVP11" s="36"/>
      <c r="JVQ11" s="36"/>
      <c r="JVR11" s="37"/>
      <c r="JVS11" s="37"/>
      <c r="JVU11" s="22"/>
      <c r="JVV11" s="35"/>
      <c r="JVW11" s="36"/>
      <c r="JVX11" s="37"/>
      <c r="JVY11" s="36"/>
      <c r="JVZ11" s="37"/>
      <c r="JWA11" s="36"/>
      <c r="JWB11" s="37"/>
      <c r="JWC11" s="36"/>
      <c r="JWD11" s="37"/>
      <c r="JWE11" s="36"/>
      <c r="JWF11" s="37"/>
      <c r="JWG11" s="36"/>
      <c r="JWH11" s="37"/>
      <c r="JWI11" s="36"/>
      <c r="JWJ11" s="37"/>
      <c r="JWK11" s="36"/>
      <c r="JWL11" s="37"/>
      <c r="JWM11" s="36"/>
      <c r="JWN11" s="37"/>
      <c r="JWO11" s="36"/>
      <c r="JWP11" s="36"/>
      <c r="JWQ11" s="37"/>
      <c r="JWR11" s="37"/>
      <c r="JWT11" s="22"/>
      <c r="JWU11" s="35"/>
      <c r="JWV11" s="36"/>
      <c r="JWW11" s="37"/>
      <c r="JWX11" s="36"/>
      <c r="JWY11" s="37"/>
      <c r="JWZ11" s="36"/>
      <c r="JXA11" s="37"/>
      <c r="JXB11" s="36"/>
      <c r="JXC11" s="37"/>
      <c r="JXD11" s="36"/>
      <c r="JXE11" s="37"/>
      <c r="JXF11" s="36"/>
      <c r="JXG11" s="37"/>
      <c r="JXH11" s="36"/>
      <c r="JXI11" s="37"/>
      <c r="JXJ11" s="36"/>
      <c r="JXK11" s="37"/>
      <c r="JXL11" s="36"/>
      <c r="JXM11" s="37"/>
      <c r="JXN11" s="36"/>
      <c r="JXO11" s="36"/>
      <c r="JXP11" s="37"/>
      <c r="JXQ11" s="37"/>
      <c r="JXS11" s="22"/>
      <c r="JXT11" s="35"/>
      <c r="JXU11" s="36"/>
      <c r="JXV11" s="37"/>
      <c r="JXW11" s="36"/>
      <c r="JXX11" s="37"/>
      <c r="JXY11" s="36"/>
      <c r="JXZ11" s="37"/>
      <c r="JYA11" s="36"/>
      <c r="JYB11" s="37"/>
      <c r="JYC11" s="36"/>
      <c r="JYD11" s="37"/>
      <c r="JYE11" s="36"/>
      <c r="JYF11" s="37"/>
      <c r="JYG11" s="36"/>
      <c r="JYH11" s="37"/>
      <c r="JYI11" s="36"/>
      <c r="JYJ11" s="37"/>
      <c r="JYK11" s="36"/>
      <c r="JYL11" s="37"/>
      <c r="JYM11" s="36"/>
      <c r="JYN11" s="36"/>
      <c r="JYO11" s="37"/>
      <c r="JYP11" s="37"/>
      <c r="JYR11" s="22"/>
      <c r="JYS11" s="35"/>
      <c r="JYT11" s="36"/>
      <c r="JYU11" s="37"/>
      <c r="JYV11" s="36"/>
      <c r="JYW11" s="37"/>
      <c r="JYX11" s="36"/>
      <c r="JYY11" s="37"/>
      <c r="JYZ11" s="36"/>
      <c r="JZA11" s="37"/>
      <c r="JZB11" s="36"/>
      <c r="JZC11" s="37"/>
      <c r="JZD11" s="36"/>
      <c r="JZE11" s="37"/>
      <c r="JZF11" s="36"/>
      <c r="JZG11" s="37"/>
      <c r="JZH11" s="36"/>
      <c r="JZI11" s="37"/>
      <c r="JZJ11" s="36"/>
      <c r="JZK11" s="37"/>
      <c r="JZL11" s="36"/>
      <c r="JZM11" s="36"/>
      <c r="JZN11" s="37"/>
      <c r="JZO11" s="37"/>
      <c r="JZQ11" s="22"/>
      <c r="JZR11" s="35"/>
      <c r="JZS11" s="36"/>
      <c r="JZT11" s="37"/>
      <c r="JZU11" s="36"/>
      <c r="JZV11" s="37"/>
      <c r="JZW11" s="36"/>
      <c r="JZX11" s="37"/>
      <c r="JZY11" s="36"/>
      <c r="JZZ11" s="37"/>
      <c r="KAA11" s="36"/>
      <c r="KAB11" s="37"/>
      <c r="KAC11" s="36"/>
      <c r="KAD11" s="37"/>
      <c r="KAE11" s="36"/>
      <c r="KAF11" s="37"/>
      <c r="KAG11" s="36"/>
      <c r="KAH11" s="37"/>
      <c r="KAI11" s="36"/>
      <c r="KAJ11" s="37"/>
      <c r="KAK11" s="36"/>
      <c r="KAL11" s="36"/>
      <c r="KAM11" s="37"/>
      <c r="KAN11" s="37"/>
      <c r="KAP11" s="22"/>
      <c r="KAQ11" s="35"/>
      <c r="KAR11" s="36"/>
      <c r="KAS11" s="37"/>
      <c r="KAT11" s="36"/>
      <c r="KAU11" s="37"/>
      <c r="KAV11" s="36"/>
      <c r="KAW11" s="37"/>
      <c r="KAX11" s="36"/>
      <c r="KAY11" s="37"/>
      <c r="KAZ11" s="36"/>
      <c r="KBA11" s="37"/>
      <c r="KBB11" s="36"/>
      <c r="KBC11" s="37"/>
      <c r="KBD11" s="36"/>
      <c r="KBE11" s="37"/>
      <c r="KBF11" s="36"/>
      <c r="KBG11" s="37"/>
      <c r="KBH11" s="36"/>
      <c r="KBI11" s="37"/>
      <c r="KBJ11" s="36"/>
      <c r="KBK11" s="36"/>
      <c r="KBL11" s="37"/>
      <c r="KBM11" s="37"/>
      <c r="KBO11" s="22"/>
      <c r="KBP11" s="35"/>
      <c r="KBQ11" s="36"/>
      <c r="KBR11" s="37"/>
      <c r="KBS11" s="36"/>
      <c r="KBT11" s="37"/>
      <c r="KBU11" s="36"/>
      <c r="KBV11" s="37"/>
      <c r="KBW11" s="36"/>
      <c r="KBX11" s="37"/>
      <c r="KBY11" s="36"/>
      <c r="KBZ11" s="37"/>
      <c r="KCA11" s="36"/>
      <c r="KCB11" s="37"/>
      <c r="KCC11" s="36"/>
      <c r="KCD11" s="37"/>
      <c r="KCE11" s="36"/>
      <c r="KCF11" s="37"/>
      <c r="KCG11" s="36"/>
      <c r="KCH11" s="37"/>
      <c r="KCI11" s="36"/>
      <c r="KCJ11" s="36"/>
      <c r="KCK11" s="37"/>
      <c r="KCL11" s="37"/>
      <c r="KCN11" s="22"/>
      <c r="KCO11" s="35"/>
      <c r="KCP11" s="36"/>
      <c r="KCQ11" s="37"/>
      <c r="KCR11" s="36"/>
      <c r="KCS11" s="37"/>
      <c r="KCT11" s="36"/>
      <c r="KCU11" s="37"/>
      <c r="KCV11" s="36"/>
      <c r="KCW11" s="37"/>
      <c r="KCX11" s="36"/>
      <c r="KCY11" s="37"/>
      <c r="KCZ11" s="36"/>
      <c r="KDA11" s="37"/>
      <c r="KDB11" s="36"/>
      <c r="KDC11" s="37"/>
      <c r="KDD11" s="36"/>
      <c r="KDE11" s="37"/>
      <c r="KDF11" s="36"/>
      <c r="KDG11" s="37"/>
      <c r="KDH11" s="36"/>
      <c r="KDI11" s="36"/>
      <c r="KDJ11" s="37"/>
      <c r="KDK11" s="37"/>
      <c r="KDM11" s="22"/>
      <c r="KDN11" s="35"/>
      <c r="KDO11" s="36"/>
      <c r="KDP11" s="37"/>
      <c r="KDQ11" s="36"/>
      <c r="KDR11" s="37"/>
      <c r="KDS11" s="36"/>
      <c r="KDT11" s="37"/>
      <c r="KDU11" s="36"/>
      <c r="KDV11" s="37"/>
      <c r="KDW11" s="36"/>
      <c r="KDX11" s="37"/>
      <c r="KDY11" s="36"/>
      <c r="KDZ11" s="37"/>
      <c r="KEA11" s="36"/>
      <c r="KEB11" s="37"/>
      <c r="KEC11" s="36"/>
      <c r="KED11" s="37"/>
      <c r="KEE11" s="36"/>
      <c r="KEF11" s="37"/>
      <c r="KEG11" s="36"/>
      <c r="KEH11" s="36"/>
      <c r="KEI11" s="37"/>
      <c r="KEJ11" s="37"/>
      <c r="KEL11" s="22"/>
      <c r="KEM11" s="35"/>
      <c r="KEN11" s="36"/>
      <c r="KEO11" s="37"/>
      <c r="KEP11" s="36"/>
      <c r="KEQ11" s="37"/>
      <c r="KER11" s="36"/>
      <c r="KES11" s="37"/>
      <c r="KET11" s="36"/>
      <c r="KEU11" s="37"/>
      <c r="KEV11" s="36"/>
      <c r="KEW11" s="37"/>
      <c r="KEX11" s="36"/>
      <c r="KEY11" s="37"/>
      <c r="KEZ11" s="36"/>
      <c r="KFA11" s="37"/>
      <c r="KFB11" s="36"/>
      <c r="KFC11" s="37"/>
      <c r="KFD11" s="36"/>
      <c r="KFE11" s="37"/>
      <c r="KFF11" s="36"/>
      <c r="KFG11" s="36"/>
      <c r="KFH11" s="37"/>
      <c r="KFI11" s="37"/>
      <c r="KFK11" s="22"/>
      <c r="KFL11" s="35"/>
      <c r="KFM11" s="36"/>
      <c r="KFN11" s="37"/>
      <c r="KFO11" s="36"/>
      <c r="KFP11" s="37"/>
      <c r="KFQ11" s="36"/>
      <c r="KFR11" s="37"/>
      <c r="KFS11" s="36"/>
      <c r="KFT11" s="37"/>
      <c r="KFU11" s="36"/>
      <c r="KFV11" s="37"/>
      <c r="KFW11" s="36"/>
      <c r="KFX11" s="37"/>
      <c r="KFY11" s="36"/>
      <c r="KFZ11" s="37"/>
      <c r="KGA11" s="36"/>
      <c r="KGB11" s="37"/>
      <c r="KGC11" s="36"/>
      <c r="KGD11" s="37"/>
      <c r="KGE11" s="36"/>
      <c r="KGF11" s="36"/>
      <c r="KGG11" s="37"/>
      <c r="KGH11" s="37"/>
      <c r="KGJ11" s="22"/>
      <c r="KGK11" s="35"/>
      <c r="KGL11" s="36"/>
      <c r="KGM11" s="37"/>
      <c r="KGN11" s="36"/>
      <c r="KGO11" s="37"/>
      <c r="KGP11" s="36"/>
      <c r="KGQ11" s="37"/>
      <c r="KGR11" s="36"/>
      <c r="KGS11" s="37"/>
      <c r="KGT11" s="36"/>
      <c r="KGU11" s="37"/>
      <c r="KGV11" s="36"/>
      <c r="KGW11" s="37"/>
      <c r="KGX11" s="36"/>
      <c r="KGY11" s="37"/>
      <c r="KGZ11" s="36"/>
      <c r="KHA11" s="37"/>
      <c r="KHB11" s="36"/>
      <c r="KHC11" s="37"/>
      <c r="KHD11" s="36"/>
      <c r="KHE11" s="36"/>
      <c r="KHF11" s="37"/>
      <c r="KHG11" s="37"/>
      <c r="KHI11" s="22"/>
      <c r="KHJ11" s="35"/>
      <c r="KHK11" s="36"/>
      <c r="KHL11" s="37"/>
      <c r="KHM11" s="36"/>
      <c r="KHN11" s="37"/>
      <c r="KHO11" s="36"/>
      <c r="KHP11" s="37"/>
      <c r="KHQ11" s="36"/>
      <c r="KHR11" s="37"/>
      <c r="KHS11" s="36"/>
      <c r="KHT11" s="37"/>
      <c r="KHU11" s="36"/>
      <c r="KHV11" s="37"/>
      <c r="KHW11" s="36"/>
      <c r="KHX11" s="37"/>
      <c r="KHY11" s="36"/>
      <c r="KHZ11" s="37"/>
      <c r="KIA11" s="36"/>
      <c r="KIB11" s="37"/>
      <c r="KIC11" s="36"/>
      <c r="KID11" s="36"/>
      <c r="KIE11" s="37"/>
      <c r="KIF11" s="37"/>
      <c r="KIH11" s="22"/>
      <c r="KII11" s="35"/>
      <c r="KIJ11" s="36"/>
      <c r="KIK11" s="37"/>
      <c r="KIL11" s="36"/>
      <c r="KIM11" s="37"/>
      <c r="KIN11" s="36"/>
      <c r="KIO11" s="37"/>
      <c r="KIP11" s="36"/>
      <c r="KIQ11" s="37"/>
      <c r="KIR11" s="36"/>
      <c r="KIS11" s="37"/>
      <c r="KIT11" s="36"/>
      <c r="KIU11" s="37"/>
      <c r="KIV11" s="36"/>
      <c r="KIW11" s="37"/>
      <c r="KIX11" s="36"/>
      <c r="KIY11" s="37"/>
      <c r="KIZ11" s="36"/>
      <c r="KJA11" s="37"/>
      <c r="KJB11" s="36"/>
      <c r="KJC11" s="36"/>
      <c r="KJD11" s="37"/>
      <c r="KJE11" s="37"/>
      <c r="KJG11" s="22"/>
      <c r="KJH11" s="35"/>
      <c r="KJI11" s="36"/>
      <c r="KJJ11" s="37"/>
      <c r="KJK11" s="36"/>
      <c r="KJL11" s="37"/>
      <c r="KJM11" s="36"/>
      <c r="KJN11" s="37"/>
      <c r="KJO11" s="36"/>
      <c r="KJP11" s="37"/>
      <c r="KJQ11" s="36"/>
      <c r="KJR11" s="37"/>
      <c r="KJS11" s="36"/>
      <c r="KJT11" s="37"/>
      <c r="KJU11" s="36"/>
      <c r="KJV11" s="37"/>
      <c r="KJW11" s="36"/>
      <c r="KJX11" s="37"/>
      <c r="KJY11" s="36"/>
      <c r="KJZ11" s="37"/>
      <c r="KKA11" s="36"/>
      <c r="KKB11" s="36"/>
      <c r="KKC11" s="37"/>
      <c r="KKD11" s="37"/>
      <c r="KKF11" s="22"/>
      <c r="KKG11" s="35"/>
      <c r="KKH11" s="36"/>
      <c r="KKI11" s="37"/>
      <c r="KKJ11" s="36"/>
      <c r="KKK11" s="37"/>
      <c r="KKL11" s="36"/>
      <c r="KKM11" s="37"/>
      <c r="KKN11" s="36"/>
      <c r="KKO11" s="37"/>
      <c r="KKP11" s="36"/>
      <c r="KKQ11" s="37"/>
      <c r="KKR11" s="36"/>
      <c r="KKS11" s="37"/>
      <c r="KKT11" s="36"/>
      <c r="KKU11" s="37"/>
      <c r="KKV11" s="36"/>
      <c r="KKW11" s="37"/>
      <c r="KKX11" s="36"/>
      <c r="KKY11" s="37"/>
      <c r="KKZ11" s="36"/>
      <c r="KLA11" s="36"/>
      <c r="KLB11" s="37"/>
      <c r="KLC11" s="37"/>
      <c r="KLE11" s="22"/>
      <c r="KLF11" s="35"/>
      <c r="KLG11" s="36"/>
      <c r="KLH11" s="37"/>
      <c r="KLI11" s="36"/>
      <c r="KLJ11" s="37"/>
      <c r="KLK11" s="36"/>
      <c r="KLL11" s="37"/>
      <c r="KLM11" s="36"/>
      <c r="KLN11" s="37"/>
      <c r="KLO11" s="36"/>
      <c r="KLP11" s="37"/>
      <c r="KLQ11" s="36"/>
      <c r="KLR11" s="37"/>
      <c r="KLS11" s="36"/>
      <c r="KLT11" s="37"/>
      <c r="KLU11" s="36"/>
      <c r="KLV11" s="37"/>
      <c r="KLW11" s="36"/>
      <c r="KLX11" s="37"/>
      <c r="KLY11" s="36"/>
      <c r="KLZ11" s="36"/>
      <c r="KMA11" s="37"/>
      <c r="KMB11" s="37"/>
      <c r="KMD11" s="22"/>
      <c r="KME11" s="35"/>
      <c r="KMF11" s="36"/>
      <c r="KMG11" s="37"/>
      <c r="KMH11" s="36"/>
      <c r="KMI11" s="37"/>
      <c r="KMJ11" s="36"/>
      <c r="KMK11" s="37"/>
      <c r="KML11" s="36"/>
      <c r="KMM11" s="37"/>
      <c r="KMN11" s="36"/>
      <c r="KMO11" s="37"/>
      <c r="KMP11" s="36"/>
      <c r="KMQ11" s="37"/>
      <c r="KMR11" s="36"/>
      <c r="KMS11" s="37"/>
      <c r="KMT11" s="36"/>
      <c r="KMU11" s="37"/>
      <c r="KMV11" s="36"/>
      <c r="KMW11" s="37"/>
      <c r="KMX11" s="36"/>
      <c r="KMY11" s="36"/>
      <c r="KMZ11" s="37"/>
      <c r="KNA11" s="37"/>
      <c r="KNC11" s="22"/>
      <c r="KND11" s="35"/>
      <c r="KNE11" s="36"/>
      <c r="KNF11" s="37"/>
      <c r="KNG11" s="36"/>
      <c r="KNH11" s="37"/>
      <c r="KNI11" s="36"/>
      <c r="KNJ11" s="37"/>
      <c r="KNK11" s="36"/>
      <c r="KNL11" s="37"/>
      <c r="KNM11" s="36"/>
      <c r="KNN11" s="37"/>
      <c r="KNO11" s="36"/>
      <c r="KNP11" s="37"/>
      <c r="KNQ11" s="36"/>
      <c r="KNR11" s="37"/>
      <c r="KNS11" s="36"/>
      <c r="KNT11" s="37"/>
      <c r="KNU11" s="36"/>
      <c r="KNV11" s="37"/>
      <c r="KNW11" s="36"/>
      <c r="KNX11" s="36"/>
      <c r="KNY11" s="37"/>
      <c r="KNZ11" s="37"/>
      <c r="KOB11" s="22"/>
      <c r="KOC11" s="35"/>
      <c r="KOD11" s="36"/>
      <c r="KOE11" s="37"/>
      <c r="KOF11" s="36"/>
      <c r="KOG11" s="37"/>
      <c r="KOH11" s="36"/>
      <c r="KOI11" s="37"/>
      <c r="KOJ11" s="36"/>
      <c r="KOK11" s="37"/>
      <c r="KOL11" s="36"/>
      <c r="KOM11" s="37"/>
      <c r="KON11" s="36"/>
      <c r="KOO11" s="37"/>
      <c r="KOP11" s="36"/>
      <c r="KOQ11" s="37"/>
      <c r="KOR11" s="36"/>
      <c r="KOS11" s="37"/>
      <c r="KOT11" s="36"/>
      <c r="KOU11" s="37"/>
      <c r="KOV11" s="36"/>
      <c r="KOW11" s="36"/>
      <c r="KOX11" s="37"/>
      <c r="KOY11" s="37"/>
      <c r="KPA11" s="22"/>
      <c r="KPB11" s="35"/>
      <c r="KPC11" s="36"/>
      <c r="KPD11" s="37"/>
      <c r="KPE11" s="36"/>
      <c r="KPF11" s="37"/>
      <c r="KPG11" s="36"/>
      <c r="KPH11" s="37"/>
      <c r="KPI11" s="36"/>
      <c r="KPJ11" s="37"/>
      <c r="KPK11" s="36"/>
      <c r="KPL11" s="37"/>
      <c r="KPM11" s="36"/>
      <c r="KPN11" s="37"/>
      <c r="KPO11" s="36"/>
      <c r="KPP11" s="37"/>
      <c r="KPQ11" s="36"/>
      <c r="KPR11" s="37"/>
      <c r="KPS11" s="36"/>
      <c r="KPT11" s="37"/>
      <c r="KPU11" s="36"/>
      <c r="KPV11" s="36"/>
      <c r="KPW11" s="37"/>
      <c r="KPX11" s="37"/>
      <c r="KPZ11" s="22"/>
      <c r="KQA11" s="35"/>
      <c r="KQB11" s="36"/>
      <c r="KQC11" s="37"/>
      <c r="KQD11" s="36"/>
      <c r="KQE11" s="37"/>
      <c r="KQF11" s="36"/>
      <c r="KQG11" s="37"/>
      <c r="KQH11" s="36"/>
      <c r="KQI11" s="37"/>
      <c r="KQJ11" s="36"/>
      <c r="KQK11" s="37"/>
      <c r="KQL11" s="36"/>
      <c r="KQM11" s="37"/>
      <c r="KQN11" s="36"/>
      <c r="KQO11" s="37"/>
      <c r="KQP11" s="36"/>
      <c r="KQQ11" s="37"/>
      <c r="KQR11" s="36"/>
      <c r="KQS11" s="37"/>
      <c r="KQT11" s="36"/>
      <c r="KQU11" s="36"/>
      <c r="KQV11" s="37"/>
      <c r="KQW11" s="37"/>
      <c r="KQY11" s="22"/>
      <c r="KQZ11" s="35"/>
      <c r="KRA11" s="36"/>
      <c r="KRB11" s="37"/>
      <c r="KRC11" s="36"/>
      <c r="KRD11" s="37"/>
      <c r="KRE11" s="36"/>
      <c r="KRF11" s="37"/>
      <c r="KRG11" s="36"/>
      <c r="KRH11" s="37"/>
      <c r="KRI11" s="36"/>
      <c r="KRJ11" s="37"/>
      <c r="KRK11" s="36"/>
      <c r="KRL11" s="37"/>
      <c r="KRM11" s="36"/>
      <c r="KRN11" s="37"/>
      <c r="KRO11" s="36"/>
      <c r="KRP11" s="37"/>
      <c r="KRQ11" s="36"/>
      <c r="KRR11" s="37"/>
      <c r="KRS11" s="36"/>
      <c r="KRT11" s="36"/>
      <c r="KRU11" s="37"/>
      <c r="KRV11" s="37"/>
      <c r="KRX11" s="22"/>
      <c r="KRY11" s="35"/>
      <c r="KRZ11" s="36"/>
      <c r="KSA11" s="37"/>
      <c r="KSB11" s="36"/>
      <c r="KSC11" s="37"/>
      <c r="KSD11" s="36"/>
      <c r="KSE11" s="37"/>
      <c r="KSF11" s="36"/>
      <c r="KSG11" s="37"/>
      <c r="KSH11" s="36"/>
      <c r="KSI11" s="37"/>
      <c r="KSJ11" s="36"/>
      <c r="KSK11" s="37"/>
      <c r="KSL11" s="36"/>
      <c r="KSM11" s="37"/>
      <c r="KSN11" s="36"/>
      <c r="KSO11" s="37"/>
      <c r="KSP11" s="36"/>
      <c r="KSQ11" s="37"/>
      <c r="KSR11" s="36"/>
      <c r="KSS11" s="36"/>
      <c r="KST11" s="37"/>
      <c r="KSU11" s="37"/>
      <c r="KSW11" s="22"/>
      <c r="KSX11" s="35"/>
      <c r="KSY11" s="36"/>
      <c r="KSZ11" s="37"/>
      <c r="KTA11" s="36"/>
      <c r="KTB11" s="37"/>
      <c r="KTC11" s="36"/>
      <c r="KTD11" s="37"/>
      <c r="KTE11" s="36"/>
      <c r="KTF11" s="37"/>
      <c r="KTG11" s="36"/>
      <c r="KTH11" s="37"/>
      <c r="KTI11" s="36"/>
      <c r="KTJ11" s="37"/>
      <c r="KTK11" s="36"/>
      <c r="KTL11" s="37"/>
      <c r="KTM11" s="36"/>
      <c r="KTN11" s="37"/>
      <c r="KTO11" s="36"/>
      <c r="KTP11" s="37"/>
      <c r="KTQ11" s="36"/>
      <c r="KTR11" s="36"/>
      <c r="KTS11" s="37"/>
      <c r="KTT11" s="37"/>
      <c r="KTV11" s="22"/>
      <c r="KTW11" s="35"/>
      <c r="KTX11" s="36"/>
      <c r="KTY11" s="37"/>
      <c r="KTZ11" s="36"/>
      <c r="KUA11" s="37"/>
      <c r="KUB11" s="36"/>
      <c r="KUC11" s="37"/>
      <c r="KUD11" s="36"/>
      <c r="KUE11" s="37"/>
      <c r="KUF11" s="36"/>
      <c r="KUG11" s="37"/>
      <c r="KUH11" s="36"/>
      <c r="KUI11" s="37"/>
      <c r="KUJ11" s="36"/>
      <c r="KUK11" s="37"/>
      <c r="KUL11" s="36"/>
      <c r="KUM11" s="37"/>
      <c r="KUN11" s="36"/>
      <c r="KUO11" s="37"/>
      <c r="KUP11" s="36"/>
      <c r="KUQ11" s="36"/>
      <c r="KUR11" s="37"/>
      <c r="KUS11" s="37"/>
      <c r="KUU11" s="22"/>
      <c r="KUV11" s="35"/>
      <c r="KUW11" s="36"/>
      <c r="KUX11" s="37"/>
      <c r="KUY11" s="36"/>
      <c r="KUZ11" s="37"/>
      <c r="KVA11" s="36"/>
      <c r="KVB11" s="37"/>
      <c r="KVC11" s="36"/>
      <c r="KVD11" s="37"/>
      <c r="KVE11" s="36"/>
      <c r="KVF11" s="37"/>
      <c r="KVG11" s="36"/>
      <c r="KVH11" s="37"/>
      <c r="KVI11" s="36"/>
      <c r="KVJ11" s="37"/>
      <c r="KVK11" s="36"/>
      <c r="KVL11" s="37"/>
      <c r="KVM11" s="36"/>
      <c r="KVN11" s="37"/>
      <c r="KVO11" s="36"/>
      <c r="KVP11" s="36"/>
      <c r="KVQ11" s="37"/>
      <c r="KVR11" s="37"/>
      <c r="KVT11" s="22"/>
      <c r="KVU11" s="35"/>
      <c r="KVV11" s="36"/>
      <c r="KVW11" s="37"/>
      <c r="KVX11" s="36"/>
      <c r="KVY11" s="37"/>
      <c r="KVZ11" s="36"/>
      <c r="KWA11" s="37"/>
      <c r="KWB11" s="36"/>
      <c r="KWC11" s="37"/>
      <c r="KWD11" s="36"/>
      <c r="KWE11" s="37"/>
      <c r="KWF11" s="36"/>
      <c r="KWG11" s="37"/>
      <c r="KWH11" s="36"/>
      <c r="KWI11" s="37"/>
      <c r="KWJ11" s="36"/>
      <c r="KWK11" s="37"/>
      <c r="KWL11" s="36"/>
      <c r="KWM11" s="37"/>
      <c r="KWN11" s="36"/>
      <c r="KWO11" s="36"/>
      <c r="KWP11" s="37"/>
      <c r="KWQ11" s="37"/>
      <c r="KWS11" s="22"/>
      <c r="KWT11" s="35"/>
      <c r="KWU11" s="36"/>
      <c r="KWV11" s="37"/>
      <c r="KWW11" s="36"/>
      <c r="KWX11" s="37"/>
      <c r="KWY11" s="36"/>
      <c r="KWZ11" s="37"/>
      <c r="KXA11" s="36"/>
      <c r="KXB11" s="37"/>
      <c r="KXC11" s="36"/>
      <c r="KXD11" s="37"/>
      <c r="KXE11" s="36"/>
      <c r="KXF11" s="37"/>
      <c r="KXG11" s="36"/>
      <c r="KXH11" s="37"/>
      <c r="KXI11" s="36"/>
      <c r="KXJ11" s="37"/>
      <c r="KXK11" s="36"/>
      <c r="KXL11" s="37"/>
      <c r="KXM11" s="36"/>
      <c r="KXN11" s="36"/>
      <c r="KXO11" s="37"/>
      <c r="KXP11" s="37"/>
      <c r="KXR11" s="22"/>
      <c r="KXS11" s="35"/>
      <c r="KXT11" s="36"/>
      <c r="KXU11" s="37"/>
      <c r="KXV11" s="36"/>
      <c r="KXW11" s="37"/>
      <c r="KXX11" s="36"/>
      <c r="KXY11" s="37"/>
      <c r="KXZ11" s="36"/>
      <c r="KYA11" s="37"/>
      <c r="KYB11" s="36"/>
      <c r="KYC11" s="37"/>
      <c r="KYD11" s="36"/>
      <c r="KYE11" s="37"/>
      <c r="KYF11" s="36"/>
      <c r="KYG11" s="37"/>
      <c r="KYH11" s="36"/>
      <c r="KYI11" s="37"/>
      <c r="KYJ11" s="36"/>
      <c r="KYK11" s="37"/>
      <c r="KYL11" s="36"/>
      <c r="KYM11" s="36"/>
      <c r="KYN11" s="37"/>
      <c r="KYO11" s="37"/>
      <c r="KYQ11" s="22"/>
      <c r="KYR11" s="35"/>
      <c r="KYS11" s="36"/>
      <c r="KYT11" s="37"/>
      <c r="KYU11" s="36"/>
      <c r="KYV11" s="37"/>
      <c r="KYW11" s="36"/>
      <c r="KYX11" s="37"/>
      <c r="KYY11" s="36"/>
      <c r="KYZ11" s="37"/>
      <c r="KZA11" s="36"/>
      <c r="KZB11" s="37"/>
      <c r="KZC11" s="36"/>
      <c r="KZD11" s="37"/>
      <c r="KZE11" s="36"/>
      <c r="KZF11" s="37"/>
      <c r="KZG11" s="36"/>
      <c r="KZH11" s="37"/>
      <c r="KZI11" s="36"/>
      <c r="KZJ11" s="37"/>
      <c r="KZK11" s="36"/>
      <c r="KZL11" s="36"/>
      <c r="KZM11" s="37"/>
      <c r="KZN11" s="37"/>
      <c r="KZP11" s="22"/>
      <c r="KZQ11" s="35"/>
      <c r="KZR11" s="36"/>
      <c r="KZS11" s="37"/>
      <c r="KZT11" s="36"/>
      <c r="KZU11" s="37"/>
      <c r="KZV11" s="36"/>
      <c r="KZW11" s="37"/>
      <c r="KZX11" s="36"/>
      <c r="KZY11" s="37"/>
      <c r="KZZ11" s="36"/>
      <c r="LAA11" s="37"/>
      <c r="LAB11" s="36"/>
      <c r="LAC11" s="37"/>
      <c r="LAD11" s="36"/>
      <c r="LAE11" s="37"/>
      <c r="LAF11" s="36"/>
      <c r="LAG11" s="37"/>
      <c r="LAH11" s="36"/>
      <c r="LAI11" s="37"/>
      <c r="LAJ11" s="36"/>
      <c r="LAK11" s="36"/>
      <c r="LAL11" s="37"/>
      <c r="LAM11" s="37"/>
      <c r="LAO11" s="22"/>
      <c r="LAP11" s="35"/>
      <c r="LAQ11" s="36"/>
      <c r="LAR11" s="37"/>
      <c r="LAS11" s="36"/>
      <c r="LAT11" s="37"/>
      <c r="LAU11" s="36"/>
      <c r="LAV11" s="37"/>
      <c r="LAW11" s="36"/>
      <c r="LAX11" s="37"/>
      <c r="LAY11" s="36"/>
      <c r="LAZ11" s="37"/>
      <c r="LBA11" s="36"/>
      <c r="LBB11" s="37"/>
      <c r="LBC11" s="36"/>
      <c r="LBD11" s="37"/>
      <c r="LBE11" s="36"/>
      <c r="LBF11" s="37"/>
      <c r="LBG11" s="36"/>
      <c r="LBH11" s="37"/>
      <c r="LBI11" s="36"/>
      <c r="LBJ11" s="36"/>
      <c r="LBK11" s="37"/>
      <c r="LBL11" s="37"/>
      <c r="LBN11" s="22"/>
      <c r="LBO11" s="35"/>
      <c r="LBP11" s="36"/>
      <c r="LBQ11" s="37"/>
      <c r="LBR11" s="36"/>
      <c r="LBS11" s="37"/>
      <c r="LBT11" s="36"/>
      <c r="LBU11" s="37"/>
      <c r="LBV11" s="36"/>
      <c r="LBW11" s="37"/>
      <c r="LBX11" s="36"/>
      <c r="LBY11" s="37"/>
      <c r="LBZ11" s="36"/>
      <c r="LCA11" s="37"/>
      <c r="LCB11" s="36"/>
      <c r="LCC11" s="37"/>
      <c r="LCD11" s="36"/>
      <c r="LCE11" s="37"/>
      <c r="LCF11" s="36"/>
      <c r="LCG11" s="37"/>
      <c r="LCH11" s="36"/>
      <c r="LCI11" s="36"/>
      <c r="LCJ11" s="37"/>
      <c r="LCK11" s="37"/>
      <c r="LCM11" s="22"/>
      <c r="LCN11" s="35"/>
      <c r="LCO11" s="36"/>
      <c r="LCP11" s="37"/>
      <c r="LCQ11" s="36"/>
      <c r="LCR11" s="37"/>
      <c r="LCS11" s="36"/>
      <c r="LCT11" s="37"/>
      <c r="LCU11" s="36"/>
      <c r="LCV11" s="37"/>
      <c r="LCW11" s="36"/>
      <c r="LCX11" s="37"/>
      <c r="LCY11" s="36"/>
      <c r="LCZ11" s="37"/>
      <c r="LDA11" s="36"/>
      <c r="LDB11" s="37"/>
      <c r="LDC11" s="36"/>
      <c r="LDD11" s="37"/>
      <c r="LDE11" s="36"/>
      <c r="LDF11" s="37"/>
      <c r="LDG11" s="36"/>
      <c r="LDH11" s="36"/>
      <c r="LDI11" s="37"/>
      <c r="LDJ11" s="37"/>
      <c r="LDL11" s="22"/>
      <c r="LDM11" s="35"/>
      <c r="LDN11" s="36"/>
      <c r="LDO11" s="37"/>
      <c r="LDP11" s="36"/>
      <c r="LDQ11" s="37"/>
      <c r="LDR11" s="36"/>
      <c r="LDS11" s="37"/>
      <c r="LDT11" s="36"/>
      <c r="LDU11" s="37"/>
      <c r="LDV11" s="36"/>
      <c r="LDW11" s="37"/>
      <c r="LDX11" s="36"/>
      <c r="LDY11" s="37"/>
      <c r="LDZ11" s="36"/>
      <c r="LEA11" s="37"/>
      <c r="LEB11" s="36"/>
      <c r="LEC11" s="37"/>
      <c r="LED11" s="36"/>
      <c r="LEE11" s="37"/>
      <c r="LEF11" s="36"/>
      <c r="LEG11" s="36"/>
      <c r="LEH11" s="37"/>
      <c r="LEI11" s="37"/>
      <c r="LEK11" s="22"/>
      <c r="LEL11" s="35"/>
      <c r="LEM11" s="36"/>
      <c r="LEN11" s="37"/>
      <c r="LEO11" s="36"/>
      <c r="LEP11" s="37"/>
      <c r="LEQ11" s="36"/>
      <c r="LER11" s="37"/>
      <c r="LES11" s="36"/>
      <c r="LET11" s="37"/>
      <c r="LEU11" s="36"/>
      <c r="LEV11" s="37"/>
      <c r="LEW11" s="36"/>
      <c r="LEX11" s="37"/>
      <c r="LEY11" s="36"/>
      <c r="LEZ11" s="37"/>
      <c r="LFA11" s="36"/>
      <c r="LFB11" s="37"/>
      <c r="LFC11" s="36"/>
      <c r="LFD11" s="37"/>
      <c r="LFE11" s="36"/>
      <c r="LFF11" s="36"/>
      <c r="LFG11" s="37"/>
      <c r="LFH11" s="37"/>
      <c r="LFJ11" s="22"/>
      <c r="LFK11" s="35"/>
      <c r="LFL11" s="36"/>
      <c r="LFM11" s="37"/>
      <c r="LFN11" s="36"/>
      <c r="LFO11" s="37"/>
      <c r="LFP11" s="36"/>
      <c r="LFQ11" s="37"/>
      <c r="LFR11" s="36"/>
      <c r="LFS11" s="37"/>
      <c r="LFT11" s="36"/>
      <c r="LFU11" s="37"/>
      <c r="LFV11" s="36"/>
      <c r="LFW11" s="37"/>
      <c r="LFX11" s="36"/>
      <c r="LFY11" s="37"/>
      <c r="LFZ11" s="36"/>
      <c r="LGA11" s="37"/>
      <c r="LGB11" s="36"/>
      <c r="LGC11" s="37"/>
      <c r="LGD11" s="36"/>
      <c r="LGE11" s="36"/>
      <c r="LGF11" s="37"/>
      <c r="LGG11" s="37"/>
      <c r="LGI11" s="22"/>
      <c r="LGJ11" s="35"/>
      <c r="LGK11" s="36"/>
      <c r="LGL11" s="37"/>
      <c r="LGM11" s="36"/>
      <c r="LGN11" s="37"/>
      <c r="LGO11" s="36"/>
      <c r="LGP11" s="37"/>
      <c r="LGQ11" s="36"/>
      <c r="LGR11" s="37"/>
      <c r="LGS11" s="36"/>
      <c r="LGT11" s="37"/>
      <c r="LGU11" s="36"/>
      <c r="LGV11" s="37"/>
      <c r="LGW11" s="36"/>
      <c r="LGX11" s="37"/>
      <c r="LGY11" s="36"/>
      <c r="LGZ11" s="37"/>
      <c r="LHA11" s="36"/>
      <c r="LHB11" s="37"/>
      <c r="LHC11" s="36"/>
      <c r="LHD11" s="36"/>
      <c r="LHE11" s="37"/>
      <c r="LHF11" s="37"/>
      <c r="LHH11" s="22"/>
      <c r="LHI11" s="35"/>
      <c r="LHJ11" s="36"/>
      <c r="LHK11" s="37"/>
      <c r="LHL11" s="36"/>
      <c r="LHM11" s="37"/>
      <c r="LHN11" s="36"/>
      <c r="LHO11" s="37"/>
      <c r="LHP11" s="36"/>
      <c r="LHQ11" s="37"/>
      <c r="LHR11" s="36"/>
      <c r="LHS11" s="37"/>
      <c r="LHT11" s="36"/>
      <c r="LHU11" s="37"/>
      <c r="LHV11" s="36"/>
      <c r="LHW11" s="37"/>
      <c r="LHX11" s="36"/>
      <c r="LHY11" s="37"/>
      <c r="LHZ11" s="36"/>
      <c r="LIA11" s="37"/>
      <c r="LIB11" s="36"/>
      <c r="LIC11" s="36"/>
      <c r="LID11" s="37"/>
      <c r="LIE11" s="37"/>
      <c r="LIG11" s="22"/>
      <c r="LIH11" s="35"/>
      <c r="LII11" s="36"/>
      <c r="LIJ11" s="37"/>
      <c r="LIK11" s="36"/>
      <c r="LIL11" s="37"/>
      <c r="LIM11" s="36"/>
      <c r="LIN11" s="37"/>
      <c r="LIO11" s="36"/>
      <c r="LIP11" s="37"/>
      <c r="LIQ11" s="36"/>
      <c r="LIR11" s="37"/>
      <c r="LIS11" s="36"/>
      <c r="LIT11" s="37"/>
      <c r="LIU11" s="36"/>
      <c r="LIV11" s="37"/>
      <c r="LIW11" s="36"/>
      <c r="LIX11" s="37"/>
      <c r="LIY11" s="36"/>
      <c r="LIZ11" s="37"/>
      <c r="LJA11" s="36"/>
      <c r="LJB11" s="36"/>
      <c r="LJC11" s="37"/>
      <c r="LJD11" s="37"/>
      <c r="LJF11" s="22"/>
      <c r="LJG11" s="35"/>
      <c r="LJH11" s="36"/>
      <c r="LJI11" s="37"/>
      <c r="LJJ11" s="36"/>
      <c r="LJK11" s="37"/>
      <c r="LJL11" s="36"/>
      <c r="LJM11" s="37"/>
      <c r="LJN11" s="36"/>
      <c r="LJO11" s="37"/>
      <c r="LJP11" s="36"/>
      <c r="LJQ11" s="37"/>
      <c r="LJR11" s="36"/>
      <c r="LJS11" s="37"/>
      <c r="LJT11" s="36"/>
      <c r="LJU11" s="37"/>
      <c r="LJV11" s="36"/>
      <c r="LJW11" s="37"/>
      <c r="LJX11" s="36"/>
      <c r="LJY11" s="37"/>
      <c r="LJZ11" s="36"/>
      <c r="LKA11" s="36"/>
      <c r="LKB11" s="37"/>
      <c r="LKC11" s="37"/>
      <c r="LKE11" s="22"/>
      <c r="LKF11" s="35"/>
      <c r="LKG11" s="36"/>
      <c r="LKH11" s="37"/>
      <c r="LKI11" s="36"/>
      <c r="LKJ11" s="37"/>
      <c r="LKK11" s="36"/>
      <c r="LKL11" s="37"/>
      <c r="LKM11" s="36"/>
      <c r="LKN11" s="37"/>
      <c r="LKO11" s="36"/>
      <c r="LKP11" s="37"/>
      <c r="LKQ11" s="36"/>
      <c r="LKR11" s="37"/>
      <c r="LKS11" s="36"/>
      <c r="LKT11" s="37"/>
      <c r="LKU11" s="36"/>
      <c r="LKV11" s="37"/>
      <c r="LKW11" s="36"/>
      <c r="LKX11" s="37"/>
      <c r="LKY11" s="36"/>
      <c r="LKZ11" s="36"/>
      <c r="LLA11" s="37"/>
      <c r="LLB11" s="37"/>
      <c r="LLD11" s="22"/>
      <c r="LLE11" s="35"/>
      <c r="LLF11" s="36"/>
      <c r="LLG11" s="37"/>
      <c r="LLH11" s="36"/>
      <c r="LLI11" s="37"/>
      <c r="LLJ11" s="36"/>
      <c r="LLK11" s="37"/>
      <c r="LLL11" s="36"/>
      <c r="LLM11" s="37"/>
      <c r="LLN11" s="36"/>
      <c r="LLO11" s="37"/>
      <c r="LLP11" s="36"/>
      <c r="LLQ11" s="37"/>
      <c r="LLR11" s="36"/>
      <c r="LLS11" s="37"/>
      <c r="LLT11" s="36"/>
      <c r="LLU11" s="37"/>
      <c r="LLV11" s="36"/>
      <c r="LLW11" s="37"/>
      <c r="LLX11" s="36"/>
      <c r="LLY11" s="36"/>
      <c r="LLZ11" s="37"/>
      <c r="LMA11" s="37"/>
      <c r="LMC11" s="22"/>
      <c r="LMD11" s="35"/>
      <c r="LME11" s="36"/>
      <c r="LMF11" s="37"/>
      <c r="LMG11" s="36"/>
      <c r="LMH11" s="37"/>
      <c r="LMI11" s="36"/>
      <c r="LMJ11" s="37"/>
      <c r="LMK11" s="36"/>
      <c r="LML11" s="37"/>
      <c r="LMM11" s="36"/>
      <c r="LMN11" s="37"/>
      <c r="LMO11" s="36"/>
      <c r="LMP11" s="37"/>
      <c r="LMQ11" s="36"/>
      <c r="LMR11" s="37"/>
      <c r="LMS11" s="36"/>
      <c r="LMT11" s="37"/>
      <c r="LMU11" s="36"/>
      <c r="LMV11" s="37"/>
      <c r="LMW11" s="36"/>
      <c r="LMX11" s="36"/>
      <c r="LMY11" s="37"/>
      <c r="LMZ11" s="37"/>
      <c r="LNB11" s="22"/>
      <c r="LNC11" s="35"/>
      <c r="LND11" s="36"/>
      <c r="LNE11" s="37"/>
      <c r="LNF11" s="36"/>
      <c r="LNG11" s="37"/>
      <c r="LNH11" s="36"/>
      <c r="LNI11" s="37"/>
      <c r="LNJ11" s="36"/>
      <c r="LNK11" s="37"/>
      <c r="LNL11" s="36"/>
      <c r="LNM11" s="37"/>
      <c r="LNN11" s="36"/>
      <c r="LNO11" s="37"/>
      <c r="LNP11" s="36"/>
      <c r="LNQ11" s="37"/>
      <c r="LNR11" s="36"/>
      <c r="LNS11" s="37"/>
      <c r="LNT11" s="36"/>
      <c r="LNU11" s="37"/>
      <c r="LNV11" s="36"/>
      <c r="LNW11" s="36"/>
      <c r="LNX11" s="37"/>
      <c r="LNY11" s="37"/>
      <c r="LOA11" s="22"/>
      <c r="LOB11" s="35"/>
      <c r="LOC11" s="36"/>
      <c r="LOD11" s="37"/>
      <c r="LOE11" s="36"/>
      <c r="LOF11" s="37"/>
      <c r="LOG11" s="36"/>
      <c r="LOH11" s="37"/>
      <c r="LOI11" s="36"/>
      <c r="LOJ11" s="37"/>
      <c r="LOK11" s="36"/>
      <c r="LOL11" s="37"/>
      <c r="LOM11" s="36"/>
      <c r="LON11" s="37"/>
      <c r="LOO11" s="36"/>
      <c r="LOP11" s="37"/>
      <c r="LOQ11" s="36"/>
      <c r="LOR11" s="37"/>
      <c r="LOS11" s="36"/>
      <c r="LOT11" s="37"/>
      <c r="LOU11" s="36"/>
      <c r="LOV11" s="36"/>
      <c r="LOW11" s="37"/>
      <c r="LOX11" s="37"/>
      <c r="LOZ11" s="22"/>
      <c r="LPA11" s="35"/>
      <c r="LPB11" s="36"/>
      <c r="LPC11" s="37"/>
      <c r="LPD11" s="36"/>
      <c r="LPE11" s="37"/>
      <c r="LPF11" s="36"/>
      <c r="LPG11" s="37"/>
      <c r="LPH11" s="36"/>
      <c r="LPI11" s="37"/>
      <c r="LPJ11" s="36"/>
      <c r="LPK11" s="37"/>
      <c r="LPL11" s="36"/>
      <c r="LPM11" s="37"/>
      <c r="LPN11" s="36"/>
      <c r="LPO11" s="37"/>
      <c r="LPP11" s="36"/>
      <c r="LPQ11" s="37"/>
      <c r="LPR11" s="36"/>
      <c r="LPS11" s="37"/>
      <c r="LPT11" s="36"/>
      <c r="LPU11" s="36"/>
      <c r="LPV11" s="37"/>
      <c r="LPW11" s="37"/>
      <c r="LPY11" s="22"/>
      <c r="LPZ11" s="35"/>
      <c r="LQA11" s="36"/>
      <c r="LQB11" s="37"/>
      <c r="LQC11" s="36"/>
      <c r="LQD11" s="37"/>
      <c r="LQE11" s="36"/>
      <c r="LQF11" s="37"/>
      <c r="LQG11" s="36"/>
      <c r="LQH11" s="37"/>
      <c r="LQI11" s="36"/>
      <c r="LQJ11" s="37"/>
      <c r="LQK11" s="36"/>
      <c r="LQL11" s="37"/>
      <c r="LQM11" s="36"/>
      <c r="LQN11" s="37"/>
      <c r="LQO11" s="36"/>
      <c r="LQP11" s="37"/>
      <c r="LQQ11" s="36"/>
      <c r="LQR11" s="37"/>
      <c r="LQS11" s="36"/>
      <c r="LQT11" s="36"/>
      <c r="LQU11" s="37"/>
      <c r="LQV11" s="37"/>
      <c r="LQX11" s="22"/>
      <c r="LQY11" s="35"/>
      <c r="LQZ11" s="36"/>
      <c r="LRA11" s="37"/>
      <c r="LRB11" s="36"/>
      <c r="LRC11" s="37"/>
      <c r="LRD11" s="36"/>
      <c r="LRE11" s="37"/>
      <c r="LRF11" s="36"/>
      <c r="LRG11" s="37"/>
      <c r="LRH11" s="36"/>
      <c r="LRI11" s="37"/>
      <c r="LRJ11" s="36"/>
      <c r="LRK11" s="37"/>
      <c r="LRL11" s="36"/>
      <c r="LRM11" s="37"/>
      <c r="LRN11" s="36"/>
      <c r="LRO11" s="37"/>
      <c r="LRP11" s="36"/>
      <c r="LRQ11" s="37"/>
      <c r="LRR11" s="36"/>
      <c r="LRS11" s="36"/>
      <c r="LRT11" s="37"/>
      <c r="LRU11" s="37"/>
      <c r="LRW11" s="22"/>
      <c r="LRX11" s="35"/>
      <c r="LRY11" s="36"/>
      <c r="LRZ11" s="37"/>
      <c r="LSA11" s="36"/>
      <c r="LSB11" s="37"/>
      <c r="LSC11" s="36"/>
      <c r="LSD11" s="37"/>
      <c r="LSE11" s="36"/>
      <c r="LSF11" s="37"/>
      <c r="LSG11" s="36"/>
      <c r="LSH11" s="37"/>
      <c r="LSI11" s="36"/>
      <c r="LSJ11" s="37"/>
      <c r="LSK11" s="36"/>
      <c r="LSL11" s="37"/>
      <c r="LSM11" s="36"/>
      <c r="LSN11" s="37"/>
      <c r="LSO11" s="36"/>
      <c r="LSP11" s="37"/>
      <c r="LSQ11" s="36"/>
      <c r="LSR11" s="36"/>
      <c r="LSS11" s="37"/>
      <c r="LST11" s="37"/>
      <c r="LSV11" s="22"/>
      <c r="LSW11" s="35"/>
      <c r="LSX11" s="36"/>
      <c r="LSY11" s="37"/>
      <c r="LSZ11" s="36"/>
      <c r="LTA11" s="37"/>
      <c r="LTB11" s="36"/>
      <c r="LTC11" s="37"/>
      <c r="LTD11" s="36"/>
      <c r="LTE11" s="37"/>
      <c r="LTF11" s="36"/>
      <c r="LTG11" s="37"/>
      <c r="LTH11" s="36"/>
      <c r="LTI11" s="37"/>
      <c r="LTJ11" s="36"/>
      <c r="LTK11" s="37"/>
      <c r="LTL11" s="36"/>
      <c r="LTM11" s="37"/>
      <c r="LTN11" s="36"/>
      <c r="LTO11" s="37"/>
      <c r="LTP11" s="36"/>
      <c r="LTQ11" s="36"/>
      <c r="LTR11" s="37"/>
      <c r="LTS11" s="37"/>
      <c r="LTU11" s="22"/>
      <c r="LTV11" s="35"/>
      <c r="LTW11" s="36"/>
      <c r="LTX11" s="37"/>
      <c r="LTY11" s="36"/>
      <c r="LTZ11" s="37"/>
      <c r="LUA11" s="36"/>
      <c r="LUB11" s="37"/>
      <c r="LUC11" s="36"/>
      <c r="LUD11" s="37"/>
      <c r="LUE11" s="36"/>
      <c r="LUF11" s="37"/>
      <c r="LUG11" s="36"/>
      <c r="LUH11" s="37"/>
      <c r="LUI11" s="36"/>
      <c r="LUJ11" s="37"/>
      <c r="LUK11" s="36"/>
      <c r="LUL11" s="37"/>
      <c r="LUM11" s="36"/>
      <c r="LUN11" s="37"/>
      <c r="LUO11" s="36"/>
      <c r="LUP11" s="36"/>
      <c r="LUQ11" s="37"/>
      <c r="LUR11" s="37"/>
      <c r="LUT11" s="22"/>
      <c r="LUU11" s="35"/>
      <c r="LUV11" s="36"/>
      <c r="LUW11" s="37"/>
      <c r="LUX11" s="36"/>
      <c r="LUY11" s="37"/>
      <c r="LUZ11" s="36"/>
      <c r="LVA11" s="37"/>
      <c r="LVB11" s="36"/>
      <c r="LVC11" s="37"/>
      <c r="LVD11" s="36"/>
      <c r="LVE11" s="37"/>
      <c r="LVF11" s="36"/>
      <c r="LVG11" s="37"/>
      <c r="LVH11" s="36"/>
      <c r="LVI11" s="37"/>
      <c r="LVJ11" s="36"/>
      <c r="LVK11" s="37"/>
      <c r="LVL11" s="36"/>
      <c r="LVM11" s="37"/>
      <c r="LVN11" s="36"/>
      <c r="LVO11" s="36"/>
      <c r="LVP11" s="37"/>
      <c r="LVQ11" s="37"/>
      <c r="LVS11" s="22"/>
      <c r="LVT11" s="35"/>
      <c r="LVU11" s="36"/>
      <c r="LVV11" s="37"/>
      <c r="LVW11" s="36"/>
      <c r="LVX11" s="37"/>
      <c r="LVY11" s="36"/>
      <c r="LVZ11" s="37"/>
      <c r="LWA11" s="36"/>
      <c r="LWB11" s="37"/>
      <c r="LWC11" s="36"/>
      <c r="LWD11" s="37"/>
      <c r="LWE11" s="36"/>
      <c r="LWF11" s="37"/>
      <c r="LWG11" s="36"/>
      <c r="LWH11" s="37"/>
      <c r="LWI11" s="36"/>
      <c r="LWJ11" s="37"/>
      <c r="LWK11" s="36"/>
      <c r="LWL11" s="37"/>
      <c r="LWM11" s="36"/>
      <c r="LWN11" s="36"/>
      <c r="LWO11" s="37"/>
      <c r="LWP11" s="37"/>
      <c r="LWR11" s="22"/>
      <c r="LWS11" s="35"/>
      <c r="LWT11" s="36"/>
      <c r="LWU11" s="37"/>
      <c r="LWV11" s="36"/>
      <c r="LWW11" s="37"/>
      <c r="LWX11" s="36"/>
      <c r="LWY11" s="37"/>
      <c r="LWZ11" s="36"/>
      <c r="LXA11" s="37"/>
      <c r="LXB11" s="36"/>
      <c r="LXC11" s="37"/>
      <c r="LXD11" s="36"/>
      <c r="LXE11" s="37"/>
      <c r="LXF11" s="36"/>
      <c r="LXG11" s="37"/>
      <c r="LXH11" s="36"/>
      <c r="LXI11" s="37"/>
      <c r="LXJ11" s="36"/>
      <c r="LXK11" s="37"/>
      <c r="LXL11" s="36"/>
      <c r="LXM11" s="36"/>
      <c r="LXN11" s="37"/>
      <c r="LXO11" s="37"/>
      <c r="LXQ11" s="22"/>
      <c r="LXR11" s="35"/>
      <c r="LXS11" s="36"/>
      <c r="LXT11" s="37"/>
      <c r="LXU11" s="36"/>
      <c r="LXV11" s="37"/>
      <c r="LXW11" s="36"/>
      <c r="LXX11" s="37"/>
      <c r="LXY11" s="36"/>
      <c r="LXZ11" s="37"/>
      <c r="LYA11" s="36"/>
      <c r="LYB11" s="37"/>
      <c r="LYC11" s="36"/>
      <c r="LYD11" s="37"/>
      <c r="LYE11" s="36"/>
      <c r="LYF11" s="37"/>
      <c r="LYG11" s="36"/>
      <c r="LYH11" s="37"/>
      <c r="LYI11" s="36"/>
      <c r="LYJ11" s="37"/>
      <c r="LYK11" s="36"/>
      <c r="LYL11" s="36"/>
      <c r="LYM11" s="37"/>
      <c r="LYN11" s="37"/>
      <c r="LYP11" s="22"/>
      <c r="LYQ11" s="35"/>
      <c r="LYR11" s="36"/>
      <c r="LYS11" s="37"/>
      <c r="LYT11" s="36"/>
      <c r="LYU11" s="37"/>
      <c r="LYV11" s="36"/>
      <c r="LYW11" s="37"/>
      <c r="LYX11" s="36"/>
      <c r="LYY11" s="37"/>
      <c r="LYZ11" s="36"/>
      <c r="LZA11" s="37"/>
      <c r="LZB11" s="36"/>
      <c r="LZC11" s="37"/>
      <c r="LZD11" s="36"/>
      <c r="LZE11" s="37"/>
      <c r="LZF11" s="36"/>
      <c r="LZG11" s="37"/>
      <c r="LZH11" s="36"/>
      <c r="LZI11" s="37"/>
      <c r="LZJ11" s="36"/>
      <c r="LZK11" s="36"/>
      <c r="LZL11" s="37"/>
      <c r="LZM11" s="37"/>
      <c r="LZO11" s="22"/>
      <c r="LZP11" s="35"/>
      <c r="LZQ11" s="36"/>
      <c r="LZR11" s="37"/>
      <c r="LZS11" s="36"/>
      <c r="LZT11" s="37"/>
      <c r="LZU11" s="36"/>
      <c r="LZV11" s="37"/>
      <c r="LZW11" s="36"/>
      <c r="LZX11" s="37"/>
      <c r="LZY11" s="36"/>
      <c r="LZZ11" s="37"/>
      <c r="MAA11" s="36"/>
      <c r="MAB11" s="37"/>
      <c r="MAC11" s="36"/>
      <c r="MAD11" s="37"/>
      <c r="MAE11" s="36"/>
      <c r="MAF11" s="37"/>
      <c r="MAG11" s="36"/>
      <c r="MAH11" s="37"/>
      <c r="MAI11" s="36"/>
      <c r="MAJ11" s="36"/>
      <c r="MAK11" s="37"/>
      <c r="MAL11" s="37"/>
      <c r="MAN11" s="22"/>
      <c r="MAO11" s="35"/>
      <c r="MAP11" s="36"/>
      <c r="MAQ11" s="37"/>
      <c r="MAR11" s="36"/>
      <c r="MAS11" s="37"/>
      <c r="MAT11" s="36"/>
      <c r="MAU11" s="37"/>
      <c r="MAV11" s="36"/>
      <c r="MAW11" s="37"/>
      <c r="MAX11" s="36"/>
      <c r="MAY11" s="37"/>
      <c r="MAZ11" s="36"/>
      <c r="MBA11" s="37"/>
      <c r="MBB11" s="36"/>
      <c r="MBC11" s="37"/>
      <c r="MBD11" s="36"/>
      <c r="MBE11" s="37"/>
      <c r="MBF11" s="36"/>
      <c r="MBG11" s="37"/>
      <c r="MBH11" s="36"/>
      <c r="MBI11" s="36"/>
      <c r="MBJ11" s="37"/>
      <c r="MBK11" s="37"/>
      <c r="MBM11" s="22"/>
      <c r="MBN11" s="35"/>
      <c r="MBO11" s="36"/>
      <c r="MBP11" s="37"/>
      <c r="MBQ11" s="36"/>
      <c r="MBR11" s="37"/>
      <c r="MBS11" s="36"/>
      <c r="MBT11" s="37"/>
      <c r="MBU11" s="36"/>
      <c r="MBV11" s="37"/>
      <c r="MBW11" s="36"/>
      <c r="MBX11" s="37"/>
      <c r="MBY11" s="36"/>
      <c r="MBZ11" s="37"/>
      <c r="MCA11" s="36"/>
      <c r="MCB11" s="37"/>
      <c r="MCC11" s="36"/>
      <c r="MCD11" s="37"/>
      <c r="MCE11" s="36"/>
      <c r="MCF11" s="37"/>
      <c r="MCG11" s="36"/>
      <c r="MCH11" s="36"/>
      <c r="MCI11" s="37"/>
      <c r="MCJ11" s="37"/>
      <c r="MCL11" s="22"/>
      <c r="MCM11" s="35"/>
      <c r="MCN11" s="36"/>
      <c r="MCO11" s="37"/>
      <c r="MCP11" s="36"/>
      <c r="MCQ11" s="37"/>
      <c r="MCR11" s="36"/>
      <c r="MCS11" s="37"/>
      <c r="MCT11" s="36"/>
      <c r="MCU11" s="37"/>
      <c r="MCV11" s="36"/>
      <c r="MCW11" s="37"/>
      <c r="MCX11" s="36"/>
      <c r="MCY11" s="37"/>
      <c r="MCZ11" s="36"/>
      <c r="MDA11" s="37"/>
      <c r="MDB11" s="36"/>
      <c r="MDC11" s="37"/>
      <c r="MDD11" s="36"/>
      <c r="MDE11" s="37"/>
      <c r="MDF11" s="36"/>
      <c r="MDG11" s="36"/>
      <c r="MDH11" s="37"/>
      <c r="MDI11" s="37"/>
      <c r="MDK11" s="22"/>
      <c r="MDL11" s="35"/>
      <c r="MDM11" s="36"/>
      <c r="MDN11" s="37"/>
      <c r="MDO11" s="36"/>
      <c r="MDP11" s="37"/>
      <c r="MDQ11" s="36"/>
      <c r="MDR11" s="37"/>
      <c r="MDS11" s="36"/>
      <c r="MDT11" s="37"/>
      <c r="MDU11" s="36"/>
      <c r="MDV11" s="37"/>
      <c r="MDW11" s="36"/>
      <c r="MDX11" s="37"/>
      <c r="MDY11" s="36"/>
      <c r="MDZ11" s="37"/>
      <c r="MEA11" s="36"/>
      <c r="MEB11" s="37"/>
      <c r="MEC11" s="36"/>
      <c r="MED11" s="37"/>
      <c r="MEE11" s="36"/>
      <c r="MEF11" s="36"/>
      <c r="MEG11" s="37"/>
      <c r="MEH11" s="37"/>
      <c r="MEJ11" s="22"/>
      <c r="MEK11" s="35"/>
      <c r="MEL11" s="36"/>
      <c r="MEM11" s="37"/>
      <c r="MEN11" s="36"/>
      <c r="MEO11" s="37"/>
      <c r="MEP11" s="36"/>
      <c r="MEQ11" s="37"/>
      <c r="MER11" s="36"/>
      <c r="MES11" s="37"/>
      <c r="MET11" s="36"/>
      <c r="MEU11" s="37"/>
      <c r="MEV11" s="36"/>
      <c r="MEW11" s="37"/>
      <c r="MEX11" s="36"/>
      <c r="MEY11" s="37"/>
      <c r="MEZ11" s="36"/>
      <c r="MFA11" s="37"/>
      <c r="MFB11" s="36"/>
      <c r="MFC11" s="37"/>
      <c r="MFD11" s="36"/>
      <c r="MFE11" s="36"/>
      <c r="MFF11" s="37"/>
      <c r="MFG11" s="37"/>
      <c r="MFI11" s="22"/>
      <c r="MFJ11" s="35"/>
      <c r="MFK11" s="36"/>
      <c r="MFL11" s="37"/>
      <c r="MFM11" s="36"/>
      <c r="MFN11" s="37"/>
      <c r="MFO11" s="36"/>
      <c r="MFP11" s="37"/>
      <c r="MFQ11" s="36"/>
      <c r="MFR11" s="37"/>
      <c r="MFS11" s="36"/>
      <c r="MFT11" s="37"/>
      <c r="MFU11" s="36"/>
      <c r="MFV11" s="37"/>
      <c r="MFW11" s="36"/>
      <c r="MFX11" s="37"/>
      <c r="MFY11" s="36"/>
      <c r="MFZ11" s="37"/>
      <c r="MGA11" s="36"/>
      <c r="MGB11" s="37"/>
      <c r="MGC11" s="36"/>
      <c r="MGD11" s="36"/>
      <c r="MGE11" s="37"/>
      <c r="MGF11" s="37"/>
      <c r="MGH11" s="22"/>
      <c r="MGI11" s="35"/>
      <c r="MGJ11" s="36"/>
      <c r="MGK11" s="37"/>
      <c r="MGL11" s="36"/>
      <c r="MGM11" s="37"/>
      <c r="MGN11" s="36"/>
      <c r="MGO11" s="37"/>
      <c r="MGP11" s="36"/>
      <c r="MGQ11" s="37"/>
      <c r="MGR11" s="36"/>
      <c r="MGS11" s="37"/>
      <c r="MGT11" s="36"/>
      <c r="MGU11" s="37"/>
      <c r="MGV11" s="36"/>
      <c r="MGW11" s="37"/>
      <c r="MGX11" s="36"/>
      <c r="MGY11" s="37"/>
      <c r="MGZ11" s="36"/>
      <c r="MHA11" s="37"/>
      <c r="MHB11" s="36"/>
      <c r="MHC11" s="36"/>
      <c r="MHD11" s="37"/>
      <c r="MHE11" s="37"/>
      <c r="MHG11" s="22"/>
      <c r="MHH11" s="35"/>
      <c r="MHI11" s="36"/>
      <c r="MHJ11" s="37"/>
      <c r="MHK11" s="36"/>
      <c r="MHL11" s="37"/>
      <c r="MHM11" s="36"/>
      <c r="MHN11" s="37"/>
      <c r="MHO11" s="36"/>
      <c r="MHP11" s="37"/>
      <c r="MHQ11" s="36"/>
      <c r="MHR11" s="37"/>
      <c r="MHS11" s="36"/>
      <c r="MHT11" s="37"/>
      <c r="MHU11" s="36"/>
      <c r="MHV11" s="37"/>
      <c r="MHW11" s="36"/>
      <c r="MHX11" s="37"/>
      <c r="MHY11" s="36"/>
      <c r="MHZ11" s="37"/>
      <c r="MIA11" s="36"/>
      <c r="MIB11" s="36"/>
      <c r="MIC11" s="37"/>
      <c r="MID11" s="37"/>
      <c r="MIF11" s="22"/>
      <c r="MIG11" s="35"/>
      <c r="MIH11" s="36"/>
      <c r="MII11" s="37"/>
      <c r="MIJ11" s="36"/>
      <c r="MIK11" s="37"/>
      <c r="MIL11" s="36"/>
      <c r="MIM11" s="37"/>
      <c r="MIN11" s="36"/>
      <c r="MIO11" s="37"/>
      <c r="MIP11" s="36"/>
      <c r="MIQ11" s="37"/>
      <c r="MIR11" s="36"/>
      <c r="MIS11" s="37"/>
      <c r="MIT11" s="36"/>
      <c r="MIU11" s="37"/>
      <c r="MIV11" s="36"/>
      <c r="MIW11" s="37"/>
      <c r="MIX11" s="36"/>
      <c r="MIY11" s="37"/>
      <c r="MIZ11" s="36"/>
      <c r="MJA11" s="36"/>
      <c r="MJB11" s="37"/>
      <c r="MJC11" s="37"/>
      <c r="MJE11" s="22"/>
      <c r="MJF11" s="35"/>
      <c r="MJG11" s="36"/>
      <c r="MJH11" s="37"/>
      <c r="MJI11" s="36"/>
      <c r="MJJ11" s="37"/>
      <c r="MJK11" s="36"/>
      <c r="MJL11" s="37"/>
      <c r="MJM11" s="36"/>
      <c r="MJN11" s="37"/>
      <c r="MJO11" s="36"/>
      <c r="MJP11" s="37"/>
      <c r="MJQ11" s="36"/>
      <c r="MJR11" s="37"/>
      <c r="MJS11" s="36"/>
      <c r="MJT11" s="37"/>
      <c r="MJU11" s="36"/>
      <c r="MJV11" s="37"/>
      <c r="MJW11" s="36"/>
      <c r="MJX11" s="37"/>
      <c r="MJY11" s="36"/>
      <c r="MJZ11" s="36"/>
      <c r="MKA11" s="37"/>
      <c r="MKB11" s="37"/>
      <c r="MKD11" s="22"/>
      <c r="MKE11" s="35"/>
      <c r="MKF11" s="36"/>
      <c r="MKG11" s="37"/>
      <c r="MKH11" s="36"/>
      <c r="MKI11" s="37"/>
      <c r="MKJ11" s="36"/>
      <c r="MKK11" s="37"/>
      <c r="MKL11" s="36"/>
      <c r="MKM11" s="37"/>
      <c r="MKN11" s="36"/>
      <c r="MKO11" s="37"/>
      <c r="MKP11" s="36"/>
      <c r="MKQ11" s="37"/>
      <c r="MKR11" s="36"/>
      <c r="MKS11" s="37"/>
      <c r="MKT11" s="36"/>
      <c r="MKU11" s="37"/>
      <c r="MKV11" s="36"/>
      <c r="MKW11" s="37"/>
      <c r="MKX11" s="36"/>
      <c r="MKY11" s="36"/>
      <c r="MKZ11" s="37"/>
      <c r="MLA11" s="37"/>
      <c r="MLC11" s="22"/>
      <c r="MLD11" s="35"/>
      <c r="MLE11" s="36"/>
      <c r="MLF11" s="37"/>
      <c r="MLG11" s="36"/>
      <c r="MLH11" s="37"/>
      <c r="MLI11" s="36"/>
      <c r="MLJ11" s="37"/>
      <c r="MLK11" s="36"/>
      <c r="MLL11" s="37"/>
      <c r="MLM11" s="36"/>
      <c r="MLN11" s="37"/>
      <c r="MLO11" s="36"/>
      <c r="MLP11" s="37"/>
      <c r="MLQ11" s="36"/>
      <c r="MLR11" s="37"/>
      <c r="MLS11" s="36"/>
      <c r="MLT11" s="37"/>
      <c r="MLU11" s="36"/>
      <c r="MLV11" s="37"/>
      <c r="MLW11" s="36"/>
      <c r="MLX11" s="36"/>
      <c r="MLY11" s="37"/>
      <c r="MLZ11" s="37"/>
      <c r="MMB11" s="22"/>
      <c r="MMC11" s="35"/>
      <c r="MMD11" s="36"/>
      <c r="MME11" s="37"/>
      <c r="MMF11" s="36"/>
      <c r="MMG11" s="37"/>
      <c r="MMH11" s="36"/>
      <c r="MMI11" s="37"/>
      <c r="MMJ11" s="36"/>
      <c r="MMK11" s="37"/>
      <c r="MML11" s="36"/>
      <c r="MMM11" s="37"/>
      <c r="MMN11" s="36"/>
      <c r="MMO11" s="37"/>
      <c r="MMP11" s="36"/>
      <c r="MMQ11" s="37"/>
      <c r="MMR11" s="36"/>
      <c r="MMS11" s="37"/>
      <c r="MMT11" s="36"/>
      <c r="MMU11" s="37"/>
      <c r="MMV11" s="36"/>
      <c r="MMW11" s="36"/>
      <c r="MMX11" s="37"/>
      <c r="MMY11" s="37"/>
      <c r="MNA11" s="22"/>
      <c r="MNB11" s="35"/>
      <c r="MNC11" s="36"/>
      <c r="MND11" s="37"/>
      <c r="MNE11" s="36"/>
      <c r="MNF11" s="37"/>
      <c r="MNG11" s="36"/>
      <c r="MNH11" s="37"/>
      <c r="MNI11" s="36"/>
      <c r="MNJ11" s="37"/>
      <c r="MNK11" s="36"/>
      <c r="MNL11" s="37"/>
      <c r="MNM11" s="36"/>
      <c r="MNN11" s="37"/>
      <c r="MNO11" s="36"/>
      <c r="MNP11" s="37"/>
      <c r="MNQ11" s="36"/>
      <c r="MNR11" s="37"/>
      <c r="MNS11" s="36"/>
      <c r="MNT11" s="37"/>
      <c r="MNU11" s="36"/>
      <c r="MNV11" s="36"/>
      <c r="MNW11" s="37"/>
      <c r="MNX11" s="37"/>
      <c r="MNZ11" s="22"/>
      <c r="MOA11" s="35"/>
      <c r="MOB11" s="36"/>
      <c r="MOC11" s="37"/>
      <c r="MOD11" s="36"/>
      <c r="MOE11" s="37"/>
      <c r="MOF11" s="36"/>
      <c r="MOG11" s="37"/>
      <c r="MOH11" s="36"/>
      <c r="MOI11" s="37"/>
      <c r="MOJ11" s="36"/>
      <c r="MOK11" s="37"/>
      <c r="MOL11" s="36"/>
      <c r="MOM11" s="37"/>
      <c r="MON11" s="36"/>
      <c r="MOO11" s="37"/>
      <c r="MOP11" s="36"/>
      <c r="MOQ11" s="37"/>
      <c r="MOR11" s="36"/>
      <c r="MOS11" s="37"/>
      <c r="MOT11" s="36"/>
      <c r="MOU11" s="36"/>
      <c r="MOV11" s="37"/>
      <c r="MOW11" s="37"/>
      <c r="MOY11" s="22"/>
      <c r="MOZ11" s="35"/>
      <c r="MPA11" s="36"/>
      <c r="MPB11" s="37"/>
      <c r="MPC11" s="36"/>
      <c r="MPD11" s="37"/>
      <c r="MPE11" s="36"/>
      <c r="MPF11" s="37"/>
      <c r="MPG11" s="36"/>
      <c r="MPH11" s="37"/>
      <c r="MPI11" s="36"/>
      <c r="MPJ11" s="37"/>
      <c r="MPK11" s="36"/>
      <c r="MPL11" s="37"/>
      <c r="MPM11" s="36"/>
      <c r="MPN11" s="37"/>
      <c r="MPO11" s="36"/>
      <c r="MPP11" s="37"/>
      <c r="MPQ11" s="36"/>
      <c r="MPR11" s="37"/>
      <c r="MPS11" s="36"/>
      <c r="MPT11" s="36"/>
      <c r="MPU11" s="37"/>
      <c r="MPV11" s="37"/>
      <c r="MPX11" s="22"/>
      <c r="MPY11" s="35"/>
      <c r="MPZ11" s="36"/>
      <c r="MQA11" s="37"/>
      <c r="MQB11" s="36"/>
      <c r="MQC11" s="37"/>
      <c r="MQD11" s="36"/>
      <c r="MQE11" s="37"/>
      <c r="MQF11" s="36"/>
      <c r="MQG11" s="37"/>
      <c r="MQH11" s="36"/>
      <c r="MQI11" s="37"/>
      <c r="MQJ11" s="36"/>
      <c r="MQK11" s="37"/>
      <c r="MQL11" s="36"/>
      <c r="MQM11" s="37"/>
      <c r="MQN11" s="36"/>
      <c r="MQO11" s="37"/>
      <c r="MQP11" s="36"/>
      <c r="MQQ11" s="37"/>
      <c r="MQR11" s="36"/>
      <c r="MQS11" s="36"/>
      <c r="MQT11" s="37"/>
      <c r="MQU11" s="37"/>
      <c r="MQW11" s="22"/>
      <c r="MQX11" s="35"/>
      <c r="MQY11" s="36"/>
      <c r="MQZ11" s="37"/>
      <c r="MRA11" s="36"/>
      <c r="MRB11" s="37"/>
      <c r="MRC11" s="36"/>
      <c r="MRD11" s="37"/>
      <c r="MRE11" s="36"/>
      <c r="MRF11" s="37"/>
      <c r="MRG11" s="36"/>
      <c r="MRH11" s="37"/>
      <c r="MRI11" s="36"/>
      <c r="MRJ11" s="37"/>
      <c r="MRK11" s="36"/>
      <c r="MRL11" s="37"/>
      <c r="MRM11" s="36"/>
      <c r="MRN11" s="37"/>
      <c r="MRO11" s="36"/>
      <c r="MRP11" s="37"/>
      <c r="MRQ11" s="36"/>
      <c r="MRR11" s="36"/>
      <c r="MRS11" s="37"/>
      <c r="MRT11" s="37"/>
      <c r="MRV11" s="22"/>
      <c r="MRW11" s="35"/>
      <c r="MRX11" s="36"/>
      <c r="MRY11" s="37"/>
      <c r="MRZ11" s="36"/>
      <c r="MSA11" s="37"/>
      <c r="MSB11" s="36"/>
      <c r="MSC11" s="37"/>
      <c r="MSD11" s="36"/>
      <c r="MSE11" s="37"/>
      <c r="MSF11" s="36"/>
      <c r="MSG11" s="37"/>
      <c r="MSH11" s="36"/>
      <c r="MSI11" s="37"/>
      <c r="MSJ11" s="36"/>
      <c r="MSK11" s="37"/>
      <c r="MSL11" s="36"/>
      <c r="MSM11" s="37"/>
      <c r="MSN11" s="36"/>
      <c r="MSO11" s="37"/>
      <c r="MSP11" s="36"/>
      <c r="MSQ11" s="36"/>
      <c r="MSR11" s="37"/>
      <c r="MSS11" s="37"/>
      <c r="MSU11" s="22"/>
      <c r="MSV11" s="35"/>
      <c r="MSW11" s="36"/>
      <c r="MSX11" s="37"/>
      <c r="MSY11" s="36"/>
      <c r="MSZ11" s="37"/>
      <c r="MTA11" s="36"/>
      <c r="MTB11" s="37"/>
      <c r="MTC11" s="36"/>
      <c r="MTD11" s="37"/>
      <c r="MTE11" s="36"/>
      <c r="MTF11" s="37"/>
      <c r="MTG11" s="36"/>
      <c r="MTH11" s="37"/>
      <c r="MTI11" s="36"/>
      <c r="MTJ11" s="37"/>
      <c r="MTK11" s="36"/>
      <c r="MTL11" s="37"/>
      <c r="MTM11" s="36"/>
      <c r="MTN11" s="37"/>
      <c r="MTO11" s="36"/>
      <c r="MTP11" s="36"/>
      <c r="MTQ11" s="37"/>
      <c r="MTR11" s="37"/>
      <c r="MTT11" s="22"/>
      <c r="MTU11" s="35"/>
      <c r="MTV11" s="36"/>
      <c r="MTW11" s="37"/>
      <c r="MTX11" s="36"/>
      <c r="MTY11" s="37"/>
      <c r="MTZ11" s="36"/>
      <c r="MUA11" s="37"/>
      <c r="MUB11" s="36"/>
      <c r="MUC11" s="37"/>
      <c r="MUD11" s="36"/>
      <c r="MUE11" s="37"/>
      <c r="MUF11" s="36"/>
      <c r="MUG11" s="37"/>
      <c r="MUH11" s="36"/>
      <c r="MUI11" s="37"/>
      <c r="MUJ11" s="36"/>
      <c r="MUK11" s="37"/>
      <c r="MUL11" s="36"/>
      <c r="MUM11" s="37"/>
      <c r="MUN11" s="36"/>
      <c r="MUO11" s="36"/>
      <c r="MUP11" s="37"/>
      <c r="MUQ11" s="37"/>
      <c r="MUS11" s="22"/>
      <c r="MUT11" s="35"/>
      <c r="MUU11" s="36"/>
      <c r="MUV11" s="37"/>
      <c r="MUW11" s="36"/>
      <c r="MUX11" s="37"/>
      <c r="MUY11" s="36"/>
      <c r="MUZ11" s="37"/>
      <c r="MVA11" s="36"/>
      <c r="MVB11" s="37"/>
      <c r="MVC11" s="36"/>
      <c r="MVD11" s="37"/>
      <c r="MVE11" s="36"/>
      <c r="MVF11" s="37"/>
      <c r="MVG11" s="36"/>
      <c r="MVH11" s="37"/>
      <c r="MVI11" s="36"/>
      <c r="MVJ11" s="37"/>
      <c r="MVK11" s="36"/>
      <c r="MVL11" s="37"/>
      <c r="MVM11" s="36"/>
      <c r="MVN11" s="36"/>
      <c r="MVO11" s="37"/>
      <c r="MVP11" s="37"/>
      <c r="MVR11" s="22"/>
      <c r="MVS11" s="35"/>
      <c r="MVT11" s="36"/>
      <c r="MVU11" s="37"/>
      <c r="MVV11" s="36"/>
      <c r="MVW11" s="37"/>
      <c r="MVX11" s="36"/>
      <c r="MVY11" s="37"/>
      <c r="MVZ11" s="36"/>
      <c r="MWA11" s="37"/>
      <c r="MWB11" s="36"/>
      <c r="MWC11" s="37"/>
      <c r="MWD11" s="36"/>
      <c r="MWE11" s="37"/>
      <c r="MWF11" s="36"/>
      <c r="MWG11" s="37"/>
      <c r="MWH11" s="36"/>
      <c r="MWI11" s="37"/>
      <c r="MWJ11" s="36"/>
      <c r="MWK11" s="37"/>
      <c r="MWL11" s="36"/>
      <c r="MWM11" s="36"/>
      <c r="MWN11" s="37"/>
      <c r="MWO11" s="37"/>
      <c r="MWQ11" s="22"/>
      <c r="MWR11" s="35"/>
      <c r="MWS11" s="36"/>
      <c r="MWT11" s="37"/>
      <c r="MWU11" s="36"/>
      <c r="MWV11" s="37"/>
      <c r="MWW11" s="36"/>
      <c r="MWX11" s="37"/>
      <c r="MWY11" s="36"/>
      <c r="MWZ11" s="37"/>
      <c r="MXA11" s="36"/>
      <c r="MXB11" s="37"/>
      <c r="MXC11" s="36"/>
      <c r="MXD11" s="37"/>
      <c r="MXE11" s="36"/>
      <c r="MXF11" s="37"/>
      <c r="MXG11" s="36"/>
      <c r="MXH11" s="37"/>
      <c r="MXI11" s="36"/>
      <c r="MXJ11" s="37"/>
      <c r="MXK11" s="36"/>
      <c r="MXL11" s="36"/>
      <c r="MXM11" s="37"/>
      <c r="MXN11" s="37"/>
      <c r="MXP11" s="22"/>
      <c r="MXQ11" s="35"/>
      <c r="MXR11" s="36"/>
      <c r="MXS11" s="37"/>
      <c r="MXT11" s="36"/>
      <c r="MXU11" s="37"/>
      <c r="MXV11" s="36"/>
      <c r="MXW11" s="37"/>
      <c r="MXX11" s="36"/>
      <c r="MXY11" s="37"/>
      <c r="MXZ11" s="36"/>
      <c r="MYA11" s="37"/>
      <c r="MYB11" s="36"/>
      <c r="MYC11" s="37"/>
      <c r="MYD11" s="36"/>
      <c r="MYE11" s="37"/>
      <c r="MYF11" s="36"/>
      <c r="MYG11" s="37"/>
      <c r="MYH11" s="36"/>
      <c r="MYI11" s="37"/>
      <c r="MYJ11" s="36"/>
      <c r="MYK11" s="36"/>
      <c r="MYL11" s="37"/>
      <c r="MYM11" s="37"/>
      <c r="MYO11" s="22"/>
      <c r="MYP11" s="35"/>
      <c r="MYQ11" s="36"/>
      <c r="MYR11" s="37"/>
      <c r="MYS11" s="36"/>
      <c r="MYT11" s="37"/>
      <c r="MYU11" s="36"/>
      <c r="MYV11" s="37"/>
      <c r="MYW11" s="36"/>
      <c r="MYX11" s="37"/>
      <c r="MYY11" s="36"/>
      <c r="MYZ11" s="37"/>
      <c r="MZA11" s="36"/>
      <c r="MZB11" s="37"/>
      <c r="MZC11" s="36"/>
      <c r="MZD11" s="37"/>
      <c r="MZE11" s="36"/>
      <c r="MZF11" s="37"/>
      <c r="MZG11" s="36"/>
      <c r="MZH11" s="37"/>
      <c r="MZI11" s="36"/>
      <c r="MZJ11" s="36"/>
      <c r="MZK11" s="37"/>
      <c r="MZL11" s="37"/>
      <c r="MZN11" s="22"/>
      <c r="MZO11" s="35"/>
      <c r="MZP11" s="36"/>
      <c r="MZQ11" s="37"/>
      <c r="MZR11" s="36"/>
      <c r="MZS11" s="37"/>
      <c r="MZT11" s="36"/>
      <c r="MZU11" s="37"/>
      <c r="MZV11" s="36"/>
      <c r="MZW11" s="37"/>
      <c r="MZX11" s="36"/>
      <c r="MZY11" s="37"/>
      <c r="MZZ11" s="36"/>
      <c r="NAA11" s="37"/>
      <c r="NAB11" s="36"/>
      <c r="NAC11" s="37"/>
      <c r="NAD11" s="36"/>
      <c r="NAE11" s="37"/>
      <c r="NAF11" s="36"/>
      <c r="NAG11" s="37"/>
      <c r="NAH11" s="36"/>
      <c r="NAI11" s="36"/>
      <c r="NAJ11" s="37"/>
      <c r="NAK11" s="37"/>
      <c r="NAM11" s="22"/>
      <c r="NAN11" s="35"/>
      <c r="NAO11" s="36"/>
      <c r="NAP11" s="37"/>
      <c r="NAQ11" s="36"/>
      <c r="NAR11" s="37"/>
      <c r="NAS11" s="36"/>
      <c r="NAT11" s="37"/>
      <c r="NAU11" s="36"/>
      <c r="NAV11" s="37"/>
      <c r="NAW11" s="36"/>
      <c r="NAX11" s="37"/>
      <c r="NAY11" s="36"/>
      <c r="NAZ11" s="37"/>
      <c r="NBA11" s="36"/>
      <c r="NBB11" s="37"/>
      <c r="NBC11" s="36"/>
      <c r="NBD11" s="37"/>
      <c r="NBE11" s="36"/>
      <c r="NBF11" s="37"/>
      <c r="NBG11" s="36"/>
      <c r="NBH11" s="36"/>
      <c r="NBI11" s="37"/>
      <c r="NBJ11" s="37"/>
      <c r="NBL11" s="22"/>
      <c r="NBM11" s="35"/>
      <c r="NBN11" s="36"/>
      <c r="NBO11" s="37"/>
      <c r="NBP11" s="36"/>
      <c r="NBQ11" s="37"/>
      <c r="NBR11" s="36"/>
      <c r="NBS11" s="37"/>
      <c r="NBT11" s="36"/>
      <c r="NBU11" s="37"/>
      <c r="NBV11" s="36"/>
      <c r="NBW11" s="37"/>
      <c r="NBX11" s="36"/>
      <c r="NBY11" s="37"/>
      <c r="NBZ11" s="36"/>
      <c r="NCA11" s="37"/>
      <c r="NCB11" s="36"/>
      <c r="NCC11" s="37"/>
      <c r="NCD11" s="36"/>
      <c r="NCE11" s="37"/>
      <c r="NCF11" s="36"/>
      <c r="NCG11" s="36"/>
      <c r="NCH11" s="37"/>
      <c r="NCI11" s="37"/>
      <c r="NCK11" s="22"/>
      <c r="NCL11" s="35"/>
      <c r="NCM11" s="36"/>
      <c r="NCN11" s="37"/>
      <c r="NCO11" s="36"/>
      <c r="NCP11" s="37"/>
      <c r="NCQ11" s="36"/>
      <c r="NCR11" s="37"/>
      <c r="NCS11" s="36"/>
      <c r="NCT11" s="37"/>
      <c r="NCU11" s="36"/>
      <c r="NCV11" s="37"/>
      <c r="NCW11" s="36"/>
      <c r="NCX11" s="37"/>
      <c r="NCY11" s="36"/>
      <c r="NCZ11" s="37"/>
      <c r="NDA11" s="36"/>
      <c r="NDB11" s="37"/>
      <c r="NDC11" s="36"/>
      <c r="NDD11" s="37"/>
      <c r="NDE11" s="36"/>
      <c r="NDF11" s="36"/>
      <c r="NDG11" s="37"/>
      <c r="NDH11" s="37"/>
      <c r="NDJ11" s="22"/>
      <c r="NDK11" s="35"/>
      <c r="NDL11" s="36"/>
      <c r="NDM11" s="37"/>
      <c r="NDN11" s="36"/>
      <c r="NDO11" s="37"/>
      <c r="NDP11" s="36"/>
      <c r="NDQ11" s="37"/>
      <c r="NDR11" s="36"/>
      <c r="NDS11" s="37"/>
      <c r="NDT11" s="36"/>
      <c r="NDU11" s="37"/>
      <c r="NDV11" s="36"/>
      <c r="NDW11" s="37"/>
      <c r="NDX11" s="36"/>
      <c r="NDY11" s="37"/>
      <c r="NDZ11" s="36"/>
      <c r="NEA11" s="37"/>
      <c r="NEB11" s="36"/>
      <c r="NEC11" s="37"/>
      <c r="NED11" s="36"/>
      <c r="NEE11" s="36"/>
      <c r="NEF11" s="37"/>
      <c r="NEG11" s="37"/>
      <c r="NEI11" s="22"/>
      <c r="NEJ11" s="35"/>
      <c r="NEK11" s="36"/>
      <c r="NEL11" s="37"/>
      <c r="NEM11" s="36"/>
      <c r="NEN11" s="37"/>
      <c r="NEO11" s="36"/>
      <c r="NEP11" s="37"/>
      <c r="NEQ11" s="36"/>
      <c r="NER11" s="37"/>
      <c r="NES11" s="36"/>
      <c r="NET11" s="37"/>
      <c r="NEU11" s="36"/>
      <c r="NEV11" s="37"/>
      <c r="NEW11" s="36"/>
      <c r="NEX11" s="37"/>
      <c r="NEY11" s="36"/>
      <c r="NEZ11" s="37"/>
      <c r="NFA11" s="36"/>
      <c r="NFB11" s="37"/>
      <c r="NFC11" s="36"/>
      <c r="NFD11" s="36"/>
      <c r="NFE11" s="37"/>
      <c r="NFF11" s="37"/>
      <c r="NFH11" s="22"/>
      <c r="NFI11" s="35"/>
      <c r="NFJ11" s="36"/>
      <c r="NFK11" s="37"/>
      <c r="NFL11" s="36"/>
      <c r="NFM11" s="37"/>
      <c r="NFN11" s="36"/>
      <c r="NFO11" s="37"/>
      <c r="NFP11" s="36"/>
      <c r="NFQ11" s="37"/>
      <c r="NFR11" s="36"/>
      <c r="NFS11" s="37"/>
      <c r="NFT11" s="36"/>
      <c r="NFU11" s="37"/>
      <c r="NFV11" s="36"/>
      <c r="NFW11" s="37"/>
      <c r="NFX11" s="36"/>
      <c r="NFY11" s="37"/>
      <c r="NFZ11" s="36"/>
      <c r="NGA11" s="37"/>
      <c r="NGB11" s="36"/>
      <c r="NGC11" s="36"/>
      <c r="NGD11" s="37"/>
      <c r="NGE11" s="37"/>
      <c r="NGG11" s="22"/>
      <c r="NGH11" s="35"/>
      <c r="NGI11" s="36"/>
      <c r="NGJ11" s="37"/>
      <c r="NGK11" s="36"/>
      <c r="NGL11" s="37"/>
      <c r="NGM11" s="36"/>
      <c r="NGN11" s="37"/>
      <c r="NGO11" s="36"/>
      <c r="NGP11" s="37"/>
      <c r="NGQ11" s="36"/>
      <c r="NGR11" s="37"/>
      <c r="NGS11" s="36"/>
      <c r="NGT11" s="37"/>
      <c r="NGU11" s="36"/>
      <c r="NGV11" s="37"/>
      <c r="NGW11" s="36"/>
      <c r="NGX11" s="37"/>
      <c r="NGY11" s="36"/>
      <c r="NGZ11" s="37"/>
      <c r="NHA11" s="36"/>
      <c r="NHB11" s="36"/>
      <c r="NHC11" s="37"/>
      <c r="NHD11" s="37"/>
      <c r="NHF11" s="22"/>
      <c r="NHG11" s="35"/>
      <c r="NHH11" s="36"/>
      <c r="NHI11" s="37"/>
      <c r="NHJ11" s="36"/>
      <c r="NHK11" s="37"/>
      <c r="NHL11" s="36"/>
      <c r="NHM11" s="37"/>
      <c r="NHN11" s="36"/>
      <c r="NHO11" s="37"/>
      <c r="NHP11" s="36"/>
      <c r="NHQ11" s="37"/>
      <c r="NHR11" s="36"/>
      <c r="NHS11" s="37"/>
      <c r="NHT11" s="36"/>
      <c r="NHU11" s="37"/>
      <c r="NHV11" s="36"/>
      <c r="NHW11" s="37"/>
      <c r="NHX11" s="36"/>
      <c r="NHY11" s="37"/>
      <c r="NHZ11" s="36"/>
      <c r="NIA11" s="36"/>
      <c r="NIB11" s="37"/>
      <c r="NIC11" s="37"/>
      <c r="NIE11" s="22"/>
      <c r="NIF11" s="35"/>
      <c r="NIG11" s="36"/>
      <c r="NIH11" s="37"/>
      <c r="NII11" s="36"/>
      <c r="NIJ11" s="37"/>
      <c r="NIK11" s="36"/>
      <c r="NIL11" s="37"/>
      <c r="NIM11" s="36"/>
      <c r="NIN11" s="37"/>
      <c r="NIO11" s="36"/>
      <c r="NIP11" s="37"/>
      <c r="NIQ11" s="36"/>
      <c r="NIR11" s="37"/>
      <c r="NIS11" s="36"/>
      <c r="NIT11" s="37"/>
      <c r="NIU11" s="36"/>
      <c r="NIV11" s="37"/>
      <c r="NIW11" s="36"/>
      <c r="NIX11" s="37"/>
      <c r="NIY11" s="36"/>
      <c r="NIZ11" s="36"/>
      <c r="NJA11" s="37"/>
      <c r="NJB11" s="37"/>
      <c r="NJD11" s="22"/>
      <c r="NJE11" s="35"/>
      <c r="NJF11" s="36"/>
      <c r="NJG11" s="37"/>
      <c r="NJH11" s="36"/>
      <c r="NJI11" s="37"/>
      <c r="NJJ11" s="36"/>
      <c r="NJK11" s="37"/>
      <c r="NJL11" s="36"/>
      <c r="NJM11" s="37"/>
      <c r="NJN11" s="36"/>
      <c r="NJO11" s="37"/>
      <c r="NJP11" s="36"/>
      <c r="NJQ11" s="37"/>
      <c r="NJR11" s="36"/>
      <c r="NJS11" s="37"/>
      <c r="NJT11" s="36"/>
      <c r="NJU11" s="37"/>
      <c r="NJV11" s="36"/>
      <c r="NJW11" s="37"/>
      <c r="NJX11" s="36"/>
      <c r="NJY11" s="36"/>
      <c r="NJZ11" s="37"/>
      <c r="NKA11" s="37"/>
      <c r="NKC11" s="22"/>
      <c r="NKD11" s="35"/>
      <c r="NKE11" s="36"/>
      <c r="NKF11" s="37"/>
      <c r="NKG11" s="36"/>
      <c r="NKH11" s="37"/>
      <c r="NKI11" s="36"/>
      <c r="NKJ11" s="37"/>
      <c r="NKK11" s="36"/>
      <c r="NKL11" s="37"/>
      <c r="NKM11" s="36"/>
      <c r="NKN11" s="37"/>
      <c r="NKO11" s="36"/>
      <c r="NKP11" s="37"/>
      <c r="NKQ11" s="36"/>
      <c r="NKR11" s="37"/>
      <c r="NKS11" s="36"/>
      <c r="NKT11" s="37"/>
      <c r="NKU11" s="36"/>
      <c r="NKV11" s="37"/>
      <c r="NKW11" s="36"/>
      <c r="NKX11" s="36"/>
      <c r="NKY11" s="37"/>
      <c r="NKZ11" s="37"/>
      <c r="NLB11" s="22"/>
      <c r="NLC11" s="35"/>
      <c r="NLD11" s="36"/>
      <c r="NLE11" s="37"/>
      <c r="NLF11" s="36"/>
      <c r="NLG11" s="37"/>
      <c r="NLH11" s="36"/>
      <c r="NLI11" s="37"/>
      <c r="NLJ11" s="36"/>
      <c r="NLK11" s="37"/>
      <c r="NLL11" s="36"/>
      <c r="NLM11" s="37"/>
      <c r="NLN11" s="36"/>
      <c r="NLO11" s="37"/>
      <c r="NLP11" s="36"/>
      <c r="NLQ11" s="37"/>
      <c r="NLR11" s="36"/>
      <c r="NLS11" s="37"/>
      <c r="NLT11" s="36"/>
      <c r="NLU11" s="37"/>
      <c r="NLV11" s="36"/>
      <c r="NLW11" s="36"/>
      <c r="NLX11" s="37"/>
      <c r="NLY11" s="37"/>
      <c r="NMA11" s="22"/>
      <c r="NMB11" s="35"/>
      <c r="NMC11" s="36"/>
      <c r="NMD11" s="37"/>
      <c r="NME11" s="36"/>
      <c r="NMF11" s="37"/>
      <c r="NMG11" s="36"/>
      <c r="NMH11" s="37"/>
      <c r="NMI11" s="36"/>
      <c r="NMJ11" s="37"/>
      <c r="NMK11" s="36"/>
      <c r="NML11" s="37"/>
      <c r="NMM11" s="36"/>
      <c r="NMN11" s="37"/>
      <c r="NMO11" s="36"/>
      <c r="NMP11" s="37"/>
      <c r="NMQ11" s="36"/>
      <c r="NMR11" s="37"/>
      <c r="NMS11" s="36"/>
      <c r="NMT11" s="37"/>
      <c r="NMU11" s="36"/>
      <c r="NMV11" s="36"/>
      <c r="NMW11" s="37"/>
      <c r="NMX11" s="37"/>
      <c r="NMZ11" s="22"/>
      <c r="NNA11" s="35"/>
      <c r="NNB11" s="36"/>
      <c r="NNC11" s="37"/>
      <c r="NND11" s="36"/>
      <c r="NNE11" s="37"/>
      <c r="NNF11" s="36"/>
      <c r="NNG11" s="37"/>
      <c r="NNH11" s="36"/>
      <c r="NNI11" s="37"/>
      <c r="NNJ11" s="36"/>
      <c r="NNK11" s="37"/>
      <c r="NNL11" s="36"/>
      <c r="NNM11" s="37"/>
      <c r="NNN11" s="36"/>
      <c r="NNO11" s="37"/>
      <c r="NNP11" s="36"/>
      <c r="NNQ11" s="37"/>
      <c r="NNR11" s="36"/>
      <c r="NNS11" s="37"/>
      <c r="NNT11" s="36"/>
      <c r="NNU11" s="36"/>
      <c r="NNV11" s="37"/>
      <c r="NNW11" s="37"/>
      <c r="NNY11" s="22"/>
      <c r="NNZ11" s="35"/>
      <c r="NOA11" s="36"/>
      <c r="NOB11" s="37"/>
      <c r="NOC11" s="36"/>
      <c r="NOD11" s="37"/>
      <c r="NOE11" s="36"/>
      <c r="NOF11" s="37"/>
      <c r="NOG11" s="36"/>
      <c r="NOH11" s="37"/>
      <c r="NOI11" s="36"/>
      <c r="NOJ11" s="37"/>
      <c r="NOK11" s="36"/>
      <c r="NOL11" s="37"/>
      <c r="NOM11" s="36"/>
      <c r="NON11" s="37"/>
      <c r="NOO11" s="36"/>
      <c r="NOP11" s="37"/>
      <c r="NOQ11" s="36"/>
      <c r="NOR11" s="37"/>
      <c r="NOS11" s="36"/>
      <c r="NOT11" s="36"/>
      <c r="NOU11" s="37"/>
      <c r="NOV11" s="37"/>
      <c r="NOX11" s="22"/>
      <c r="NOY11" s="35"/>
      <c r="NOZ11" s="36"/>
      <c r="NPA11" s="37"/>
      <c r="NPB11" s="36"/>
      <c r="NPC11" s="37"/>
      <c r="NPD11" s="36"/>
      <c r="NPE11" s="37"/>
      <c r="NPF11" s="36"/>
      <c r="NPG11" s="37"/>
      <c r="NPH11" s="36"/>
      <c r="NPI11" s="37"/>
      <c r="NPJ11" s="36"/>
      <c r="NPK11" s="37"/>
      <c r="NPL11" s="36"/>
      <c r="NPM11" s="37"/>
      <c r="NPN11" s="36"/>
      <c r="NPO11" s="37"/>
      <c r="NPP11" s="36"/>
      <c r="NPQ11" s="37"/>
      <c r="NPR11" s="36"/>
      <c r="NPS11" s="36"/>
      <c r="NPT11" s="37"/>
      <c r="NPU11" s="37"/>
      <c r="NPW11" s="22"/>
      <c r="NPX11" s="35"/>
      <c r="NPY11" s="36"/>
      <c r="NPZ11" s="37"/>
      <c r="NQA11" s="36"/>
      <c r="NQB11" s="37"/>
      <c r="NQC11" s="36"/>
      <c r="NQD11" s="37"/>
      <c r="NQE11" s="36"/>
      <c r="NQF11" s="37"/>
      <c r="NQG11" s="36"/>
      <c r="NQH11" s="37"/>
      <c r="NQI11" s="36"/>
      <c r="NQJ11" s="37"/>
      <c r="NQK11" s="36"/>
      <c r="NQL11" s="37"/>
      <c r="NQM11" s="36"/>
      <c r="NQN11" s="37"/>
      <c r="NQO11" s="36"/>
      <c r="NQP11" s="37"/>
      <c r="NQQ11" s="36"/>
      <c r="NQR11" s="36"/>
      <c r="NQS11" s="37"/>
      <c r="NQT11" s="37"/>
      <c r="NQV11" s="22"/>
      <c r="NQW11" s="35"/>
      <c r="NQX11" s="36"/>
      <c r="NQY11" s="37"/>
      <c r="NQZ11" s="36"/>
      <c r="NRA11" s="37"/>
      <c r="NRB11" s="36"/>
      <c r="NRC11" s="37"/>
      <c r="NRD11" s="36"/>
      <c r="NRE11" s="37"/>
      <c r="NRF11" s="36"/>
      <c r="NRG11" s="37"/>
      <c r="NRH11" s="36"/>
      <c r="NRI11" s="37"/>
      <c r="NRJ11" s="36"/>
      <c r="NRK11" s="37"/>
      <c r="NRL11" s="36"/>
      <c r="NRM11" s="37"/>
      <c r="NRN11" s="36"/>
      <c r="NRO11" s="37"/>
      <c r="NRP11" s="36"/>
      <c r="NRQ11" s="36"/>
      <c r="NRR11" s="37"/>
      <c r="NRS11" s="37"/>
      <c r="NRU11" s="22"/>
      <c r="NRV11" s="35"/>
      <c r="NRW11" s="36"/>
      <c r="NRX11" s="37"/>
      <c r="NRY11" s="36"/>
      <c r="NRZ11" s="37"/>
      <c r="NSA11" s="36"/>
      <c r="NSB11" s="37"/>
      <c r="NSC11" s="36"/>
      <c r="NSD11" s="37"/>
      <c r="NSE11" s="36"/>
      <c r="NSF11" s="37"/>
      <c r="NSG11" s="36"/>
      <c r="NSH11" s="37"/>
      <c r="NSI11" s="36"/>
      <c r="NSJ11" s="37"/>
      <c r="NSK11" s="36"/>
      <c r="NSL11" s="37"/>
      <c r="NSM11" s="36"/>
      <c r="NSN11" s="37"/>
      <c r="NSO11" s="36"/>
      <c r="NSP11" s="36"/>
      <c r="NSQ11" s="37"/>
      <c r="NSR11" s="37"/>
      <c r="NST11" s="22"/>
      <c r="NSU11" s="35"/>
      <c r="NSV11" s="36"/>
      <c r="NSW11" s="37"/>
      <c r="NSX11" s="36"/>
      <c r="NSY11" s="37"/>
      <c r="NSZ11" s="36"/>
      <c r="NTA11" s="37"/>
      <c r="NTB11" s="36"/>
      <c r="NTC11" s="37"/>
      <c r="NTD11" s="36"/>
      <c r="NTE11" s="37"/>
      <c r="NTF11" s="36"/>
      <c r="NTG11" s="37"/>
      <c r="NTH11" s="36"/>
      <c r="NTI11" s="37"/>
      <c r="NTJ11" s="36"/>
      <c r="NTK11" s="37"/>
      <c r="NTL11" s="36"/>
      <c r="NTM11" s="37"/>
      <c r="NTN11" s="36"/>
      <c r="NTO11" s="36"/>
      <c r="NTP11" s="37"/>
      <c r="NTQ11" s="37"/>
      <c r="NTS11" s="22"/>
      <c r="NTT11" s="35"/>
      <c r="NTU11" s="36"/>
      <c r="NTV11" s="37"/>
      <c r="NTW11" s="36"/>
      <c r="NTX11" s="37"/>
      <c r="NTY11" s="36"/>
      <c r="NTZ11" s="37"/>
      <c r="NUA11" s="36"/>
      <c r="NUB11" s="37"/>
      <c r="NUC11" s="36"/>
      <c r="NUD11" s="37"/>
      <c r="NUE11" s="36"/>
      <c r="NUF11" s="37"/>
      <c r="NUG11" s="36"/>
      <c r="NUH11" s="37"/>
      <c r="NUI11" s="36"/>
      <c r="NUJ11" s="37"/>
      <c r="NUK11" s="36"/>
      <c r="NUL11" s="37"/>
      <c r="NUM11" s="36"/>
      <c r="NUN11" s="36"/>
      <c r="NUO11" s="37"/>
      <c r="NUP11" s="37"/>
      <c r="NUR11" s="22"/>
      <c r="NUS11" s="35"/>
      <c r="NUT11" s="36"/>
      <c r="NUU11" s="37"/>
      <c r="NUV11" s="36"/>
      <c r="NUW11" s="37"/>
      <c r="NUX11" s="36"/>
      <c r="NUY11" s="37"/>
      <c r="NUZ11" s="36"/>
      <c r="NVA11" s="37"/>
      <c r="NVB11" s="36"/>
      <c r="NVC11" s="37"/>
      <c r="NVD11" s="36"/>
      <c r="NVE11" s="37"/>
      <c r="NVF11" s="36"/>
      <c r="NVG11" s="37"/>
      <c r="NVH11" s="36"/>
      <c r="NVI11" s="37"/>
      <c r="NVJ11" s="36"/>
      <c r="NVK11" s="37"/>
      <c r="NVL11" s="36"/>
      <c r="NVM11" s="36"/>
      <c r="NVN11" s="37"/>
      <c r="NVO11" s="37"/>
      <c r="NVQ11" s="22"/>
      <c r="NVR11" s="35"/>
      <c r="NVS11" s="36"/>
      <c r="NVT11" s="37"/>
      <c r="NVU11" s="36"/>
      <c r="NVV11" s="37"/>
      <c r="NVW11" s="36"/>
      <c r="NVX11" s="37"/>
      <c r="NVY11" s="36"/>
      <c r="NVZ11" s="37"/>
      <c r="NWA11" s="36"/>
      <c r="NWB11" s="37"/>
      <c r="NWC11" s="36"/>
      <c r="NWD11" s="37"/>
      <c r="NWE11" s="36"/>
      <c r="NWF11" s="37"/>
      <c r="NWG11" s="36"/>
      <c r="NWH11" s="37"/>
      <c r="NWI11" s="36"/>
      <c r="NWJ11" s="37"/>
      <c r="NWK11" s="36"/>
      <c r="NWL11" s="36"/>
      <c r="NWM11" s="37"/>
      <c r="NWN11" s="37"/>
      <c r="NWP11" s="22"/>
      <c r="NWQ11" s="35"/>
      <c r="NWR11" s="36"/>
      <c r="NWS11" s="37"/>
      <c r="NWT11" s="36"/>
      <c r="NWU11" s="37"/>
      <c r="NWV11" s="36"/>
      <c r="NWW11" s="37"/>
      <c r="NWX11" s="36"/>
      <c r="NWY11" s="37"/>
      <c r="NWZ11" s="36"/>
      <c r="NXA11" s="37"/>
      <c r="NXB11" s="36"/>
      <c r="NXC11" s="37"/>
      <c r="NXD11" s="36"/>
      <c r="NXE11" s="37"/>
      <c r="NXF11" s="36"/>
      <c r="NXG11" s="37"/>
      <c r="NXH11" s="36"/>
      <c r="NXI11" s="37"/>
      <c r="NXJ11" s="36"/>
      <c r="NXK11" s="36"/>
      <c r="NXL11" s="37"/>
      <c r="NXM11" s="37"/>
      <c r="NXO11" s="22"/>
      <c r="NXP11" s="35"/>
      <c r="NXQ11" s="36"/>
      <c r="NXR11" s="37"/>
      <c r="NXS11" s="36"/>
      <c r="NXT11" s="37"/>
      <c r="NXU11" s="36"/>
      <c r="NXV11" s="37"/>
      <c r="NXW11" s="36"/>
      <c r="NXX11" s="37"/>
      <c r="NXY11" s="36"/>
      <c r="NXZ11" s="37"/>
      <c r="NYA11" s="36"/>
      <c r="NYB11" s="37"/>
      <c r="NYC11" s="36"/>
      <c r="NYD11" s="37"/>
      <c r="NYE11" s="36"/>
      <c r="NYF11" s="37"/>
      <c r="NYG11" s="36"/>
      <c r="NYH11" s="37"/>
      <c r="NYI11" s="36"/>
      <c r="NYJ11" s="36"/>
      <c r="NYK11" s="37"/>
      <c r="NYL11" s="37"/>
      <c r="NYN11" s="22"/>
      <c r="NYO11" s="35"/>
      <c r="NYP11" s="36"/>
      <c r="NYQ11" s="37"/>
      <c r="NYR11" s="36"/>
      <c r="NYS11" s="37"/>
      <c r="NYT11" s="36"/>
      <c r="NYU11" s="37"/>
      <c r="NYV11" s="36"/>
      <c r="NYW11" s="37"/>
      <c r="NYX11" s="36"/>
      <c r="NYY11" s="37"/>
      <c r="NYZ11" s="36"/>
      <c r="NZA11" s="37"/>
      <c r="NZB11" s="36"/>
      <c r="NZC11" s="37"/>
      <c r="NZD11" s="36"/>
      <c r="NZE11" s="37"/>
      <c r="NZF11" s="36"/>
      <c r="NZG11" s="37"/>
      <c r="NZH11" s="36"/>
      <c r="NZI11" s="36"/>
      <c r="NZJ11" s="37"/>
      <c r="NZK11" s="37"/>
      <c r="NZM11" s="22"/>
      <c r="NZN11" s="35"/>
      <c r="NZO11" s="36"/>
      <c r="NZP11" s="37"/>
      <c r="NZQ11" s="36"/>
      <c r="NZR11" s="37"/>
      <c r="NZS11" s="36"/>
      <c r="NZT11" s="37"/>
      <c r="NZU11" s="36"/>
      <c r="NZV11" s="37"/>
      <c r="NZW11" s="36"/>
      <c r="NZX11" s="37"/>
      <c r="NZY11" s="36"/>
      <c r="NZZ11" s="37"/>
      <c r="OAA11" s="36"/>
      <c r="OAB11" s="37"/>
      <c r="OAC11" s="36"/>
      <c r="OAD11" s="37"/>
      <c r="OAE11" s="36"/>
      <c r="OAF11" s="37"/>
      <c r="OAG11" s="36"/>
      <c r="OAH11" s="36"/>
      <c r="OAI11" s="37"/>
      <c r="OAJ11" s="37"/>
      <c r="OAL11" s="22"/>
      <c r="OAM11" s="35"/>
      <c r="OAN11" s="36"/>
      <c r="OAO11" s="37"/>
      <c r="OAP11" s="36"/>
      <c r="OAQ11" s="37"/>
      <c r="OAR11" s="36"/>
      <c r="OAS11" s="37"/>
      <c r="OAT11" s="36"/>
      <c r="OAU11" s="37"/>
      <c r="OAV11" s="36"/>
      <c r="OAW11" s="37"/>
      <c r="OAX11" s="36"/>
      <c r="OAY11" s="37"/>
      <c r="OAZ11" s="36"/>
      <c r="OBA11" s="37"/>
      <c r="OBB11" s="36"/>
      <c r="OBC11" s="37"/>
      <c r="OBD11" s="36"/>
      <c r="OBE11" s="37"/>
      <c r="OBF11" s="36"/>
      <c r="OBG11" s="36"/>
      <c r="OBH11" s="37"/>
      <c r="OBI11" s="37"/>
      <c r="OBK11" s="22"/>
      <c r="OBL11" s="35"/>
      <c r="OBM11" s="36"/>
      <c r="OBN11" s="37"/>
      <c r="OBO11" s="36"/>
      <c r="OBP11" s="37"/>
      <c r="OBQ11" s="36"/>
      <c r="OBR11" s="37"/>
      <c r="OBS11" s="36"/>
      <c r="OBT11" s="37"/>
      <c r="OBU11" s="36"/>
      <c r="OBV11" s="37"/>
      <c r="OBW11" s="36"/>
      <c r="OBX11" s="37"/>
      <c r="OBY11" s="36"/>
      <c r="OBZ11" s="37"/>
      <c r="OCA11" s="36"/>
      <c r="OCB11" s="37"/>
      <c r="OCC11" s="36"/>
      <c r="OCD11" s="37"/>
      <c r="OCE11" s="36"/>
      <c r="OCF11" s="36"/>
      <c r="OCG11" s="37"/>
      <c r="OCH11" s="37"/>
      <c r="OCJ11" s="22"/>
      <c r="OCK11" s="35"/>
      <c r="OCL11" s="36"/>
      <c r="OCM11" s="37"/>
      <c r="OCN11" s="36"/>
      <c r="OCO11" s="37"/>
      <c r="OCP11" s="36"/>
      <c r="OCQ11" s="37"/>
      <c r="OCR11" s="36"/>
      <c r="OCS11" s="37"/>
      <c r="OCT11" s="36"/>
      <c r="OCU11" s="37"/>
      <c r="OCV11" s="36"/>
      <c r="OCW11" s="37"/>
      <c r="OCX11" s="36"/>
      <c r="OCY11" s="37"/>
      <c r="OCZ11" s="36"/>
      <c r="ODA11" s="37"/>
      <c r="ODB11" s="36"/>
      <c r="ODC11" s="37"/>
      <c r="ODD11" s="36"/>
      <c r="ODE11" s="36"/>
      <c r="ODF11" s="37"/>
      <c r="ODG11" s="37"/>
      <c r="ODI11" s="22"/>
      <c r="ODJ11" s="35"/>
      <c r="ODK11" s="36"/>
      <c r="ODL11" s="37"/>
      <c r="ODM11" s="36"/>
      <c r="ODN11" s="37"/>
      <c r="ODO11" s="36"/>
      <c r="ODP11" s="37"/>
      <c r="ODQ11" s="36"/>
      <c r="ODR11" s="37"/>
      <c r="ODS11" s="36"/>
      <c r="ODT11" s="37"/>
      <c r="ODU11" s="36"/>
      <c r="ODV11" s="37"/>
      <c r="ODW11" s="36"/>
      <c r="ODX11" s="37"/>
      <c r="ODY11" s="36"/>
      <c r="ODZ11" s="37"/>
      <c r="OEA11" s="36"/>
      <c r="OEB11" s="37"/>
      <c r="OEC11" s="36"/>
      <c r="OED11" s="36"/>
      <c r="OEE11" s="37"/>
      <c r="OEF11" s="37"/>
      <c r="OEH11" s="22"/>
      <c r="OEI11" s="35"/>
      <c r="OEJ11" s="36"/>
      <c r="OEK11" s="37"/>
      <c r="OEL11" s="36"/>
      <c r="OEM11" s="37"/>
      <c r="OEN11" s="36"/>
      <c r="OEO11" s="37"/>
      <c r="OEP11" s="36"/>
      <c r="OEQ11" s="37"/>
      <c r="OER11" s="36"/>
      <c r="OES11" s="37"/>
      <c r="OET11" s="36"/>
      <c r="OEU11" s="37"/>
      <c r="OEV11" s="36"/>
      <c r="OEW11" s="37"/>
      <c r="OEX11" s="36"/>
      <c r="OEY11" s="37"/>
      <c r="OEZ11" s="36"/>
      <c r="OFA11" s="37"/>
      <c r="OFB11" s="36"/>
      <c r="OFC11" s="36"/>
      <c r="OFD11" s="37"/>
      <c r="OFE11" s="37"/>
      <c r="OFG11" s="22"/>
      <c r="OFH11" s="35"/>
      <c r="OFI11" s="36"/>
      <c r="OFJ11" s="37"/>
      <c r="OFK11" s="36"/>
      <c r="OFL11" s="37"/>
      <c r="OFM11" s="36"/>
      <c r="OFN11" s="37"/>
      <c r="OFO11" s="36"/>
      <c r="OFP11" s="37"/>
      <c r="OFQ11" s="36"/>
      <c r="OFR11" s="37"/>
      <c r="OFS11" s="36"/>
      <c r="OFT11" s="37"/>
      <c r="OFU11" s="36"/>
      <c r="OFV11" s="37"/>
      <c r="OFW11" s="36"/>
      <c r="OFX11" s="37"/>
      <c r="OFY11" s="36"/>
      <c r="OFZ11" s="37"/>
      <c r="OGA11" s="36"/>
      <c r="OGB11" s="36"/>
      <c r="OGC11" s="37"/>
      <c r="OGD11" s="37"/>
      <c r="OGF11" s="22"/>
      <c r="OGG11" s="35"/>
      <c r="OGH11" s="36"/>
      <c r="OGI11" s="37"/>
      <c r="OGJ11" s="36"/>
      <c r="OGK11" s="37"/>
      <c r="OGL11" s="36"/>
      <c r="OGM11" s="37"/>
      <c r="OGN11" s="36"/>
      <c r="OGO11" s="37"/>
      <c r="OGP11" s="36"/>
      <c r="OGQ11" s="37"/>
      <c r="OGR11" s="36"/>
      <c r="OGS11" s="37"/>
      <c r="OGT11" s="36"/>
      <c r="OGU11" s="37"/>
      <c r="OGV11" s="36"/>
      <c r="OGW11" s="37"/>
      <c r="OGX11" s="36"/>
      <c r="OGY11" s="37"/>
      <c r="OGZ11" s="36"/>
      <c r="OHA11" s="36"/>
      <c r="OHB11" s="37"/>
      <c r="OHC11" s="37"/>
      <c r="OHE11" s="22"/>
      <c r="OHF11" s="35"/>
      <c r="OHG11" s="36"/>
      <c r="OHH11" s="37"/>
      <c r="OHI11" s="36"/>
      <c r="OHJ11" s="37"/>
      <c r="OHK11" s="36"/>
      <c r="OHL11" s="37"/>
      <c r="OHM11" s="36"/>
      <c r="OHN11" s="37"/>
      <c r="OHO11" s="36"/>
      <c r="OHP11" s="37"/>
      <c r="OHQ11" s="36"/>
      <c r="OHR11" s="37"/>
      <c r="OHS11" s="36"/>
      <c r="OHT11" s="37"/>
      <c r="OHU11" s="36"/>
      <c r="OHV11" s="37"/>
      <c r="OHW11" s="36"/>
      <c r="OHX11" s="37"/>
      <c r="OHY11" s="36"/>
      <c r="OHZ11" s="36"/>
      <c r="OIA11" s="37"/>
      <c r="OIB11" s="37"/>
      <c r="OID11" s="22"/>
      <c r="OIE11" s="35"/>
      <c r="OIF11" s="36"/>
      <c r="OIG11" s="37"/>
      <c r="OIH11" s="36"/>
      <c r="OII11" s="37"/>
      <c r="OIJ11" s="36"/>
      <c r="OIK11" s="37"/>
      <c r="OIL11" s="36"/>
      <c r="OIM11" s="37"/>
      <c r="OIN11" s="36"/>
      <c r="OIO11" s="37"/>
      <c r="OIP11" s="36"/>
      <c r="OIQ11" s="37"/>
      <c r="OIR11" s="36"/>
      <c r="OIS11" s="37"/>
      <c r="OIT11" s="36"/>
      <c r="OIU11" s="37"/>
      <c r="OIV11" s="36"/>
      <c r="OIW11" s="37"/>
      <c r="OIX11" s="36"/>
      <c r="OIY11" s="36"/>
      <c r="OIZ11" s="37"/>
      <c r="OJA11" s="37"/>
      <c r="OJC11" s="22"/>
      <c r="OJD11" s="35"/>
      <c r="OJE11" s="36"/>
      <c r="OJF11" s="37"/>
      <c r="OJG11" s="36"/>
      <c r="OJH11" s="37"/>
      <c r="OJI11" s="36"/>
      <c r="OJJ11" s="37"/>
      <c r="OJK11" s="36"/>
      <c r="OJL11" s="37"/>
      <c r="OJM11" s="36"/>
      <c r="OJN11" s="37"/>
      <c r="OJO11" s="36"/>
      <c r="OJP11" s="37"/>
      <c r="OJQ11" s="36"/>
      <c r="OJR11" s="37"/>
      <c r="OJS11" s="36"/>
      <c r="OJT11" s="37"/>
      <c r="OJU11" s="36"/>
      <c r="OJV11" s="37"/>
      <c r="OJW11" s="36"/>
      <c r="OJX11" s="36"/>
      <c r="OJY11" s="37"/>
      <c r="OJZ11" s="37"/>
      <c r="OKB11" s="22"/>
      <c r="OKC11" s="35"/>
      <c r="OKD11" s="36"/>
      <c r="OKE11" s="37"/>
      <c r="OKF11" s="36"/>
      <c r="OKG11" s="37"/>
      <c r="OKH11" s="36"/>
      <c r="OKI11" s="37"/>
      <c r="OKJ11" s="36"/>
      <c r="OKK11" s="37"/>
      <c r="OKL11" s="36"/>
      <c r="OKM11" s="37"/>
      <c r="OKN11" s="36"/>
      <c r="OKO11" s="37"/>
      <c r="OKP11" s="36"/>
      <c r="OKQ11" s="37"/>
      <c r="OKR11" s="36"/>
      <c r="OKS11" s="37"/>
      <c r="OKT11" s="36"/>
      <c r="OKU11" s="37"/>
      <c r="OKV11" s="36"/>
      <c r="OKW11" s="36"/>
      <c r="OKX11" s="37"/>
      <c r="OKY11" s="37"/>
      <c r="OLA11" s="22"/>
      <c r="OLB11" s="35"/>
      <c r="OLC11" s="36"/>
      <c r="OLD11" s="37"/>
      <c r="OLE11" s="36"/>
      <c r="OLF11" s="37"/>
      <c r="OLG11" s="36"/>
      <c r="OLH11" s="37"/>
      <c r="OLI11" s="36"/>
      <c r="OLJ11" s="37"/>
      <c r="OLK11" s="36"/>
      <c r="OLL11" s="37"/>
      <c r="OLM11" s="36"/>
      <c r="OLN11" s="37"/>
      <c r="OLO11" s="36"/>
      <c r="OLP11" s="37"/>
      <c r="OLQ11" s="36"/>
      <c r="OLR11" s="37"/>
      <c r="OLS11" s="36"/>
      <c r="OLT11" s="37"/>
      <c r="OLU11" s="36"/>
      <c r="OLV11" s="36"/>
      <c r="OLW11" s="37"/>
      <c r="OLX11" s="37"/>
      <c r="OLZ11" s="22"/>
      <c r="OMA11" s="35"/>
      <c r="OMB11" s="36"/>
      <c r="OMC11" s="37"/>
      <c r="OMD11" s="36"/>
      <c r="OME11" s="37"/>
      <c r="OMF11" s="36"/>
      <c r="OMG11" s="37"/>
      <c r="OMH11" s="36"/>
      <c r="OMI11" s="37"/>
      <c r="OMJ11" s="36"/>
      <c r="OMK11" s="37"/>
      <c r="OML11" s="36"/>
      <c r="OMM11" s="37"/>
      <c r="OMN11" s="36"/>
      <c r="OMO11" s="37"/>
      <c r="OMP11" s="36"/>
      <c r="OMQ11" s="37"/>
      <c r="OMR11" s="36"/>
      <c r="OMS11" s="37"/>
      <c r="OMT11" s="36"/>
      <c r="OMU11" s="36"/>
      <c r="OMV11" s="37"/>
      <c r="OMW11" s="37"/>
      <c r="OMY11" s="22"/>
      <c r="OMZ11" s="35"/>
      <c r="ONA11" s="36"/>
      <c r="ONB11" s="37"/>
      <c r="ONC11" s="36"/>
      <c r="OND11" s="37"/>
      <c r="ONE11" s="36"/>
      <c r="ONF11" s="37"/>
      <c r="ONG11" s="36"/>
      <c r="ONH11" s="37"/>
      <c r="ONI11" s="36"/>
      <c r="ONJ11" s="37"/>
      <c r="ONK11" s="36"/>
      <c r="ONL11" s="37"/>
      <c r="ONM11" s="36"/>
      <c r="ONN11" s="37"/>
      <c r="ONO11" s="36"/>
      <c r="ONP11" s="37"/>
      <c r="ONQ11" s="36"/>
      <c r="ONR11" s="37"/>
      <c r="ONS11" s="36"/>
      <c r="ONT11" s="36"/>
      <c r="ONU11" s="37"/>
      <c r="ONV11" s="37"/>
      <c r="ONX11" s="22"/>
      <c r="ONY11" s="35"/>
      <c r="ONZ11" s="36"/>
      <c r="OOA11" s="37"/>
      <c r="OOB11" s="36"/>
      <c r="OOC11" s="37"/>
      <c r="OOD11" s="36"/>
      <c r="OOE11" s="37"/>
      <c r="OOF11" s="36"/>
      <c r="OOG11" s="37"/>
      <c r="OOH11" s="36"/>
      <c r="OOI11" s="37"/>
      <c r="OOJ11" s="36"/>
      <c r="OOK11" s="37"/>
      <c r="OOL11" s="36"/>
      <c r="OOM11" s="37"/>
      <c r="OON11" s="36"/>
      <c r="OOO11" s="37"/>
      <c r="OOP11" s="36"/>
      <c r="OOQ11" s="37"/>
      <c r="OOR11" s="36"/>
      <c r="OOS11" s="36"/>
      <c r="OOT11" s="37"/>
      <c r="OOU11" s="37"/>
      <c r="OOW11" s="22"/>
      <c r="OOX11" s="35"/>
      <c r="OOY11" s="36"/>
      <c r="OOZ11" s="37"/>
      <c r="OPA11" s="36"/>
      <c r="OPB11" s="37"/>
      <c r="OPC11" s="36"/>
      <c r="OPD11" s="37"/>
      <c r="OPE11" s="36"/>
      <c r="OPF11" s="37"/>
      <c r="OPG11" s="36"/>
      <c r="OPH11" s="37"/>
      <c r="OPI11" s="36"/>
      <c r="OPJ11" s="37"/>
      <c r="OPK11" s="36"/>
      <c r="OPL11" s="37"/>
      <c r="OPM11" s="36"/>
      <c r="OPN11" s="37"/>
      <c r="OPO11" s="36"/>
      <c r="OPP11" s="37"/>
      <c r="OPQ11" s="36"/>
      <c r="OPR11" s="36"/>
      <c r="OPS11" s="37"/>
      <c r="OPT11" s="37"/>
      <c r="OPV11" s="22"/>
      <c r="OPW11" s="35"/>
      <c r="OPX11" s="36"/>
      <c r="OPY11" s="37"/>
      <c r="OPZ11" s="36"/>
      <c r="OQA11" s="37"/>
      <c r="OQB11" s="36"/>
      <c r="OQC11" s="37"/>
      <c r="OQD11" s="36"/>
      <c r="OQE11" s="37"/>
      <c r="OQF11" s="36"/>
      <c r="OQG11" s="37"/>
      <c r="OQH11" s="36"/>
      <c r="OQI11" s="37"/>
      <c r="OQJ11" s="36"/>
      <c r="OQK11" s="37"/>
      <c r="OQL11" s="36"/>
      <c r="OQM11" s="37"/>
      <c r="OQN11" s="36"/>
      <c r="OQO11" s="37"/>
      <c r="OQP11" s="36"/>
      <c r="OQQ11" s="36"/>
      <c r="OQR11" s="37"/>
      <c r="OQS11" s="37"/>
      <c r="OQU11" s="22"/>
      <c r="OQV11" s="35"/>
      <c r="OQW11" s="36"/>
      <c r="OQX11" s="37"/>
      <c r="OQY11" s="36"/>
      <c r="OQZ11" s="37"/>
      <c r="ORA11" s="36"/>
      <c r="ORB11" s="37"/>
      <c r="ORC11" s="36"/>
      <c r="ORD11" s="37"/>
      <c r="ORE11" s="36"/>
      <c r="ORF11" s="37"/>
      <c r="ORG11" s="36"/>
      <c r="ORH11" s="37"/>
      <c r="ORI11" s="36"/>
      <c r="ORJ11" s="37"/>
      <c r="ORK11" s="36"/>
      <c r="ORL11" s="37"/>
      <c r="ORM11" s="36"/>
      <c r="ORN11" s="37"/>
      <c r="ORO11" s="36"/>
      <c r="ORP11" s="36"/>
      <c r="ORQ11" s="37"/>
      <c r="ORR11" s="37"/>
      <c r="ORT11" s="22"/>
      <c r="ORU11" s="35"/>
      <c r="ORV11" s="36"/>
      <c r="ORW11" s="37"/>
      <c r="ORX11" s="36"/>
      <c r="ORY11" s="37"/>
      <c r="ORZ11" s="36"/>
      <c r="OSA11" s="37"/>
      <c r="OSB11" s="36"/>
      <c r="OSC11" s="37"/>
      <c r="OSD11" s="36"/>
      <c r="OSE11" s="37"/>
      <c r="OSF11" s="36"/>
      <c r="OSG11" s="37"/>
      <c r="OSH11" s="36"/>
      <c r="OSI11" s="37"/>
      <c r="OSJ11" s="36"/>
      <c r="OSK11" s="37"/>
      <c r="OSL11" s="36"/>
      <c r="OSM11" s="37"/>
      <c r="OSN11" s="36"/>
      <c r="OSO11" s="36"/>
      <c r="OSP11" s="37"/>
      <c r="OSQ11" s="37"/>
      <c r="OSS11" s="22"/>
      <c r="OST11" s="35"/>
      <c r="OSU11" s="36"/>
      <c r="OSV11" s="37"/>
      <c r="OSW11" s="36"/>
      <c r="OSX11" s="37"/>
      <c r="OSY11" s="36"/>
      <c r="OSZ11" s="37"/>
      <c r="OTA11" s="36"/>
      <c r="OTB11" s="37"/>
      <c r="OTC11" s="36"/>
      <c r="OTD11" s="37"/>
      <c r="OTE11" s="36"/>
      <c r="OTF11" s="37"/>
      <c r="OTG11" s="36"/>
      <c r="OTH11" s="37"/>
      <c r="OTI11" s="36"/>
      <c r="OTJ11" s="37"/>
      <c r="OTK11" s="36"/>
      <c r="OTL11" s="37"/>
      <c r="OTM11" s="36"/>
      <c r="OTN11" s="36"/>
      <c r="OTO11" s="37"/>
      <c r="OTP11" s="37"/>
      <c r="OTR11" s="22"/>
      <c r="OTS11" s="35"/>
      <c r="OTT11" s="36"/>
      <c r="OTU11" s="37"/>
      <c r="OTV11" s="36"/>
      <c r="OTW11" s="37"/>
      <c r="OTX11" s="36"/>
      <c r="OTY11" s="37"/>
      <c r="OTZ11" s="36"/>
      <c r="OUA11" s="37"/>
      <c r="OUB11" s="36"/>
      <c r="OUC11" s="37"/>
      <c r="OUD11" s="36"/>
      <c r="OUE11" s="37"/>
      <c r="OUF11" s="36"/>
      <c r="OUG11" s="37"/>
      <c r="OUH11" s="36"/>
      <c r="OUI11" s="37"/>
      <c r="OUJ11" s="36"/>
      <c r="OUK11" s="37"/>
      <c r="OUL11" s="36"/>
      <c r="OUM11" s="36"/>
      <c r="OUN11" s="37"/>
      <c r="OUO11" s="37"/>
      <c r="OUQ11" s="22"/>
      <c r="OUR11" s="35"/>
      <c r="OUS11" s="36"/>
      <c r="OUT11" s="37"/>
      <c r="OUU11" s="36"/>
      <c r="OUV11" s="37"/>
      <c r="OUW11" s="36"/>
      <c r="OUX11" s="37"/>
      <c r="OUY11" s="36"/>
      <c r="OUZ11" s="37"/>
      <c r="OVA11" s="36"/>
      <c r="OVB11" s="37"/>
      <c r="OVC11" s="36"/>
      <c r="OVD11" s="37"/>
      <c r="OVE11" s="36"/>
      <c r="OVF11" s="37"/>
      <c r="OVG11" s="36"/>
      <c r="OVH11" s="37"/>
      <c r="OVI11" s="36"/>
      <c r="OVJ11" s="37"/>
      <c r="OVK11" s="36"/>
      <c r="OVL11" s="36"/>
      <c r="OVM11" s="37"/>
      <c r="OVN11" s="37"/>
      <c r="OVP11" s="22"/>
      <c r="OVQ11" s="35"/>
      <c r="OVR11" s="36"/>
      <c r="OVS11" s="37"/>
      <c r="OVT11" s="36"/>
      <c r="OVU11" s="37"/>
      <c r="OVV11" s="36"/>
      <c r="OVW11" s="37"/>
      <c r="OVX11" s="36"/>
      <c r="OVY11" s="37"/>
      <c r="OVZ11" s="36"/>
      <c r="OWA11" s="37"/>
      <c r="OWB11" s="36"/>
      <c r="OWC11" s="37"/>
      <c r="OWD11" s="36"/>
      <c r="OWE11" s="37"/>
      <c r="OWF11" s="36"/>
      <c r="OWG11" s="37"/>
      <c r="OWH11" s="36"/>
      <c r="OWI11" s="37"/>
      <c r="OWJ11" s="36"/>
      <c r="OWK11" s="36"/>
      <c r="OWL11" s="37"/>
      <c r="OWM11" s="37"/>
      <c r="OWO11" s="22"/>
      <c r="OWP11" s="35"/>
      <c r="OWQ11" s="36"/>
      <c r="OWR11" s="37"/>
      <c r="OWS11" s="36"/>
      <c r="OWT11" s="37"/>
      <c r="OWU11" s="36"/>
      <c r="OWV11" s="37"/>
      <c r="OWW11" s="36"/>
      <c r="OWX11" s="37"/>
      <c r="OWY11" s="36"/>
      <c r="OWZ11" s="37"/>
      <c r="OXA11" s="36"/>
      <c r="OXB11" s="37"/>
      <c r="OXC11" s="36"/>
      <c r="OXD11" s="37"/>
      <c r="OXE11" s="36"/>
      <c r="OXF11" s="37"/>
      <c r="OXG11" s="36"/>
      <c r="OXH11" s="37"/>
      <c r="OXI11" s="36"/>
      <c r="OXJ11" s="36"/>
      <c r="OXK11" s="37"/>
      <c r="OXL11" s="37"/>
      <c r="OXN11" s="22"/>
      <c r="OXO11" s="35"/>
      <c r="OXP11" s="36"/>
      <c r="OXQ11" s="37"/>
      <c r="OXR11" s="36"/>
      <c r="OXS11" s="37"/>
      <c r="OXT11" s="36"/>
      <c r="OXU11" s="37"/>
      <c r="OXV11" s="36"/>
      <c r="OXW11" s="37"/>
      <c r="OXX11" s="36"/>
      <c r="OXY11" s="37"/>
      <c r="OXZ11" s="36"/>
      <c r="OYA11" s="37"/>
      <c r="OYB11" s="36"/>
      <c r="OYC11" s="37"/>
      <c r="OYD11" s="36"/>
      <c r="OYE11" s="37"/>
      <c r="OYF11" s="36"/>
      <c r="OYG11" s="37"/>
      <c r="OYH11" s="36"/>
      <c r="OYI11" s="36"/>
      <c r="OYJ11" s="37"/>
      <c r="OYK11" s="37"/>
      <c r="OYM11" s="22"/>
      <c r="OYN11" s="35"/>
      <c r="OYO11" s="36"/>
      <c r="OYP11" s="37"/>
      <c r="OYQ11" s="36"/>
      <c r="OYR11" s="37"/>
      <c r="OYS11" s="36"/>
      <c r="OYT11" s="37"/>
      <c r="OYU11" s="36"/>
      <c r="OYV11" s="37"/>
      <c r="OYW11" s="36"/>
      <c r="OYX11" s="37"/>
      <c r="OYY11" s="36"/>
      <c r="OYZ11" s="37"/>
      <c r="OZA11" s="36"/>
      <c r="OZB11" s="37"/>
      <c r="OZC11" s="36"/>
      <c r="OZD11" s="37"/>
      <c r="OZE11" s="36"/>
      <c r="OZF11" s="37"/>
      <c r="OZG11" s="36"/>
      <c r="OZH11" s="36"/>
      <c r="OZI11" s="37"/>
      <c r="OZJ11" s="37"/>
      <c r="OZL11" s="22"/>
      <c r="OZM11" s="35"/>
      <c r="OZN11" s="36"/>
      <c r="OZO11" s="37"/>
      <c r="OZP11" s="36"/>
      <c r="OZQ11" s="37"/>
      <c r="OZR11" s="36"/>
      <c r="OZS11" s="37"/>
      <c r="OZT11" s="36"/>
      <c r="OZU11" s="37"/>
      <c r="OZV11" s="36"/>
      <c r="OZW11" s="37"/>
      <c r="OZX11" s="36"/>
      <c r="OZY11" s="37"/>
      <c r="OZZ11" s="36"/>
      <c r="PAA11" s="37"/>
      <c r="PAB11" s="36"/>
      <c r="PAC11" s="37"/>
      <c r="PAD11" s="36"/>
      <c r="PAE11" s="37"/>
      <c r="PAF11" s="36"/>
      <c r="PAG11" s="36"/>
      <c r="PAH11" s="37"/>
      <c r="PAI11" s="37"/>
      <c r="PAK11" s="22"/>
      <c r="PAL11" s="35"/>
      <c r="PAM11" s="36"/>
      <c r="PAN11" s="37"/>
      <c r="PAO11" s="36"/>
      <c r="PAP11" s="37"/>
      <c r="PAQ11" s="36"/>
      <c r="PAR11" s="37"/>
      <c r="PAS11" s="36"/>
      <c r="PAT11" s="37"/>
      <c r="PAU11" s="36"/>
      <c r="PAV11" s="37"/>
      <c r="PAW11" s="36"/>
      <c r="PAX11" s="37"/>
      <c r="PAY11" s="36"/>
      <c r="PAZ11" s="37"/>
      <c r="PBA11" s="36"/>
      <c r="PBB11" s="37"/>
      <c r="PBC11" s="36"/>
      <c r="PBD11" s="37"/>
      <c r="PBE11" s="36"/>
      <c r="PBF11" s="36"/>
      <c r="PBG11" s="37"/>
      <c r="PBH11" s="37"/>
      <c r="PBJ11" s="22"/>
      <c r="PBK11" s="35"/>
      <c r="PBL11" s="36"/>
      <c r="PBM11" s="37"/>
      <c r="PBN11" s="36"/>
      <c r="PBO11" s="37"/>
      <c r="PBP11" s="36"/>
      <c r="PBQ11" s="37"/>
      <c r="PBR11" s="36"/>
      <c r="PBS11" s="37"/>
      <c r="PBT11" s="36"/>
      <c r="PBU11" s="37"/>
      <c r="PBV11" s="36"/>
      <c r="PBW11" s="37"/>
      <c r="PBX11" s="36"/>
      <c r="PBY11" s="37"/>
      <c r="PBZ11" s="36"/>
      <c r="PCA11" s="37"/>
      <c r="PCB11" s="36"/>
      <c r="PCC11" s="37"/>
      <c r="PCD11" s="36"/>
      <c r="PCE11" s="36"/>
      <c r="PCF11" s="37"/>
      <c r="PCG11" s="37"/>
      <c r="PCI11" s="22"/>
      <c r="PCJ11" s="35"/>
      <c r="PCK11" s="36"/>
      <c r="PCL11" s="37"/>
      <c r="PCM11" s="36"/>
      <c r="PCN11" s="37"/>
      <c r="PCO11" s="36"/>
      <c r="PCP11" s="37"/>
      <c r="PCQ11" s="36"/>
      <c r="PCR11" s="37"/>
      <c r="PCS11" s="36"/>
      <c r="PCT11" s="37"/>
      <c r="PCU11" s="36"/>
      <c r="PCV11" s="37"/>
      <c r="PCW11" s="36"/>
      <c r="PCX11" s="37"/>
      <c r="PCY11" s="36"/>
      <c r="PCZ11" s="37"/>
      <c r="PDA11" s="36"/>
      <c r="PDB11" s="37"/>
      <c r="PDC11" s="36"/>
      <c r="PDD11" s="36"/>
      <c r="PDE11" s="37"/>
      <c r="PDF11" s="37"/>
      <c r="PDH11" s="22"/>
      <c r="PDI11" s="35"/>
      <c r="PDJ11" s="36"/>
      <c r="PDK11" s="37"/>
      <c r="PDL11" s="36"/>
      <c r="PDM11" s="37"/>
      <c r="PDN11" s="36"/>
      <c r="PDO11" s="37"/>
      <c r="PDP11" s="36"/>
      <c r="PDQ11" s="37"/>
      <c r="PDR11" s="36"/>
      <c r="PDS11" s="37"/>
      <c r="PDT11" s="36"/>
      <c r="PDU11" s="37"/>
      <c r="PDV11" s="36"/>
      <c r="PDW11" s="37"/>
      <c r="PDX11" s="36"/>
      <c r="PDY11" s="37"/>
      <c r="PDZ11" s="36"/>
      <c r="PEA11" s="37"/>
      <c r="PEB11" s="36"/>
      <c r="PEC11" s="36"/>
      <c r="PED11" s="37"/>
      <c r="PEE11" s="37"/>
      <c r="PEG11" s="22"/>
      <c r="PEH11" s="35"/>
      <c r="PEI11" s="36"/>
      <c r="PEJ11" s="37"/>
      <c r="PEK11" s="36"/>
      <c r="PEL11" s="37"/>
      <c r="PEM11" s="36"/>
      <c r="PEN11" s="37"/>
      <c r="PEO11" s="36"/>
      <c r="PEP11" s="37"/>
      <c r="PEQ11" s="36"/>
      <c r="PER11" s="37"/>
      <c r="PES11" s="36"/>
      <c r="PET11" s="37"/>
      <c r="PEU11" s="36"/>
      <c r="PEV11" s="37"/>
      <c r="PEW11" s="36"/>
      <c r="PEX11" s="37"/>
      <c r="PEY11" s="36"/>
      <c r="PEZ11" s="37"/>
      <c r="PFA11" s="36"/>
      <c r="PFB11" s="36"/>
      <c r="PFC11" s="37"/>
      <c r="PFD11" s="37"/>
      <c r="PFF11" s="22"/>
      <c r="PFG11" s="35"/>
      <c r="PFH11" s="36"/>
      <c r="PFI11" s="37"/>
      <c r="PFJ11" s="36"/>
      <c r="PFK11" s="37"/>
      <c r="PFL11" s="36"/>
      <c r="PFM11" s="37"/>
      <c r="PFN11" s="36"/>
      <c r="PFO11" s="37"/>
      <c r="PFP11" s="36"/>
      <c r="PFQ11" s="37"/>
      <c r="PFR11" s="36"/>
      <c r="PFS11" s="37"/>
      <c r="PFT11" s="36"/>
      <c r="PFU11" s="37"/>
      <c r="PFV11" s="36"/>
      <c r="PFW11" s="37"/>
      <c r="PFX11" s="36"/>
      <c r="PFY11" s="37"/>
      <c r="PFZ11" s="36"/>
      <c r="PGA11" s="36"/>
      <c r="PGB11" s="37"/>
      <c r="PGC11" s="37"/>
      <c r="PGE11" s="22"/>
      <c r="PGF11" s="35"/>
      <c r="PGG11" s="36"/>
      <c r="PGH11" s="37"/>
      <c r="PGI11" s="36"/>
      <c r="PGJ11" s="37"/>
      <c r="PGK11" s="36"/>
      <c r="PGL11" s="37"/>
      <c r="PGM11" s="36"/>
      <c r="PGN11" s="37"/>
      <c r="PGO11" s="36"/>
      <c r="PGP11" s="37"/>
      <c r="PGQ11" s="36"/>
      <c r="PGR11" s="37"/>
      <c r="PGS11" s="36"/>
      <c r="PGT11" s="37"/>
      <c r="PGU11" s="36"/>
      <c r="PGV11" s="37"/>
      <c r="PGW11" s="36"/>
      <c r="PGX11" s="37"/>
      <c r="PGY11" s="36"/>
      <c r="PGZ11" s="36"/>
      <c r="PHA11" s="37"/>
      <c r="PHB11" s="37"/>
      <c r="PHD11" s="22"/>
      <c r="PHE11" s="35"/>
      <c r="PHF11" s="36"/>
      <c r="PHG11" s="37"/>
      <c r="PHH11" s="36"/>
      <c r="PHI11" s="37"/>
      <c r="PHJ11" s="36"/>
      <c r="PHK11" s="37"/>
      <c r="PHL11" s="36"/>
      <c r="PHM11" s="37"/>
      <c r="PHN11" s="36"/>
      <c r="PHO11" s="37"/>
      <c r="PHP11" s="36"/>
      <c r="PHQ11" s="37"/>
      <c r="PHR11" s="36"/>
      <c r="PHS11" s="37"/>
      <c r="PHT11" s="36"/>
      <c r="PHU11" s="37"/>
      <c r="PHV11" s="36"/>
      <c r="PHW11" s="37"/>
      <c r="PHX11" s="36"/>
      <c r="PHY11" s="36"/>
      <c r="PHZ11" s="37"/>
      <c r="PIA11" s="37"/>
      <c r="PIC11" s="22"/>
      <c r="PID11" s="35"/>
      <c r="PIE11" s="36"/>
      <c r="PIF11" s="37"/>
      <c r="PIG11" s="36"/>
      <c r="PIH11" s="37"/>
      <c r="PII11" s="36"/>
      <c r="PIJ11" s="37"/>
      <c r="PIK11" s="36"/>
      <c r="PIL11" s="37"/>
      <c r="PIM11" s="36"/>
      <c r="PIN11" s="37"/>
      <c r="PIO11" s="36"/>
      <c r="PIP11" s="37"/>
      <c r="PIQ11" s="36"/>
      <c r="PIR11" s="37"/>
      <c r="PIS11" s="36"/>
      <c r="PIT11" s="37"/>
      <c r="PIU11" s="36"/>
      <c r="PIV11" s="37"/>
      <c r="PIW11" s="36"/>
      <c r="PIX11" s="36"/>
      <c r="PIY11" s="37"/>
      <c r="PIZ11" s="37"/>
      <c r="PJB11" s="22"/>
      <c r="PJC11" s="35"/>
      <c r="PJD11" s="36"/>
      <c r="PJE11" s="37"/>
      <c r="PJF11" s="36"/>
      <c r="PJG11" s="37"/>
      <c r="PJH11" s="36"/>
      <c r="PJI11" s="37"/>
      <c r="PJJ11" s="36"/>
      <c r="PJK11" s="37"/>
      <c r="PJL11" s="36"/>
      <c r="PJM11" s="37"/>
      <c r="PJN11" s="36"/>
      <c r="PJO11" s="37"/>
      <c r="PJP11" s="36"/>
      <c r="PJQ11" s="37"/>
      <c r="PJR11" s="36"/>
      <c r="PJS11" s="37"/>
      <c r="PJT11" s="36"/>
      <c r="PJU11" s="37"/>
      <c r="PJV11" s="36"/>
      <c r="PJW11" s="36"/>
      <c r="PJX11" s="37"/>
      <c r="PJY11" s="37"/>
      <c r="PKA11" s="22"/>
      <c r="PKB11" s="35"/>
      <c r="PKC11" s="36"/>
      <c r="PKD11" s="37"/>
      <c r="PKE11" s="36"/>
      <c r="PKF11" s="37"/>
      <c r="PKG11" s="36"/>
      <c r="PKH11" s="37"/>
      <c r="PKI11" s="36"/>
      <c r="PKJ11" s="37"/>
      <c r="PKK11" s="36"/>
      <c r="PKL11" s="37"/>
      <c r="PKM11" s="36"/>
      <c r="PKN11" s="37"/>
      <c r="PKO11" s="36"/>
      <c r="PKP11" s="37"/>
      <c r="PKQ11" s="36"/>
      <c r="PKR11" s="37"/>
      <c r="PKS11" s="36"/>
      <c r="PKT11" s="37"/>
      <c r="PKU11" s="36"/>
      <c r="PKV11" s="36"/>
      <c r="PKW11" s="37"/>
      <c r="PKX11" s="37"/>
      <c r="PKZ11" s="22"/>
      <c r="PLA11" s="35"/>
      <c r="PLB11" s="36"/>
      <c r="PLC11" s="37"/>
      <c r="PLD11" s="36"/>
      <c r="PLE11" s="37"/>
      <c r="PLF11" s="36"/>
      <c r="PLG11" s="37"/>
      <c r="PLH11" s="36"/>
      <c r="PLI11" s="37"/>
      <c r="PLJ11" s="36"/>
      <c r="PLK11" s="37"/>
      <c r="PLL11" s="36"/>
      <c r="PLM11" s="37"/>
      <c r="PLN11" s="36"/>
      <c r="PLO11" s="37"/>
      <c r="PLP11" s="36"/>
      <c r="PLQ11" s="37"/>
      <c r="PLR11" s="36"/>
      <c r="PLS11" s="37"/>
      <c r="PLT11" s="36"/>
      <c r="PLU11" s="36"/>
      <c r="PLV11" s="37"/>
      <c r="PLW11" s="37"/>
      <c r="PLY11" s="22"/>
      <c r="PLZ11" s="35"/>
      <c r="PMA11" s="36"/>
      <c r="PMB11" s="37"/>
      <c r="PMC11" s="36"/>
      <c r="PMD11" s="37"/>
      <c r="PME11" s="36"/>
      <c r="PMF11" s="37"/>
      <c r="PMG11" s="36"/>
      <c r="PMH11" s="37"/>
      <c r="PMI11" s="36"/>
      <c r="PMJ11" s="37"/>
      <c r="PMK11" s="36"/>
      <c r="PML11" s="37"/>
      <c r="PMM11" s="36"/>
      <c r="PMN11" s="37"/>
      <c r="PMO11" s="36"/>
      <c r="PMP11" s="37"/>
      <c r="PMQ11" s="36"/>
      <c r="PMR11" s="37"/>
      <c r="PMS11" s="36"/>
      <c r="PMT11" s="36"/>
      <c r="PMU11" s="37"/>
      <c r="PMV11" s="37"/>
      <c r="PMX11" s="22"/>
      <c r="PMY11" s="35"/>
      <c r="PMZ11" s="36"/>
      <c r="PNA11" s="37"/>
      <c r="PNB11" s="36"/>
      <c r="PNC11" s="37"/>
      <c r="PND11" s="36"/>
      <c r="PNE11" s="37"/>
      <c r="PNF11" s="36"/>
      <c r="PNG11" s="37"/>
      <c r="PNH11" s="36"/>
      <c r="PNI11" s="37"/>
      <c r="PNJ11" s="36"/>
      <c r="PNK11" s="37"/>
      <c r="PNL11" s="36"/>
      <c r="PNM11" s="37"/>
      <c r="PNN11" s="36"/>
      <c r="PNO11" s="37"/>
      <c r="PNP11" s="36"/>
      <c r="PNQ11" s="37"/>
      <c r="PNR11" s="36"/>
      <c r="PNS11" s="36"/>
      <c r="PNT11" s="37"/>
      <c r="PNU11" s="37"/>
      <c r="PNW11" s="22"/>
      <c r="PNX11" s="35"/>
      <c r="PNY11" s="36"/>
      <c r="PNZ11" s="37"/>
      <c r="POA11" s="36"/>
      <c r="POB11" s="37"/>
      <c r="POC11" s="36"/>
      <c r="POD11" s="37"/>
      <c r="POE11" s="36"/>
      <c r="POF11" s="37"/>
      <c r="POG11" s="36"/>
      <c r="POH11" s="37"/>
      <c r="POI11" s="36"/>
      <c r="POJ11" s="37"/>
      <c r="POK11" s="36"/>
      <c r="POL11" s="37"/>
      <c r="POM11" s="36"/>
      <c r="PON11" s="37"/>
      <c r="POO11" s="36"/>
      <c r="POP11" s="37"/>
      <c r="POQ11" s="36"/>
      <c r="POR11" s="36"/>
      <c r="POS11" s="37"/>
      <c r="POT11" s="37"/>
      <c r="POV11" s="22"/>
      <c r="POW11" s="35"/>
      <c r="POX11" s="36"/>
      <c r="POY11" s="37"/>
      <c r="POZ11" s="36"/>
      <c r="PPA11" s="37"/>
      <c r="PPB11" s="36"/>
      <c r="PPC11" s="37"/>
      <c r="PPD11" s="36"/>
      <c r="PPE11" s="37"/>
      <c r="PPF11" s="36"/>
      <c r="PPG11" s="37"/>
      <c r="PPH11" s="36"/>
      <c r="PPI11" s="37"/>
      <c r="PPJ11" s="36"/>
      <c r="PPK11" s="37"/>
      <c r="PPL11" s="36"/>
      <c r="PPM11" s="37"/>
      <c r="PPN11" s="36"/>
      <c r="PPO11" s="37"/>
      <c r="PPP11" s="36"/>
      <c r="PPQ11" s="36"/>
      <c r="PPR11" s="37"/>
      <c r="PPS11" s="37"/>
      <c r="PPU11" s="22"/>
      <c r="PPV11" s="35"/>
      <c r="PPW11" s="36"/>
      <c r="PPX11" s="37"/>
      <c r="PPY11" s="36"/>
      <c r="PPZ11" s="37"/>
      <c r="PQA11" s="36"/>
      <c r="PQB11" s="37"/>
      <c r="PQC11" s="36"/>
      <c r="PQD11" s="37"/>
      <c r="PQE11" s="36"/>
      <c r="PQF11" s="37"/>
      <c r="PQG11" s="36"/>
      <c r="PQH11" s="37"/>
      <c r="PQI11" s="36"/>
      <c r="PQJ11" s="37"/>
      <c r="PQK11" s="36"/>
      <c r="PQL11" s="37"/>
      <c r="PQM11" s="36"/>
      <c r="PQN11" s="37"/>
      <c r="PQO11" s="36"/>
      <c r="PQP11" s="36"/>
      <c r="PQQ11" s="37"/>
      <c r="PQR11" s="37"/>
      <c r="PQT11" s="22"/>
      <c r="PQU11" s="35"/>
      <c r="PQV11" s="36"/>
      <c r="PQW11" s="37"/>
      <c r="PQX11" s="36"/>
      <c r="PQY11" s="37"/>
      <c r="PQZ11" s="36"/>
      <c r="PRA11" s="37"/>
      <c r="PRB11" s="36"/>
      <c r="PRC11" s="37"/>
      <c r="PRD11" s="36"/>
      <c r="PRE11" s="37"/>
      <c r="PRF11" s="36"/>
      <c r="PRG11" s="37"/>
      <c r="PRH11" s="36"/>
      <c r="PRI11" s="37"/>
      <c r="PRJ11" s="36"/>
      <c r="PRK11" s="37"/>
      <c r="PRL11" s="36"/>
      <c r="PRM11" s="37"/>
      <c r="PRN11" s="36"/>
      <c r="PRO11" s="36"/>
      <c r="PRP11" s="37"/>
      <c r="PRQ11" s="37"/>
      <c r="PRS11" s="22"/>
      <c r="PRT11" s="35"/>
      <c r="PRU11" s="36"/>
      <c r="PRV11" s="37"/>
      <c r="PRW11" s="36"/>
      <c r="PRX11" s="37"/>
      <c r="PRY11" s="36"/>
      <c r="PRZ11" s="37"/>
      <c r="PSA11" s="36"/>
      <c r="PSB11" s="37"/>
      <c r="PSC11" s="36"/>
      <c r="PSD11" s="37"/>
      <c r="PSE11" s="36"/>
      <c r="PSF11" s="37"/>
      <c r="PSG11" s="36"/>
      <c r="PSH11" s="37"/>
      <c r="PSI11" s="36"/>
      <c r="PSJ11" s="37"/>
      <c r="PSK11" s="36"/>
      <c r="PSL11" s="37"/>
      <c r="PSM11" s="36"/>
      <c r="PSN11" s="36"/>
      <c r="PSO11" s="37"/>
      <c r="PSP11" s="37"/>
      <c r="PSR11" s="22"/>
      <c r="PSS11" s="35"/>
      <c r="PST11" s="36"/>
      <c r="PSU11" s="37"/>
      <c r="PSV11" s="36"/>
      <c r="PSW11" s="37"/>
      <c r="PSX11" s="36"/>
      <c r="PSY11" s="37"/>
      <c r="PSZ11" s="36"/>
      <c r="PTA11" s="37"/>
      <c r="PTB11" s="36"/>
      <c r="PTC11" s="37"/>
      <c r="PTD11" s="36"/>
      <c r="PTE11" s="37"/>
      <c r="PTF11" s="36"/>
      <c r="PTG11" s="37"/>
      <c r="PTH11" s="36"/>
      <c r="PTI11" s="37"/>
      <c r="PTJ11" s="36"/>
      <c r="PTK11" s="37"/>
      <c r="PTL11" s="36"/>
      <c r="PTM11" s="36"/>
      <c r="PTN11" s="37"/>
      <c r="PTO11" s="37"/>
      <c r="PTQ11" s="22"/>
      <c r="PTR11" s="35"/>
      <c r="PTS11" s="36"/>
      <c r="PTT11" s="37"/>
      <c r="PTU11" s="36"/>
      <c r="PTV11" s="37"/>
      <c r="PTW11" s="36"/>
      <c r="PTX11" s="37"/>
      <c r="PTY11" s="36"/>
      <c r="PTZ11" s="37"/>
      <c r="PUA11" s="36"/>
      <c r="PUB11" s="37"/>
      <c r="PUC11" s="36"/>
      <c r="PUD11" s="37"/>
      <c r="PUE11" s="36"/>
      <c r="PUF11" s="37"/>
      <c r="PUG11" s="36"/>
      <c r="PUH11" s="37"/>
      <c r="PUI11" s="36"/>
      <c r="PUJ11" s="37"/>
      <c r="PUK11" s="36"/>
      <c r="PUL11" s="36"/>
      <c r="PUM11" s="37"/>
      <c r="PUN11" s="37"/>
      <c r="PUP11" s="22"/>
      <c r="PUQ11" s="35"/>
      <c r="PUR11" s="36"/>
      <c r="PUS11" s="37"/>
      <c r="PUT11" s="36"/>
      <c r="PUU11" s="37"/>
      <c r="PUV11" s="36"/>
      <c r="PUW11" s="37"/>
      <c r="PUX11" s="36"/>
      <c r="PUY11" s="37"/>
      <c r="PUZ11" s="36"/>
      <c r="PVA11" s="37"/>
      <c r="PVB11" s="36"/>
      <c r="PVC11" s="37"/>
      <c r="PVD11" s="36"/>
      <c r="PVE11" s="37"/>
      <c r="PVF11" s="36"/>
      <c r="PVG11" s="37"/>
      <c r="PVH11" s="36"/>
      <c r="PVI11" s="37"/>
      <c r="PVJ11" s="36"/>
      <c r="PVK11" s="36"/>
      <c r="PVL11" s="37"/>
      <c r="PVM11" s="37"/>
      <c r="PVO11" s="22"/>
      <c r="PVP11" s="35"/>
      <c r="PVQ11" s="36"/>
      <c r="PVR11" s="37"/>
      <c r="PVS11" s="36"/>
      <c r="PVT11" s="37"/>
      <c r="PVU11" s="36"/>
      <c r="PVV11" s="37"/>
      <c r="PVW11" s="36"/>
      <c r="PVX11" s="37"/>
      <c r="PVY11" s="36"/>
      <c r="PVZ11" s="37"/>
      <c r="PWA11" s="36"/>
      <c r="PWB11" s="37"/>
      <c r="PWC11" s="36"/>
      <c r="PWD11" s="37"/>
      <c r="PWE11" s="36"/>
      <c r="PWF11" s="37"/>
      <c r="PWG11" s="36"/>
      <c r="PWH11" s="37"/>
      <c r="PWI11" s="36"/>
      <c r="PWJ11" s="36"/>
      <c r="PWK11" s="37"/>
      <c r="PWL11" s="37"/>
      <c r="PWN11" s="22"/>
      <c r="PWO11" s="35"/>
      <c r="PWP11" s="36"/>
      <c r="PWQ11" s="37"/>
      <c r="PWR11" s="36"/>
      <c r="PWS11" s="37"/>
      <c r="PWT11" s="36"/>
      <c r="PWU11" s="37"/>
      <c r="PWV11" s="36"/>
      <c r="PWW11" s="37"/>
      <c r="PWX11" s="36"/>
      <c r="PWY11" s="37"/>
      <c r="PWZ11" s="36"/>
      <c r="PXA11" s="37"/>
      <c r="PXB11" s="36"/>
      <c r="PXC11" s="37"/>
      <c r="PXD11" s="36"/>
      <c r="PXE11" s="37"/>
      <c r="PXF11" s="36"/>
      <c r="PXG11" s="37"/>
      <c r="PXH11" s="36"/>
      <c r="PXI11" s="36"/>
      <c r="PXJ11" s="37"/>
      <c r="PXK11" s="37"/>
      <c r="PXM11" s="22"/>
      <c r="PXN11" s="35"/>
      <c r="PXO11" s="36"/>
      <c r="PXP11" s="37"/>
      <c r="PXQ11" s="36"/>
      <c r="PXR11" s="37"/>
      <c r="PXS11" s="36"/>
      <c r="PXT11" s="37"/>
      <c r="PXU11" s="36"/>
      <c r="PXV11" s="37"/>
      <c r="PXW11" s="36"/>
      <c r="PXX11" s="37"/>
      <c r="PXY11" s="36"/>
      <c r="PXZ11" s="37"/>
      <c r="PYA11" s="36"/>
      <c r="PYB11" s="37"/>
      <c r="PYC11" s="36"/>
      <c r="PYD11" s="37"/>
      <c r="PYE11" s="36"/>
      <c r="PYF11" s="37"/>
      <c r="PYG11" s="36"/>
      <c r="PYH11" s="36"/>
      <c r="PYI11" s="37"/>
      <c r="PYJ11" s="37"/>
      <c r="PYL11" s="22"/>
      <c r="PYM11" s="35"/>
      <c r="PYN11" s="36"/>
      <c r="PYO11" s="37"/>
      <c r="PYP11" s="36"/>
      <c r="PYQ11" s="37"/>
      <c r="PYR11" s="36"/>
      <c r="PYS11" s="37"/>
      <c r="PYT11" s="36"/>
      <c r="PYU11" s="37"/>
      <c r="PYV11" s="36"/>
      <c r="PYW11" s="37"/>
      <c r="PYX11" s="36"/>
      <c r="PYY11" s="37"/>
      <c r="PYZ11" s="36"/>
      <c r="PZA11" s="37"/>
      <c r="PZB11" s="36"/>
      <c r="PZC11" s="37"/>
      <c r="PZD11" s="36"/>
      <c r="PZE11" s="37"/>
      <c r="PZF11" s="36"/>
      <c r="PZG11" s="36"/>
      <c r="PZH11" s="37"/>
      <c r="PZI11" s="37"/>
      <c r="PZK11" s="22"/>
      <c r="PZL11" s="35"/>
      <c r="PZM11" s="36"/>
      <c r="PZN11" s="37"/>
      <c r="PZO11" s="36"/>
      <c r="PZP11" s="37"/>
      <c r="PZQ11" s="36"/>
      <c r="PZR11" s="37"/>
      <c r="PZS11" s="36"/>
      <c r="PZT11" s="37"/>
      <c r="PZU11" s="36"/>
      <c r="PZV11" s="37"/>
      <c r="PZW11" s="36"/>
      <c r="PZX11" s="37"/>
      <c r="PZY11" s="36"/>
      <c r="PZZ11" s="37"/>
      <c r="QAA11" s="36"/>
      <c r="QAB11" s="37"/>
      <c r="QAC11" s="36"/>
      <c r="QAD11" s="37"/>
      <c r="QAE11" s="36"/>
      <c r="QAF11" s="36"/>
      <c r="QAG11" s="37"/>
      <c r="QAH11" s="37"/>
      <c r="QAJ11" s="22"/>
      <c r="QAK11" s="35"/>
      <c r="QAL11" s="36"/>
      <c r="QAM11" s="37"/>
      <c r="QAN11" s="36"/>
      <c r="QAO11" s="37"/>
      <c r="QAP11" s="36"/>
      <c r="QAQ11" s="37"/>
      <c r="QAR11" s="36"/>
      <c r="QAS11" s="37"/>
      <c r="QAT11" s="36"/>
      <c r="QAU11" s="37"/>
      <c r="QAV11" s="36"/>
      <c r="QAW11" s="37"/>
      <c r="QAX11" s="36"/>
      <c r="QAY11" s="37"/>
      <c r="QAZ11" s="36"/>
      <c r="QBA11" s="37"/>
      <c r="QBB11" s="36"/>
      <c r="QBC11" s="37"/>
      <c r="QBD11" s="36"/>
      <c r="QBE11" s="36"/>
      <c r="QBF11" s="37"/>
      <c r="QBG11" s="37"/>
      <c r="QBI11" s="22"/>
      <c r="QBJ11" s="35"/>
      <c r="QBK11" s="36"/>
      <c r="QBL11" s="37"/>
      <c r="QBM11" s="36"/>
      <c r="QBN11" s="37"/>
      <c r="QBO11" s="36"/>
      <c r="QBP11" s="37"/>
      <c r="QBQ11" s="36"/>
      <c r="QBR11" s="37"/>
      <c r="QBS11" s="36"/>
      <c r="QBT11" s="37"/>
      <c r="QBU11" s="36"/>
      <c r="QBV11" s="37"/>
      <c r="QBW11" s="36"/>
      <c r="QBX11" s="37"/>
      <c r="QBY11" s="36"/>
      <c r="QBZ11" s="37"/>
      <c r="QCA11" s="36"/>
      <c r="QCB11" s="37"/>
      <c r="QCC11" s="36"/>
      <c r="QCD11" s="36"/>
      <c r="QCE11" s="37"/>
      <c r="QCF11" s="37"/>
      <c r="QCH11" s="22"/>
      <c r="QCI11" s="35"/>
      <c r="QCJ11" s="36"/>
      <c r="QCK11" s="37"/>
      <c r="QCL11" s="36"/>
      <c r="QCM11" s="37"/>
      <c r="QCN11" s="36"/>
      <c r="QCO11" s="37"/>
      <c r="QCP11" s="36"/>
      <c r="QCQ11" s="37"/>
      <c r="QCR11" s="36"/>
      <c r="QCS11" s="37"/>
      <c r="QCT11" s="36"/>
      <c r="QCU11" s="37"/>
      <c r="QCV11" s="36"/>
      <c r="QCW11" s="37"/>
      <c r="QCX11" s="36"/>
      <c r="QCY11" s="37"/>
      <c r="QCZ11" s="36"/>
      <c r="QDA11" s="37"/>
      <c r="QDB11" s="36"/>
      <c r="QDC11" s="36"/>
      <c r="QDD11" s="37"/>
      <c r="QDE11" s="37"/>
      <c r="QDG11" s="22"/>
      <c r="QDH11" s="35"/>
      <c r="QDI11" s="36"/>
      <c r="QDJ11" s="37"/>
      <c r="QDK11" s="36"/>
      <c r="QDL11" s="37"/>
      <c r="QDM11" s="36"/>
      <c r="QDN11" s="37"/>
      <c r="QDO11" s="36"/>
      <c r="QDP11" s="37"/>
      <c r="QDQ11" s="36"/>
      <c r="QDR11" s="37"/>
      <c r="QDS11" s="36"/>
      <c r="QDT11" s="37"/>
      <c r="QDU11" s="36"/>
      <c r="QDV11" s="37"/>
      <c r="QDW11" s="36"/>
      <c r="QDX11" s="37"/>
      <c r="QDY11" s="36"/>
      <c r="QDZ11" s="37"/>
      <c r="QEA11" s="36"/>
      <c r="QEB11" s="36"/>
      <c r="QEC11" s="37"/>
      <c r="QED11" s="37"/>
      <c r="QEF11" s="22"/>
      <c r="QEG11" s="35"/>
      <c r="QEH11" s="36"/>
      <c r="QEI11" s="37"/>
      <c r="QEJ11" s="36"/>
      <c r="QEK11" s="37"/>
      <c r="QEL11" s="36"/>
      <c r="QEM11" s="37"/>
      <c r="QEN11" s="36"/>
      <c r="QEO11" s="37"/>
      <c r="QEP11" s="36"/>
      <c r="QEQ11" s="37"/>
      <c r="QER11" s="36"/>
      <c r="QES11" s="37"/>
      <c r="QET11" s="36"/>
      <c r="QEU11" s="37"/>
      <c r="QEV11" s="36"/>
      <c r="QEW11" s="37"/>
      <c r="QEX11" s="36"/>
      <c r="QEY11" s="37"/>
      <c r="QEZ11" s="36"/>
      <c r="QFA11" s="36"/>
      <c r="QFB11" s="37"/>
      <c r="QFC11" s="37"/>
      <c r="QFE11" s="22"/>
      <c r="QFF11" s="35"/>
      <c r="QFG11" s="36"/>
      <c r="QFH11" s="37"/>
      <c r="QFI11" s="36"/>
      <c r="QFJ11" s="37"/>
      <c r="QFK11" s="36"/>
      <c r="QFL11" s="37"/>
      <c r="QFM11" s="36"/>
      <c r="QFN11" s="37"/>
      <c r="QFO11" s="36"/>
      <c r="QFP11" s="37"/>
      <c r="QFQ11" s="36"/>
      <c r="QFR11" s="37"/>
      <c r="QFS11" s="36"/>
      <c r="QFT11" s="37"/>
      <c r="QFU11" s="36"/>
      <c r="QFV11" s="37"/>
      <c r="QFW11" s="36"/>
      <c r="QFX11" s="37"/>
      <c r="QFY11" s="36"/>
      <c r="QFZ11" s="36"/>
      <c r="QGA11" s="37"/>
      <c r="QGB11" s="37"/>
      <c r="QGD11" s="22"/>
      <c r="QGE11" s="35"/>
      <c r="QGF11" s="36"/>
      <c r="QGG11" s="37"/>
      <c r="QGH11" s="36"/>
      <c r="QGI11" s="37"/>
      <c r="QGJ11" s="36"/>
      <c r="QGK11" s="37"/>
      <c r="QGL11" s="36"/>
      <c r="QGM11" s="37"/>
      <c r="QGN11" s="36"/>
      <c r="QGO11" s="37"/>
      <c r="QGP11" s="36"/>
      <c r="QGQ11" s="37"/>
      <c r="QGR11" s="36"/>
      <c r="QGS11" s="37"/>
      <c r="QGT11" s="36"/>
      <c r="QGU11" s="37"/>
      <c r="QGV11" s="36"/>
      <c r="QGW11" s="37"/>
      <c r="QGX11" s="36"/>
      <c r="QGY11" s="36"/>
      <c r="QGZ11" s="37"/>
      <c r="QHA11" s="37"/>
      <c r="QHC11" s="22"/>
      <c r="QHD11" s="35"/>
      <c r="QHE11" s="36"/>
      <c r="QHF11" s="37"/>
      <c r="QHG11" s="36"/>
      <c r="QHH11" s="37"/>
      <c r="QHI11" s="36"/>
      <c r="QHJ11" s="37"/>
      <c r="QHK11" s="36"/>
      <c r="QHL11" s="37"/>
      <c r="QHM11" s="36"/>
      <c r="QHN11" s="37"/>
      <c r="QHO11" s="36"/>
      <c r="QHP11" s="37"/>
      <c r="QHQ11" s="36"/>
      <c r="QHR11" s="37"/>
      <c r="QHS11" s="36"/>
      <c r="QHT11" s="37"/>
      <c r="QHU11" s="36"/>
      <c r="QHV11" s="37"/>
      <c r="QHW11" s="36"/>
      <c r="QHX11" s="36"/>
      <c r="QHY11" s="37"/>
      <c r="QHZ11" s="37"/>
      <c r="QIB11" s="22"/>
      <c r="QIC11" s="35"/>
      <c r="QID11" s="36"/>
      <c r="QIE11" s="37"/>
      <c r="QIF11" s="36"/>
      <c r="QIG11" s="37"/>
      <c r="QIH11" s="36"/>
      <c r="QII11" s="37"/>
      <c r="QIJ11" s="36"/>
      <c r="QIK11" s="37"/>
      <c r="QIL11" s="36"/>
      <c r="QIM11" s="37"/>
      <c r="QIN11" s="36"/>
      <c r="QIO11" s="37"/>
      <c r="QIP11" s="36"/>
      <c r="QIQ11" s="37"/>
      <c r="QIR11" s="36"/>
      <c r="QIS11" s="37"/>
      <c r="QIT11" s="36"/>
      <c r="QIU11" s="37"/>
      <c r="QIV11" s="36"/>
      <c r="QIW11" s="36"/>
      <c r="QIX11" s="37"/>
      <c r="QIY11" s="37"/>
      <c r="QJA11" s="22"/>
      <c r="QJB11" s="35"/>
      <c r="QJC11" s="36"/>
      <c r="QJD11" s="37"/>
      <c r="QJE11" s="36"/>
      <c r="QJF11" s="37"/>
      <c r="QJG11" s="36"/>
      <c r="QJH11" s="37"/>
      <c r="QJI11" s="36"/>
      <c r="QJJ11" s="37"/>
      <c r="QJK11" s="36"/>
      <c r="QJL11" s="37"/>
      <c r="QJM11" s="36"/>
      <c r="QJN11" s="37"/>
      <c r="QJO11" s="36"/>
      <c r="QJP11" s="37"/>
      <c r="QJQ11" s="36"/>
      <c r="QJR11" s="37"/>
      <c r="QJS11" s="36"/>
      <c r="QJT11" s="37"/>
      <c r="QJU11" s="36"/>
      <c r="QJV11" s="36"/>
      <c r="QJW11" s="37"/>
      <c r="QJX11" s="37"/>
      <c r="QJZ11" s="22"/>
      <c r="QKA11" s="35"/>
      <c r="QKB11" s="36"/>
      <c r="QKC11" s="37"/>
      <c r="QKD11" s="36"/>
      <c r="QKE11" s="37"/>
      <c r="QKF11" s="36"/>
      <c r="QKG11" s="37"/>
      <c r="QKH11" s="36"/>
      <c r="QKI11" s="37"/>
      <c r="QKJ11" s="36"/>
      <c r="QKK11" s="37"/>
      <c r="QKL11" s="36"/>
      <c r="QKM11" s="37"/>
      <c r="QKN11" s="36"/>
      <c r="QKO11" s="37"/>
      <c r="QKP11" s="36"/>
      <c r="QKQ11" s="37"/>
      <c r="QKR11" s="36"/>
      <c r="QKS11" s="37"/>
      <c r="QKT11" s="36"/>
      <c r="QKU11" s="36"/>
      <c r="QKV11" s="37"/>
      <c r="QKW11" s="37"/>
      <c r="QKY11" s="22"/>
      <c r="QKZ11" s="35"/>
      <c r="QLA11" s="36"/>
      <c r="QLB11" s="37"/>
      <c r="QLC11" s="36"/>
      <c r="QLD11" s="37"/>
      <c r="QLE11" s="36"/>
      <c r="QLF11" s="37"/>
      <c r="QLG11" s="36"/>
      <c r="QLH11" s="37"/>
      <c r="QLI11" s="36"/>
      <c r="QLJ11" s="37"/>
      <c r="QLK11" s="36"/>
      <c r="QLL11" s="37"/>
      <c r="QLM11" s="36"/>
      <c r="QLN11" s="37"/>
      <c r="QLO11" s="36"/>
      <c r="QLP11" s="37"/>
      <c r="QLQ11" s="36"/>
      <c r="QLR11" s="37"/>
      <c r="QLS11" s="36"/>
      <c r="QLT11" s="36"/>
      <c r="QLU11" s="37"/>
      <c r="QLV11" s="37"/>
      <c r="QLX11" s="22"/>
      <c r="QLY11" s="35"/>
      <c r="QLZ11" s="36"/>
      <c r="QMA11" s="37"/>
      <c r="QMB11" s="36"/>
      <c r="QMC11" s="37"/>
      <c r="QMD11" s="36"/>
      <c r="QME11" s="37"/>
      <c r="QMF11" s="36"/>
      <c r="QMG11" s="37"/>
      <c r="QMH11" s="36"/>
      <c r="QMI11" s="37"/>
      <c r="QMJ11" s="36"/>
      <c r="QMK11" s="37"/>
      <c r="QML11" s="36"/>
      <c r="QMM11" s="37"/>
      <c r="QMN11" s="36"/>
      <c r="QMO11" s="37"/>
      <c r="QMP11" s="36"/>
      <c r="QMQ11" s="37"/>
      <c r="QMR11" s="36"/>
      <c r="QMS11" s="36"/>
      <c r="QMT11" s="37"/>
      <c r="QMU11" s="37"/>
      <c r="QMW11" s="22"/>
      <c r="QMX11" s="35"/>
      <c r="QMY11" s="36"/>
      <c r="QMZ11" s="37"/>
      <c r="QNA11" s="36"/>
      <c r="QNB11" s="37"/>
      <c r="QNC11" s="36"/>
      <c r="QND11" s="37"/>
      <c r="QNE11" s="36"/>
      <c r="QNF11" s="37"/>
      <c r="QNG11" s="36"/>
      <c r="QNH11" s="37"/>
      <c r="QNI11" s="36"/>
      <c r="QNJ11" s="37"/>
      <c r="QNK11" s="36"/>
      <c r="QNL11" s="37"/>
      <c r="QNM11" s="36"/>
      <c r="QNN11" s="37"/>
      <c r="QNO11" s="36"/>
      <c r="QNP11" s="37"/>
      <c r="QNQ11" s="36"/>
      <c r="QNR11" s="36"/>
      <c r="QNS11" s="37"/>
      <c r="QNT11" s="37"/>
      <c r="QNV11" s="22"/>
      <c r="QNW11" s="35"/>
      <c r="QNX11" s="36"/>
      <c r="QNY11" s="37"/>
      <c r="QNZ11" s="36"/>
      <c r="QOA11" s="37"/>
      <c r="QOB11" s="36"/>
      <c r="QOC11" s="37"/>
      <c r="QOD11" s="36"/>
      <c r="QOE11" s="37"/>
      <c r="QOF11" s="36"/>
      <c r="QOG11" s="37"/>
      <c r="QOH11" s="36"/>
      <c r="QOI11" s="37"/>
      <c r="QOJ11" s="36"/>
      <c r="QOK11" s="37"/>
      <c r="QOL11" s="36"/>
      <c r="QOM11" s="37"/>
      <c r="QON11" s="36"/>
      <c r="QOO11" s="37"/>
      <c r="QOP11" s="36"/>
      <c r="QOQ11" s="36"/>
      <c r="QOR11" s="37"/>
      <c r="QOS11" s="37"/>
      <c r="QOU11" s="22"/>
      <c r="QOV11" s="35"/>
      <c r="QOW11" s="36"/>
      <c r="QOX11" s="37"/>
      <c r="QOY11" s="36"/>
      <c r="QOZ11" s="37"/>
      <c r="QPA11" s="36"/>
      <c r="QPB11" s="37"/>
      <c r="QPC11" s="36"/>
      <c r="QPD11" s="37"/>
      <c r="QPE11" s="36"/>
      <c r="QPF11" s="37"/>
      <c r="QPG11" s="36"/>
      <c r="QPH11" s="37"/>
      <c r="QPI11" s="36"/>
      <c r="QPJ11" s="37"/>
      <c r="QPK11" s="36"/>
      <c r="QPL11" s="37"/>
      <c r="QPM11" s="36"/>
      <c r="QPN11" s="37"/>
      <c r="QPO11" s="36"/>
      <c r="QPP11" s="36"/>
      <c r="QPQ11" s="37"/>
      <c r="QPR11" s="37"/>
      <c r="QPT11" s="22"/>
      <c r="QPU11" s="35"/>
      <c r="QPV11" s="36"/>
      <c r="QPW11" s="37"/>
      <c r="QPX11" s="36"/>
      <c r="QPY11" s="37"/>
      <c r="QPZ11" s="36"/>
      <c r="QQA11" s="37"/>
      <c r="QQB11" s="36"/>
      <c r="QQC11" s="37"/>
      <c r="QQD11" s="36"/>
      <c r="QQE11" s="37"/>
      <c r="QQF11" s="36"/>
      <c r="QQG11" s="37"/>
      <c r="QQH11" s="36"/>
      <c r="QQI11" s="37"/>
      <c r="QQJ11" s="36"/>
      <c r="QQK11" s="37"/>
      <c r="QQL11" s="36"/>
      <c r="QQM11" s="37"/>
      <c r="QQN11" s="36"/>
      <c r="QQO11" s="36"/>
      <c r="QQP11" s="37"/>
      <c r="QQQ11" s="37"/>
      <c r="QQS11" s="22"/>
      <c r="QQT11" s="35"/>
      <c r="QQU11" s="36"/>
      <c r="QQV11" s="37"/>
      <c r="QQW11" s="36"/>
      <c r="QQX11" s="37"/>
      <c r="QQY11" s="36"/>
      <c r="QQZ11" s="37"/>
      <c r="QRA11" s="36"/>
      <c r="QRB11" s="37"/>
      <c r="QRC11" s="36"/>
      <c r="QRD11" s="37"/>
      <c r="QRE11" s="36"/>
      <c r="QRF11" s="37"/>
      <c r="QRG11" s="36"/>
      <c r="QRH11" s="37"/>
      <c r="QRI11" s="36"/>
      <c r="QRJ11" s="37"/>
      <c r="QRK11" s="36"/>
      <c r="QRL11" s="37"/>
      <c r="QRM11" s="36"/>
      <c r="QRN11" s="36"/>
      <c r="QRO11" s="37"/>
      <c r="QRP11" s="37"/>
      <c r="QRR11" s="22"/>
      <c r="QRS11" s="35"/>
      <c r="QRT11" s="36"/>
      <c r="QRU11" s="37"/>
      <c r="QRV11" s="36"/>
      <c r="QRW11" s="37"/>
      <c r="QRX11" s="36"/>
      <c r="QRY11" s="37"/>
      <c r="QRZ11" s="36"/>
      <c r="QSA11" s="37"/>
      <c r="QSB11" s="36"/>
      <c r="QSC11" s="37"/>
      <c r="QSD11" s="36"/>
      <c r="QSE11" s="37"/>
      <c r="QSF11" s="36"/>
      <c r="QSG11" s="37"/>
      <c r="QSH11" s="36"/>
      <c r="QSI11" s="37"/>
      <c r="QSJ11" s="36"/>
      <c r="QSK11" s="37"/>
      <c r="QSL11" s="36"/>
      <c r="QSM11" s="36"/>
      <c r="QSN11" s="37"/>
      <c r="QSO11" s="37"/>
      <c r="QSQ11" s="22"/>
      <c r="QSR11" s="35"/>
      <c r="QSS11" s="36"/>
      <c r="QST11" s="37"/>
      <c r="QSU11" s="36"/>
      <c r="QSV11" s="37"/>
      <c r="QSW11" s="36"/>
      <c r="QSX11" s="37"/>
      <c r="QSY11" s="36"/>
      <c r="QSZ11" s="37"/>
      <c r="QTA11" s="36"/>
      <c r="QTB11" s="37"/>
      <c r="QTC11" s="36"/>
      <c r="QTD11" s="37"/>
      <c r="QTE11" s="36"/>
      <c r="QTF11" s="37"/>
      <c r="QTG11" s="36"/>
      <c r="QTH11" s="37"/>
      <c r="QTI11" s="36"/>
      <c r="QTJ11" s="37"/>
      <c r="QTK11" s="36"/>
      <c r="QTL11" s="36"/>
      <c r="QTM11" s="37"/>
      <c r="QTN11" s="37"/>
      <c r="QTP11" s="22"/>
      <c r="QTQ11" s="35"/>
      <c r="QTR11" s="36"/>
      <c r="QTS11" s="37"/>
      <c r="QTT11" s="36"/>
      <c r="QTU11" s="37"/>
      <c r="QTV11" s="36"/>
      <c r="QTW11" s="37"/>
      <c r="QTX11" s="36"/>
      <c r="QTY11" s="37"/>
      <c r="QTZ11" s="36"/>
      <c r="QUA11" s="37"/>
      <c r="QUB11" s="36"/>
      <c r="QUC11" s="37"/>
      <c r="QUD11" s="36"/>
      <c r="QUE11" s="37"/>
      <c r="QUF11" s="36"/>
      <c r="QUG11" s="37"/>
      <c r="QUH11" s="36"/>
      <c r="QUI11" s="37"/>
      <c r="QUJ11" s="36"/>
      <c r="QUK11" s="36"/>
      <c r="QUL11" s="37"/>
      <c r="QUM11" s="37"/>
      <c r="QUO11" s="22"/>
      <c r="QUP11" s="35"/>
      <c r="QUQ11" s="36"/>
      <c r="QUR11" s="37"/>
      <c r="QUS11" s="36"/>
      <c r="QUT11" s="37"/>
      <c r="QUU11" s="36"/>
      <c r="QUV11" s="37"/>
      <c r="QUW11" s="36"/>
      <c r="QUX11" s="37"/>
      <c r="QUY11" s="36"/>
      <c r="QUZ11" s="37"/>
      <c r="QVA11" s="36"/>
      <c r="QVB11" s="37"/>
      <c r="QVC11" s="36"/>
      <c r="QVD11" s="37"/>
      <c r="QVE11" s="36"/>
      <c r="QVF11" s="37"/>
      <c r="QVG11" s="36"/>
      <c r="QVH11" s="37"/>
      <c r="QVI11" s="36"/>
      <c r="QVJ11" s="36"/>
      <c r="QVK11" s="37"/>
      <c r="QVL11" s="37"/>
      <c r="QVN11" s="22"/>
      <c r="QVO11" s="35"/>
      <c r="QVP11" s="36"/>
      <c r="QVQ11" s="37"/>
      <c r="QVR11" s="36"/>
      <c r="QVS11" s="37"/>
      <c r="QVT11" s="36"/>
      <c r="QVU11" s="37"/>
      <c r="QVV11" s="36"/>
      <c r="QVW11" s="37"/>
      <c r="QVX11" s="36"/>
      <c r="QVY11" s="37"/>
      <c r="QVZ11" s="36"/>
      <c r="QWA11" s="37"/>
      <c r="QWB11" s="36"/>
      <c r="QWC11" s="37"/>
      <c r="QWD11" s="36"/>
      <c r="QWE11" s="37"/>
      <c r="QWF11" s="36"/>
      <c r="QWG11" s="37"/>
      <c r="QWH11" s="36"/>
      <c r="QWI11" s="36"/>
      <c r="QWJ11" s="37"/>
      <c r="QWK11" s="37"/>
      <c r="QWM11" s="22"/>
      <c r="QWN11" s="35"/>
      <c r="QWO11" s="36"/>
      <c r="QWP11" s="37"/>
      <c r="QWQ11" s="36"/>
      <c r="QWR11" s="37"/>
      <c r="QWS11" s="36"/>
      <c r="QWT11" s="37"/>
      <c r="QWU11" s="36"/>
      <c r="QWV11" s="37"/>
      <c r="QWW11" s="36"/>
      <c r="QWX11" s="37"/>
      <c r="QWY11" s="36"/>
      <c r="QWZ11" s="37"/>
      <c r="QXA11" s="36"/>
      <c r="QXB11" s="37"/>
      <c r="QXC11" s="36"/>
      <c r="QXD11" s="37"/>
      <c r="QXE11" s="36"/>
      <c r="QXF11" s="37"/>
      <c r="QXG11" s="36"/>
      <c r="QXH11" s="36"/>
      <c r="QXI11" s="37"/>
      <c r="QXJ11" s="37"/>
      <c r="QXL11" s="22"/>
      <c r="QXM11" s="35"/>
      <c r="QXN11" s="36"/>
      <c r="QXO11" s="37"/>
      <c r="QXP11" s="36"/>
      <c r="QXQ11" s="37"/>
      <c r="QXR11" s="36"/>
      <c r="QXS11" s="37"/>
      <c r="QXT11" s="36"/>
      <c r="QXU11" s="37"/>
      <c r="QXV11" s="36"/>
      <c r="QXW11" s="37"/>
      <c r="QXX11" s="36"/>
      <c r="QXY11" s="37"/>
      <c r="QXZ11" s="36"/>
      <c r="QYA11" s="37"/>
      <c r="QYB11" s="36"/>
      <c r="QYC11" s="37"/>
      <c r="QYD11" s="36"/>
      <c r="QYE11" s="37"/>
      <c r="QYF11" s="36"/>
      <c r="QYG11" s="36"/>
      <c r="QYH11" s="37"/>
      <c r="QYI11" s="37"/>
      <c r="QYK11" s="22"/>
      <c r="QYL11" s="35"/>
      <c r="QYM11" s="36"/>
      <c r="QYN11" s="37"/>
      <c r="QYO11" s="36"/>
      <c r="QYP11" s="37"/>
      <c r="QYQ11" s="36"/>
      <c r="QYR11" s="37"/>
      <c r="QYS11" s="36"/>
      <c r="QYT11" s="37"/>
      <c r="QYU11" s="36"/>
      <c r="QYV11" s="37"/>
      <c r="QYW11" s="36"/>
      <c r="QYX11" s="37"/>
      <c r="QYY11" s="36"/>
      <c r="QYZ11" s="37"/>
      <c r="QZA11" s="36"/>
      <c r="QZB11" s="37"/>
      <c r="QZC11" s="36"/>
      <c r="QZD11" s="37"/>
      <c r="QZE11" s="36"/>
      <c r="QZF11" s="36"/>
      <c r="QZG11" s="37"/>
      <c r="QZH11" s="37"/>
      <c r="QZJ11" s="22"/>
      <c r="QZK11" s="35"/>
      <c r="QZL11" s="36"/>
      <c r="QZM11" s="37"/>
      <c r="QZN11" s="36"/>
      <c r="QZO11" s="37"/>
      <c r="QZP11" s="36"/>
      <c r="QZQ11" s="37"/>
      <c r="QZR11" s="36"/>
      <c r="QZS11" s="37"/>
      <c r="QZT11" s="36"/>
      <c r="QZU11" s="37"/>
      <c r="QZV11" s="36"/>
      <c r="QZW11" s="37"/>
      <c r="QZX11" s="36"/>
      <c r="QZY11" s="37"/>
      <c r="QZZ11" s="36"/>
      <c r="RAA11" s="37"/>
      <c r="RAB11" s="36"/>
      <c r="RAC11" s="37"/>
      <c r="RAD11" s="36"/>
      <c r="RAE11" s="36"/>
      <c r="RAF11" s="37"/>
      <c r="RAG11" s="37"/>
      <c r="RAI11" s="22"/>
      <c r="RAJ11" s="35"/>
      <c r="RAK11" s="36"/>
      <c r="RAL11" s="37"/>
      <c r="RAM11" s="36"/>
      <c r="RAN11" s="37"/>
      <c r="RAO11" s="36"/>
      <c r="RAP11" s="37"/>
      <c r="RAQ11" s="36"/>
      <c r="RAR11" s="37"/>
      <c r="RAS11" s="36"/>
      <c r="RAT11" s="37"/>
      <c r="RAU11" s="36"/>
      <c r="RAV11" s="37"/>
      <c r="RAW11" s="36"/>
      <c r="RAX11" s="37"/>
      <c r="RAY11" s="36"/>
      <c r="RAZ11" s="37"/>
      <c r="RBA11" s="36"/>
      <c r="RBB11" s="37"/>
      <c r="RBC11" s="36"/>
      <c r="RBD11" s="36"/>
      <c r="RBE11" s="37"/>
      <c r="RBF11" s="37"/>
      <c r="RBH11" s="22"/>
      <c r="RBI11" s="35"/>
      <c r="RBJ11" s="36"/>
      <c r="RBK11" s="37"/>
      <c r="RBL11" s="36"/>
      <c r="RBM11" s="37"/>
      <c r="RBN11" s="36"/>
      <c r="RBO11" s="37"/>
      <c r="RBP11" s="36"/>
      <c r="RBQ11" s="37"/>
      <c r="RBR11" s="36"/>
      <c r="RBS11" s="37"/>
      <c r="RBT11" s="36"/>
      <c r="RBU11" s="37"/>
      <c r="RBV11" s="36"/>
      <c r="RBW11" s="37"/>
      <c r="RBX11" s="36"/>
      <c r="RBY11" s="37"/>
      <c r="RBZ11" s="36"/>
      <c r="RCA11" s="37"/>
      <c r="RCB11" s="36"/>
      <c r="RCC11" s="36"/>
      <c r="RCD11" s="37"/>
      <c r="RCE11" s="37"/>
      <c r="RCG11" s="22"/>
      <c r="RCH11" s="35"/>
      <c r="RCI11" s="36"/>
      <c r="RCJ11" s="37"/>
      <c r="RCK11" s="36"/>
      <c r="RCL11" s="37"/>
      <c r="RCM11" s="36"/>
      <c r="RCN11" s="37"/>
      <c r="RCO11" s="36"/>
      <c r="RCP11" s="37"/>
      <c r="RCQ11" s="36"/>
      <c r="RCR11" s="37"/>
      <c r="RCS11" s="36"/>
      <c r="RCT11" s="37"/>
      <c r="RCU11" s="36"/>
      <c r="RCV11" s="37"/>
      <c r="RCW11" s="36"/>
      <c r="RCX11" s="37"/>
      <c r="RCY11" s="36"/>
      <c r="RCZ11" s="37"/>
      <c r="RDA11" s="36"/>
      <c r="RDB11" s="36"/>
      <c r="RDC11" s="37"/>
      <c r="RDD11" s="37"/>
      <c r="RDF11" s="22"/>
      <c r="RDG11" s="35"/>
      <c r="RDH11" s="36"/>
      <c r="RDI11" s="37"/>
      <c r="RDJ11" s="36"/>
      <c r="RDK11" s="37"/>
      <c r="RDL11" s="36"/>
      <c r="RDM11" s="37"/>
      <c r="RDN11" s="36"/>
      <c r="RDO11" s="37"/>
      <c r="RDP11" s="36"/>
      <c r="RDQ11" s="37"/>
      <c r="RDR11" s="36"/>
      <c r="RDS11" s="37"/>
      <c r="RDT11" s="36"/>
      <c r="RDU11" s="37"/>
      <c r="RDV11" s="36"/>
      <c r="RDW11" s="37"/>
      <c r="RDX11" s="36"/>
      <c r="RDY11" s="37"/>
      <c r="RDZ11" s="36"/>
      <c r="REA11" s="36"/>
      <c r="REB11" s="37"/>
      <c r="REC11" s="37"/>
      <c r="REE11" s="22"/>
      <c r="REF11" s="35"/>
      <c r="REG11" s="36"/>
      <c r="REH11" s="37"/>
      <c r="REI11" s="36"/>
      <c r="REJ11" s="37"/>
      <c r="REK11" s="36"/>
      <c r="REL11" s="37"/>
      <c r="REM11" s="36"/>
      <c r="REN11" s="37"/>
      <c r="REO11" s="36"/>
      <c r="REP11" s="37"/>
      <c r="REQ11" s="36"/>
      <c r="RER11" s="37"/>
      <c r="RES11" s="36"/>
      <c r="RET11" s="37"/>
      <c r="REU11" s="36"/>
      <c r="REV11" s="37"/>
      <c r="REW11" s="36"/>
      <c r="REX11" s="37"/>
      <c r="REY11" s="36"/>
      <c r="REZ11" s="36"/>
      <c r="RFA11" s="37"/>
      <c r="RFB11" s="37"/>
      <c r="RFD11" s="22"/>
      <c r="RFE11" s="35"/>
      <c r="RFF11" s="36"/>
      <c r="RFG11" s="37"/>
      <c r="RFH11" s="36"/>
      <c r="RFI11" s="37"/>
      <c r="RFJ11" s="36"/>
      <c r="RFK11" s="37"/>
      <c r="RFL11" s="36"/>
      <c r="RFM11" s="37"/>
      <c r="RFN11" s="36"/>
      <c r="RFO11" s="37"/>
      <c r="RFP11" s="36"/>
      <c r="RFQ11" s="37"/>
      <c r="RFR11" s="36"/>
      <c r="RFS11" s="37"/>
      <c r="RFT11" s="36"/>
      <c r="RFU11" s="37"/>
      <c r="RFV11" s="36"/>
      <c r="RFW11" s="37"/>
      <c r="RFX11" s="36"/>
      <c r="RFY11" s="36"/>
      <c r="RFZ11" s="37"/>
      <c r="RGA11" s="37"/>
      <c r="RGC11" s="22"/>
      <c r="RGD11" s="35"/>
      <c r="RGE11" s="36"/>
      <c r="RGF11" s="37"/>
      <c r="RGG11" s="36"/>
      <c r="RGH11" s="37"/>
      <c r="RGI11" s="36"/>
      <c r="RGJ11" s="37"/>
      <c r="RGK11" s="36"/>
      <c r="RGL11" s="37"/>
      <c r="RGM11" s="36"/>
      <c r="RGN11" s="37"/>
      <c r="RGO11" s="36"/>
      <c r="RGP11" s="37"/>
      <c r="RGQ11" s="36"/>
      <c r="RGR11" s="37"/>
      <c r="RGS11" s="36"/>
      <c r="RGT11" s="37"/>
      <c r="RGU11" s="36"/>
      <c r="RGV11" s="37"/>
      <c r="RGW11" s="36"/>
      <c r="RGX11" s="36"/>
      <c r="RGY11" s="37"/>
      <c r="RGZ11" s="37"/>
      <c r="RHB11" s="22"/>
      <c r="RHC11" s="35"/>
      <c r="RHD11" s="36"/>
      <c r="RHE11" s="37"/>
      <c r="RHF11" s="36"/>
      <c r="RHG11" s="37"/>
      <c r="RHH11" s="36"/>
      <c r="RHI11" s="37"/>
      <c r="RHJ11" s="36"/>
      <c r="RHK11" s="37"/>
      <c r="RHL11" s="36"/>
      <c r="RHM11" s="37"/>
      <c r="RHN11" s="36"/>
      <c r="RHO11" s="37"/>
      <c r="RHP11" s="36"/>
      <c r="RHQ11" s="37"/>
      <c r="RHR11" s="36"/>
      <c r="RHS11" s="37"/>
      <c r="RHT11" s="36"/>
      <c r="RHU11" s="37"/>
      <c r="RHV11" s="36"/>
      <c r="RHW11" s="36"/>
      <c r="RHX11" s="37"/>
      <c r="RHY11" s="37"/>
      <c r="RIA11" s="22"/>
      <c r="RIB11" s="35"/>
      <c r="RIC11" s="36"/>
      <c r="RID11" s="37"/>
      <c r="RIE11" s="36"/>
      <c r="RIF11" s="37"/>
      <c r="RIG11" s="36"/>
      <c r="RIH11" s="37"/>
      <c r="RII11" s="36"/>
      <c r="RIJ11" s="37"/>
      <c r="RIK11" s="36"/>
      <c r="RIL11" s="37"/>
      <c r="RIM11" s="36"/>
      <c r="RIN11" s="37"/>
      <c r="RIO11" s="36"/>
      <c r="RIP11" s="37"/>
      <c r="RIQ11" s="36"/>
      <c r="RIR11" s="37"/>
      <c r="RIS11" s="36"/>
      <c r="RIT11" s="37"/>
      <c r="RIU11" s="36"/>
      <c r="RIV11" s="36"/>
      <c r="RIW11" s="37"/>
      <c r="RIX11" s="37"/>
      <c r="RIZ11" s="22"/>
      <c r="RJA11" s="35"/>
      <c r="RJB11" s="36"/>
      <c r="RJC11" s="37"/>
      <c r="RJD11" s="36"/>
      <c r="RJE11" s="37"/>
      <c r="RJF11" s="36"/>
      <c r="RJG11" s="37"/>
      <c r="RJH11" s="36"/>
      <c r="RJI11" s="37"/>
      <c r="RJJ11" s="36"/>
      <c r="RJK11" s="37"/>
      <c r="RJL11" s="36"/>
      <c r="RJM11" s="37"/>
      <c r="RJN11" s="36"/>
      <c r="RJO11" s="37"/>
      <c r="RJP11" s="36"/>
      <c r="RJQ11" s="37"/>
      <c r="RJR11" s="36"/>
      <c r="RJS11" s="37"/>
      <c r="RJT11" s="36"/>
      <c r="RJU11" s="36"/>
      <c r="RJV11" s="37"/>
      <c r="RJW11" s="37"/>
      <c r="RJY11" s="22"/>
      <c r="RJZ11" s="35"/>
      <c r="RKA11" s="36"/>
      <c r="RKB11" s="37"/>
      <c r="RKC11" s="36"/>
      <c r="RKD11" s="37"/>
      <c r="RKE11" s="36"/>
      <c r="RKF11" s="37"/>
      <c r="RKG11" s="36"/>
      <c r="RKH11" s="37"/>
      <c r="RKI11" s="36"/>
      <c r="RKJ11" s="37"/>
      <c r="RKK11" s="36"/>
      <c r="RKL11" s="37"/>
      <c r="RKM11" s="36"/>
      <c r="RKN11" s="37"/>
      <c r="RKO11" s="36"/>
      <c r="RKP11" s="37"/>
      <c r="RKQ11" s="36"/>
      <c r="RKR11" s="37"/>
      <c r="RKS11" s="36"/>
      <c r="RKT11" s="36"/>
      <c r="RKU11" s="37"/>
      <c r="RKV11" s="37"/>
      <c r="RKX11" s="22"/>
      <c r="RKY11" s="35"/>
      <c r="RKZ11" s="36"/>
      <c r="RLA11" s="37"/>
      <c r="RLB11" s="36"/>
      <c r="RLC11" s="37"/>
      <c r="RLD11" s="36"/>
      <c r="RLE11" s="37"/>
      <c r="RLF11" s="36"/>
      <c r="RLG11" s="37"/>
      <c r="RLH11" s="36"/>
      <c r="RLI11" s="37"/>
      <c r="RLJ11" s="36"/>
      <c r="RLK11" s="37"/>
      <c r="RLL11" s="36"/>
      <c r="RLM11" s="37"/>
      <c r="RLN11" s="36"/>
      <c r="RLO11" s="37"/>
      <c r="RLP11" s="36"/>
      <c r="RLQ11" s="37"/>
      <c r="RLR11" s="36"/>
      <c r="RLS11" s="36"/>
      <c r="RLT11" s="37"/>
      <c r="RLU11" s="37"/>
      <c r="RLW11" s="22"/>
      <c r="RLX11" s="35"/>
      <c r="RLY11" s="36"/>
      <c r="RLZ11" s="37"/>
      <c r="RMA11" s="36"/>
      <c r="RMB11" s="37"/>
      <c r="RMC11" s="36"/>
      <c r="RMD11" s="37"/>
      <c r="RME11" s="36"/>
      <c r="RMF11" s="37"/>
      <c r="RMG11" s="36"/>
      <c r="RMH11" s="37"/>
      <c r="RMI11" s="36"/>
      <c r="RMJ11" s="37"/>
      <c r="RMK11" s="36"/>
      <c r="RML11" s="37"/>
      <c r="RMM11" s="36"/>
      <c r="RMN11" s="37"/>
      <c r="RMO11" s="36"/>
      <c r="RMP11" s="37"/>
      <c r="RMQ11" s="36"/>
      <c r="RMR11" s="36"/>
      <c r="RMS11" s="37"/>
      <c r="RMT11" s="37"/>
      <c r="RMV11" s="22"/>
      <c r="RMW11" s="35"/>
      <c r="RMX11" s="36"/>
      <c r="RMY11" s="37"/>
      <c r="RMZ11" s="36"/>
      <c r="RNA11" s="37"/>
      <c r="RNB11" s="36"/>
      <c r="RNC11" s="37"/>
      <c r="RND11" s="36"/>
      <c r="RNE11" s="37"/>
      <c r="RNF11" s="36"/>
      <c r="RNG11" s="37"/>
      <c r="RNH11" s="36"/>
      <c r="RNI11" s="37"/>
      <c r="RNJ11" s="36"/>
      <c r="RNK11" s="37"/>
      <c r="RNL11" s="36"/>
      <c r="RNM11" s="37"/>
      <c r="RNN11" s="36"/>
      <c r="RNO11" s="37"/>
      <c r="RNP11" s="36"/>
      <c r="RNQ11" s="36"/>
      <c r="RNR11" s="37"/>
      <c r="RNS11" s="37"/>
      <c r="RNU11" s="22"/>
      <c r="RNV11" s="35"/>
      <c r="RNW11" s="36"/>
      <c r="RNX11" s="37"/>
      <c r="RNY11" s="36"/>
      <c r="RNZ11" s="37"/>
      <c r="ROA11" s="36"/>
      <c r="ROB11" s="37"/>
      <c r="ROC11" s="36"/>
      <c r="ROD11" s="37"/>
      <c r="ROE11" s="36"/>
      <c r="ROF11" s="37"/>
      <c r="ROG11" s="36"/>
      <c r="ROH11" s="37"/>
      <c r="ROI11" s="36"/>
      <c r="ROJ11" s="37"/>
      <c r="ROK11" s="36"/>
      <c r="ROL11" s="37"/>
      <c r="ROM11" s="36"/>
      <c r="RON11" s="37"/>
      <c r="ROO11" s="36"/>
      <c r="ROP11" s="36"/>
      <c r="ROQ11" s="37"/>
      <c r="ROR11" s="37"/>
      <c r="ROT11" s="22"/>
      <c r="ROU11" s="35"/>
      <c r="ROV11" s="36"/>
      <c r="ROW11" s="37"/>
      <c r="ROX11" s="36"/>
      <c r="ROY11" s="37"/>
      <c r="ROZ11" s="36"/>
      <c r="RPA11" s="37"/>
      <c r="RPB11" s="36"/>
      <c r="RPC11" s="37"/>
      <c r="RPD11" s="36"/>
      <c r="RPE11" s="37"/>
      <c r="RPF11" s="36"/>
      <c r="RPG11" s="37"/>
      <c r="RPH11" s="36"/>
      <c r="RPI11" s="37"/>
      <c r="RPJ11" s="36"/>
      <c r="RPK11" s="37"/>
      <c r="RPL11" s="36"/>
      <c r="RPM11" s="37"/>
      <c r="RPN11" s="36"/>
      <c r="RPO11" s="36"/>
      <c r="RPP11" s="37"/>
      <c r="RPQ11" s="37"/>
      <c r="RPS11" s="22"/>
      <c r="RPT11" s="35"/>
      <c r="RPU11" s="36"/>
      <c r="RPV11" s="37"/>
      <c r="RPW11" s="36"/>
      <c r="RPX11" s="37"/>
      <c r="RPY11" s="36"/>
      <c r="RPZ11" s="37"/>
      <c r="RQA11" s="36"/>
      <c r="RQB11" s="37"/>
      <c r="RQC11" s="36"/>
      <c r="RQD11" s="37"/>
      <c r="RQE11" s="36"/>
      <c r="RQF11" s="37"/>
      <c r="RQG11" s="36"/>
      <c r="RQH11" s="37"/>
      <c r="RQI11" s="36"/>
      <c r="RQJ11" s="37"/>
      <c r="RQK11" s="36"/>
      <c r="RQL11" s="37"/>
      <c r="RQM11" s="36"/>
      <c r="RQN11" s="36"/>
      <c r="RQO11" s="37"/>
      <c r="RQP11" s="37"/>
      <c r="RQR11" s="22"/>
      <c r="RQS11" s="35"/>
      <c r="RQT11" s="36"/>
      <c r="RQU11" s="37"/>
      <c r="RQV11" s="36"/>
      <c r="RQW11" s="37"/>
      <c r="RQX11" s="36"/>
      <c r="RQY11" s="37"/>
      <c r="RQZ11" s="36"/>
      <c r="RRA11" s="37"/>
      <c r="RRB11" s="36"/>
      <c r="RRC11" s="37"/>
      <c r="RRD11" s="36"/>
      <c r="RRE11" s="37"/>
      <c r="RRF11" s="36"/>
      <c r="RRG11" s="37"/>
      <c r="RRH11" s="36"/>
      <c r="RRI11" s="37"/>
      <c r="RRJ11" s="36"/>
      <c r="RRK11" s="37"/>
      <c r="RRL11" s="36"/>
      <c r="RRM11" s="36"/>
      <c r="RRN11" s="37"/>
      <c r="RRO11" s="37"/>
      <c r="RRQ11" s="22"/>
      <c r="RRR11" s="35"/>
      <c r="RRS11" s="36"/>
      <c r="RRT11" s="37"/>
      <c r="RRU11" s="36"/>
      <c r="RRV11" s="37"/>
      <c r="RRW11" s="36"/>
      <c r="RRX11" s="37"/>
      <c r="RRY11" s="36"/>
      <c r="RRZ11" s="37"/>
      <c r="RSA11" s="36"/>
      <c r="RSB11" s="37"/>
      <c r="RSC11" s="36"/>
      <c r="RSD11" s="37"/>
      <c r="RSE11" s="36"/>
      <c r="RSF11" s="37"/>
      <c r="RSG11" s="36"/>
      <c r="RSH11" s="37"/>
      <c r="RSI11" s="36"/>
      <c r="RSJ11" s="37"/>
      <c r="RSK11" s="36"/>
      <c r="RSL11" s="36"/>
      <c r="RSM11" s="37"/>
      <c r="RSN11" s="37"/>
      <c r="RSP11" s="22"/>
      <c r="RSQ11" s="35"/>
      <c r="RSR11" s="36"/>
      <c r="RSS11" s="37"/>
      <c r="RST11" s="36"/>
      <c r="RSU11" s="37"/>
      <c r="RSV11" s="36"/>
      <c r="RSW11" s="37"/>
      <c r="RSX11" s="36"/>
      <c r="RSY11" s="37"/>
      <c r="RSZ11" s="36"/>
      <c r="RTA11" s="37"/>
      <c r="RTB11" s="36"/>
      <c r="RTC11" s="37"/>
      <c r="RTD11" s="36"/>
      <c r="RTE11" s="37"/>
      <c r="RTF11" s="36"/>
      <c r="RTG11" s="37"/>
      <c r="RTH11" s="36"/>
      <c r="RTI11" s="37"/>
      <c r="RTJ11" s="36"/>
      <c r="RTK11" s="36"/>
      <c r="RTL11" s="37"/>
      <c r="RTM11" s="37"/>
      <c r="RTO11" s="22"/>
      <c r="RTP11" s="35"/>
      <c r="RTQ11" s="36"/>
      <c r="RTR11" s="37"/>
      <c r="RTS11" s="36"/>
      <c r="RTT11" s="37"/>
      <c r="RTU11" s="36"/>
      <c r="RTV11" s="37"/>
      <c r="RTW11" s="36"/>
      <c r="RTX11" s="37"/>
      <c r="RTY11" s="36"/>
      <c r="RTZ11" s="37"/>
      <c r="RUA11" s="36"/>
      <c r="RUB11" s="37"/>
      <c r="RUC11" s="36"/>
      <c r="RUD11" s="37"/>
      <c r="RUE11" s="36"/>
      <c r="RUF11" s="37"/>
      <c r="RUG11" s="36"/>
      <c r="RUH11" s="37"/>
      <c r="RUI11" s="36"/>
      <c r="RUJ11" s="36"/>
      <c r="RUK11" s="37"/>
      <c r="RUL11" s="37"/>
      <c r="RUN11" s="22"/>
      <c r="RUO11" s="35"/>
      <c r="RUP11" s="36"/>
      <c r="RUQ11" s="37"/>
      <c r="RUR11" s="36"/>
      <c r="RUS11" s="37"/>
      <c r="RUT11" s="36"/>
      <c r="RUU11" s="37"/>
      <c r="RUV11" s="36"/>
      <c r="RUW11" s="37"/>
      <c r="RUX11" s="36"/>
      <c r="RUY11" s="37"/>
      <c r="RUZ11" s="36"/>
      <c r="RVA11" s="37"/>
      <c r="RVB11" s="36"/>
      <c r="RVC11" s="37"/>
      <c r="RVD11" s="36"/>
      <c r="RVE11" s="37"/>
      <c r="RVF11" s="36"/>
      <c r="RVG11" s="37"/>
      <c r="RVH11" s="36"/>
      <c r="RVI11" s="36"/>
      <c r="RVJ11" s="37"/>
      <c r="RVK11" s="37"/>
      <c r="RVM11" s="22"/>
      <c r="RVN11" s="35"/>
      <c r="RVO11" s="36"/>
      <c r="RVP11" s="37"/>
      <c r="RVQ11" s="36"/>
      <c r="RVR11" s="37"/>
      <c r="RVS11" s="36"/>
      <c r="RVT11" s="37"/>
      <c r="RVU11" s="36"/>
      <c r="RVV11" s="37"/>
      <c r="RVW11" s="36"/>
      <c r="RVX11" s="37"/>
      <c r="RVY11" s="36"/>
      <c r="RVZ11" s="37"/>
      <c r="RWA11" s="36"/>
      <c r="RWB11" s="37"/>
      <c r="RWC11" s="36"/>
      <c r="RWD11" s="37"/>
      <c r="RWE11" s="36"/>
      <c r="RWF11" s="37"/>
      <c r="RWG11" s="36"/>
      <c r="RWH11" s="36"/>
      <c r="RWI11" s="37"/>
      <c r="RWJ11" s="37"/>
      <c r="RWL11" s="22"/>
      <c r="RWM11" s="35"/>
      <c r="RWN11" s="36"/>
      <c r="RWO11" s="37"/>
      <c r="RWP11" s="36"/>
      <c r="RWQ11" s="37"/>
      <c r="RWR11" s="36"/>
      <c r="RWS11" s="37"/>
      <c r="RWT11" s="36"/>
      <c r="RWU11" s="37"/>
      <c r="RWV11" s="36"/>
      <c r="RWW11" s="37"/>
      <c r="RWX11" s="36"/>
      <c r="RWY11" s="37"/>
      <c r="RWZ11" s="36"/>
      <c r="RXA11" s="37"/>
      <c r="RXB11" s="36"/>
      <c r="RXC11" s="37"/>
      <c r="RXD11" s="36"/>
      <c r="RXE11" s="37"/>
      <c r="RXF11" s="36"/>
      <c r="RXG11" s="36"/>
      <c r="RXH11" s="37"/>
      <c r="RXI11" s="37"/>
      <c r="RXK11" s="22"/>
      <c r="RXL11" s="35"/>
      <c r="RXM11" s="36"/>
      <c r="RXN11" s="37"/>
      <c r="RXO11" s="36"/>
      <c r="RXP11" s="37"/>
      <c r="RXQ11" s="36"/>
      <c r="RXR11" s="37"/>
      <c r="RXS11" s="36"/>
      <c r="RXT11" s="37"/>
      <c r="RXU11" s="36"/>
      <c r="RXV11" s="37"/>
      <c r="RXW11" s="36"/>
      <c r="RXX11" s="37"/>
      <c r="RXY11" s="36"/>
      <c r="RXZ11" s="37"/>
      <c r="RYA11" s="36"/>
      <c r="RYB11" s="37"/>
      <c r="RYC11" s="36"/>
      <c r="RYD11" s="37"/>
      <c r="RYE11" s="36"/>
      <c r="RYF11" s="36"/>
      <c r="RYG11" s="37"/>
      <c r="RYH11" s="37"/>
      <c r="RYJ11" s="22"/>
      <c r="RYK11" s="35"/>
      <c r="RYL11" s="36"/>
      <c r="RYM11" s="37"/>
      <c r="RYN11" s="36"/>
      <c r="RYO11" s="37"/>
      <c r="RYP11" s="36"/>
      <c r="RYQ11" s="37"/>
      <c r="RYR11" s="36"/>
      <c r="RYS11" s="37"/>
      <c r="RYT11" s="36"/>
      <c r="RYU11" s="37"/>
      <c r="RYV11" s="36"/>
      <c r="RYW11" s="37"/>
      <c r="RYX11" s="36"/>
      <c r="RYY11" s="37"/>
      <c r="RYZ11" s="36"/>
      <c r="RZA11" s="37"/>
      <c r="RZB11" s="36"/>
      <c r="RZC11" s="37"/>
      <c r="RZD11" s="36"/>
      <c r="RZE11" s="36"/>
      <c r="RZF11" s="37"/>
      <c r="RZG11" s="37"/>
      <c r="RZI11" s="22"/>
      <c r="RZJ11" s="35"/>
      <c r="RZK11" s="36"/>
      <c r="RZL11" s="37"/>
      <c r="RZM11" s="36"/>
      <c r="RZN11" s="37"/>
      <c r="RZO11" s="36"/>
      <c r="RZP11" s="37"/>
      <c r="RZQ11" s="36"/>
      <c r="RZR11" s="37"/>
      <c r="RZS11" s="36"/>
      <c r="RZT11" s="37"/>
      <c r="RZU11" s="36"/>
      <c r="RZV11" s="37"/>
      <c r="RZW11" s="36"/>
      <c r="RZX11" s="37"/>
      <c r="RZY11" s="36"/>
      <c r="RZZ11" s="37"/>
      <c r="SAA11" s="36"/>
      <c r="SAB11" s="37"/>
      <c r="SAC11" s="36"/>
      <c r="SAD11" s="36"/>
      <c r="SAE11" s="37"/>
      <c r="SAF11" s="37"/>
      <c r="SAH11" s="22"/>
      <c r="SAI11" s="35"/>
      <c r="SAJ11" s="36"/>
      <c r="SAK11" s="37"/>
      <c r="SAL11" s="36"/>
      <c r="SAM11" s="37"/>
      <c r="SAN11" s="36"/>
      <c r="SAO11" s="37"/>
      <c r="SAP11" s="36"/>
      <c r="SAQ11" s="37"/>
      <c r="SAR11" s="36"/>
      <c r="SAS11" s="37"/>
      <c r="SAT11" s="36"/>
      <c r="SAU11" s="37"/>
      <c r="SAV11" s="36"/>
      <c r="SAW11" s="37"/>
      <c r="SAX11" s="36"/>
      <c r="SAY11" s="37"/>
      <c r="SAZ11" s="36"/>
      <c r="SBA11" s="37"/>
      <c r="SBB11" s="36"/>
      <c r="SBC11" s="36"/>
      <c r="SBD11" s="37"/>
      <c r="SBE11" s="37"/>
      <c r="SBG11" s="22"/>
      <c r="SBH11" s="35"/>
      <c r="SBI11" s="36"/>
      <c r="SBJ11" s="37"/>
      <c r="SBK11" s="36"/>
      <c r="SBL11" s="37"/>
      <c r="SBM11" s="36"/>
      <c r="SBN11" s="37"/>
      <c r="SBO11" s="36"/>
      <c r="SBP11" s="37"/>
      <c r="SBQ11" s="36"/>
      <c r="SBR11" s="37"/>
      <c r="SBS11" s="36"/>
      <c r="SBT11" s="37"/>
      <c r="SBU11" s="36"/>
      <c r="SBV11" s="37"/>
      <c r="SBW11" s="36"/>
      <c r="SBX11" s="37"/>
      <c r="SBY11" s="36"/>
      <c r="SBZ11" s="37"/>
      <c r="SCA11" s="36"/>
      <c r="SCB11" s="36"/>
      <c r="SCC11" s="37"/>
      <c r="SCD11" s="37"/>
      <c r="SCF11" s="22"/>
      <c r="SCG11" s="35"/>
      <c r="SCH11" s="36"/>
      <c r="SCI11" s="37"/>
      <c r="SCJ11" s="36"/>
      <c r="SCK11" s="37"/>
      <c r="SCL11" s="36"/>
      <c r="SCM11" s="37"/>
      <c r="SCN11" s="36"/>
      <c r="SCO11" s="37"/>
      <c r="SCP11" s="36"/>
      <c r="SCQ11" s="37"/>
      <c r="SCR11" s="36"/>
      <c r="SCS11" s="37"/>
      <c r="SCT11" s="36"/>
      <c r="SCU11" s="37"/>
      <c r="SCV11" s="36"/>
      <c r="SCW11" s="37"/>
      <c r="SCX11" s="36"/>
      <c r="SCY11" s="37"/>
      <c r="SCZ11" s="36"/>
      <c r="SDA11" s="36"/>
      <c r="SDB11" s="37"/>
      <c r="SDC11" s="37"/>
      <c r="SDE11" s="22"/>
      <c r="SDF11" s="35"/>
      <c r="SDG11" s="36"/>
      <c r="SDH11" s="37"/>
      <c r="SDI11" s="36"/>
      <c r="SDJ11" s="37"/>
      <c r="SDK11" s="36"/>
      <c r="SDL11" s="37"/>
      <c r="SDM11" s="36"/>
      <c r="SDN11" s="37"/>
      <c r="SDO11" s="36"/>
      <c r="SDP11" s="37"/>
      <c r="SDQ11" s="36"/>
      <c r="SDR11" s="37"/>
      <c r="SDS11" s="36"/>
      <c r="SDT11" s="37"/>
      <c r="SDU11" s="36"/>
      <c r="SDV11" s="37"/>
      <c r="SDW11" s="36"/>
      <c r="SDX11" s="37"/>
      <c r="SDY11" s="36"/>
      <c r="SDZ11" s="36"/>
      <c r="SEA11" s="37"/>
      <c r="SEB11" s="37"/>
      <c r="SED11" s="22"/>
      <c r="SEE11" s="35"/>
      <c r="SEF11" s="36"/>
      <c r="SEG11" s="37"/>
      <c r="SEH11" s="36"/>
      <c r="SEI11" s="37"/>
      <c r="SEJ11" s="36"/>
      <c r="SEK11" s="37"/>
      <c r="SEL11" s="36"/>
      <c r="SEM11" s="37"/>
      <c r="SEN11" s="36"/>
      <c r="SEO11" s="37"/>
      <c r="SEP11" s="36"/>
      <c r="SEQ11" s="37"/>
      <c r="SER11" s="36"/>
      <c r="SES11" s="37"/>
      <c r="SET11" s="36"/>
      <c r="SEU11" s="37"/>
      <c r="SEV11" s="36"/>
      <c r="SEW11" s="37"/>
      <c r="SEX11" s="36"/>
      <c r="SEY11" s="36"/>
      <c r="SEZ11" s="37"/>
      <c r="SFA11" s="37"/>
      <c r="SFC11" s="22"/>
      <c r="SFD11" s="35"/>
      <c r="SFE11" s="36"/>
      <c r="SFF11" s="37"/>
      <c r="SFG11" s="36"/>
      <c r="SFH11" s="37"/>
      <c r="SFI11" s="36"/>
      <c r="SFJ11" s="37"/>
      <c r="SFK11" s="36"/>
      <c r="SFL11" s="37"/>
      <c r="SFM11" s="36"/>
      <c r="SFN11" s="37"/>
      <c r="SFO11" s="36"/>
      <c r="SFP11" s="37"/>
      <c r="SFQ11" s="36"/>
      <c r="SFR11" s="37"/>
      <c r="SFS11" s="36"/>
      <c r="SFT11" s="37"/>
      <c r="SFU11" s="36"/>
      <c r="SFV11" s="37"/>
      <c r="SFW11" s="36"/>
      <c r="SFX11" s="36"/>
      <c r="SFY11" s="37"/>
      <c r="SFZ11" s="37"/>
      <c r="SGB11" s="22"/>
      <c r="SGC11" s="35"/>
      <c r="SGD11" s="36"/>
      <c r="SGE11" s="37"/>
      <c r="SGF11" s="36"/>
      <c r="SGG11" s="37"/>
      <c r="SGH11" s="36"/>
      <c r="SGI11" s="37"/>
      <c r="SGJ11" s="36"/>
      <c r="SGK11" s="37"/>
      <c r="SGL11" s="36"/>
      <c r="SGM11" s="37"/>
      <c r="SGN11" s="36"/>
      <c r="SGO11" s="37"/>
      <c r="SGP11" s="36"/>
      <c r="SGQ11" s="37"/>
      <c r="SGR11" s="36"/>
      <c r="SGS11" s="37"/>
      <c r="SGT11" s="36"/>
      <c r="SGU11" s="37"/>
      <c r="SGV11" s="36"/>
      <c r="SGW11" s="36"/>
      <c r="SGX11" s="37"/>
      <c r="SGY11" s="37"/>
      <c r="SHA11" s="22"/>
      <c r="SHB11" s="35"/>
      <c r="SHC11" s="36"/>
      <c r="SHD11" s="37"/>
      <c r="SHE11" s="36"/>
      <c r="SHF11" s="37"/>
      <c r="SHG11" s="36"/>
      <c r="SHH11" s="37"/>
      <c r="SHI11" s="36"/>
      <c r="SHJ11" s="37"/>
      <c r="SHK11" s="36"/>
      <c r="SHL11" s="37"/>
      <c r="SHM11" s="36"/>
      <c r="SHN11" s="37"/>
      <c r="SHO11" s="36"/>
      <c r="SHP11" s="37"/>
      <c r="SHQ11" s="36"/>
      <c r="SHR11" s="37"/>
      <c r="SHS11" s="36"/>
      <c r="SHT11" s="37"/>
      <c r="SHU11" s="36"/>
      <c r="SHV11" s="36"/>
      <c r="SHW11" s="37"/>
      <c r="SHX11" s="37"/>
      <c r="SHZ11" s="22"/>
      <c r="SIA11" s="35"/>
      <c r="SIB11" s="36"/>
      <c r="SIC11" s="37"/>
      <c r="SID11" s="36"/>
      <c r="SIE11" s="37"/>
      <c r="SIF11" s="36"/>
      <c r="SIG11" s="37"/>
      <c r="SIH11" s="36"/>
      <c r="SII11" s="37"/>
      <c r="SIJ11" s="36"/>
      <c r="SIK11" s="37"/>
      <c r="SIL11" s="36"/>
      <c r="SIM11" s="37"/>
      <c r="SIN11" s="36"/>
      <c r="SIO11" s="37"/>
      <c r="SIP11" s="36"/>
      <c r="SIQ11" s="37"/>
      <c r="SIR11" s="36"/>
      <c r="SIS11" s="37"/>
      <c r="SIT11" s="36"/>
      <c r="SIU11" s="36"/>
      <c r="SIV11" s="37"/>
      <c r="SIW11" s="37"/>
      <c r="SIY11" s="22"/>
      <c r="SIZ11" s="35"/>
      <c r="SJA11" s="36"/>
      <c r="SJB11" s="37"/>
      <c r="SJC11" s="36"/>
      <c r="SJD11" s="37"/>
      <c r="SJE11" s="36"/>
      <c r="SJF11" s="37"/>
      <c r="SJG11" s="36"/>
      <c r="SJH11" s="37"/>
      <c r="SJI11" s="36"/>
      <c r="SJJ11" s="37"/>
      <c r="SJK11" s="36"/>
      <c r="SJL11" s="37"/>
      <c r="SJM11" s="36"/>
      <c r="SJN11" s="37"/>
      <c r="SJO11" s="36"/>
      <c r="SJP11" s="37"/>
      <c r="SJQ11" s="36"/>
      <c r="SJR11" s="37"/>
      <c r="SJS11" s="36"/>
      <c r="SJT11" s="36"/>
      <c r="SJU11" s="37"/>
      <c r="SJV11" s="37"/>
      <c r="SJX11" s="22"/>
      <c r="SJY11" s="35"/>
      <c r="SJZ11" s="36"/>
      <c r="SKA11" s="37"/>
      <c r="SKB11" s="36"/>
      <c r="SKC11" s="37"/>
      <c r="SKD11" s="36"/>
      <c r="SKE11" s="37"/>
      <c r="SKF11" s="36"/>
      <c r="SKG11" s="37"/>
      <c r="SKH11" s="36"/>
      <c r="SKI11" s="37"/>
      <c r="SKJ11" s="36"/>
      <c r="SKK11" s="37"/>
      <c r="SKL11" s="36"/>
      <c r="SKM11" s="37"/>
      <c r="SKN11" s="36"/>
      <c r="SKO11" s="37"/>
      <c r="SKP11" s="36"/>
      <c r="SKQ11" s="37"/>
      <c r="SKR11" s="36"/>
      <c r="SKS11" s="36"/>
      <c r="SKT11" s="37"/>
      <c r="SKU11" s="37"/>
      <c r="SKW11" s="22"/>
      <c r="SKX11" s="35"/>
      <c r="SKY11" s="36"/>
      <c r="SKZ11" s="37"/>
      <c r="SLA11" s="36"/>
      <c r="SLB11" s="37"/>
      <c r="SLC11" s="36"/>
      <c r="SLD11" s="37"/>
      <c r="SLE11" s="36"/>
      <c r="SLF11" s="37"/>
      <c r="SLG11" s="36"/>
      <c r="SLH11" s="37"/>
      <c r="SLI11" s="36"/>
      <c r="SLJ11" s="37"/>
      <c r="SLK11" s="36"/>
      <c r="SLL11" s="37"/>
      <c r="SLM11" s="36"/>
      <c r="SLN11" s="37"/>
      <c r="SLO11" s="36"/>
      <c r="SLP11" s="37"/>
      <c r="SLQ11" s="36"/>
      <c r="SLR11" s="36"/>
      <c r="SLS11" s="37"/>
      <c r="SLT11" s="37"/>
      <c r="SLV11" s="22"/>
      <c r="SLW11" s="35"/>
      <c r="SLX11" s="36"/>
      <c r="SLY11" s="37"/>
      <c r="SLZ11" s="36"/>
      <c r="SMA11" s="37"/>
      <c r="SMB11" s="36"/>
      <c r="SMC11" s="37"/>
      <c r="SMD11" s="36"/>
      <c r="SME11" s="37"/>
      <c r="SMF11" s="36"/>
      <c r="SMG11" s="37"/>
      <c r="SMH11" s="36"/>
      <c r="SMI11" s="37"/>
      <c r="SMJ11" s="36"/>
      <c r="SMK11" s="37"/>
      <c r="SML11" s="36"/>
      <c r="SMM11" s="37"/>
      <c r="SMN11" s="36"/>
      <c r="SMO11" s="37"/>
      <c r="SMP11" s="36"/>
      <c r="SMQ11" s="36"/>
      <c r="SMR11" s="37"/>
      <c r="SMS11" s="37"/>
      <c r="SMU11" s="22"/>
      <c r="SMV11" s="35"/>
      <c r="SMW11" s="36"/>
      <c r="SMX11" s="37"/>
      <c r="SMY11" s="36"/>
      <c r="SMZ11" s="37"/>
      <c r="SNA11" s="36"/>
      <c r="SNB11" s="37"/>
      <c r="SNC11" s="36"/>
      <c r="SND11" s="37"/>
      <c r="SNE11" s="36"/>
      <c r="SNF11" s="37"/>
      <c r="SNG11" s="36"/>
      <c r="SNH11" s="37"/>
      <c r="SNI11" s="36"/>
      <c r="SNJ11" s="37"/>
      <c r="SNK11" s="36"/>
      <c r="SNL11" s="37"/>
      <c r="SNM11" s="36"/>
      <c r="SNN11" s="37"/>
      <c r="SNO11" s="36"/>
      <c r="SNP11" s="36"/>
      <c r="SNQ11" s="37"/>
      <c r="SNR11" s="37"/>
      <c r="SNT11" s="22"/>
      <c r="SNU11" s="35"/>
      <c r="SNV11" s="36"/>
      <c r="SNW11" s="37"/>
      <c r="SNX11" s="36"/>
      <c r="SNY11" s="37"/>
      <c r="SNZ11" s="36"/>
      <c r="SOA11" s="37"/>
      <c r="SOB11" s="36"/>
      <c r="SOC11" s="37"/>
      <c r="SOD11" s="36"/>
      <c r="SOE11" s="37"/>
      <c r="SOF11" s="36"/>
      <c r="SOG11" s="37"/>
      <c r="SOH11" s="36"/>
      <c r="SOI11" s="37"/>
      <c r="SOJ11" s="36"/>
      <c r="SOK11" s="37"/>
      <c r="SOL11" s="36"/>
      <c r="SOM11" s="37"/>
      <c r="SON11" s="36"/>
      <c r="SOO11" s="36"/>
      <c r="SOP11" s="37"/>
      <c r="SOQ11" s="37"/>
      <c r="SOS11" s="22"/>
      <c r="SOT11" s="35"/>
      <c r="SOU11" s="36"/>
      <c r="SOV11" s="37"/>
      <c r="SOW11" s="36"/>
      <c r="SOX11" s="37"/>
      <c r="SOY11" s="36"/>
      <c r="SOZ11" s="37"/>
      <c r="SPA11" s="36"/>
      <c r="SPB11" s="37"/>
      <c r="SPC11" s="36"/>
      <c r="SPD11" s="37"/>
      <c r="SPE11" s="36"/>
      <c r="SPF11" s="37"/>
      <c r="SPG11" s="36"/>
      <c r="SPH11" s="37"/>
      <c r="SPI11" s="36"/>
      <c r="SPJ11" s="37"/>
      <c r="SPK11" s="36"/>
      <c r="SPL11" s="37"/>
      <c r="SPM11" s="36"/>
      <c r="SPN11" s="36"/>
      <c r="SPO11" s="37"/>
      <c r="SPP11" s="37"/>
      <c r="SPR11" s="22"/>
      <c r="SPS11" s="35"/>
      <c r="SPT11" s="36"/>
      <c r="SPU11" s="37"/>
      <c r="SPV11" s="36"/>
      <c r="SPW11" s="37"/>
      <c r="SPX11" s="36"/>
      <c r="SPY11" s="37"/>
      <c r="SPZ11" s="36"/>
      <c r="SQA11" s="37"/>
      <c r="SQB11" s="36"/>
      <c r="SQC11" s="37"/>
      <c r="SQD11" s="36"/>
      <c r="SQE11" s="37"/>
      <c r="SQF11" s="36"/>
      <c r="SQG11" s="37"/>
      <c r="SQH11" s="36"/>
      <c r="SQI11" s="37"/>
      <c r="SQJ11" s="36"/>
      <c r="SQK11" s="37"/>
      <c r="SQL11" s="36"/>
      <c r="SQM11" s="36"/>
      <c r="SQN11" s="37"/>
      <c r="SQO11" s="37"/>
      <c r="SQQ11" s="22"/>
      <c r="SQR11" s="35"/>
      <c r="SQS11" s="36"/>
      <c r="SQT11" s="37"/>
      <c r="SQU11" s="36"/>
      <c r="SQV11" s="37"/>
      <c r="SQW11" s="36"/>
      <c r="SQX11" s="37"/>
      <c r="SQY11" s="36"/>
      <c r="SQZ11" s="37"/>
      <c r="SRA11" s="36"/>
      <c r="SRB11" s="37"/>
      <c r="SRC11" s="36"/>
      <c r="SRD11" s="37"/>
      <c r="SRE11" s="36"/>
      <c r="SRF11" s="37"/>
      <c r="SRG11" s="36"/>
      <c r="SRH11" s="37"/>
      <c r="SRI11" s="36"/>
      <c r="SRJ11" s="37"/>
      <c r="SRK11" s="36"/>
      <c r="SRL11" s="36"/>
      <c r="SRM11" s="37"/>
      <c r="SRN11" s="37"/>
      <c r="SRP11" s="22"/>
      <c r="SRQ11" s="35"/>
      <c r="SRR11" s="36"/>
      <c r="SRS11" s="37"/>
      <c r="SRT11" s="36"/>
      <c r="SRU11" s="37"/>
      <c r="SRV11" s="36"/>
      <c r="SRW11" s="37"/>
      <c r="SRX11" s="36"/>
      <c r="SRY11" s="37"/>
      <c r="SRZ11" s="36"/>
      <c r="SSA11" s="37"/>
      <c r="SSB11" s="36"/>
      <c r="SSC11" s="37"/>
      <c r="SSD11" s="36"/>
      <c r="SSE11" s="37"/>
      <c r="SSF11" s="36"/>
      <c r="SSG11" s="37"/>
      <c r="SSH11" s="36"/>
      <c r="SSI11" s="37"/>
      <c r="SSJ11" s="36"/>
      <c r="SSK11" s="36"/>
      <c r="SSL11" s="37"/>
      <c r="SSM11" s="37"/>
      <c r="SSO11" s="22"/>
      <c r="SSP11" s="35"/>
      <c r="SSQ11" s="36"/>
      <c r="SSR11" s="37"/>
      <c r="SSS11" s="36"/>
      <c r="SST11" s="37"/>
      <c r="SSU11" s="36"/>
      <c r="SSV11" s="37"/>
      <c r="SSW11" s="36"/>
      <c r="SSX11" s="37"/>
      <c r="SSY11" s="36"/>
      <c r="SSZ11" s="37"/>
      <c r="STA11" s="36"/>
      <c r="STB11" s="37"/>
      <c r="STC11" s="36"/>
      <c r="STD11" s="37"/>
      <c r="STE11" s="36"/>
      <c r="STF11" s="37"/>
      <c r="STG11" s="36"/>
      <c r="STH11" s="37"/>
      <c r="STI11" s="36"/>
      <c r="STJ11" s="36"/>
      <c r="STK11" s="37"/>
      <c r="STL11" s="37"/>
      <c r="STN11" s="22"/>
      <c r="STO11" s="35"/>
      <c r="STP11" s="36"/>
      <c r="STQ11" s="37"/>
      <c r="STR11" s="36"/>
      <c r="STS11" s="37"/>
      <c r="STT11" s="36"/>
      <c r="STU11" s="37"/>
      <c r="STV11" s="36"/>
      <c r="STW11" s="37"/>
      <c r="STX11" s="36"/>
      <c r="STY11" s="37"/>
      <c r="STZ11" s="36"/>
      <c r="SUA11" s="37"/>
      <c r="SUB11" s="36"/>
      <c r="SUC11" s="37"/>
      <c r="SUD11" s="36"/>
      <c r="SUE11" s="37"/>
      <c r="SUF11" s="36"/>
      <c r="SUG11" s="37"/>
      <c r="SUH11" s="36"/>
      <c r="SUI11" s="36"/>
      <c r="SUJ11" s="37"/>
      <c r="SUK11" s="37"/>
      <c r="SUM11" s="22"/>
      <c r="SUN11" s="35"/>
      <c r="SUO11" s="36"/>
      <c r="SUP11" s="37"/>
      <c r="SUQ11" s="36"/>
      <c r="SUR11" s="37"/>
      <c r="SUS11" s="36"/>
      <c r="SUT11" s="37"/>
      <c r="SUU11" s="36"/>
      <c r="SUV11" s="37"/>
      <c r="SUW11" s="36"/>
      <c r="SUX11" s="37"/>
      <c r="SUY11" s="36"/>
      <c r="SUZ11" s="37"/>
      <c r="SVA11" s="36"/>
      <c r="SVB11" s="37"/>
      <c r="SVC11" s="36"/>
      <c r="SVD11" s="37"/>
      <c r="SVE11" s="36"/>
      <c r="SVF11" s="37"/>
      <c r="SVG11" s="36"/>
      <c r="SVH11" s="36"/>
      <c r="SVI11" s="37"/>
      <c r="SVJ11" s="37"/>
      <c r="SVL11" s="22"/>
      <c r="SVM11" s="35"/>
      <c r="SVN11" s="36"/>
      <c r="SVO11" s="37"/>
      <c r="SVP11" s="36"/>
      <c r="SVQ11" s="37"/>
      <c r="SVR11" s="36"/>
      <c r="SVS11" s="37"/>
      <c r="SVT11" s="36"/>
      <c r="SVU11" s="37"/>
      <c r="SVV11" s="36"/>
      <c r="SVW11" s="37"/>
      <c r="SVX11" s="36"/>
      <c r="SVY11" s="37"/>
      <c r="SVZ11" s="36"/>
      <c r="SWA11" s="37"/>
      <c r="SWB11" s="36"/>
      <c r="SWC11" s="37"/>
      <c r="SWD11" s="36"/>
      <c r="SWE11" s="37"/>
      <c r="SWF11" s="36"/>
      <c r="SWG11" s="36"/>
      <c r="SWH11" s="37"/>
      <c r="SWI11" s="37"/>
      <c r="SWK11" s="22"/>
      <c r="SWL11" s="35"/>
      <c r="SWM11" s="36"/>
      <c r="SWN11" s="37"/>
      <c r="SWO11" s="36"/>
      <c r="SWP11" s="37"/>
      <c r="SWQ11" s="36"/>
      <c r="SWR11" s="37"/>
      <c r="SWS11" s="36"/>
      <c r="SWT11" s="37"/>
      <c r="SWU11" s="36"/>
      <c r="SWV11" s="37"/>
      <c r="SWW11" s="36"/>
      <c r="SWX11" s="37"/>
      <c r="SWY11" s="36"/>
      <c r="SWZ11" s="37"/>
      <c r="SXA11" s="36"/>
      <c r="SXB11" s="37"/>
      <c r="SXC11" s="36"/>
      <c r="SXD11" s="37"/>
      <c r="SXE11" s="36"/>
      <c r="SXF11" s="36"/>
      <c r="SXG11" s="37"/>
      <c r="SXH11" s="37"/>
      <c r="SXJ11" s="22"/>
      <c r="SXK11" s="35"/>
      <c r="SXL11" s="36"/>
      <c r="SXM11" s="37"/>
      <c r="SXN11" s="36"/>
      <c r="SXO11" s="37"/>
      <c r="SXP11" s="36"/>
      <c r="SXQ11" s="37"/>
      <c r="SXR11" s="36"/>
      <c r="SXS11" s="37"/>
      <c r="SXT11" s="36"/>
      <c r="SXU11" s="37"/>
      <c r="SXV11" s="36"/>
      <c r="SXW11" s="37"/>
      <c r="SXX11" s="36"/>
      <c r="SXY11" s="37"/>
      <c r="SXZ11" s="36"/>
      <c r="SYA11" s="37"/>
      <c r="SYB11" s="36"/>
      <c r="SYC11" s="37"/>
      <c r="SYD11" s="36"/>
      <c r="SYE11" s="36"/>
      <c r="SYF11" s="37"/>
      <c r="SYG11" s="37"/>
      <c r="SYI11" s="22"/>
      <c r="SYJ11" s="35"/>
      <c r="SYK11" s="36"/>
      <c r="SYL11" s="37"/>
      <c r="SYM11" s="36"/>
      <c r="SYN11" s="37"/>
      <c r="SYO11" s="36"/>
      <c r="SYP11" s="37"/>
      <c r="SYQ11" s="36"/>
      <c r="SYR11" s="37"/>
      <c r="SYS11" s="36"/>
      <c r="SYT11" s="37"/>
      <c r="SYU11" s="36"/>
      <c r="SYV11" s="37"/>
      <c r="SYW11" s="36"/>
      <c r="SYX11" s="37"/>
      <c r="SYY11" s="36"/>
      <c r="SYZ11" s="37"/>
      <c r="SZA11" s="36"/>
      <c r="SZB11" s="37"/>
      <c r="SZC11" s="36"/>
      <c r="SZD11" s="36"/>
      <c r="SZE11" s="37"/>
      <c r="SZF11" s="37"/>
      <c r="SZH11" s="22"/>
      <c r="SZI11" s="35"/>
      <c r="SZJ11" s="36"/>
      <c r="SZK11" s="37"/>
      <c r="SZL11" s="36"/>
      <c r="SZM11" s="37"/>
      <c r="SZN11" s="36"/>
      <c r="SZO11" s="37"/>
      <c r="SZP11" s="36"/>
      <c r="SZQ11" s="37"/>
      <c r="SZR11" s="36"/>
      <c r="SZS11" s="37"/>
      <c r="SZT11" s="36"/>
      <c r="SZU11" s="37"/>
      <c r="SZV11" s="36"/>
      <c r="SZW11" s="37"/>
      <c r="SZX11" s="36"/>
      <c r="SZY11" s="37"/>
      <c r="SZZ11" s="36"/>
      <c r="TAA11" s="37"/>
      <c r="TAB11" s="36"/>
      <c r="TAC11" s="36"/>
      <c r="TAD11" s="37"/>
      <c r="TAE11" s="37"/>
      <c r="TAG11" s="22"/>
      <c r="TAH11" s="35"/>
      <c r="TAI11" s="36"/>
      <c r="TAJ11" s="37"/>
      <c r="TAK11" s="36"/>
      <c r="TAL11" s="37"/>
      <c r="TAM11" s="36"/>
      <c r="TAN11" s="37"/>
      <c r="TAO11" s="36"/>
      <c r="TAP11" s="37"/>
      <c r="TAQ11" s="36"/>
      <c r="TAR11" s="37"/>
      <c r="TAS11" s="36"/>
      <c r="TAT11" s="37"/>
      <c r="TAU11" s="36"/>
      <c r="TAV11" s="37"/>
      <c r="TAW11" s="36"/>
      <c r="TAX11" s="37"/>
      <c r="TAY11" s="36"/>
      <c r="TAZ11" s="37"/>
      <c r="TBA11" s="36"/>
      <c r="TBB11" s="36"/>
      <c r="TBC11" s="37"/>
      <c r="TBD11" s="37"/>
      <c r="TBF11" s="22"/>
      <c r="TBG11" s="35"/>
      <c r="TBH11" s="36"/>
      <c r="TBI11" s="37"/>
      <c r="TBJ11" s="36"/>
      <c r="TBK11" s="37"/>
      <c r="TBL11" s="36"/>
      <c r="TBM11" s="37"/>
      <c r="TBN11" s="36"/>
      <c r="TBO11" s="37"/>
      <c r="TBP11" s="36"/>
      <c r="TBQ11" s="37"/>
      <c r="TBR11" s="36"/>
      <c r="TBS11" s="37"/>
      <c r="TBT11" s="36"/>
      <c r="TBU11" s="37"/>
      <c r="TBV11" s="36"/>
      <c r="TBW11" s="37"/>
      <c r="TBX11" s="36"/>
      <c r="TBY11" s="37"/>
      <c r="TBZ11" s="36"/>
      <c r="TCA11" s="36"/>
      <c r="TCB11" s="37"/>
      <c r="TCC11" s="37"/>
      <c r="TCE11" s="22"/>
      <c r="TCF11" s="35"/>
      <c r="TCG11" s="36"/>
      <c r="TCH11" s="37"/>
      <c r="TCI11" s="36"/>
      <c r="TCJ11" s="37"/>
      <c r="TCK11" s="36"/>
      <c r="TCL11" s="37"/>
      <c r="TCM11" s="36"/>
      <c r="TCN11" s="37"/>
      <c r="TCO11" s="36"/>
      <c r="TCP11" s="37"/>
      <c r="TCQ11" s="36"/>
      <c r="TCR11" s="37"/>
      <c r="TCS11" s="36"/>
      <c r="TCT11" s="37"/>
      <c r="TCU11" s="36"/>
      <c r="TCV11" s="37"/>
      <c r="TCW11" s="36"/>
      <c r="TCX11" s="37"/>
      <c r="TCY11" s="36"/>
      <c r="TCZ11" s="36"/>
      <c r="TDA11" s="37"/>
      <c r="TDB11" s="37"/>
      <c r="TDD11" s="22"/>
      <c r="TDE11" s="35"/>
      <c r="TDF11" s="36"/>
      <c r="TDG11" s="37"/>
      <c r="TDH11" s="36"/>
      <c r="TDI11" s="37"/>
      <c r="TDJ11" s="36"/>
      <c r="TDK11" s="37"/>
      <c r="TDL11" s="36"/>
      <c r="TDM11" s="37"/>
      <c r="TDN11" s="36"/>
      <c r="TDO11" s="37"/>
      <c r="TDP11" s="36"/>
      <c r="TDQ11" s="37"/>
      <c r="TDR11" s="36"/>
      <c r="TDS11" s="37"/>
      <c r="TDT11" s="36"/>
      <c r="TDU11" s="37"/>
      <c r="TDV11" s="36"/>
      <c r="TDW11" s="37"/>
      <c r="TDX11" s="36"/>
      <c r="TDY11" s="36"/>
      <c r="TDZ11" s="37"/>
      <c r="TEA11" s="37"/>
      <c r="TEC11" s="22"/>
      <c r="TED11" s="35"/>
      <c r="TEE11" s="36"/>
      <c r="TEF11" s="37"/>
      <c r="TEG11" s="36"/>
      <c r="TEH11" s="37"/>
      <c r="TEI11" s="36"/>
      <c r="TEJ11" s="37"/>
      <c r="TEK11" s="36"/>
      <c r="TEL11" s="37"/>
      <c r="TEM11" s="36"/>
      <c r="TEN11" s="37"/>
      <c r="TEO11" s="36"/>
      <c r="TEP11" s="37"/>
      <c r="TEQ11" s="36"/>
      <c r="TER11" s="37"/>
      <c r="TES11" s="36"/>
      <c r="TET11" s="37"/>
      <c r="TEU11" s="36"/>
      <c r="TEV11" s="37"/>
      <c r="TEW11" s="36"/>
      <c r="TEX11" s="36"/>
      <c r="TEY11" s="37"/>
      <c r="TEZ11" s="37"/>
      <c r="TFB11" s="22"/>
      <c r="TFC11" s="35"/>
      <c r="TFD11" s="36"/>
      <c r="TFE11" s="37"/>
      <c r="TFF11" s="36"/>
      <c r="TFG11" s="37"/>
      <c r="TFH11" s="36"/>
      <c r="TFI11" s="37"/>
      <c r="TFJ11" s="36"/>
      <c r="TFK11" s="37"/>
      <c r="TFL11" s="36"/>
      <c r="TFM11" s="37"/>
      <c r="TFN11" s="36"/>
      <c r="TFO11" s="37"/>
      <c r="TFP11" s="36"/>
      <c r="TFQ11" s="37"/>
      <c r="TFR11" s="36"/>
      <c r="TFS11" s="37"/>
      <c r="TFT11" s="36"/>
      <c r="TFU11" s="37"/>
      <c r="TFV11" s="36"/>
      <c r="TFW11" s="36"/>
      <c r="TFX11" s="37"/>
      <c r="TFY11" s="37"/>
      <c r="TGA11" s="22"/>
      <c r="TGB11" s="35"/>
      <c r="TGC11" s="36"/>
      <c r="TGD11" s="37"/>
      <c r="TGE11" s="36"/>
      <c r="TGF11" s="37"/>
      <c r="TGG11" s="36"/>
      <c r="TGH11" s="37"/>
      <c r="TGI11" s="36"/>
      <c r="TGJ11" s="37"/>
      <c r="TGK11" s="36"/>
      <c r="TGL11" s="37"/>
      <c r="TGM11" s="36"/>
      <c r="TGN11" s="37"/>
      <c r="TGO11" s="36"/>
      <c r="TGP11" s="37"/>
      <c r="TGQ11" s="36"/>
      <c r="TGR11" s="37"/>
      <c r="TGS11" s="36"/>
      <c r="TGT11" s="37"/>
      <c r="TGU11" s="36"/>
      <c r="TGV11" s="36"/>
      <c r="TGW11" s="37"/>
      <c r="TGX11" s="37"/>
      <c r="TGZ11" s="22"/>
      <c r="THA11" s="35"/>
      <c r="THB11" s="36"/>
      <c r="THC11" s="37"/>
      <c r="THD11" s="36"/>
      <c r="THE11" s="37"/>
      <c r="THF11" s="36"/>
      <c r="THG11" s="37"/>
      <c r="THH11" s="36"/>
      <c r="THI11" s="37"/>
      <c r="THJ11" s="36"/>
      <c r="THK11" s="37"/>
      <c r="THL11" s="36"/>
      <c r="THM11" s="37"/>
      <c r="THN11" s="36"/>
      <c r="THO11" s="37"/>
      <c r="THP11" s="36"/>
      <c r="THQ11" s="37"/>
      <c r="THR11" s="36"/>
      <c r="THS11" s="37"/>
      <c r="THT11" s="36"/>
      <c r="THU11" s="36"/>
      <c r="THV11" s="37"/>
      <c r="THW11" s="37"/>
      <c r="THY11" s="22"/>
      <c r="THZ11" s="35"/>
      <c r="TIA11" s="36"/>
      <c r="TIB11" s="37"/>
      <c r="TIC11" s="36"/>
      <c r="TID11" s="37"/>
      <c r="TIE11" s="36"/>
      <c r="TIF11" s="37"/>
      <c r="TIG11" s="36"/>
      <c r="TIH11" s="37"/>
      <c r="TII11" s="36"/>
      <c r="TIJ11" s="37"/>
      <c r="TIK11" s="36"/>
      <c r="TIL11" s="37"/>
      <c r="TIM11" s="36"/>
      <c r="TIN11" s="37"/>
      <c r="TIO11" s="36"/>
      <c r="TIP11" s="37"/>
      <c r="TIQ11" s="36"/>
      <c r="TIR11" s="37"/>
      <c r="TIS11" s="36"/>
      <c r="TIT11" s="36"/>
      <c r="TIU11" s="37"/>
      <c r="TIV11" s="37"/>
      <c r="TIX11" s="22"/>
      <c r="TIY11" s="35"/>
      <c r="TIZ11" s="36"/>
      <c r="TJA11" s="37"/>
      <c r="TJB11" s="36"/>
      <c r="TJC11" s="37"/>
      <c r="TJD11" s="36"/>
      <c r="TJE11" s="37"/>
      <c r="TJF11" s="36"/>
      <c r="TJG11" s="37"/>
      <c r="TJH11" s="36"/>
      <c r="TJI11" s="37"/>
      <c r="TJJ11" s="36"/>
      <c r="TJK11" s="37"/>
      <c r="TJL11" s="36"/>
      <c r="TJM11" s="37"/>
      <c r="TJN11" s="36"/>
      <c r="TJO11" s="37"/>
      <c r="TJP11" s="36"/>
      <c r="TJQ11" s="37"/>
      <c r="TJR11" s="36"/>
      <c r="TJS11" s="36"/>
      <c r="TJT11" s="37"/>
      <c r="TJU11" s="37"/>
      <c r="TJW11" s="22"/>
      <c r="TJX11" s="35"/>
      <c r="TJY11" s="36"/>
      <c r="TJZ11" s="37"/>
      <c r="TKA11" s="36"/>
      <c r="TKB11" s="37"/>
      <c r="TKC11" s="36"/>
      <c r="TKD11" s="37"/>
      <c r="TKE11" s="36"/>
      <c r="TKF11" s="37"/>
      <c r="TKG11" s="36"/>
      <c r="TKH11" s="37"/>
      <c r="TKI11" s="36"/>
      <c r="TKJ11" s="37"/>
      <c r="TKK11" s="36"/>
      <c r="TKL11" s="37"/>
      <c r="TKM11" s="36"/>
      <c r="TKN11" s="37"/>
      <c r="TKO11" s="36"/>
      <c r="TKP11" s="37"/>
      <c r="TKQ11" s="36"/>
      <c r="TKR11" s="36"/>
      <c r="TKS11" s="37"/>
      <c r="TKT11" s="37"/>
      <c r="TKV11" s="22"/>
      <c r="TKW11" s="35"/>
      <c r="TKX11" s="36"/>
      <c r="TKY11" s="37"/>
      <c r="TKZ11" s="36"/>
      <c r="TLA11" s="37"/>
      <c r="TLB11" s="36"/>
      <c r="TLC11" s="37"/>
      <c r="TLD11" s="36"/>
      <c r="TLE11" s="37"/>
      <c r="TLF11" s="36"/>
      <c r="TLG11" s="37"/>
      <c r="TLH11" s="36"/>
      <c r="TLI11" s="37"/>
      <c r="TLJ11" s="36"/>
      <c r="TLK11" s="37"/>
      <c r="TLL11" s="36"/>
      <c r="TLM11" s="37"/>
      <c r="TLN11" s="36"/>
      <c r="TLO11" s="37"/>
      <c r="TLP11" s="36"/>
      <c r="TLQ11" s="36"/>
      <c r="TLR11" s="37"/>
      <c r="TLS11" s="37"/>
      <c r="TLU11" s="22"/>
      <c r="TLV11" s="35"/>
      <c r="TLW11" s="36"/>
      <c r="TLX11" s="37"/>
      <c r="TLY11" s="36"/>
      <c r="TLZ11" s="37"/>
      <c r="TMA11" s="36"/>
      <c r="TMB11" s="37"/>
      <c r="TMC11" s="36"/>
      <c r="TMD11" s="37"/>
      <c r="TME11" s="36"/>
      <c r="TMF11" s="37"/>
      <c r="TMG11" s="36"/>
      <c r="TMH11" s="37"/>
      <c r="TMI11" s="36"/>
      <c r="TMJ11" s="37"/>
      <c r="TMK11" s="36"/>
      <c r="TML11" s="37"/>
      <c r="TMM11" s="36"/>
      <c r="TMN11" s="37"/>
      <c r="TMO11" s="36"/>
      <c r="TMP11" s="36"/>
      <c r="TMQ11" s="37"/>
      <c r="TMR11" s="37"/>
      <c r="TMT11" s="22"/>
      <c r="TMU11" s="35"/>
      <c r="TMV11" s="36"/>
      <c r="TMW11" s="37"/>
      <c r="TMX11" s="36"/>
      <c r="TMY11" s="37"/>
      <c r="TMZ11" s="36"/>
      <c r="TNA11" s="37"/>
      <c r="TNB11" s="36"/>
      <c r="TNC11" s="37"/>
      <c r="TND11" s="36"/>
      <c r="TNE11" s="37"/>
      <c r="TNF11" s="36"/>
      <c r="TNG11" s="37"/>
      <c r="TNH11" s="36"/>
      <c r="TNI11" s="37"/>
      <c r="TNJ11" s="36"/>
      <c r="TNK11" s="37"/>
      <c r="TNL11" s="36"/>
      <c r="TNM11" s="37"/>
      <c r="TNN11" s="36"/>
      <c r="TNO11" s="36"/>
      <c r="TNP11" s="37"/>
      <c r="TNQ11" s="37"/>
      <c r="TNS11" s="22"/>
      <c r="TNT11" s="35"/>
      <c r="TNU11" s="36"/>
      <c r="TNV11" s="37"/>
      <c r="TNW11" s="36"/>
      <c r="TNX11" s="37"/>
      <c r="TNY11" s="36"/>
      <c r="TNZ11" s="37"/>
      <c r="TOA11" s="36"/>
      <c r="TOB11" s="37"/>
      <c r="TOC11" s="36"/>
      <c r="TOD11" s="37"/>
      <c r="TOE11" s="36"/>
      <c r="TOF11" s="37"/>
      <c r="TOG11" s="36"/>
      <c r="TOH11" s="37"/>
      <c r="TOI11" s="36"/>
      <c r="TOJ11" s="37"/>
      <c r="TOK11" s="36"/>
      <c r="TOL11" s="37"/>
      <c r="TOM11" s="36"/>
      <c r="TON11" s="36"/>
      <c r="TOO11" s="37"/>
      <c r="TOP11" s="37"/>
      <c r="TOR11" s="22"/>
      <c r="TOS11" s="35"/>
      <c r="TOT11" s="36"/>
      <c r="TOU11" s="37"/>
      <c r="TOV11" s="36"/>
      <c r="TOW11" s="37"/>
      <c r="TOX11" s="36"/>
      <c r="TOY11" s="37"/>
      <c r="TOZ11" s="36"/>
      <c r="TPA11" s="37"/>
      <c r="TPB11" s="36"/>
      <c r="TPC11" s="37"/>
      <c r="TPD11" s="36"/>
      <c r="TPE11" s="37"/>
      <c r="TPF11" s="36"/>
      <c r="TPG11" s="37"/>
      <c r="TPH11" s="36"/>
      <c r="TPI11" s="37"/>
      <c r="TPJ11" s="36"/>
      <c r="TPK11" s="37"/>
      <c r="TPL11" s="36"/>
      <c r="TPM11" s="36"/>
      <c r="TPN11" s="37"/>
      <c r="TPO11" s="37"/>
      <c r="TPQ11" s="22"/>
      <c r="TPR11" s="35"/>
      <c r="TPS11" s="36"/>
      <c r="TPT11" s="37"/>
      <c r="TPU11" s="36"/>
      <c r="TPV11" s="37"/>
      <c r="TPW11" s="36"/>
      <c r="TPX11" s="37"/>
      <c r="TPY11" s="36"/>
      <c r="TPZ11" s="37"/>
      <c r="TQA11" s="36"/>
      <c r="TQB11" s="37"/>
      <c r="TQC11" s="36"/>
      <c r="TQD11" s="37"/>
      <c r="TQE11" s="36"/>
      <c r="TQF11" s="37"/>
      <c r="TQG11" s="36"/>
      <c r="TQH11" s="37"/>
      <c r="TQI11" s="36"/>
      <c r="TQJ11" s="37"/>
      <c r="TQK11" s="36"/>
      <c r="TQL11" s="36"/>
      <c r="TQM11" s="37"/>
      <c r="TQN11" s="37"/>
      <c r="TQP11" s="22"/>
      <c r="TQQ11" s="35"/>
      <c r="TQR11" s="36"/>
      <c r="TQS11" s="37"/>
      <c r="TQT11" s="36"/>
      <c r="TQU11" s="37"/>
      <c r="TQV11" s="36"/>
      <c r="TQW11" s="37"/>
      <c r="TQX11" s="36"/>
      <c r="TQY11" s="37"/>
      <c r="TQZ11" s="36"/>
      <c r="TRA11" s="37"/>
      <c r="TRB11" s="36"/>
      <c r="TRC11" s="37"/>
      <c r="TRD11" s="36"/>
      <c r="TRE11" s="37"/>
      <c r="TRF11" s="36"/>
      <c r="TRG11" s="37"/>
      <c r="TRH11" s="36"/>
      <c r="TRI11" s="37"/>
      <c r="TRJ11" s="36"/>
      <c r="TRK11" s="36"/>
      <c r="TRL11" s="37"/>
      <c r="TRM11" s="37"/>
      <c r="TRO11" s="22"/>
      <c r="TRP11" s="35"/>
      <c r="TRQ11" s="36"/>
      <c r="TRR11" s="37"/>
      <c r="TRS11" s="36"/>
      <c r="TRT11" s="37"/>
      <c r="TRU11" s="36"/>
      <c r="TRV11" s="37"/>
      <c r="TRW11" s="36"/>
      <c r="TRX11" s="37"/>
      <c r="TRY11" s="36"/>
      <c r="TRZ11" s="37"/>
      <c r="TSA11" s="36"/>
      <c r="TSB11" s="37"/>
      <c r="TSC11" s="36"/>
      <c r="TSD11" s="37"/>
      <c r="TSE11" s="36"/>
      <c r="TSF11" s="37"/>
      <c r="TSG11" s="36"/>
      <c r="TSH11" s="37"/>
      <c r="TSI11" s="36"/>
      <c r="TSJ11" s="36"/>
      <c r="TSK11" s="37"/>
      <c r="TSL11" s="37"/>
      <c r="TSN11" s="22"/>
      <c r="TSO11" s="35"/>
      <c r="TSP11" s="36"/>
      <c r="TSQ11" s="37"/>
      <c r="TSR11" s="36"/>
      <c r="TSS11" s="37"/>
      <c r="TST11" s="36"/>
      <c r="TSU11" s="37"/>
      <c r="TSV11" s="36"/>
      <c r="TSW11" s="37"/>
      <c r="TSX11" s="36"/>
      <c r="TSY11" s="37"/>
      <c r="TSZ11" s="36"/>
      <c r="TTA11" s="37"/>
      <c r="TTB11" s="36"/>
      <c r="TTC11" s="37"/>
      <c r="TTD11" s="36"/>
      <c r="TTE11" s="37"/>
      <c r="TTF11" s="36"/>
      <c r="TTG11" s="37"/>
      <c r="TTH11" s="36"/>
      <c r="TTI11" s="36"/>
      <c r="TTJ11" s="37"/>
      <c r="TTK11" s="37"/>
      <c r="TTM11" s="22"/>
      <c r="TTN11" s="35"/>
      <c r="TTO11" s="36"/>
      <c r="TTP11" s="37"/>
      <c r="TTQ11" s="36"/>
      <c r="TTR11" s="37"/>
      <c r="TTS11" s="36"/>
      <c r="TTT11" s="37"/>
      <c r="TTU11" s="36"/>
      <c r="TTV11" s="37"/>
      <c r="TTW11" s="36"/>
      <c r="TTX11" s="37"/>
      <c r="TTY11" s="36"/>
      <c r="TTZ11" s="37"/>
      <c r="TUA11" s="36"/>
      <c r="TUB11" s="37"/>
      <c r="TUC11" s="36"/>
      <c r="TUD11" s="37"/>
      <c r="TUE11" s="36"/>
      <c r="TUF11" s="37"/>
      <c r="TUG11" s="36"/>
      <c r="TUH11" s="36"/>
      <c r="TUI11" s="37"/>
      <c r="TUJ11" s="37"/>
      <c r="TUL11" s="22"/>
      <c r="TUM11" s="35"/>
      <c r="TUN11" s="36"/>
      <c r="TUO11" s="37"/>
      <c r="TUP11" s="36"/>
      <c r="TUQ11" s="37"/>
      <c r="TUR11" s="36"/>
      <c r="TUS11" s="37"/>
      <c r="TUT11" s="36"/>
      <c r="TUU11" s="37"/>
      <c r="TUV11" s="36"/>
      <c r="TUW11" s="37"/>
      <c r="TUX11" s="36"/>
      <c r="TUY11" s="37"/>
      <c r="TUZ11" s="36"/>
      <c r="TVA11" s="37"/>
      <c r="TVB11" s="36"/>
      <c r="TVC11" s="37"/>
      <c r="TVD11" s="36"/>
      <c r="TVE11" s="37"/>
      <c r="TVF11" s="36"/>
      <c r="TVG11" s="36"/>
      <c r="TVH11" s="37"/>
      <c r="TVI11" s="37"/>
      <c r="TVK11" s="22"/>
      <c r="TVL11" s="35"/>
      <c r="TVM11" s="36"/>
      <c r="TVN11" s="37"/>
      <c r="TVO11" s="36"/>
      <c r="TVP11" s="37"/>
      <c r="TVQ11" s="36"/>
      <c r="TVR11" s="37"/>
      <c r="TVS11" s="36"/>
      <c r="TVT11" s="37"/>
      <c r="TVU11" s="36"/>
      <c r="TVV11" s="37"/>
      <c r="TVW11" s="36"/>
      <c r="TVX11" s="37"/>
      <c r="TVY11" s="36"/>
      <c r="TVZ11" s="37"/>
      <c r="TWA11" s="36"/>
      <c r="TWB11" s="37"/>
      <c r="TWC11" s="36"/>
      <c r="TWD11" s="37"/>
      <c r="TWE11" s="36"/>
      <c r="TWF11" s="36"/>
      <c r="TWG11" s="37"/>
      <c r="TWH11" s="37"/>
      <c r="TWJ11" s="22"/>
      <c r="TWK11" s="35"/>
      <c r="TWL11" s="36"/>
      <c r="TWM11" s="37"/>
      <c r="TWN11" s="36"/>
      <c r="TWO11" s="37"/>
      <c r="TWP11" s="36"/>
      <c r="TWQ11" s="37"/>
      <c r="TWR11" s="36"/>
      <c r="TWS11" s="37"/>
      <c r="TWT11" s="36"/>
      <c r="TWU11" s="37"/>
      <c r="TWV11" s="36"/>
      <c r="TWW11" s="37"/>
      <c r="TWX11" s="36"/>
      <c r="TWY11" s="37"/>
      <c r="TWZ11" s="36"/>
      <c r="TXA11" s="37"/>
      <c r="TXB11" s="36"/>
      <c r="TXC11" s="37"/>
      <c r="TXD11" s="36"/>
      <c r="TXE11" s="36"/>
      <c r="TXF11" s="37"/>
      <c r="TXG11" s="37"/>
      <c r="TXI11" s="22"/>
      <c r="TXJ11" s="35"/>
      <c r="TXK11" s="36"/>
      <c r="TXL11" s="37"/>
      <c r="TXM11" s="36"/>
      <c r="TXN11" s="37"/>
      <c r="TXO11" s="36"/>
      <c r="TXP11" s="37"/>
      <c r="TXQ11" s="36"/>
      <c r="TXR11" s="37"/>
      <c r="TXS11" s="36"/>
      <c r="TXT11" s="37"/>
      <c r="TXU11" s="36"/>
      <c r="TXV11" s="37"/>
      <c r="TXW11" s="36"/>
      <c r="TXX11" s="37"/>
      <c r="TXY11" s="36"/>
      <c r="TXZ11" s="37"/>
      <c r="TYA11" s="36"/>
      <c r="TYB11" s="37"/>
      <c r="TYC11" s="36"/>
      <c r="TYD11" s="36"/>
      <c r="TYE11" s="37"/>
      <c r="TYF11" s="37"/>
      <c r="TYH11" s="22"/>
      <c r="TYI11" s="35"/>
      <c r="TYJ11" s="36"/>
      <c r="TYK11" s="37"/>
      <c r="TYL11" s="36"/>
      <c r="TYM11" s="37"/>
      <c r="TYN11" s="36"/>
      <c r="TYO11" s="37"/>
      <c r="TYP11" s="36"/>
      <c r="TYQ11" s="37"/>
      <c r="TYR11" s="36"/>
      <c r="TYS11" s="37"/>
      <c r="TYT11" s="36"/>
      <c r="TYU11" s="37"/>
      <c r="TYV11" s="36"/>
      <c r="TYW11" s="37"/>
      <c r="TYX11" s="36"/>
      <c r="TYY11" s="37"/>
      <c r="TYZ11" s="36"/>
      <c r="TZA11" s="37"/>
      <c r="TZB11" s="36"/>
      <c r="TZC11" s="36"/>
      <c r="TZD11" s="37"/>
      <c r="TZE11" s="37"/>
      <c r="TZG11" s="22"/>
      <c r="TZH11" s="35"/>
      <c r="TZI11" s="36"/>
      <c r="TZJ11" s="37"/>
      <c r="TZK11" s="36"/>
      <c r="TZL11" s="37"/>
      <c r="TZM11" s="36"/>
      <c r="TZN11" s="37"/>
      <c r="TZO11" s="36"/>
      <c r="TZP11" s="37"/>
      <c r="TZQ11" s="36"/>
      <c r="TZR11" s="37"/>
      <c r="TZS11" s="36"/>
      <c r="TZT11" s="37"/>
      <c r="TZU11" s="36"/>
      <c r="TZV11" s="37"/>
      <c r="TZW11" s="36"/>
      <c r="TZX11" s="37"/>
      <c r="TZY11" s="36"/>
      <c r="TZZ11" s="37"/>
      <c r="UAA11" s="36"/>
      <c r="UAB11" s="36"/>
      <c r="UAC11" s="37"/>
      <c r="UAD11" s="37"/>
      <c r="UAF11" s="22"/>
      <c r="UAG11" s="35"/>
      <c r="UAH11" s="36"/>
      <c r="UAI11" s="37"/>
      <c r="UAJ11" s="36"/>
      <c r="UAK11" s="37"/>
      <c r="UAL11" s="36"/>
      <c r="UAM11" s="37"/>
      <c r="UAN11" s="36"/>
      <c r="UAO11" s="37"/>
      <c r="UAP11" s="36"/>
      <c r="UAQ11" s="37"/>
      <c r="UAR11" s="36"/>
      <c r="UAS11" s="37"/>
      <c r="UAT11" s="36"/>
      <c r="UAU11" s="37"/>
      <c r="UAV11" s="36"/>
      <c r="UAW11" s="37"/>
      <c r="UAX11" s="36"/>
      <c r="UAY11" s="37"/>
      <c r="UAZ11" s="36"/>
      <c r="UBA11" s="36"/>
      <c r="UBB11" s="37"/>
      <c r="UBC11" s="37"/>
      <c r="UBE11" s="22"/>
      <c r="UBF11" s="35"/>
      <c r="UBG11" s="36"/>
      <c r="UBH11" s="37"/>
      <c r="UBI11" s="36"/>
      <c r="UBJ11" s="37"/>
      <c r="UBK11" s="36"/>
      <c r="UBL11" s="37"/>
      <c r="UBM11" s="36"/>
      <c r="UBN11" s="37"/>
      <c r="UBO11" s="36"/>
      <c r="UBP11" s="37"/>
      <c r="UBQ11" s="36"/>
      <c r="UBR11" s="37"/>
      <c r="UBS11" s="36"/>
      <c r="UBT11" s="37"/>
      <c r="UBU11" s="36"/>
      <c r="UBV11" s="37"/>
      <c r="UBW11" s="36"/>
      <c r="UBX11" s="37"/>
      <c r="UBY11" s="36"/>
      <c r="UBZ11" s="36"/>
      <c r="UCA11" s="37"/>
      <c r="UCB11" s="37"/>
      <c r="UCD11" s="22"/>
      <c r="UCE11" s="35"/>
      <c r="UCF11" s="36"/>
      <c r="UCG11" s="37"/>
      <c r="UCH11" s="36"/>
      <c r="UCI11" s="37"/>
      <c r="UCJ11" s="36"/>
      <c r="UCK11" s="37"/>
      <c r="UCL11" s="36"/>
      <c r="UCM11" s="37"/>
      <c r="UCN11" s="36"/>
      <c r="UCO11" s="37"/>
      <c r="UCP11" s="36"/>
      <c r="UCQ11" s="37"/>
      <c r="UCR11" s="36"/>
      <c r="UCS11" s="37"/>
      <c r="UCT11" s="36"/>
      <c r="UCU11" s="37"/>
      <c r="UCV11" s="36"/>
      <c r="UCW11" s="37"/>
      <c r="UCX11" s="36"/>
      <c r="UCY11" s="36"/>
      <c r="UCZ11" s="37"/>
      <c r="UDA11" s="37"/>
      <c r="UDC11" s="22"/>
      <c r="UDD11" s="35"/>
      <c r="UDE11" s="36"/>
      <c r="UDF11" s="37"/>
      <c r="UDG11" s="36"/>
      <c r="UDH11" s="37"/>
      <c r="UDI11" s="36"/>
      <c r="UDJ11" s="37"/>
      <c r="UDK11" s="36"/>
      <c r="UDL11" s="37"/>
      <c r="UDM11" s="36"/>
      <c r="UDN11" s="37"/>
      <c r="UDO11" s="36"/>
      <c r="UDP11" s="37"/>
      <c r="UDQ11" s="36"/>
      <c r="UDR11" s="37"/>
      <c r="UDS11" s="36"/>
      <c r="UDT11" s="37"/>
      <c r="UDU11" s="36"/>
      <c r="UDV11" s="37"/>
      <c r="UDW11" s="36"/>
      <c r="UDX11" s="36"/>
      <c r="UDY11" s="37"/>
      <c r="UDZ11" s="37"/>
      <c r="UEB11" s="22"/>
      <c r="UEC11" s="35"/>
      <c r="UED11" s="36"/>
      <c r="UEE11" s="37"/>
      <c r="UEF11" s="36"/>
      <c r="UEG11" s="37"/>
      <c r="UEH11" s="36"/>
      <c r="UEI11" s="37"/>
      <c r="UEJ11" s="36"/>
      <c r="UEK11" s="37"/>
      <c r="UEL11" s="36"/>
      <c r="UEM11" s="37"/>
      <c r="UEN11" s="36"/>
      <c r="UEO11" s="37"/>
      <c r="UEP11" s="36"/>
      <c r="UEQ11" s="37"/>
      <c r="UER11" s="36"/>
      <c r="UES11" s="37"/>
      <c r="UET11" s="36"/>
      <c r="UEU11" s="37"/>
      <c r="UEV11" s="36"/>
      <c r="UEW11" s="36"/>
      <c r="UEX11" s="37"/>
      <c r="UEY11" s="37"/>
      <c r="UFA11" s="22"/>
      <c r="UFB11" s="35"/>
      <c r="UFC11" s="36"/>
      <c r="UFD11" s="37"/>
      <c r="UFE11" s="36"/>
      <c r="UFF11" s="37"/>
      <c r="UFG11" s="36"/>
      <c r="UFH11" s="37"/>
      <c r="UFI11" s="36"/>
      <c r="UFJ11" s="37"/>
      <c r="UFK11" s="36"/>
      <c r="UFL11" s="37"/>
      <c r="UFM11" s="36"/>
      <c r="UFN11" s="37"/>
      <c r="UFO11" s="36"/>
      <c r="UFP11" s="37"/>
      <c r="UFQ11" s="36"/>
      <c r="UFR11" s="37"/>
      <c r="UFS11" s="36"/>
      <c r="UFT11" s="37"/>
      <c r="UFU11" s="36"/>
      <c r="UFV11" s="36"/>
      <c r="UFW11" s="37"/>
      <c r="UFX11" s="37"/>
      <c r="UFZ11" s="22"/>
      <c r="UGA11" s="35"/>
      <c r="UGB11" s="36"/>
      <c r="UGC11" s="37"/>
      <c r="UGD11" s="36"/>
      <c r="UGE11" s="37"/>
      <c r="UGF11" s="36"/>
      <c r="UGG11" s="37"/>
      <c r="UGH11" s="36"/>
      <c r="UGI11" s="37"/>
      <c r="UGJ11" s="36"/>
      <c r="UGK11" s="37"/>
      <c r="UGL11" s="36"/>
      <c r="UGM11" s="37"/>
      <c r="UGN11" s="36"/>
      <c r="UGO11" s="37"/>
      <c r="UGP11" s="36"/>
      <c r="UGQ11" s="37"/>
      <c r="UGR11" s="36"/>
      <c r="UGS11" s="37"/>
      <c r="UGT11" s="36"/>
      <c r="UGU11" s="36"/>
      <c r="UGV11" s="37"/>
      <c r="UGW11" s="37"/>
      <c r="UGY11" s="22"/>
      <c r="UGZ11" s="35"/>
      <c r="UHA11" s="36"/>
      <c r="UHB11" s="37"/>
      <c r="UHC11" s="36"/>
      <c r="UHD11" s="37"/>
      <c r="UHE11" s="36"/>
      <c r="UHF11" s="37"/>
      <c r="UHG11" s="36"/>
      <c r="UHH11" s="37"/>
      <c r="UHI11" s="36"/>
      <c r="UHJ11" s="37"/>
      <c r="UHK11" s="36"/>
      <c r="UHL11" s="37"/>
      <c r="UHM11" s="36"/>
      <c r="UHN11" s="37"/>
      <c r="UHO11" s="36"/>
      <c r="UHP11" s="37"/>
      <c r="UHQ11" s="36"/>
      <c r="UHR11" s="37"/>
      <c r="UHS11" s="36"/>
      <c r="UHT11" s="36"/>
      <c r="UHU11" s="37"/>
      <c r="UHV11" s="37"/>
      <c r="UHX11" s="22"/>
      <c r="UHY11" s="35"/>
      <c r="UHZ11" s="36"/>
      <c r="UIA11" s="37"/>
      <c r="UIB11" s="36"/>
      <c r="UIC11" s="37"/>
      <c r="UID11" s="36"/>
      <c r="UIE11" s="37"/>
      <c r="UIF11" s="36"/>
      <c r="UIG11" s="37"/>
      <c r="UIH11" s="36"/>
      <c r="UII11" s="37"/>
      <c r="UIJ11" s="36"/>
      <c r="UIK11" s="37"/>
      <c r="UIL11" s="36"/>
      <c r="UIM11" s="37"/>
      <c r="UIN11" s="36"/>
      <c r="UIO11" s="37"/>
      <c r="UIP11" s="36"/>
      <c r="UIQ11" s="37"/>
      <c r="UIR11" s="36"/>
      <c r="UIS11" s="36"/>
      <c r="UIT11" s="37"/>
      <c r="UIU11" s="37"/>
      <c r="UIW11" s="22"/>
      <c r="UIX11" s="35"/>
      <c r="UIY11" s="36"/>
      <c r="UIZ11" s="37"/>
      <c r="UJA11" s="36"/>
      <c r="UJB11" s="37"/>
      <c r="UJC11" s="36"/>
      <c r="UJD11" s="37"/>
      <c r="UJE11" s="36"/>
      <c r="UJF11" s="37"/>
      <c r="UJG11" s="36"/>
      <c r="UJH11" s="37"/>
      <c r="UJI11" s="36"/>
      <c r="UJJ11" s="37"/>
      <c r="UJK11" s="36"/>
      <c r="UJL11" s="37"/>
      <c r="UJM11" s="36"/>
      <c r="UJN11" s="37"/>
      <c r="UJO11" s="36"/>
      <c r="UJP11" s="37"/>
      <c r="UJQ11" s="36"/>
      <c r="UJR11" s="36"/>
      <c r="UJS11" s="37"/>
      <c r="UJT11" s="37"/>
      <c r="UJV11" s="22"/>
      <c r="UJW11" s="35"/>
      <c r="UJX11" s="36"/>
      <c r="UJY11" s="37"/>
      <c r="UJZ11" s="36"/>
      <c r="UKA11" s="37"/>
      <c r="UKB11" s="36"/>
      <c r="UKC11" s="37"/>
      <c r="UKD11" s="36"/>
      <c r="UKE11" s="37"/>
      <c r="UKF11" s="36"/>
      <c r="UKG11" s="37"/>
      <c r="UKH11" s="36"/>
      <c r="UKI11" s="37"/>
      <c r="UKJ11" s="36"/>
      <c r="UKK11" s="37"/>
      <c r="UKL11" s="36"/>
      <c r="UKM11" s="37"/>
      <c r="UKN11" s="36"/>
      <c r="UKO11" s="37"/>
      <c r="UKP11" s="36"/>
      <c r="UKQ11" s="36"/>
      <c r="UKR11" s="37"/>
      <c r="UKS11" s="37"/>
      <c r="UKU11" s="22"/>
      <c r="UKV11" s="35"/>
      <c r="UKW11" s="36"/>
      <c r="UKX11" s="37"/>
      <c r="UKY11" s="36"/>
      <c r="UKZ11" s="37"/>
      <c r="ULA11" s="36"/>
      <c r="ULB11" s="37"/>
      <c r="ULC11" s="36"/>
      <c r="ULD11" s="37"/>
      <c r="ULE11" s="36"/>
      <c r="ULF11" s="37"/>
      <c r="ULG11" s="36"/>
      <c r="ULH11" s="37"/>
      <c r="ULI11" s="36"/>
      <c r="ULJ11" s="37"/>
      <c r="ULK11" s="36"/>
      <c r="ULL11" s="37"/>
      <c r="ULM11" s="36"/>
      <c r="ULN11" s="37"/>
      <c r="ULO11" s="36"/>
      <c r="ULP11" s="36"/>
      <c r="ULQ11" s="37"/>
      <c r="ULR11" s="37"/>
      <c r="ULT11" s="22"/>
      <c r="ULU11" s="35"/>
      <c r="ULV11" s="36"/>
      <c r="ULW11" s="37"/>
      <c r="ULX11" s="36"/>
      <c r="ULY11" s="37"/>
      <c r="ULZ11" s="36"/>
      <c r="UMA11" s="37"/>
      <c r="UMB11" s="36"/>
      <c r="UMC11" s="37"/>
      <c r="UMD11" s="36"/>
      <c r="UME11" s="37"/>
      <c r="UMF11" s="36"/>
      <c r="UMG11" s="37"/>
      <c r="UMH11" s="36"/>
      <c r="UMI11" s="37"/>
      <c r="UMJ11" s="36"/>
      <c r="UMK11" s="37"/>
      <c r="UML11" s="36"/>
      <c r="UMM11" s="37"/>
      <c r="UMN11" s="36"/>
      <c r="UMO11" s="36"/>
      <c r="UMP11" s="37"/>
      <c r="UMQ11" s="37"/>
      <c r="UMS11" s="22"/>
      <c r="UMT11" s="35"/>
      <c r="UMU11" s="36"/>
      <c r="UMV11" s="37"/>
      <c r="UMW11" s="36"/>
      <c r="UMX11" s="37"/>
      <c r="UMY11" s="36"/>
      <c r="UMZ11" s="37"/>
      <c r="UNA11" s="36"/>
      <c r="UNB11" s="37"/>
      <c r="UNC11" s="36"/>
      <c r="UND11" s="37"/>
      <c r="UNE11" s="36"/>
      <c r="UNF11" s="37"/>
      <c r="UNG11" s="36"/>
      <c r="UNH11" s="37"/>
      <c r="UNI11" s="36"/>
      <c r="UNJ11" s="37"/>
      <c r="UNK11" s="36"/>
      <c r="UNL11" s="37"/>
      <c r="UNM11" s="36"/>
      <c r="UNN11" s="36"/>
      <c r="UNO11" s="37"/>
      <c r="UNP11" s="37"/>
      <c r="UNR11" s="22"/>
      <c r="UNS11" s="35"/>
      <c r="UNT11" s="36"/>
      <c r="UNU11" s="37"/>
      <c r="UNV11" s="36"/>
      <c r="UNW11" s="37"/>
      <c r="UNX11" s="36"/>
      <c r="UNY11" s="37"/>
      <c r="UNZ11" s="36"/>
      <c r="UOA11" s="37"/>
      <c r="UOB11" s="36"/>
      <c r="UOC11" s="37"/>
      <c r="UOD11" s="36"/>
      <c r="UOE11" s="37"/>
      <c r="UOF11" s="36"/>
      <c r="UOG11" s="37"/>
      <c r="UOH11" s="36"/>
      <c r="UOI11" s="37"/>
      <c r="UOJ11" s="36"/>
      <c r="UOK11" s="37"/>
      <c r="UOL11" s="36"/>
      <c r="UOM11" s="36"/>
      <c r="UON11" s="37"/>
      <c r="UOO11" s="37"/>
      <c r="UOQ11" s="22"/>
      <c r="UOR11" s="35"/>
      <c r="UOS11" s="36"/>
      <c r="UOT11" s="37"/>
      <c r="UOU11" s="36"/>
      <c r="UOV11" s="37"/>
      <c r="UOW11" s="36"/>
      <c r="UOX11" s="37"/>
      <c r="UOY11" s="36"/>
      <c r="UOZ11" s="37"/>
      <c r="UPA11" s="36"/>
      <c r="UPB11" s="37"/>
      <c r="UPC11" s="36"/>
      <c r="UPD11" s="37"/>
      <c r="UPE11" s="36"/>
      <c r="UPF11" s="37"/>
      <c r="UPG11" s="36"/>
      <c r="UPH11" s="37"/>
      <c r="UPI11" s="36"/>
      <c r="UPJ11" s="37"/>
      <c r="UPK11" s="36"/>
      <c r="UPL11" s="36"/>
      <c r="UPM11" s="37"/>
      <c r="UPN11" s="37"/>
      <c r="UPP11" s="22"/>
      <c r="UPQ11" s="35"/>
      <c r="UPR11" s="36"/>
      <c r="UPS11" s="37"/>
      <c r="UPT11" s="36"/>
      <c r="UPU11" s="37"/>
      <c r="UPV11" s="36"/>
      <c r="UPW11" s="37"/>
      <c r="UPX11" s="36"/>
      <c r="UPY11" s="37"/>
      <c r="UPZ11" s="36"/>
      <c r="UQA11" s="37"/>
      <c r="UQB11" s="36"/>
      <c r="UQC11" s="37"/>
      <c r="UQD11" s="36"/>
      <c r="UQE11" s="37"/>
      <c r="UQF11" s="36"/>
      <c r="UQG11" s="37"/>
      <c r="UQH11" s="36"/>
      <c r="UQI11" s="37"/>
      <c r="UQJ11" s="36"/>
      <c r="UQK11" s="36"/>
      <c r="UQL11" s="37"/>
      <c r="UQM11" s="37"/>
      <c r="UQO11" s="22"/>
      <c r="UQP11" s="35"/>
      <c r="UQQ11" s="36"/>
      <c r="UQR11" s="37"/>
      <c r="UQS11" s="36"/>
      <c r="UQT11" s="37"/>
      <c r="UQU11" s="36"/>
      <c r="UQV11" s="37"/>
      <c r="UQW11" s="36"/>
      <c r="UQX11" s="37"/>
      <c r="UQY11" s="36"/>
      <c r="UQZ11" s="37"/>
      <c r="URA11" s="36"/>
      <c r="URB11" s="37"/>
      <c r="URC11" s="36"/>
      <c r="URD11" s="37"/>
      <c r="URE11" s="36"/>
      <c r="URF11" s="37"/>
      <c r="URG11" s="36"/>
      <c r="URH11" s="37"/>
      <c r="URI11" s="36"/>
      <c r="URJ11" s="36"/>
      <c r="URK11" s="37"/>
      <c r="URL11" s="37"/>
      <c r="URN11" s="22"/>
      <c r="URO11" s="35"/>
      <c r="URP11" s="36"/>
      <c r="URQ11" s="37"/>
      <c r="URR11" s="36"/>
      <c r="URS11" s="37"/>
      <c r="URT11" s="36"/>
      <c r="URU11" s="37"/>
      <c r="URV11" s="36"/>
      <c r="URW11" s="37"/>
      <c r="URX11" s="36"/>
      <c r="URY11" s="37"/>
      <c r="URZ11" s="36"/>
      <c r="USA11" s="37"/>
      <c r="USB11" s="36"/>
      <c r="USC11" s="37"/>
      <c r="USD11" s="36"/>
      <c r="USE11" s="37"/>
      <c r="USF11" s="36"/>
      <c r="USG11" s="37"/>
      <c r="USH11" s="36"/>
      <c r="USI11" s="36"/>
      <c r="USJ11" s="37"/>
      <c r="USK11" s="37"/>
      <c r="USM11" s="22"/>
      <c r="USN11" s="35"/>
      <c r="USO11" s="36"/>
      <c r="USP11" s="37"/>
      <c r="USQ11" s="36"/>
      <c r="USR11" s="37"/>
      <c r="USS11" s="36"/>
      <c r="UST11" s="37"/>
      <c r="USU11" s="36"/>
      <c r="USV11" s="37"/>
      <c r="USW11" s="36"/>
      <c r="USX11" s="37"/>
      <c r="USY11" s="36"/>
      <c r="USZ11" s="37"/>
      <c r="UTA11" s="36"/>
      <c r="UTB11" s="37"/>
      <c r="UTC11" s="36"/>
      <c r="UTD11" s="37"/>
      <c r="UTE11" s="36"/>
      <c r="UTF11" s="37"/>
      <c r="UTG11" s="36"/>
      <c r="UTH11" s="36"/>
      <c r="UTI11" s="37"/>
      <c r="UTJ11" s="37"/>
      <c r="UTL11" s="22"/>
      <c r="UTM11" s="35"/>
      <c r="UTN11" s="36"/>
      <c r="UTO11" s="37"/>
      <c r="UTP11" s="36"/>
      <c r="UTQ11" s="37"/>
      <c r="UTR11" s="36"/>
      <c r="UTS11" s="37"/>
      <c r="UTT11" s="36"/>
      <c r="UTU11" s="37"/>
      <c r="UTV11" s="36"/>
      <c r="UTW11" s="37"/>
      <c r="UTX11" s="36"/>
      <c r="UTY11" s="37"/>
      <c r="UTZ11" s="36"/>
      <c r="UUA11" s="37"/>
      <c r="UUB11" s="36"/>
      <c r="UUC11" s="37"/>
      <c r="UUD11" s="36"/>
      <c r="UUE11" s="37"/>
      <c r="UUF11" s="36"/>
      <c r="UUG11" s="36"/>
      <c r="UUH11" s="37"/>
      <c r="UUI11" s="37"/>
      <c r="UUK11" s="22"/>
      <c r="UUL11" s="35"/>
      <c r="UUM11" s="36"/>
      <c r="UUN11" s="37"/>
      <c r="UUO11" s="36"/>
      <c r="UUP11" s="37"/>
      <c r="UUQ11" s="36"/>
      <c r="UUR11" s="37"/>
      <c r="UUS11" s="36"/>
      <c r="UUT11" s="37"/>
      <c r="UUU11" s="36"/>
      <c r="UUV11" s="37"/>
      <c r="UUW11" s="36"/>
      <c r="UUX11" s="37"/>
      <c r="UUY11" s="36"/>
      <c r="UUZ11" s="37"/>
      <c r="UVA11" s="36"/>
      <c r="UVB11" s="37"/>
      <c r="UVC11" s="36"/>
      <c r="UVD11" s="37"/>
      <c r="UVE11" s="36"/>
      <c r="UVF11" s="36"/>
      <c r="UVG11" s="37"/>
      <c r="UVH11" s="37"/>
      <c r="UVJ11" s="22"/>
      <c r="UVK11" s="35"/>
      <c r="UVL11" s="36"/>
      <c r="UVM11" s="37"/>
      <c r="UVN11" s="36"/>
      <c r="UVO11" s="37"/>
      <c r="UVP11" s="36"/>
      <c r="UVQ11" s="37"/>
      <c r="UVR11" s="36"/>
      <c r="UVS11" s="37"/>
      <c r="UVT11" s="36"/>
      <c r="UVU11" s="37"/>
      <c r="UVV11" s="36"/>
      <c r="UVW11" s="37"/>
      <c r="UVX11" s="36"/>
      <c r="UVY11" s="37"/>
      <c r="UVZ11" s="36"/>
      <c r="UWA11" s="37"/>
      <c r="UWB11" s="36"/>
      <c r="UWC11" s="37"/>
      <c r="UWD11" s="36"/>
      <c r="UWE11" s="36"/>
      <c r="UWF11" s="37"/>
      <c r="UWG11" s="37"/>
      <c r="UWI11" s="22"/>
      <c r="UWJ11" s="35"/>
      <c r="UWK11" s="36"/>
      <c r="UWL11" s="37"/>
      <c r="UWM11" s="36"/>
      <c r="UWN11" s="37"/>
      <c r="UWO11" s="36"/>
      <c r="UWP11" s="37"/>
      <c r="UWQ11" s="36"/>
      <c r="UWR11" s="37"/>
      <c r="UWS11" s="36"/>
      <c r="UWT11" s="37"/>
      <c r="UWU11" s="36"/>
      <c r="UWV11" s="37"/>
      <c r="UWW11" s="36"/>
      <c r="UWX11" s="37"/>
      <c r="UWY11" s="36"/>
      <c r="UWZ11" s="37"/>
      <c r="UXA11" s="36"/>
      <c r="UXB11" s="37"/>
      <c r="UXC11" s="36"/>
      <c r="UXD11" s="36"/>
      <c r="UXE11" s="37"/>
      <c r="UXF11" s="37"/>
      <c r="UXH11" s="22"/>
      <c r="UXI11" s="35"/>
      <c r="UXJ11" s="36"/>
      <c r="UXK11" s="37"/>
      <c r="UXL11" s="36"/>
      <c r="UXM11" s="37"/>
      <c r="UXN11" s="36"/>
      <c r="UXO11" s="37"/>
      <c r="UXP11" s="36"/>
      <c r="UXQ11" s="37"/>
      <c r="UXR11" s="36"/>
      <c r="UXS11" s="37"/>
      <c r="UXT11" s="36"/>
      <c r="UXU11" s="37"/>
      <c r="UXV11" s="36"/>
      <c r="UXW11" s="37"/>
      <c r="UXX11" s="36"/>
      <c r="UXY11" s="37"/>
      <c r="UXZ11" s="36"/>
      <c r="UYA11" s="37"/>
      <c r="UYB11" s="36"/>
      <c r="UYC11" s="36"/>
      <c r="UYD11" s="37"/>
      <c r="UYE11" s="37"/>
      <c r="UYG11" s="22"/>
      <c r="UYH11" s="35"/>
      <c r="UYI11" s="36"/>
      <c r="UYJ11" s="37"/>
      <c r="UYK11" s="36"/>
      <c r="UYL11" s="37"/>
      <c r="UYM11" s="36"/>
      <c r="UYN11" s="37"/>
      <c r="UYO11" s="36"/>
      <c r="UYP11" s="37"/>
      <c r="UYQ11" s="36"/>
      <c r="UYR11" s="37"/>
      <c r="UYS11" s="36"/>
      <c r="UYT11" s="37"/>
      <c r="UYU11" s="36"/>
      <c r="UYV11" s="37"/>
      <c r="UYW11" s="36"/>
      <c r="UYX11" s="37"/>
      <c r="UYY11" s="36"/>
      <c r="UYZ11" s="37"/>
      <c r="UZA11" s="36"/>
      <c r="UZB11" s="36"/>
      <c r="UZC11" s="37"/>
      <c r="UZD11" s="37"/>
      <c r="UZF11" s="22"/>
      <c r="UZG11" s="35"/>
      <c r="UZH11" s="36"/>
      <c r="UZI11" s="37"/>
      <c r="UZJ11" s="36"/>
      <c r="UZK11" s="37"/>
      <c r="UZL11" s="36"/>
      <c r="UZM11" s="37"/>
      <c r="UZN11" s="36"/>
      <c r="UZO11" s="37"/>
      <c r="UZP11" s="36"/>
      <c r="UZQ11" s="37"/>
      <c r="UZR11" s="36"/>
      <c r="UZS11" s="37"/>
      <c r="UZT11" s="36"/>
      <c r="UZU11" s="37"/>
      <c r="UZV11" s="36"/>
      <c r="UZW11" s="37"/>
      <c r="UZX11" s="36"/>
      <c r="UZY11" s="37"/>
      <c r="UZZ11" s="36"/>
      <c r="VAA11" s="36"/>
      <c r="VAB11" s="37"/>
      <c r="VAC11" s="37"/>
      <c r="VAE11" s="22"/>
      <c r="VAF11" s="35"/>
      <c r="VAG11" s="36"/>
      <c r="VAH11" s="37"/>
      <c r="VAI11" s="36"/>
      <c r="VAJ11" s="37"/>
      <c r="VAK11" s="36"/>
      <c r="VAL11" s="37"/>
      <c r="VAM11" s="36"/>
      <c r="VAN11" s="37"/>
      <c r="VAO11" s="36"/>
      <c r="VAP11" s="37"/>
      <c r="VAQ11" s="36"/>
      <c r="VAR11" s="37"/>
      <c r="VAS11" s="36"/>
      <c r="VAT11" s="37"/>
      <c r="VAU11" s="36"/>
      <c r="VAV11" s="37"/>
      <c r="VAW11" s="36"/>
      <c r="VAX11" s="37"/>
      <c r="VAY11" s="36"/>
      <c r="VAZ11" s="36"/>
      <c r="VBA11" s="37"/>
      <c r="VBB11" s="37"/>
      <c r="VBD11" s="22"/>
      <c r="VBE11" s="35"/>
      <c r="VBF11" s="36"/>
      <c r="VBG11" s="37"/>
      <c r="VBH11" s="36"/>
      <c r="VBI11" s="37"/>
      <c r="VBJ11" s="36"/>
      <c r="VBK11" s="37"/>
      <c r="VBL11" s="36"/>
      <c r="VBM11" s="37"/>
      <c r="VBN11" s="36"/>
      <c r="VBO11" s="37"/>
      <c r="VBP11" s="36"/>
      <c r="VBQ11" s="37"/>
      <c r="VBR11" s="36"/>
      <c r="VBS11" s="37"/>
      <c r="VBT11" s="36"/>
      <c r="VBU11" s="37"/>
      <c r="VBV11" s="36"/>
      <c r="VBW11" s="37"/>
      <c r="VBX11" s="36"/>
      <c r="VBY11" s="36"/>
      <c r="VBZ11" s="37"/>
      <c r="VCA11" s="37"/>
      <c r="VCC11" s="22"/>
      <c r="VCD11" s="35"/>
      <c r="VCE11" s="36"/>
      <c r="VCF11" s="37"/>
      <c r="VCG11" s="36"/>
      <c r="VCH11" s="37"/>
      <c r="VCI11" s="36"/>
      <c r="VCJ11" s="37"/>
      <c r="VCK11" s="36"/>
      <c r="VCL11" s="37"/>
      <c r="VCM11" s="36"/>
      <c r="VCN11" s="37"/>
      <c r="VCO11" s="36"/>
      <c r="VCP11" s="37"/>
      <c r="VCQ11" s="36"/>
      <c r="VCR11" s="37"/>
      <c r="VCS11" s="36"/>
      <c r="VCT11" s="37"/>
      <c r="VCU11" s="36"/>
      <c r="VCV11" s="37"/>
      <c r="VCW11" s="36"/>
      <c r="VCX11" s="36"/>
      <c r="VCY11" s="37"/>
      <c r="VCZ11" s="37"/>
      <c r="VDB11" s="22"/>
      <c r="VDC11" s="35"/>
      <c r="VDD11" s="36"/>
      <c r="VDE11" s="37"/>
      <c r="VDF11" s="36"/>
      <c r="VDG11" s="37"/>
      <c r="VDH11" s="36"/>
      <c r="VDI11" s="37"/>
      <c r="VDJ11" s="36"/>
      <c r="VDK11" s="37"/>
      <c r="VDL11" s="36"/>
      <c r="VDM11" s="37"/>
      <c r="VDN11" s="36"/>
      <c r="VDO11" s="37"/>
      <c r="VDP11" s="36"/>
      <c r="VDQ11" s="37"/>
      <c r="VDR11" s="36"/>
      <c r="VDS11" s="37"/>
      <c r="VDT11" s="36"/>
      <c r="VDU11" s="37"/>
      <c r="VDV11" s="36"/>
      <c r="VDW11" s="36"/>
      <c r="VDX11" s="37"/>
      <c r="VDY11" s="37"/>
      <c r="VEA11" s="22"/>
      <c r="VEB11" s="35"/>
      <c r="VEC11" s="36"/>
      <c r="VED11" s="37"/>
      <c r="VEE11" s="36"/>
      <c r="VEF11" s="37"/>
      <c r="VEG11" s="36"/>
      <c r="VEH11" s="37"/>
      <c r="VEI11" s="36"/>
      <c r="VEJ11" s="37"/>
      <c r="VEK11" s="36"/>
      <c r="VEL11" s="37"/>
      <c r="VEM11" s="36"/>
      <c r="VEN11" s="37"/>
      <c r="VEO11" s="36"/>
      <c r="VEP11" s="37"/>
      <c r="VEQ11" s="36"/>
      <c r="VER11" s="37"/>
      <c r="VES11" s="36"/>
      <c r="VET11" s="37"/>
      <c r="VEU11" s="36"/>
      <c r="VEV11" s="36"/>
      <c r="VEW11" s="37"/>
      <c r="VEX11" s="37"/>
      <c r="VEZ11" s="22"/>
      <c r="VFA11" s="35"/>
      <c r="VFB11" s="36"/>
      <c r="VFC11" s="37"/>
      <c r="VFD11" s="36"/>
      <c r="VFE11" s="37"/>
      <c r="VFF11" s="36"/>
      <c r="VFG11" s="37"/>
      <c r="VFH11" s="36"/>
      <c r="VFI11" s="37"/>
      <c r="VFJ11" s="36"/>
      <c r="VFK11" s="37"/>
      <c r="VFL11" s="36"/>
      <c r="VFM11" s="37"/>
      <c r="VFN11" s="36"/>
      <c r="VFO11" s="37"/>
      <c r="VFP11" s="36"/>
      <c r="VFQ11" s="37"/>
      <c r="VFR11" s="36"/>
      <c r="VFS11" s="37"/>
      <c r="VFT11" s="36"/>
      <c r="VFU11" s="36"/>
      <c r="VFV11" s="37"/>
      <c r="VFW11" s="37"/>
      <c r="VFY11" s="22"/>
      <c r="VFZ11" s="35"/>
      <c r="VGA11" s="36"/>
      <c r="VGB11" s="37"/>
      <c r="VGC11" s="36"/>
      <c r="VGD11" s="37"/>
      <c r="VGE11" s="36"/>
      <c r="VGF11" s="37"/>
      <c r="VGG11" s="36"/>
      <c r="VGH11" s="37"/>
      <c r="VGI11" s="36"/>
      <c r="VGJ11" s="37"/>
      <c r="VGK11" s="36"/>
      <c r="VGL11" s="37"/>
      <c r="VGM11" s="36"/>
      <c r="VGN11" s="37"/>
      <c r="VGO11" s="36"/>
      <c r="VGP11" s="37"/>
      <c r="VGQ11" s="36"/>
      <c r="VGR11" s="37"/>
      <c r="VGS11" s="36"/>
      <c r="VGT11" s="36"/>
      <c r="VGU11" s="37"/>
      <c r="VGV11" s="37"/>
      <c r="VGX11" s="22"/>
      <c r="VGY11" s="35"/>
      <c r="VGZ11" s="36"/>
      <c r="VHA11" s="37"/>
      <c r="VHB11" s="36"/>
      <c r="VHC11" s="37"/>
      <c r="VHD11" s="36"/>
      <c r="VHE11" s="37"/>
      <c r="VHF11" s="36"/>
      <c r="VHG11" s="37"/>
      <c r="VHH11" s="36"/>
      <c r="VHI11" s="37"/>
      <c r="VHJ11" s="36"/>
      <c r="VHK11" s="37"/>
      <c r="VHL11" s="36"/>
      <c r="VHM11" s="37"/>
      <c r="VHN11" s="36"/>
      <c r="VHO11" s="37"/>
      <c r="VHP11" s="36"/>
      <c r="VHQ11" s="37"/>
      <c r="VHR11" s="36"/>
      <c r="VHS11" s="36"/>
      <c r="VHT11" s="37"/>
      <c r="VHU11" s="37"/>
      <c r="VHW11" s="22"/>
      <c r="VHX11" s="35"/>
      <c r="VHY11" s="36"/>
      <c r="VHZ11" s="37"/>
      <c r="VIA11" s="36"/>
      <c r="VIB11" s="37"/>
      <c r="VIC11" s="36"/>
      <c r="VID11" s="37"/>
      <c r="VIE11" s="36"/>
      <c r="VIF11" s="37"/>
      <c r="VIG11" s="36"/>
      <c r="VIH11" s="37"/>
      <c r="VII11" s="36"/>
      <c r="VIJ11" s="37"/>
      <c r="VIK11" s="36"/>
      <c r="VIL11" s="37"/>
      <c r="VIM11" s="36"/>
      <c r="VIN11" s="37"/>
      <c r="VIO11" s="36"/>
      <c r="VIP11" s="37"/>
      <c r="VIQ11" s="36"/>
      <c r="VIR11" s="36"/>
      <c r="VIS11" s="37"/>
      <c r="VIT11" s="37"/>
      <c r="VIV11" s="22"/>
      <c r="VIW11" s="35"/>
      <c r="VIX11" s="36"/>
      <c r="VIY11" s="37"/>
      <c r="VIZ11" s="36"/>
      <c r="VJA11" s="37"/>
      <c r="VJB11" s="36"/>
      <c r="VJC11" s="37"/>
      <c r="VJD11" s="36"/>
      <c r="VJE11" s="37"/>
      <c r="VJF11" s="36"/>
      <c r="VJG11" s="37"/>
      <c r="VJH11" s="36"/>
      <c r="VJI11" s="37"/>
      <c r="VJJ11" s="36"/>
      <c r="VJK11" s="37"/>
      <c r="VJL11" s="36"/>
      <c r="VJM11" s="37"/>
      <c r="VJN11" s="36"/>
      <c r="VJO11" s="37"/>
      <c r="VJP11" s="36"/>
      <c r="VJQ11" s="36"/>
      <c r="VJR11" s="37"/>
      <c r="VJS11" s="37"/>
      <c r="VJU11" s="22"/>
      <c r="VJV11" s="35"/>
      <c r="VJW11" s="36"/>
      <c r="VJX11" s="37"/>
      <c r="VJY11" s="36"/>
      <c r="VJZ11" s="37"/>
      <c r="VKA11" s="36"/>
      <c r="VKB11" s="37"/>
      <c r="VKC11" s="36"/>
      <c r="VKD11" s="37"/>
      <c r="VKE11" s="36"/>
      <c r="VKF11" s="37"/>
      <c r="VKG11" s="36"/>
      <c r="VKH11" s="37"/>
      <c r="VKI11" s="36"/>
      <c r="VKJ11" s="37"/>
      <c r="VKK11" s="36"/>
      <c r="VKL11" s="37"/>
      <c r="VKM11" s="36"/>
      <c r="VKN11" s="37"/>
      <c r="VKO11" s="36"/>
      <c r="VKP11" s="36"/>
      <c r="VKQ11" s="37"/>
      <c r="VKR11" s="37"/>
      <c r="VKT11" s="22"/>
      <c r="VKU11" s="35"/>
      <c r="VKV11" s="36"/>
      <c r="VKW11" s="37"/>
      <c r="VKX11" s="36"/>
      <c r="VKY11" s="37"/>
      <c r="VKZ11" s="36"/>
      <c r="VLA11" s="37"/>
      <c r="VLB11" s="36"/>
      <c r="VLC11" s="37"/>
      <c r="VLD11" s="36"/>
      <c r="VLE11" s="37"/>
      <c r="VLF11" s="36"/>
      <c r="VLG11" s="37"/>
      <c r="VLH11" s="36"/>
      <c r="VLI11" s="37"/>
      <c r="VLJ11" s="36"/>
      <c r="VLK11" s="37"/>
      <c r="VLL11" s="36"/>
      <c r="VLM11" s="37"/>
      <c r="VLN11" s="36"/>
      <c r="VLO11" s="36"/>
      <c r="VLP11" s="37"/>
      <c r="VLQ11" s="37"/>
      <c r="VLS11" s="22"/>
      <c r="VLT11" s="35"/>
      <c r="VLU11" s="36"/>
      <c r="VLV11" s="37"/>
      <c r="VLW11" s="36"/>
      <c r="VLX11" s="37"/>
      <c r="VLY11" s="36"/>
      <c r="VLZ11" s="37"/>
      <c r="VMA11" s="36"/>
      <c r="VMB11" s="37"/>
      <c r="VMC11" s="36"/>
      <c r="VMD11" s="37"/>
      <c r="VME11" s="36"/>
      <c r="VMF11" s="37"/>
      <c r="VMG11" s="36"/>
      <c r="VMH11" s="37"/>
      <c r="VMI11" s="36"/>
      <c r="VMJ11" s="37"/>
      <c r="VMK11" s="36"/>
      <c r="VML11" s="37"/>
      <c r="VMM11" s="36"/>
      <c r="VMN11" s="36"/>
      <c r="VMO11" s="37"/>
      <c r="VMP11" s="37"/>
      <c r="VMR11" s="22"/>
      <c r="VMS11" s="35"/>
      <c r="VMT11" s="36"/>
      <c r="VMU11" s="37"/>
      <c r="VMV11" s="36"/>
      <c r="VMW11" s="37"/>
      <c r="VMX11" s="36"/>
      <c r="VMY11" s="37"/>
      <c r="VMZ11" s="36"/>
      <c r="VNA11" s="37"/>
      <c r="VNB11" s="36"/>
      <c r="VNC11" s="37"/>
      <c r="VND11" s="36"/>
      <c r="VNE11" s="37"/>
      <c r="VNF11" s="36"/>
      <c r="VNG11" s="37"/>
      <c r="VNH11" s="36"/>
      <c r="VNI11" s="37"/>
      <c r="VNJ11" s="36"/>
      <c r="VNK11" s="37"/>
      <c r="VNL11" s="36"/>
      <c r="VNM11" s="36"/>
      <c r="VNN11" s="37"/>
      <c r="VNO11" s="37"/>
      <c r="VNQ11" s="22"/>
      <c r="VNR11" s="35"/>
      <c r="VNS11" s="36"/>
      <c r="VNT11" s="37"/>
      <c r="VNU11" s="36"/>
      <c r="VNV11" s="37"/>
      <c r="VNW11" s="36"/>
      <c r="VNX11" s="37"/>
      <c r="VNY11" s="36"/>
      <c r="VNZ11" s="37"/>
      <c r="VOA11" s="36"/>
      <c r="VOB11" s="37"/>
      <c r="VOC11" s="36"/>
      <c r="VOD11" s="37"/>
      <c r="VOE11" s="36"/>
      <c r="VOF11" s="37"/>
      <c r="VOG11" s="36"/>
      <c r="VOH11" s="37"/>
      <c r="VOI11" s="36"/>
      <c r="VOJ11" s="37"/>
      <c r="VOK11" s="36"/>
      <c r="VOL11" s="36"/>
      <c r="VOM11" s="37"/>
      <c r="VON11" s="37"/>
      <c r="VOP11" s="22"/>
      <c r="VOQ11" s="35"/>
      <c r="VOR11" s="36"/>
      <c r="VOS11" s="37"/>
      <c r="VOT11" s="36"/>
      <c r="VOU11" s="37"/>
      <c r="VOV11" s="36"/>
      <c r="VOW11" s="37"/>
      <c r="VOX11" s="36"/>
      <c r="VOY11" s="37"/>
      <c r="VOZ11" s="36"/>
      <c r="VPA11" s="37"/>
      <c r="VPB11" s="36"/>
      <c r="VPC11" s="37"/>
      <c r="VPD11" s="36"/>
      <c r="VPE11" s="37"/>
      <c r="VPF11" s="36"/>
      <c r="VPG11" s="37"/>
      <c r="VPH11" s="36"/>
      <c r="VPI11" s="37"/>
      <c r="VPJ11" s="36"/>
      <c r="VPK11" s="36"/>
      <c r="VPL11" s="37"/>
      <c r="VPM11" s="37"/>
      <c r="VPO11" s="22"/>
      <c r="VPP11" s="35"/>
      <c r="VPQ11" s="36"/>
      <c r="VPR11" s="37"/>
      <c r="VPS11" s="36"/>
      <c r="VPT11" s="37"/>
      <c r="VPU11" s="36"/>
      <c r="VPV11" s="37"/>
      <c r="VPW11" s="36"/>
      <c r="VPX11" s="37"/>
      <c r="VPY11" s="36"/>
      <c r="VPZ11" s="37"/>
      <c r="VQA11" s="36"/>
      <c r="VQB11" s="37"/>
      <c r="VQC11" s="36"/>
      <c r="VQD11" s="37"/>
      <c r="VQE11" s="36"/>
      <c r="VQF11" s="37"/>
      <c r="VQG11" s="36"/>
      <c r="VQH11" s="37"/>
      <c r="VQI11" s="36"/>
      <c r="VQJ11" s="36"/>
      <c r="VQK11" s="37"/>
      <c r="VQL11" s="37"/>
      <c r="VQN11" s="22"/>
      <c r="VQO11" s="35"/>
      <c r="VQP11" s="36"/>
      <c r="VQQ11" s="37"/>
      <c r="VQR11" s="36"/>
      <c r="VQS11" s="37"/>
      <c r="VQT11" s="36"/>
      <c r="VQU11" s="37"/>
      <c r="VQV11" s="36"/>
      <c r="VQW11" s="37"/>
      <c r="VQX11" s="36"/>
      <c r="VQY11" s="37"/>
      <c r="VQZ11" s="36"/>
      <c r="VRA11" s="37"/>
      <c r="VRB11" s="36"/>
      <c r="VRC11" s="37"/>
      <c r="VRD11" s="36"/>
      <c r="VRE11" s="37"/>
      <c r="VRF11" s="36"/>
      <c r="VRG11" s="37"/>
      <c r="VRH11" s="36"/>
      <c r="VRI11" s="36"/>
      <c r="VRJ11" s="37"/>
      <c r="VRK11" s="37"/>
      <c r="VRM11" s="22"/>
      <c r="VRN11" s="35"/>
      <c r="VRO11" s="36"/>
      <c r="VRP11" s="37"/>
      <c r="VRQ11" s="36"/>
      <c r="VRR11" s="37"/>
      <c r="VRS11" s="36"/>
      <c r="VRT11" s="37"/>
      <c r="VRU11" s="36"/>
      <c r="VRV11" s="37"/>
      <c r="VRW11" s="36"/>
      <c r="VRX11" s="37"/>
      <c r="VRY11" s="36"/>
      <c r="VRZ11" s="37"/>
      <c r="VSA11" s="36"/>
      <c r="VSB11" s="37"/>
      <c r="VSC11" s="36"/>
      <c r="VSD11" s="37"/>
      <c r="VSE11" s="36"/>
      <c r="VSF11" s="37"/>
      <c r="VSG11" s="36"/>
      <c r="VSH11" s="36"/>
      <c r="VSI11" s="37"/>
      <c r="VSJ11" s="37"/>
      <c r="VSL11" s="22"/>
      <c r="VSM11" s="35"/>
      <c r="VSN11" s="36"/>
      <c r="VSO11" s="37"/>
      <c r="VSP11" s="36"/>
      <c r="VSQ11" s="37"/>
      <c r="VSR11" s="36"/>
      <c r="VSS11" s="37"/>
      <c r="VST11" s="36"/>
      <c r="VSU11" s="37"/>
      <c r="VSV11" s="36"/>
      <c r="VSW11" s="37"/>
      <c r="VSX11" s="36"/>
      <c r="VSY11" s="37"/>
      <c r="VSZ11" s="36"/>
      <c r="VTA11" s="37"/>
      <c r="VTB11" s="36"/>
      <c r="VTC11" s="37"/>
      <c r="VTD11" s="36"/>
      <c r="VTE11" s="37"/>
      <c r="VTF11" s="36"/>
      <c r="VTG11" s="36"/>
      <c r="VTH11" s="37"/>
      <c r="VTI11" s="37"/>
      <c r="VTK11" s="22"/>
      <c r="VTL11" s="35"/>
      <c r="VTM11" s="36"/>
      <c r="VTN11" s="37"/>
      <c r="VTO11" s="36"/>
      <c r="VTP11" s="37"/>
      <c r="VTQ11" s="36"/>
      <c r="VTR11" s="37"/>
      <c r="VTS11" s="36"/>
      <c r="VTT11" s="37"/>
      <c r="VTU11" s="36"/>
      <c r="VTV11" s="37"/>
      <c r="VTW11" s="36"/>
      <c r="VTX11" s="37"/>
      <c r="VTY11" s="36"/>
      <c r="VTZ11" s="37"/>
      <c r="VUA11" s="36"/>
      <c r="VUB11" s="37"/>
      <c r="VUC11" s="36"/>
      <c r="VUD11" s="37"/>
      <c r="VUE11" s="36"/>
      <c r="VUF11" s="36"/>
      <c r="VUG11" s="37"/>
      <c r="VUH11" s="37"/>
      <c r="VUJ11" s="22"/>
      <c r="VUK11" s="35"/>
      <c r="VUL11" s="36"/>
      <c r="VUM11" s="37"/>
      <c r="VUN11" s="36"/>
      <c r="VUO11" s="37"/>
      <c r="VUP11" s="36"/>
      <c r="VUQ11" s="37"/>
      <c r="VUR11" s="36"/>
      <c r="VUS11" s="37"/>
      <c r="VUT11" s="36"/>
      <c r="VUU11" s="37"/>
      <c r="VUV11" s="36"/>
      <c r="VUW11" s="37"/>
      <c r="VUX11" s="36"/>
      <c r="VUY11" s="37"/>
      <c r="VUZ11" s="36"/>
      <c r="VVA11" s="37"/>
      <c r="VVB11" s="36"/>
      <c r="VVC11" s="37"/>
      <c r="VVD11" s="36"/>
      <c r="VVE11" s="36"/>
      <c r="VVF11" s="37"/>
      <c r="VVG11" s="37"/>
      <c r="VVI11" s="22"/>
      <c r="VVJ11" s="35"/>
      <c r="VVK11" s="36"/>
      <c r="VVL11" s="37"/>
      <c r="VVM11" s="36"/>
      <c r="VVN11" s="37"/>
      <c r="VVO11" s="36"/>
      <c r="VVP11" s="37"/>
      <c r="VVQ11" s="36"/>
      <c r="VVR11" s="37"/>
      <c r="VVS11" s="36"/>
      <c r="VVT11" s="37"/>
      <c r="VVU11" s="36"/>
      <c r="VVV11" s="37"/>
      <c r="VVW11" s="36"/>
      <c r="VVX11" s="37"/>
      <c r="VVY11" s="36"/>
      <c r="VVZ11" s="37"/>
      <c r="VWA11" s="36"/>
      <c r="VWB11" s="37"/>
      <c r="VWC11" s="36"/>
      <c r="VWD11" s="36"/>
      <c r="VWE11" s="37"/>
      <c r="VWF11" s="37"/>
      <c r="VWH11" s="22"/>
      <c r="VWI11" s="35"/>
      <c r="VWJ11" s="36"/>
      <c r="VWK11" s="37"/>
      <c r="VWL11" s="36"/>
      <c r="VWM11" s="37"/>
      <c r="VWN11" s="36"/>
      <c r="VWO11" s="37"/>
      <c r="VWP11" s="36"/>
      <c r="VWQ11" s="37"/>
      <c r="VWR11" s="36"/>
      <c r="VWS11" s="37"/>
      <c r="VWT11" s="36"/>
      <c r="VWU11" s="37"/>
      <c r="VWV11" s="36"/>
      <c r="VWW11" s="37"/>
      <c r="VWX11" s="36"/>
      <c r="VWY11" s="37"/>
      <c r="VWZ11" s="36"/>
      <c r="VXA11" s="37"/>
      <c r="VXB11" s="36"/>
      <c r="VXC11" s="36"/>
      <c r="VXD11" s="37"/>
      <c r="VXE11" s="37"/>
      <c r="VXG11" s="22"/>
      <c r="VXH11" s="35"/>
      <c r="VXI11" s="36"/>
      <c r="VXJ11" s="37"/>
      <c r="VXK11" s="36"/>
      <c r="VXL11" s="37"/>
      <c r="VXM11" s="36"/>
      <c r="VXN11" s="37"/>
      <c r="VXO11" s="36"/>
      <c r="VXP11" s="37"/>
      <c r="VXQ11" s="36"/>
      <c r="VXR11" s="37"/>
      <c r="VXS11" s="36"/>
      <c r="VXT11" s="37"/>
      <c r="VXU11" s="36"/>
      <c r="VXV11" s="37"/>
      <c r="VXW11" s="36"/>
      <c r="VXX11" s="37"/>
      <c r="VXY11" s="36"/>
      <c r="VXZ11" s="37"/>
      <c r="VYA11" s="36"/>
      <c r="VYB11" s="36"/>
      <c r="VYC11" s="37"/>
      <c r="VYD11" s="37"/>
      <c r="VYF11" s="22"/>
      <c r="VYG11" s="35"/>
      <c r="VYH11" s="36"/>
      <c r="VYI11" s="37"/>
      <c r="VYJ11" s="36"/>
      <c r="VYK11" s="37"/>
      <c r="VYL11" s="36"/>
      <c r="VYM11" s="37"/>
      <c r="VYN11" s="36"/>
      <c r="VYO11" s="37"/>
      <c r="VYP11" s="36"/>
      <c r="VYQ11" s="37"/>
      <c r="VYR11" s="36"/>
      <c r="VYS11" s="37"/>
      <c r="VYT11" s="36"/>
      <c r="VYU11" s="37"/>
      <c r="VYV11" s="36"/>
      <c r="VYW11" s="37"/>
      <c r="VYX11" s="36"/>
      <c r="VYY11" s="37"/>
      <c r="VYZ11" s="36"/>
      <c r="VZA11" s="36"/>
      <c r="VZB11" s="37"/>
      <c r="VZC11" s="37"/>
      <c r="VZE11" s="22"/>
      <c r="VZF11" s="35"/>
      <c r="VZG11" s="36"/>
      <c r="VZH11" s="37"/>
      <c r="VZI11" s="36"/>
      <c r="VZJ11" s="37"/>
      <c r="VZK11" s="36"/>
      <c r="VZL11" s="37"/>
      <c r="VZM11" s="36"/>
      <c r="VZN11" s="37"/>
      <c r="VZO11" s="36"/>
      <c r="VZP11" s="37"/>
      <c r="VZQ11" s="36"/>
      <c r="VZR11" s="37"/>
      <c r="VZS11" s="36"/>
      <c r="VZT11" s="37"/>
      <c r="VZU11" s="36"/>
      <c r="VZV11" s="37"/>
      <c r="VZW11" s="36"/>
      <c r="VZX11" s="37"/>
      <c r="VZY11" s="36"/>
      <c r="VZZ11" s="36"/>
      <c r="WAA11" s="37"/>
      <c r="WAB11" s="37"/>
      <c r="WAD11" s="22"/>
      <c r="WAE11" s="35"/>
      <c r="WAF11" s="36"/>
      <c r="WAG11" s="37"/>
      <c r="WAH11" s="36"/>
      <c r="WAI11" s="37"/>
      <c r="WAJ11" s="36"/>
      <c r="WAK11" s="37"/>
      <c r="WAL11" s="36"/>
      <c r="WAM11" s="37"/>
      <c r="WAN11" s="36"/>
      <c r="WAO11" s="37"/>
      <c r="WAP11" s="36"/>
      <c r="WAQ11" s="37"/>
      <c r="WAR11" s="36"/>
      <c r="WAS11" s="37"/>
      <c r="WAT11" s="36"/>
      <c r="WAU11" s="37"/>
      <c r="WAV11" s="36"/>
      <c r="WAW11" s="37"/>
      <c r="WAX11" s="36"/>
      <c r="WAY11" s="36"/>
      <c r="WAZ11" s="37"/>
      <c r="WBA11" s="37"/>
      <c r="WBC11" s="22"/>
      <c r="WBD11" s="35"/>
      <c r="WBE11" s="36"/>
      <c r="WBF11" s="37"/>
      <c r="WBG11" s="36"/>
      <c r="WBH11" s="37"/>
      <c r="WBI11" s="36"/>
      <c r="WBJ11" s="37"/>
      <c r="WBK11" s="36"/>
      <c r="WBL11" s="37"/>
      <c r="WBM11" s="36"/>
      <c r="WBN11" s="37"/>
      <c r="WBO11" s="36"/>
      <c r="WBP11" s="37"/>
      <c r="WBQ11" s="36"/>
      <c r="WBR11" s="37"/>
      <c r="WBS11" s="36"/>
      <c r="WBT11" s="37"/>
      <c r="WBU11" s="36"/>
      <c r="WBV11" s="37"/>
      <c r="WBW11" s="36"/>
      <c r="WBX11" s="36"/>
      <c r="WBY11" s="37"/>
      <c r="WBZ11" s="37"/>
      <c r="WCB11" s="22"/>
      <c r="WCC11" s="35"/>
      <c r="WCD11" s="36"/>
      <c r="WCE11" s="37"/>
      <c r="WCF11" s="36"/>
      <c r="WCG11" s="37"/>
      <c r="WCH11" s="36"/>
      <c r="WCI11" s="37"/>
      <c r="WCJ11" s="36"/>
      <c r="WCK11" s="37"/>
      <c r="WCL11" s="36"/>
      <c r="WCM11" s="37"/>
      <c r="WCN11" s="36"/>
      <c r="WCO11" s="37"/>
      <c r="WCP11" s="36"/>
      <c r="WCQ11" s="37"/>
      <c r="WCR11" s="36"/>
      <c r="WCS11" s="37"/>
      <c r="WCT11" s="36"/>
      <c r="WCU11" s="37"/>
      <c r="WCV11" s="36"/>
      <c r="WCW11" s="36"/>
      <c r="WCX11" s="37"/>
      <c r="WCY11" s="37"/>
      <c r="WDA11" s="22"/>
      <c r="WDB11" s="35"/>
      <c r="WDC11" s="36"/>
      <c r="WDD11" s="37"/>
      <c r="WDE11" s="36"/>
      <c r="WDF11" s="37"/>
      <c r="WDG11" s="36"/>
      <c r="WDH11" s="37"/>
      <c r="WDI11" s="36"/>
      <c r="WDJ11" s="37"/>
      <c r="WDK11" s="36"/>
      <c r="WDL11" s="37"/>
      <c r="WDM11" s="36"/>
      <c r="WDN11" s="37"/>
      <c r="WDO11" s="36"/>
      <c r="WDP11" s="37"/>
      <c r="WDQ11" s="36"/>
      <c r="WDR11" s="37"/>
      <c r="WDS11" s="36"/>
      <c r="WDT11" s="37"/>
      <c r="WDU11" s="36"/>
      <c r="WDV11" s="36"/>
      <c r="WDW11" s="37"/>
      <c r="WDX11" s="37"/>
      <c r="WDZ11" s="22"/>
      <c r="WEA11" s="35"/>
      <c r="WEB11" s="36"/>
      <c r="WEC11" s="37"/>
      <c r="WED11" s="36"/>
      <c r="WEE11" s="37"/>
      <c r="WEF11" s="36"/>
      <c r="WEG11" s="37"/>
      <c r="WEH11" s="36"/>
      <c r="WEI11" s="37"/>
      <c r="WEJ11" s="36"/>
      <c r="WEK11" s="37"/>
      <c r="WEL11" s="36"/>
      <c r="WEM11" s="37"/>
      <c r="WEN11" s="36"/>
      <c r="WEO11" s="37"/>
      <c r="WEP11" s="36"/>
      <c r="WEQ11" s="37"/>
      <c r="WER11" s="36"/>
      <c r="WES11" s="37"/>
      <c r="WET11" s="36"/>
      <c r="WEU11" s="36"/>
      <c r="WEV11" s="37"/>
      <c r="WEW11" s="37"/>
      <c r="WEY11" s="22"/>
      <c r="WEZ11" s="35"/>
      <c r="WFA11" s="36"/>
      <c r="WFB11" s="37"/>
      <c r="WFC11" s="36"/>
      <c r="WFD11" s="37"/>
      <c r="WFE11" s="36"/>
      <c r="WFF11" s="37"/>
      <c r="WFG11" s="36"/>
      <c r="WFH11" s="37"/>
      <c r="WFI11" s="36"/>
      <c r="WFJ11" s="37"/>
      <c r="WFK11" s="36"/>
      <c r="WFL11" s="37"/>
      <c r="WFM11" s="36"/>
      <c r="WFN11" s="37"/>
      <c r="WFO11" s="36"/>
      <c r="WFP11" s="37"/>
      <c r="WFQ11" s="36"/>
      <c r="WFR11" s="37"/>
      <c r="WFS11" s="36"/>
      <c r="WFT11" s="36"/>
      <c r="WFU11" s="37"/>
      <c r="WFV11" s="37"/>
      <c r="WFX11" s="22"/>
      <c r="WFY11" s="35"/>
      <c r="WFZ11" s="36"/>
      <c r="WGA11" s="37"/>
      <c r="WGB11" s="36"/>
      <c r="WGC11" s="37"/>
      <c r="WGD11" s="36"/>
      <c r="WGE11" s="37"/>
      <c r="WGF11" s="36"/>
      <c r="WGG11" s="37"/>
      <c r="WGH11" s="36"/>
      <c r="WGI11" s="37"/>
      <c r="WGJ11" s="36"/>
      <c r="WGK11" s="37"/>
      <c r="WGL11" s="36"/>
      <c r="WGM11" s="37"/>
      <c r="WGN11" s="36"/>
      <c r="WGO11" s="37"/>
      <c r="WGP11" s="36"/>
      <c r="WGQ11" s="37"/>
      <c r="WGR11" s="36"/>
      <c r="WGS11" s="36"/>
      <c r="WGT11" s="37"/>
      <c r="WGU11" s="37"/>
      <c r="WGW11" s="22"/>
      <c r="WGX11" s="35"/>
      <c r="WGY11" s="36"/>
      <c r="WGZ11" s="37"/>
      <c r="WHA11" s="36"/>
      <c r="WHB11" s="37"/>
      <c r="WHC11" s="36"/>
      <c r="WHD11" s="37"/>
      <c r="WHE11" s="36"/>
      <c r="WHF11" s="37"/>
      <c r="WHG11" s="36"/>
      <c r="WHH11" s="37"/>
      <c r="WHI11" s="36"/>
      <c r="WHJ11" s="37"/>
      <c r="WHK11" s="36"/>
      <c r="WHL11" s="37"/>
      <c r="WHM11" s="36"/>
      <c r="WHN11" s="37"/>
      <c r="WHO11" s="36"/>
      <c r="WHP11" s="37"/>
      <c r="WHQ11" s="36"/>
      <c r="WHR11" s="36"/>
      <c r="WHS11" s="37"/>
      <c r="WHT11" s="37"/>
      <c r="WHV11" s="22"/>
      <c r="WHW11" s="35"/>
      <c r="WHX11" s="36"/>
      <c r="WHY11" s="37"/>
      <c r="WHZ11" s="36"/>
      <c r="WIA11" s="37"/>
      <c r="WIB11" s="36"/>
      <c r="WIC11" s="37"/>
      <c r="WID11" s="36"/>
      <c r="WIE11" s="37"/>
      <c r="WIF11" s="36"/>
      <c r="WIG11" s="37"/>
      <c r="WIH11" s="36"/>
      <c r="WII11" s="37"/>
      <c r="WIJ11" s="36"/>
      <c r="WIK11" s="37"/>
      <c r="WIL11" s="36"/>
      <c r="WIM11" s="37"/>
      <c r="WIN11" s="36"/>
      <c r="WIO11" s="37"/>
      <c r="WIP11" s="36"/>
      <c r="WIQ11" s="36"/>
      <c r="WIR11" s="37"/>
      <c r="WIS11" s="37"/>
      <c r="WIU11" s="22"/>
      <c r="WIV11" s="35"/>
      <c r="WIW11" s="36"/>
      <c r="WIX11" s="37"/>
      <c r="WIY11" s="36"/>
      <c r="WIZ11" s="37"/>
      <c r="WJA11" s="36"/>
      <c r="WJB11" s="37"/>
      <c r="WJC11" s="36"/>
      <c r="WJD11" s="37"/>
      <c r="WJE11" s="36"/>
      <c r="WJF11" s="37"/>
      <c r="WJG11" s="36"/>
      <c r="WJH11" s="37"/>
      <c r="WJI11" s="36"/>
      <c r="WJJ11" s="37"/>
      <c r="WJK11" s="36"/>
      <c r="WJL11" s="37"/>
      <c r="WJM11" s="36"/>
      <c r="WJN11" s="37"/>
      <c r="WJO11" s="36"/>
      <c r="WJP11" s="36"/>
      <c r="WJQ11" s="37"/>
      <c r="WJR11" s="37"/>
      <c r="WJT11" s="22"/>
      <c r="WJU11" s="35"/>
      <c r="WJV11" s="36"/>
      <c r="WJW11" s="37"/>
      <c r="WJX11" s="36"/>
      <c r="WJY11" s="37"/>
      <c r="WJZ11" s="36"/>
      <c r="WKA11" s="37"/>
      <c r="WKB11" s="36"/>
      <c r="WKC11" s="37"/>
      <c r="WKD11" s="36"/>
      <c r="WKE11" s="37"/>
      <c r="WKF11" s="36"/>
      <c r="WKG11" s="37"/>
      <c r="WKH11" s="36"/>
      <c r="WKI11" s="37"/>
      <c r="WKJ11" s="36"/>
      <c r="WKK11" s="37"/>
      <c r="WKL11" s="36"/>
      <c r="WKM11" s="37"/>
      <c r="WKN11" s="36"/>
      <c r="WKO11" s="36"/>
      <c r="WKP11" s="37"/>
      <c r="WKQ11" s="37"/>
      <c r="WKS11" s="22"/>
      <c r="WKT11" s="35"/>
      <c r="WKU11" s="36"/>
      <c r="WKV11" s="37"/>
      <c r="WKW11" s="36"/>
      <c r="WKX11" s="37"/>
      <c r="WKY11" s="36"/>
      <c r="WKZ11" s="37"/>
      <c r="WLA11" s="36"/>
      <c r="WLB11" s="37"/>
      <c r="WLC11" s="36"/>
      <c r="WLD11" s="37"/>
      <c r="WLE11" s="36"/>
      <c r="WLF11" s="37"/>
      <c r="WLG11" s="36"/>
      <c r="WLH11" s="37"/>
      <c r="WLI11" s="36"/>
      <c r="WLJ11" s="37"/>
      <c r="WLK11" s="36"/>
      <c r="WLL11" s="37"/>
      <c r="WLM11" s="36"/>
      <c r="WLN11" s="36"/>
      <c r="WLO11" s="37"/>
      <c r="WLP11" s="37"/>
      <c r="WLR11" s="22"/>
      <c r="WLS11" s="35"/>
      <c r="WLT11" s="36"/>
      <c r="WLU11" s="37"/>
      <c r="WLV11" s="36"/>
      <c r="WLW11" s="37"/>
      <c r="WLX11" s="36"/>
      <c r="WLY11" s="37"/>
      <c r="WLZ11" s="36"/>
      <c r="WMA11" s="37"/>
      <c r="WMB11" s="36"/>
      <c r="WMC11" s="37"/>
      <c r="WMD11" s="36"/>
      <c r="WME11" s="37"/>
      <c r="WMF11" s="36"/>
      <c r="WMG11" s="37"/>
      <c r="WMH11" s="36"/>
      <c r="WMI11" s="37"/>
      <c r="WMJ11" s="36"/>
      <c r="WMK11" s="37"/>
      <c r="WML11" s="36"/>
      <c r="WMM11" s="36"/>
      <c r="WMN11" s="37"/>
      <c r="WMO11" s="37"/>
      <c r="WMQ11" s="22"/>
      <c r="WMR11" s="35"/>
      <c r="WMS11" s="36"/>
      <c r="WMT11" s="37"/>
      <c r="WMU11" s="36"/>
      <c r="WMV11" s="37"/>
      <c r="WMW11" s="36"/>
      <c r="WMX11" s="37"/>
      <c r="WMY11" s="36"/>
      <c r="WMZ11" s="37"/>
      <c r="WNA11" s="36"/>
      <c r="WNB11" s="37"/>
      <c r="WNC11" s="36"/>
      <c r="WND11" s="37"/>
      <c r="WNE11" s="36"/>
      <c r="WNF11" s="37"/>
      <c r="WNG11" s="36"/>
      <c r="WNH11" s="37"/>
      <c r="WNI11" s="36"/>
      <c r="WNJ11" s="37"/>
      <c r="WNK11" s="36"/>
      <c r="WNL11" s="36"/>
      <c r="WNM11" s="37"/>
      <c r="WNN11" s="37"/>
      <c r="WNP11" s="22"/>
      <c r="WNQ11" s="35"/>
      <c r="WNR11" s="36"/>
      <c r="WNS11" s="37"/>
      <c r="WNT11" s="36"/>
      <c r="WNU11" s="37"/>
      <c r="WNV11" s="36"/>
      <c r="WNW11" s="37"/>
      <c r="WNX11" s="36"/>
      <c r="WNY11" s="37"/>
      <c r="WNZ11" s="36"/>
      <c r="WOA11" s="37"/>
      <c r="WOB11" s="36"/>
      <c r="WOC11" s="37"/>
      <c r="WOD11" s="36"/>
      <c r="WOE11" s="37"/>
      <c r="WOF11" s="36"/>
      <c r="WOG11" s="37"/>
      <c r="WOH11" s="36"/>
      <c r="WOI11" s="37"/>
      <c r="WOJ11" s="36"/>
      <c r="WOK11" s="36"/>
      <c r="WOL11" s="37"/>
      <c r="WOM11" s="37"/>
      <c r="WOO11" s="22"/>
      <c r="WOP11" s="35"/>
      <c r="WOQ11" s="36"/>
      <c r="WOR11" s="37"/>
      <c r="WOS11" s="36"/>
      <c r="WOT11" s="37"/>
      <c r="WOU11" s="36"/>
      <c r="WOV11" s="37"/>
      <c r="WOW11" s="36"/>
      <c r="WOX11" s="37"/>
      <c r="WOY11" s="36"/>
      <c r="WOZ11" s="37"/>
      <c r="WPA11" s="36"/>
      <c r="WPB11" s="37"/>
      <c r="WPC11" s="36"/>
      <c r="WPD11" s="37"/>
      <c r="WPE11" s="36"/>
      <c r="WPF11" s="37"/>
      <c r="WPG11" s="36"/>
      <c r="WPH11" s="37"/>
      <c r="WPI11" s="36"/>
      <c r="WPJ11" s="36"/>
      <c r="WPK11" s="37"/>
      <c r="WPL11" s="37"/>
      <c r="WPN11" s="22"/>
      <c r="WPO11" s="35"/>
      <c r="WPP11" s="36"/>
      <c r="WPQ11" s="37"/>
      <c r="WPR11" s="36"/>
      <c r="WPS11" s="37"/>
      <c r="WPT11" s="36"/>
      <c r="WPU11" s="37"/>
      <c r="WPV11" s="36"/>
      <c r="WPW11" s="37"/>
      <c r="WPX11" s="36"/>
      <c r="WPY11" s="37"/>
      <c r="WPZ11" s="36"/>
      <c r="WQA11" s="37"/>
      <c r="WQB11" s="36"/>
      <c r="WQC11" s="37"/>
      <c r="WQD11" s="36"/>
      <c r="WQE11" s="37"/>
      <c r="WQF11" s="36"/>
      <c r="WQG11" s="37"/>
      <c r="WQH11" s="36"/>
      <c r="WQI11" s="36"/>
      <c r="WQJ11" s="37"/>
      <c r="WQK11" s="37"/>
      <c r="WQM11" s="22"/>
      <c r="WQN11" s="35"/>
      <c r="WQO11" s="36"/>
      <c r="WQP11" s="37"/>
      <c r="WQQ11" s="36"/>
      <c r="WQR11" s="37"/>
      <c r="WQS11" s="36"/>
      <c r="WQT11" s="37"/>
      <c r="WQU11" s="36"/>
      <c r="WQV11" s="37"/>
      <c r="WQW11" s="36"/>
      <c r="WQX11" s="37"/>
      <c r="WQY11" s="36"/>
      <c r="WQZ11" s="37"/>
      <c r="WRA11" s="36"/>
      <c r="WRB11" s="37"/>
      <c r="WRC11" s="36"/>
      <c r="WRD11" s="37"/>
      <c r="WRE11" s="36"/>
      <c r="WRF11" s="37"/>
      <c r="WRG11" s="36"/>
      <c r="WRH11" s="36"/>
      <c r="WRI11" s="37"/>
      <c r="WRJ11" s="37"/>
      <c r="WRL11" s="22"/>
      <c r="WRM11" s="35"/>
      <c r="WRN11" s="36"/>
      <c r="WRO11" s="37"/>
      <c r="WRP11" s="36"/>
      <c r="WRQ11" s="37"/>
      <c r="WRR11" s="36"/>
      <c r="WRS11" s="37"/>
      <c r="WRT11" s="36"/>
      <c r="WRU11" s="37"/>
      <c r="WRV11" s="36"/>
      <c r="WRW11" s="37"/>
      <c r="WRX11" s="36"/>
      <c r="WRY11" s="37"/>
      <c r="WRZ11" s="36"/>
      <c r="WSA11" s="37"/>
      <c r="WSB11" s="36"/>
      <c r="WSC11" s="37"/>
      <c r="WSD11" s="36"/>
      <c r="WSE11" s="37"/>
      <c r="WSF11" s="36"/>
      <c r="WSG11" s="36"/>
      <c r="WSH11" s="37"/>
      <c r="WSI11" s="37"/>
      <c r="WSK11" s="22"/>
      <c r="WSL11" s="35"/>
      <c r="WSM11" s="36"/>
      <c r="WSN11" s="37"/>
      <c r="WSO11" s="36"/>
      <c r="WSP11" s="37"/>
      <c r="WSQ11" s="36"/>
      <c r="WSR11" s="37"/>
      <c r="WSS11" s="36"/>
      <c r="WST11" s="37"/>
      <c r="WSU11" s="36"/>
      <c r="WSV11" s="37"/>
      <c r="WSW11" s="36"/>
      <c r="WSX11" s="37"/>
      <c r="WSY11" s="36"/>
      <c r="WSZ11" s="37"/>
      <c r="WTA11" s="36"/>
      <c r="WTB11" s="37"/>
      <c r="WTC11" s="36"/>
      <c r="WTD11" s="37"/>
      <c r="WTE11" s="36"/>
      <c r="WTF11" s="36"/>
      <c r="WTG11" s="37"/>
      <c r="WTH11" s="37"/>
      <c r="WTJ11" s="22"/>
      <c r="WTK11" s="35"/>
      <c r="WTL11" s="36"/>
      <c r="WTM11" s="37"/>
      <c r="WTN11" s="36"/>
      <c r="WTO11" s="37"/>
      <c r="WTP11" s="36"/>
      <c r="WTQ11" s="37"/>
      <c r="WTR11" s="36"/>
      <c r="WTS11" s="37"/>
      <c r="WTT11" s="36"/>
      <c r="WTU11" s="37"/>
      <c r="WTV11" s="36"/>
      <c r="WTW11" s="37"/>
      <c r="WTX11" s="36"/>
      <c r="WTY11" s="37"/>
      <c r="WTZ11" s="36"/>
      <c r="WUA11" s="37"/>
      <c r="WUB11" s="36"/>
      <c r="WUC11" s="37"/>
      <c r="WUD11" s="36"/>
      <c r="WUE11" s="36"/>
      <c r="WUF11" s="37"/>
      <c r="WUG11" s="37"/>
      <c r="WUI11" s="22"/>
      <c r="WUJ11" s="35"/>
      <c r="WUK11" s="36"/>
      <c r="WUL11" s="37"/>
      <c r="WUM11" s="36"/>
      <c r="WUN11" s="37"/>
      <c r="WUO11" s="36"/>
      <c r="WUP11" s="37"/>
      <c r="WUQ11" s="36"/>
      <c r="WUR11" s="37"/>
      <c r="WUS11" s="36"/>
      <c r="WUT11" s="37"/>
      <c r="WUU11" s="36"/>
      <c r="WUV11" s="37"/>
      <c r="WUW11" s="36"/>
      <c r="WUX11" s="37"/>
      <c r="WUY11" s="36"/>
      <c r="WUZ11" s="37"/>
      <c r="WVA11" s="36"/>
      <c r="WVB11" s="37"/>
      <c r="WVC11" s="36"/>
      <c r="WVD11" s="36"/>
      <c r="WVE11" s="37"/>
      <c r="WVF11" s="37"/>
      <c r="WVH11" s="22"/>
      <c r="WVI11" s="35"/>
      <c r="WVJ11" s="36"/>
      <c r="WVK11" s="37"/>
      <c r="WVL11" s="36"/>
      <c r="WVM11" s="37"/>
      <c r="WVN11" s="36"/>
      <c r="WVO11" s="37"/>
      <c r="WVP11" s="36"/>
      <c r="WVQ11" s="37"/>
      <c r="WVR11" s="36"/>
      <c r="WVS11" s="37"/>
      <c r="WVT11" s="36"/>
      <c r="WVU11" s="37"/>
      <c r="WVV11" s="36"/>
      <c r="WVW11" s="37"/>
      <c r="WVX11" s="36"/>
      <c r="WVY11" s="37"/>
      <c r="WVZ11" s="36"/>
      <c r="WWA11" s="37"/>
      <c r="WWB11" s="36"/>
      <c r="WWC11" s="36"/>
      <c r="WWD11" s="37"/>
      <c r="WWE11" s="37"/>
      <c r="WWG11" s="22"/>
      <c r="WWH11" s="35"/>
      <c r="WWI11" s="36"/>
      <c r="WWJ11" s="37"/>
      <c r="WWK11" s="36"/>
      <c r="WWL11" s="37"/>
      <c r="WWM11" s="36"/>
      <c r="WWN11" s="37"/>
      <c r="WWO11" s="36"/>
      <c r="WWP11" s="37"/>
      <c r="WWQ11" s="36"/>
      <c r="WWR11" s="37"/>
      <c r="WWS11" s="36"/>
      <c r="WWT11" s="37"/>
      <c r="WWU11" s="36"/>
      <c r="WWV11" s="37"/>
      <c r="WWW11" s="36"/>
      <c r="WWX11" s="37"/>
      <c r="WWY11" s="36"/>
      <c r="WWZ11" s="37"/>
      <c r="WXA11" s="36"/>
      <c r="WXB11" s="36"/>
      <c r="WXC11" s="37"/>
      <c r="WXD11" s="37"/>
      <c r="WXF11" s="22"/>
      <c r="WXG11" s="35"/>
      <c r="WXH11" s="36"/>
      <c r="WXI11" s="37"/>
      <c r="WXJ11" s="36"/>
      <c r="WXK11" s="37"/>
      <c r="WXL11" s="36"/>
      <c r="WXM11" s="37"/>
      <c r="WXN11" s="36"/>
      <c r="WXO11" s="37"/>
      <c r="WXP11" s="36"/>
      <c r="WXQ11" s="37"/>
      <c r="WXR11" s="36"/>
      <c r="WXS11" s="37"/>
      <c r="WXT11" s="36"/>
      <c r="WXU11" s="37"/>
      <c r="WXV11" s="36"/>
      <c r="WXW11" s="37"/>
      <c r="WXX11" s="36"/>
      <c r="WXY11" s="37"/>
      <c r="WXZ11" s="36"/>
      <c r="WYA11" s="36"/>
      <c r="WYB11" s="37"/>
      <c r="WYC11" s="37"/>
      <c r="WYE11" s="22"/>
      <c r="WYF11" s="35"/>
      <c r="WYG11" s="36"/>
      <c r="WYH11" s="37"/>
      <c r="WYI11" s="36"/>
      <c r="WYJ11" s="37"/>
      <c r="WYK11" s="36"/>
      <c r="WYL11" s="37"/>
      <c r="WYM11" s="36"/>
      <c r="WYN11" s="37"/>
      <c r="WYO11" s="36"/>
      <c r="WYP11" s="37"/>
      <c r="WYQ11" s="36"/>
      <c r="WYR11" s="37"/>
      <c r="WYS11" s="36"/>
      <c r="WYT11" s="37"/>
      <c r="WYU11" s="36"/>
      <c r="WYV11" s="37"/>
      <c r="WYW11" s="36"/>
      <c r="WYX11" s="37"/>
      <c r="WYY11" s="36"/>
      <c r="WYZ11" s="36"/>
      <c r="WZA11" s="37"/>
      <c r="WZB11" s="37"/>
      <c r="WZD11" s="22"/>
      <c r="WZE11" s="35"/>
      <c r="WZF11" s="36"/>
      <c r="WZG11" s="37"/>
      <c r="WZH11" s="36"/>
      <c r="WZI11" s="37"/>
      <c r="WZJ11" s="36"/>
      <c r="WZK11" s="37"/>
      <c r="WZL11" s="36"/>
      <c r="WZM11" s="37"/>
      <c r="WZN11" s="36"/>
      <c r="WZO11" s="37"/>
      <c r="WZP11" s="36"/>
      <c r="WZQ11" s="37"/>
      <c r="WZR11" s="36"/>
      <c r="WZS11" s="37"/>
      <c r="WZT11" s="36"/>
      <c r="WZU11" s="37"/>
      <c r="WZV11" s="36"/>
      <c r="WZW11" s="37"/>
      <c r="WZX11" s="36"/>
      <c r="WZY11" s="36"/>
      <c r="WZZ11" s="37"/>
      <c r="XAA11" s="37"/>
      <c r="XAC11" s="22"/>
      <c r="XAD11" s="35"/>
      <c r="XAE11" s="36"/>
      <c r="XAF11" s="37"/>
      <c r="XAG11" s="36"/>
      <c r="XAH11" s="37"/>
      <c r="XAI11" s="36"/>
      <c r="XAJ11" s="37"/>
      <c r="XAK11" s="36"/>
      <c r="XAL11" s="37"/>
      <c r="XAM11" s="36"/>
      <c r="XAN11" s="37"/>
      <c r="XAO11" s="36"/>
      <c r="XAP11" s="37"/>
      <c r="XAQ11" s="36"/>
      <c r="XAR11" s="37"/>
      <c r="XAS11" s="36"/>
      <c r="XAT11" s="37"/>
      <c r="XAU11" s="36"/>
      <c r="XAV11" s="37"/>
      <c r="XAW11" s="36"/>
      <c r="XAX11" s="36"/>
      <c r="XAY11" s="37"/>
      <c r="XAZ11" s="37"/>
      <c r="XBB11" s="22"/>
      <c r="XBC11" s="35"/>
      <c r="XBD11" s="36"/>
      <c r="XBE11" s="37"/>
      <c r="XBF11" s="36"/>
      <c r="XBG11" s="37"/>
      <c r="XBH11" s="36"/>
      <c r="XBI11" s="37"/>
      <c r="XBJ11" s="36"/>
      <c r="XBK11" s="37"/>
      <c r="XBL11" s="36"/>
      <c r="XBM11" s="37"/>
      <c r="XBN11" s="36"/>
      <c r="XBO11" s="37"/>
      <c r="XBP11" s="36"/>
      <c r="XBQ11" s="37"/>
      <c r="XBR11" s="36"/>
      <c r="XBS11" s="37"/>
      <c r="XBT11" s="36"/>
      <c r="XBU11" s="37"/>
      <c r="XBV11" s="36"/>
      <c r="XBW11" s="36"/>
      <c r="XBX11" s="37"/>
      <c r="XBY11" s="37"/>
      <c r="XCA11" s="22"/>
      <c r="XCB11" s="35"/>
      <c r="XCC11" s="36"/>
      <c r="XCD11" s="37"/>
      <c r="XCE11" s="36"/>
      <c r="XCF11" s="37"/>
      <c r="XCG11" s="36"/>
      <c r="XCH11" s="37"/>
      <c r="XCI11" s="36"/>
      <c r="XCJ11" s="37"/>
      <c r="XCK11" s="36"/>
      <c r="XCL11" s="37"/>
      <c r="XCM11" s="36"/>
      <c r="XCN11" s="37"/>
      <c r="XCO11" s="36"/>
      <c r="XCP11" s="37"/>
      <c r="XCQ11" s="36"/>
      <c r="XCR11" s="37"/>
      <c r="XCS11" s="36"/>
      <c r="XCT11" s="37"/>
      <c r="XCU11" s="36"/>
      <c r="XCV11" s="36"/>
      <c r="XCW11" s="37"/>
      <c r="XCX11" s="37"/>
      <c r="XCZ11" s="22"/>
      <c r="XDA11" s="35"/>
      <c r="XDB11" s="36"/>
      <c r="XDC11" s="37"/>
      <c r="XDD11" s="36"/>
      <c r="XDE11" s="37"/>
      <c r="XDF11" s="36"/>
      <c r="XDG11" s="37"/>
      <c r="XDH11" s="36"/>
      <c r="XDI11" s="37"/>
      <c r="XDJ11" s="36"/>
      <c r="XDK11" s="37"/>
      <c r="XDL11" s="36"/>
      <c r="XDM11" s="37"/>
      <c r="XDN11" s="36"/>
      <c r="XDO11" s="37"/>
      <c r="XDP11" s="36"/>
      <c r="XDQ11" s="37"/>
      <c r="XDR11" s="36"/>
      <c r="XDS11" s="37"/>
      <c r="XDT11" s="36"/>
      <c r="XDU11" s="36"/>
      <c r="XDV11" s="37"/>
      <c r="XDW11" s="37"/>
      <c r="XDY11" s="22"/>
      <c r="XDZ11" s="35"/>
      <c r="XEA11" s="36"/>
      <c r="XEB11" s="37"/>
      <c r="XEC11" s="36"/>
      <c r="XED11" s="37"/>
      <c r="XEE11" s="36"/>
      <c r="XEF11" s="37"/>
      <c r="XEG11" s="36"/>
      <c r="XEH11" s="37"/>
      <c r="XEI11" s="36"/>
      <c r="XEJ11" s="37"/>
      <c r="XEK11" s="36"/>
      <c r="XEL11" s="37"/>
      <c r="XEM11" s="36"/>
      <c r="XEN11" s="37"/>
      <c r="XEO11" s="36"/>
      <c r="XEP11" s="37"/>
      <c r="XEQ11" s="36"/>
      <c r="XER11" s="37"/>
      <c r="XES11" s="36"/>
      <c r="XET11" s="36"/>
      <c r="XEU11" s="37"/>
      <c r="XEV11" s="37"/>
      <c r="XEX11" s="22"/>
      <c r="XEY11" s="35"/>
      <c r="XEZ11" s="36"/>
      <c r="XFA11" s="37"/>
      <c r="XFB11" s="36"/>
      <c r="XFC11" s="37"/>
      <c r="XFD11" s="36"/>
    </row>
    <row r="12" spans="1:16384" s="129" customFormat="1" ht="16.5" customHeight="1" thickBot="1" x14ac:dyDescent="0.25">
      <c r="A12" s="9"/>
      <c r="B12" s="9"/>
      <c r="C12" s="22"/>
      <c r="D12" s="35">
        <f t="shared" si="1"/>
        <v>1</v>
      </c>
      <c r="E12" s="35" t="s">
        <v>403</v>
      </c>
      <c r="F12" s="229">
        <f>'INPUT Capex'!AC54*IF('INPUT Capex'!AC$4=0,DASH!$E$8,1)-(SA!G42+GA!G42+GR!G42+WR!G42)</f>
        <v>0</v>
      </c>
      <c r="G12" s="229">
        <f>'INPUT Capex'!AD54*IF('INPUT Capex'!AD$4=0,DASH!$E$8,1)-(SA!H42+GA!H42+GR!H42+WR!H42)</f>
        <v>0</v>
      </c>
      <c r="H12" s="229">
        <f>'INPUT Capex'!AE54*IF('INPUT Capex'!AE$4=0,DASH!$E$8,1)-(SA!I42+GA!I42+GR!I42+WR!I42)</f>
        <v>0</v>
      </c>
      <c r="I12" s="229">
        <f>'INPUT Capex'!AF54*IF('INPUT Capex'!AF$4=0,DASH!$E$8,1)-(SA!J42+GA!J42+GR!J42+WR!J42)</f>
        <v>0</v>
      </c>
      <c r="J12" s="229">
        <f>'INPUT Capex'!AG54*IF('INPUT Capex'!AG$4=0,DASH!$E$8,1)-(SA!K42+GA!K42+GR!K42+WR!K42)</f>
        <v>0</v>
      </c>
      <c r="K12" s="229">
        <f>'INPUT Capex'!AH54*IF('INPUT Capex'!AH$4=0,DASH!$E$8,1)-(SA!L42+GA!L42+GR!L42+WR!L42)</f>
        <v>0</v>
      </c>
      <c r="L12" s="229">
        <f>'INPUT Capex'!AI54*IF('INPUT Capex'!AI$4=0,DASH!$E$8,1)-(SA!M42+GA!M42+GR!M42+WR!M42)</f>
        <v>0</v>
      </c>
      <c r="M12" s="229">
        <f>'INPUT Capex'!AJ54*IF('INPUT Capex'!AJ$4=0,DASH!$E$8,1)-(SA!N42+GA!N42+GR!N42+WR!N42)</f>
        <v>0</v>
      </c>
      <c r="N12" s="229">
        <f>'INPUT Capex'!AK54*IF('INPUT Capex'!AK$4=0,DASH!$E$8,1)-(SA!O42+GA!O42+GR!O42+WR!O42)</f>
        <v>0</v>
      </c>
      <c r="O12" s="229">
        <f>'INPUT Capex'!AL54*IF('INPUT Capex'!AL$4=0,DASH!$E$8,1)-(SA!P42+GA!P42+GR!P42+WR!P42)</f>
        <v>0</v>
      </c>
      <c r="P12" s="229">
        <f>'INPUT Capex'!AM54*IF('INPUT Capex'!AM$4=0,DASH!$E$8,1)-(SA!Q42+GA!Q42+GR!Q42+WR!Q42)</f>
        <v>0</v>
      </c>
      <c r="Q12" s="229">
        <f>'INPUT Capex'!AN54*IF('INPUT Capex'!AN$4=0,DASH!$E$8,1)-(SA!R42+GA!R42+GR!R42+WR!R42)</f>
        <v>0</v>
      </c>
      <c r="R12" s="229">
        <f>'INPUT Capex'!AO54*IF('INPUT Capex'!AO$4=0,DASH!$E$8,1)-(SA!S42+GA!S42+GR!S42+WR!S42)</f>
        <v>0</v>
      </c>
      <c r="S12" s="229">
        <f>'INPUT Capex'!AP54*IF('INPUT Capex'!AP$4=0,DASH!$E$8,1)-(SA!T42+GA!T42+GR!T42+WR!T42)</f>
        <v>0</v>
      </c>
      <c r="T12" s="229">
        <f>'INPUT Capex'!AQ54*IF('INPUT Capex'!AQ$4=0,DASH!$E$8,1)-(SA!U42+GA!U42+GR!U42+WR!U42)</f>
        <v>0</v>
      </c>
      <c r="U12" s="229">
        <f>'INPUT Capex'!AR54*IF('INPUT Capex'!AR$4=0,DASH!$E$8,1)-(SA!V42+GA!V42+GR!V42+WR!V42)</f>
        <v>0</v>
      </c>
      <c r="V12" s="229">
        <f>'INPUT Capex'!AS54*IF('INPUT Capex'!AS$4=0,DASH!$E$8,1)-(SA!W42+GA!W42+GR!W42+WR!W42)</f>
        <v>0</v>
      </c>
      <c r="W12" s="229">
        <f>'INPUT Capex'!AT54*IF('INPUT Capex'!AT$4=0,DASH!$E$8,1)-(SA!X42+GA!X42+GR!X42+WR!X42)</f>
        <v>0</v>
      </c>
      <c r="X12" s="229">
        <f>'INPUT Capex'!AU54*IF('INPUT Capex'!AU$4=0,DASH!$E$8,1)-(SA!Y42+GA!Y42+GR!Y42+WR!Y42)</f>
        <v>0</v>
      </c>
      <c r="Y12" s="229">
        <f>'INPUT Capex'!AV54*IF('INPUT Capex'!AV$4=0,DASH!$E$8,1)-(SA!Z42+GA!Z42+GR!Z42+WR!Z42)</f>
        <v>0</v>
      </c>
      <c r="Z12" s="229">
        <f>'INPUT Capex'!AW54*IF('INPUT Capex'!AW$4=0,DASH!$E$8,1)-(SA!AA42+GA!AA42+GR!AA42+WR!AA42)</f>
        <v>0</v>
      </c>
      <c r="AA12" s="229">
        <f>SUM(F12:Z12)</f>
        <v>0</v>
      </c>
      <c r="AB12" s="22"/>
      <c r="AC12" s="35"/>
      <c r="AD12" s="36"/>
      <c r="AE12" s="37"/>
      <c r="AF12" s="36"/>
      <c r="AG12" s="37"/>
      <c r="AH12" s="36"/>
      <c r="AI12" s="37"/>
      <c r="AJ12" s="36"/>
      <c r="AK12" s="37"/>
      <c r="AL12" s="36"/>
      <c r="AM12" s="37"/>
      <c r="AN12" s="36"/>
      <c r="AO12" s="37"/>
      <c r="AP12" s="36"/>
      <c r="AQ12" s="37"/>
      <c r="AR12" s="36"/>
      <c r="AS12" s="37"/>
      <c r="AT12" s="36"/>
      <c r="AU12" s="37"/>
      <c r="AV12" s="36"/>
      <c r="AW12" s="36"/>
      <c r="AX12" s="37"/>
      <c r="AY12" s="37"/>
      <c r="BA12" s="22"/>
      <c r="BB12" s="35"/>
      <c r="BC12" s="36"/>
      <c r="BD12" s="37"/>
      <c r="BE12" s="36"/>
      <c r="BF12" s="37"/>
      <c r="BG12" s="36"/>
      <c r="BH12" s="37"/>
      <c r="BI12" s="36"/>
      <c r="BJ12" s="37"/>
      <c r="BK12" s="36"/>
      <c r="BL12" s="37"/>
      <c r="BM12" s="36"/>
      <c r="BN12" s="37"/>
      <c r="BO12" s="36"/>
      <c r="BP12" s="37"/>
      <c r="BQ12" s="36"/>
      <c r="BR12" s="37"/>
      <c r="BS12" s="36"/>
      <c r="BT12" s="37"/>
      <c r="BU12" s="36"/>
      <c r="BV12" s="36"/>
      <c r="BW12" s="37"/>
      <c r="BX12" s="37"/>
      <c r="BZ12" s="22"/>
      <c r="CA12" s="35"/>
      <c r="CB12" s="36"/>
      <c r="CC12" s="37"/>
      <c r="CD12" s="36"/>
      <c r="CE12" s="37"/>
      <c r="CF12" s="36"/>
      <c r="CG12" s="37"/>
      <c r="CH12" s="36"/>
      <c r="CI12" s="37"/>
      <c r="CJ12" s="36"/>
      <c r="CK12" s="37"/>
      <c r="CL12" s="36"/>
      <c r="CM12" s="37"/>
      <c r="CN12" s="36"/>
      <c r="CO12" s="37"/>
      <c r="CP12" s="36"/>
      <c r="CQ12" s="37"/>
      <c r="CR12" s="36"/>
      <c r="CS12" s="37"/>
      <c r="CT12" s="36"/>
      <c r="CU12" s="36"/>
      <c r="CV12" s="37"/>
      <c r="CW12" s="37"/>
      <c r="CY12" s="22"/>
      <c r="CZ12" s="35"/>
      <c r="DA12" s="36"/>
      <c r="DB12" s="37"/>
      <c r="DC12" s="36"/>
      <c r="DD12" s="37"/>
      <c r="DE12" s="36"/>
      <c r="DF12" s="37"/>
      <c r="DG12" s="36"/>
      <c r="DH12" s="37"/>
      <c r="DI12" s="36"/>
      <c r="DJ12" s="37"/>
      <c r="DK12" s="36"/>
      <c r="DL12" s="37"/>
      <c r="DM12" s="36"/>
      <c r="DN12" s="37"/>
      <c r="DO12" s="36"/>
      <c r="DP12" s="37"/>
      <c r="DQ12" s="36"/>
      <c r="DR12" s="37"/>
      <c r="DS12" s="36"/>
      <c r="DT12" s="36"/>
      <c r="DU12" s="37"/>
      <c r="DV12" s="37"/>
      <c r="DX12" s="22"/>
      <c r="DY12" s="35"/>
      <c r="DZ12" s="36"/>
      <c r="EA12" s="37"/>
      <c r="EB12" s="36"/>
      <c r="EC12" s="37"/>
      <c r="ED12" s="36"/>
      <c r="EE12" s="37"/>
      <c r="EF12" s="36"/>
      <c r="EG12" s="37"/>
      <c r="EH12" s="36"/>
      <c r="EI12" s="37"/>
      <c r="EJ12" s="36"/>
      <c r="EK12" s="37"/>
      <c r="EL12" s="36"/>
      <c r="EM12" s="37"/>
      <c r="EN12" s="36"/>
      <c r="EO12" s="37"/>
      <c r="EP12" s="36"/>
      <c r="EQ12" s="37"/>
      <c r="ER12" s="36"/>
      <c r="ES12" s="36"/>
      <c r="ET12" s="37"/>
      <c r="EU12" s="37"/>
      <c r="EW12" s="22"/>
      <c r="EX12" s="35"/>
      <c r="EY12" s="36"/>
      <c r="EZ12" s="37"/>
      <c r="FA12" s="36"/>
      <c r="FB12" s="37"/>
      <c r="FC12" s="36"/>
      <c r="FD12" s="37"/>
      <c r="FE12" s="36"/>
      <c r="FF12" s="37"/>
      <c r="FG12" s="36"/>
      <c r="FH12" s="37"/>
      <c r="FI12" s="36"/>
      <c r="FJ12" s="37"/>
      <c r="FK12" s="36"/>
      <c r="FL12" s="37"/>
      <c r="FM12" s="36"/>
      <c r="FN12" s="37"/>
      <c r="FO12" s="36"/>
      <c r="FP12" s="37"/>
      <c r="FQ12" s="36"/>
      <c r="FR12" s="36"/>
      <c r="FS12" s="37"/>
      <c r="FT12" s="37"/>
      <c r="FV12" s="22"/>
      <c r="FW12" s="35"/>
      <c r="FX12" s="36"/>
      <c r="FY12" s="37"/>
      <c r="FZ12" s="36"/>
      <c r="GA12" s="37"/>
      <c r="GB12" s="36"/>
      <c r="GC12" s="37"/>
      <c r="GD12" s="36"/>
      <c r="GE12" s="37"/>
      <c r="GF12" s="36"/>
      <c r="GG12" s="37"/>
      <c r="GH12" s="36"/>
      <c r="GI12" s="37"/>
      <c r="GJ12" s="36"/>
      <c r="GK12" s="37"/>
      <c r="GL12" s="36"/>
      <c r="GM12" s="37"/>
      <c r="GN12" s="36"/>
      <c r="GO12" s="37"/>
      <c r="GP12" s="36"/>
      <c r="GQ12" s="36"/>
      <c r="GR12" s="37"/>
      <c r="GS12" s="37"/>
      <c r="GU12" s="22"/>
      <c r="GV12" s="35"/>
      <c r="GW12" s="36"/>
      <c r="GX12" s="37"/>
      <c r="GY12" s="36"/>
      <c r="GZ12" s="37"/>
      <c r="HA12" s="36"/>
      <c r="HB12" s="37"/>
      <c r="HC12" s="36"/>
      <c r="HD12" s="37"/>
      <c r="HE12" s="36"/>
      <c r="HF12" s="37"/>
      <c r="HG12" s="36"/>
      <c r="HH12" s="37"/>
      <c r="HI12" s="36"/>
      <c r="HJ12" s="37"/>
      <c r="HK12" s="36"/>
      <c r="HL12" s="37"/>
      <c r="HM12" s="36"/>
      <c r="HN12" s="37"/>
      <c r="HO12" s="36"/>
      <c r="HP12" s="36"/>
      <c r="HQ12" s="37"/>
      <c r="HR12" s="37"/>
      <c r="HT12" s="22"/>
      <c r="HU12" s="35"/>
      <c r="HV12" s="36"/>
      <c r="HW12" s="37"/>
      <c r="HX12" s="36"/>
      <c r="HY12" s="37"/>
      <c r="HZ12" s="36"/>
      <c r="IA12" s="37"/>
      <c r="IB12" s="36"/>
      <c r="IC12" s="37"/>
      <c r="ID12" s="36"/>
      <c r="IE12" s="37"/>
      <c r="IF12" s="36"/>
      <c r="IG12" s="37"/>
      <c r="IH12" s="36"/>
      <c r="II12" s="37"/>
      <c r="IJ12" s="36"/>
      <c r="IK12" s="37"/>
      <c r="IL12" s="36"/>
      <c r="IM12" s="37"/>
      <c r="IN12" s="36"/>
      <c r="IO12" s="36"/>
      <c r="IP12" s="37"/>
      <c r="IQ12" s="37"/>
      <c r="IS12" s="22"/>
      <c r="IT12" s="35"/>
      <c r="IU12" s="36"/>
      <c r="IV12" s="37"/>
      <c r="IW12" s="36"/>
      <c r="IX12" s="37"/>
      <c r="IY12" s="36"/>
      <c r="IZ12" s="37"/>
      <c r="JA12" s="36"/>
      <c r="JB12" s="37"/>
      <c r="JC12" s="36"/>
      <c r="JD12" s="37"/>
      <c r="JE12" s="36"/>
      <c r="JF12" s="37"/>
      <c r="JG12" s="36"/>
      <c r="JH12" s="37"/>
      <c r="JI12" s="36"/>
      <c r="JJ12" s="37"/>
      <c r="JK12" s="36"/>
      <c r="JL12" s="37"/>
      <c r="JM12" s="36"/>
      <c r="JN12" s="36"/>
      <c r="JO12" s="37"/>
      <c r="JP12" s="37"/>
      <c r="JR12" s="22"/>
      <c r="JS12" s="35"/>
      <c r="JT12" s="36"/>
      <c r="JU12" s="37"/>
      <c r="JV12" s="36"/>
      <c r="JW12" s="37"/>
      <c r="JX12" s="36"/>
      <c r="JY12" s="37"/>
      <c r="JZ12" s="36"/>
      <c r="KA12" s="37"/>
      <c r="KB12" s="36"/>
      <c r="KC12" s="37"/>
      <c r="KD12" s="36"/>
      <c r="KE12" s="37"/>
      <c r="KF12" s="36"/>
      <c r="KG12" s="37"/>
      <c r="KH12" s="36"/>
      <c r="KI12" s="37"/>
      <c r="KJ12" s="36"/>
      <c r="KK12" s="37"/>
      <c r="KL12" s="36"/>
      <c r="KM12" s="36"/>
      <c r="KN12" s="37"/>
      <c r="KO12" s="37"/>
      <c r="KQ12" s="22"/>
      <c r="KR12" s="35"/>
      <c r="KS12" s="36"/>
      <c r="KT12" s="37"/>
      <c r="KU12" s="36"/>
      <c r="KV12" s="37"/>
      <c r="KW12" s="36"/>
      <c r="KX12" s="37"/>
      <c r="KY12" s="36"/>
      <c r="KZ12" s="37"/>
      <c r="LA12" s="36"/>
      <c r="LB12" s="37"/>
      <c r="LC12" s="36"/>
      <c r="LD12" s="37"/>
      <c r="LE12" s="36"/>
      <c r="LF12" s="37"/>
      <c r="LG12" s="36"/>
      <c r="LH12" s="37"/>
      <c r="LI12" s="36"/>
      <c r="LJ12" s="37"/>
      <c r="LK12" s="36"/>
      <c r="LL12" s="36"/>
      <c r="LM12" s="37"/>
      <c r="LN12" s="37"/>
      <c r="LP12" s="22"/>
      <c r="LQ12" s="35"/>
      <c r="LR12" s="36"/>
      <c r="LS12" s="37"/>
      <c r="LT12" s="36"/>
      <c r="LU12" s="37"/>
      <c r="LV12" s="36"/>
      <c r="LW12" s="37"/>
      <c r="LX12" s="36"/>
      <c r="LY12" s="37"/>
      <c r="LZ12" s="36"/>
      <c r="MA12" s="37"/>
      <c r="MB12" s="36"/>
      <c r="MC12" s="37"/>
      <c r="MD12" s="36"/>
      <c r="ME12" s="37"/>
      <c r="MF12" s="36"/>
      <c r="MG12" s="37"/>
      <c r="MH12" s="36"/>
      <c r="MI12" s="37"/>
      <c r="MJ12" s="36"/>
      <c r="MK12" s="36"/>
      <c r="ML12" s="37"/>
      <c r="MM12" s="37"/>
      <c r="MO12" s="22"/>
      <c r="MP12" s="35"/>
      <c r="MQ12" s="36"/>
      <c r="MR12" s="37"/>
      <c r="MS12" s="36"/>
      <c r="MT12" s="37"/>
      <c r="MU12" s="36"/>
      <c r="MV12" s="37"/>
      <c r="MW12" s="36"/>
      <c r="MX12" s="37"/>
      <c r="MY12" s="36"/>
      <c r="MZ12" s="37"/>
      <c r="NA12" s="36"/>
      <c r="NB12" s="37"/>
      <c r="NC12" s="36"/>
      <c r="ND12" s="37"/>
      <c r="NE12" s="36"/>
      <c r="NF12" s="37"/>
      <c r="NG12" s="36"/>
      <c r="NH12" s="37"/>
      <c r="NI12" s="36"/>
      <c r="NJ12" s="36"/>
      <c r="NK12" s="37"/>
      <c r="NL12" s="37"/>
      <c r="NN12" s="22"/>
      <c r="NO12" s="35"/>
      <c r="NP12" s="36"/>
      <c r="NQ12" s="37"/>
      <c r="NR12" s="36"/>
      <c r="NS12" s="37"/>
      <c r="NT12" s="36"/>
      <c r="NU12" s="37"/>
      <c r="NV12" s="36"/>
      <c r="NW12" s="37"/>
      <c r="NX12" s="36"/>
      <c r="NY12" s="37"/>
      <c r="NZ12" s="36"/>
      <c r="OA12" s="37"/>
      <c r="OB12" s="36"/>
      <c r="OC12" s="37"/>
      <c r="OD12" s="36"/>
      <c r="OE12" s="37"/>
      <c r="OF12" s="36"/>
      <c r="OG12" s="37"/>
      <c r="OH12" s="36"/>
      <c r="OI12" s="36"/>
      <c r="OJ12" s="37"/>
      <c r="OK12" s="37"/>
      <c r="OM12" s="22"/>
      <c r="ON12" s="35"/>
      <c r="OO12" s="36"/>
      <c r="OP12" s="37"/>
      <c r="OQ12" s="36"/>
      <c r="OR12" s="37"/>
      <c r="OS12" s="36"/>
      <c r="OT12" s="37"/>
      <c r="OU12" s="36"/>
      <c r="OV12" s="37"/>
      <c r="OW12" s="36"/>
      <c r="OX12" s="37"/>
      <c r="OY12" s="36"/>
      <c r="OZ12" s="37"/>
      <c r="PA12" s="36"/>
      <c r="PB12" s="37"/>
      <c r="PC12" s="36"/>
      <c r="PD12" s="37"/>
      <c r="PE12" s="36"/>
      <c r="PF12" s="37"/>
      <c r="PG12" s="36"/>
      <c r="PH12" s="36"/>
      <c r="PI12" s="37"/>
      <c r="PJ12" s="37"/>
      <c r="PL12" s="22"/>
      <c r="PM12" s="35"/>
      <c r="PN12" s="36"/>
      <c r="PO12" s="37"/>
      <c r="PP12" s="36"/>
      <c r="PQ12" s="37"/>
      <c r="PR12" s="36"/>
      <c r="PS12" s="37"/>
      <c r="PT12" s="36"/>
      <c r="PU12" s="37"/>
      <c r="PV12" s="36"/>
      <c r="PW12" s="37"/>
      <c r="PX12" s="36"/>
      <c r="PY12" s="37"/>
      <c r="PZ12" s="36"/>
      <c r="QA12" s="37"/>
      <c r="QB12" s="36"/>
      <c r="QC12" s="37"/>
      <c r="QD12" s="36"/>
      <c r="QE12" s="37"/>
      <c r="QF12" s="36"/>
      <c r="QG12" s="36"/>
      <c r="QH12" s="37"/>
      <c r="QI12" s="37"/>
      <c r="QK12" s="22"/>
      <c r="QL12" s="35"/>
      <c r="QM12" s="36"/>
      <c r="QN12" s="37"/>
      <c r="QO12" s="36"/>
      <c r="QP12" s="37"/>
      <c r="QQ12" s="36"/>
      <c r="QR12" s="37"/>
      <c r="QS12" s="36"/>
      <c r="QT12" s="37"/>
      <c r="QU12" s="36"/>
      <c r="QV12" s="37"/>
      <c r="QW12" s="36"/>
      <c r="QX12" s="37"/>
      <c r="QY12" s="36"/>
      <c r="QZ12" s="37"/>
      <c r="RA12" s="36"/>
      <c r="RB12" s="37"/>
      <c r="RC12" s="36"/>
      <c r="RD12" s="37"/>
      <c r="RE12" s="36"/>
      <c r="RF12" s="36"/>
      <c r="RG12" s="37"/>
      <c r="RH12" s="37"/>
      <c r="RJ12" s="22"/>
      <c r="RK12" s="35"/>
      <c r="RL12" s="36"/>
      <c r="RM12" s="37"/>
      <c r="RN12" s="36"/>
      <c r="RO12" s="37"/>
      <c r="RP12" s="36"/>
      <c r="RQ12" s="37"/>
      <c r="RR12" s="36"/>
      <c r="RS12" s="37"/>
      <c r="RT12" s="36"/>
      <c r="RU12" s="37"/>
      <c r="RV12" s="36"/>
      <c r="RW12" s="37"/>
      <c r="RX12" s="36"/>
      <c r="RY12" s="37"/>
      <c r="RZ12" s="36"/>
      <c r="SA12" s="37"/>
      <c r="SB12" s="36"/>
      <c r="SC12" s="37"/>
      <c r="SD12" s="36"/>
      <c r="SE12" s="36"/>
      <c r="SF12" s="37"/>
      <c r="SG12" s="37"/>
      <c r="SI12" s="22"/>
      <c r="SJ12" s="35"/>
      <c r="SK12" s="36"/>
      <c r="SL12" s="37"/>
      <c r="SM12" s="36"/>
      <c r="SN12" s="37"/>
      <c r="SO12" s="36"/>
      <c r="SP12" s="37"/>
      <c r="SQ12" s="36"/>
      <c r="SR12" s="37"/>
      <c r="SS12" s="36"/>
      <c r="ST12" s="37"/>
      <c r="SU12" s="36"/>
      <c r="SV12" s="37"/>
      <c r="SW12" s="36"/>
      <c r="SX12" s="37"/>
      <c r="SY12" s="36"/>
      <c r="SZ12" s="37"/>
      <c r="TA12" s="36"/>
      <c r="TB12" s="37"/>
      <c r="TC12" s="36"/>
      <c r="TD12" s="36"/>
      <c r="TE12" s="37"/>
      <c r="TF12" s="37"/>
      <c r="TH12" s="22"/>
      <c r="TI12" s="35"/>
      <c r="TJ12" s="36"/>
      <c r="TK12" s="37"/>
      <c r="TL12" s="36"/>
      <c r="TM12" s="37"/>
      <c r="TN12" s="36"/>
      <c r="TO12" s="37"/>
      <c r="TP12" s="36"/>
      <c r="TQ12" s="37"/>
      <c r="TR12" s="36"/>
      <c r="TS12" s="37"/>
      <c r="TT12" s="36"/>
      <c r="TU12" s="37"/>
      <c r="TV12" s="36"/>
      <c r="TW12" s="37"/>
      <c r="TX12" s="36"/>
      <c r="TY12" s="37"/>
      <c r="TZ12" s="36"/>
      <c r="UA12" s="37"/>
      <c r="UB12" s="36"/>
      <c r="UC12" s="36"/>
      <c r="UD12" s="37"/>
      <c r="UE12" s="37"/>
      <c r="UG12" s="22"/>
      <c r="UH12" s="35"/>
      <c r="UI12" s="36"/>
      <c r="UJ12" s="37"/>
      <c r="UK12" s="36"/>
      <c r="UL12" s="37"/>
      <c r="UM12" s="36"/>
      <c r="UN12" s="37"/>
      <c r="UO12" s="36"/>
      <c r="UP12" s="37"/>
      <c r="UQ12" s="36"/>
      <c r="UR12" s="37"/>
      <c r="US12" s="36"/>
      <c r="UT12" s="37"/>
      <c r="UU12" s="36"/>
      <c r="UV12" s="37"/>
      <c r="UW12" s="36"/>
      <c r="UX12" s="37"/>
      <c r="UY12" s="36"/>
      <c r="UZ12" s="37"/>
      <c r="VA12" s="36"/>
      <c r="VB12" s="36"/>
      <c r="VC12" s="37"/>
      <c r="VD12" s="37"/>
      <c r="VF12" s="22"/>
      <c r="VG12" s="35"/>
      <c r="VH12" s="36"/>
      <c r="VI12" s="37"/>
      <c r="VJ12" s="36"/>
      <c r="VK12" s="37"/>
      <c r="VL12" s="36"/>
      <c r="VM12" s="37"/>
      <c r="VN12" s="36"/>
      <c r="VO12" s="37"/>
      <c r="VP12" s="36"/>
      <c r="VQ12" s="37"/>
      <c r="VR12" s="36"/>
      <c r="VS12" s="37"/>
      <c r="VT12" s="36"/>
      <c r="VU12" s="37"/>
      <c r="VV12" s="36"/>
      <c r="VW12" s="37"/>
      <c r="VX12" s="36"/>
      <c r="VY12" s="37"/>
      <c r="VZ12" s="36"/>
      <c r="WA12" s="36"/>
      <c r="WB12" s="37"/>
      <c r="WC12" s="37"/>
      <c r="WE12" s="22"/>
      <c r="WF12" s="35"/>
      <c r="WG12" s="36"/>
      <c r="WH12" s="37"/>
      <c r="WI12" s="36"/>
      <c r="WJ12" s="37"/>
      <c r="WK12" s="36"/>
      <c r="WL12" s="37"/>
      <c r="WM12" s="36"/>
      <c r="WN12" s="37"/>
      <c r="WO12" s="36"/>
      <c r="WP12" s="37"/>
      <c r="WQ12" s="36"/>
      <c r="WR12" s="37"/>
      <c r="WS12" s="36"/>
      <c r="WT12" s="37"/>
      <c r="WU12" s="36"/>
      <c r="WV12" s="37"/>
      <c r="WW12" s="36"/>
      <c r="WX12" s="37"/>
      <c r="WY12" s="36"/>
      <c r="WZ12" s="36"/>
      <c r="XA12" s="37"/>
      <c r="XB12" s="37"/>
      <c r="XD12" s="22"/>
      <c r="XE12" s="35"/>
      <c r="XF12" s="36"/>
      <c r="XG12" s="37"/>
      <c r="XH12" s="36"/>
      <c r="XI12" s="37"/>
      <c r="XJ12" s="36"/>
      <c r="XK12" s="37"/>
      <c r="XL12" s="36"/>
      <c r="XM12" s="37"/>
      <c r="XN12" s="36"/>
      <c r="XO12" s="37"/>
      <c r="XP12" s="36"/>
      <c r="XQ12" s="37"/>
      <c r="XR12" s="36"/>
      <c r="XS12" s="37"/>
      <c r="XT12" s="36"/>
      <c r="XU12" s="37"/>
      <c r="XV12" s="36"/>
      <c r="XW12" s="37"/>
      <c r="XX12" s="36"/>
      <c r="XY12" s="36"/>
      <c r="XZ12" s="37"/>
      <c r="YA12" s="37"/>
      <c r="YC12" s="22"/>
      <c r="YD12" s="35"/>
      <c r="YE12" s="36"/>
      <c r="YF12" s="37"/>
      <c r="YG12" s="36"/>
      <c r="YH12" s="37"/>
      <c r="YI12" s="36"/>
      <c r="YJ12" s="37"/>
      <c r="YK12" s="36"/>
      <c r="YL12" s="37"/>
      <c r="YM12" s="36"/>
      <c r="YN12" s="37"/>
      <c r="YO12" s="36"/>
      <c r="YP12" s="37"/>
      <c r="YQ12" s="36"/>
      <c r="YR12" s="37"/>
      <c r="YS12" s="36"/>
      <c r="YT12" s="37"/>
      <c r="YU12" s="36"/>
      <c r="YV12" s="37"/>
      <c r="YW12" s="36"/>
      <c r="YX12" s="36"/>
      <c r="YY12" s="37"/>
      <c r="YZ12" s="37"/>
      <c r="ZB12" s="22"/>
      <c r="ZC12" s="35"/>
      <c r="ZD12" s="36"/>
      <c r="ZE12" s="37"/>
      <c r="ZF12" s="36"/>
      <c r="ZG12" s="37"/>
      <c r="ZH12" s="36"/>
      <c r="ZI12" s="37"/>
      <c r="ZJ12" s="36"/>
      <c r="ZK12" s="37"/>
      <c r="ZL12" s="36"/>
      <c r="ZM12" s="37"/>
      <c r="ZN12" s="36"/>
      <c r="ZO12" s="37"/>
      <c r="ZP12" s="36"/>
      <c r="ZQ12" s="37"/>
      <c r="ZR12" s="36"/>
      <c r="ZS12" s="37"/>
      <c r="ZT12" s="36"/>
      <c r="ZU12" s="37"/>
      <c r="ZV12" s="36"/>
      <c r="ZW12" s="36"/>
      <c r="ZX12" s="37"/>
      <c r="ZY12" s="37"/>
      <c r="AAA12" s="22"/>
      <c r="AAB12" s="35"/>
      <c r="AAC12" s="36"/>
      <c r="AAD12" s="37"/>
      <c r="AAE12" s="36"/>
      <c r="AAF12" s="37"/>
      <c r="AAG12" s="36"/>
      <c r="AAH12" s="37"/>
      <c r="AAI12" s="36"/>
      <c r="AAJ12" s="37"/>
      <c r="AAK12" s="36"/>
      <c r="AAL12" s="37"/>
      <c r="AAM12" s="36"/>
      <c r="AAN12" s="37"/>
      <c r="AAO12" s="36"/>
      <c r="AAP12" s="37"/>
      <c r="AAQ12" s="36"/>
      <c r="AAR12" s="37"/>
      <c r="AAS12" s="36"/>
      <c r="AAT12" s="37"/>
      <c r="AAU12" s="36"/>
      <c r="AAV12" s="36"/>
      <c r="AAW12" s="37"/>
      <c r="AAX12" s="37"/>
      <c r="AAZ12" s="22"/>
      <c r="ABA12" s="35"/>
      <c r="ABB12" s="36"/>
      <c r="ABC12" s="37"/>
      <c r="ABD12" s="36"/>
      <c r="ABE12" s="37"/>
      <c r="ABF12" s="36"/>
      <c r="ABG12" s="37"/>
      <c r="ABH12" s="36"/>
      <c r="ABI12" s="37"/>
      <c r="ABJ12" s="36"/>
      <c r="ABK12" s="37"/>
      <c r="ABL12" s="36"/>
      <c r="ABM12" s="37"/>
      <c r="ABN12" s="36"/>
      <c r="ABO12" s="37"/>
      <c r="ABP12" s="36"/>
      <c r="ABQ12" s="37"/>
      <c r="ABR12" s="36"/>
      <c r="ABS12" s="37"/>
      <c r="ABT12" s="36"/>
      <c r="ABU12" s="36"/>
      <c r="ABV12" s="37"/>
      <c r="ABW12" s="37"/>
      <c r="ABY12" s="22"/>
      <c r="ABZ12" s="35"/>
      <c r="ACA12" s="36"/>
      <c r="ACB12" s="37"/>
      <c r="ACC12" s="36"/>
      <c r="ACD12" s="37"/>
      <c r="ACE12" s="36"/>
      <c r="ACF12" s="37"/>
      <c r="ACG12" s="36"/>
      <c r="ACH12" s="37"/>
      <c r="ACI12" s="36"/>
      <c r="ACJ12" s="37"/>
      <c r="ACK12" s="36"/>
      <c r="ACL12" s="37"/>
      <c r="ACM12" s="36"/>
      <c r="ACN12" s="37"/>
      <c r="ACO12" s="36"/>
      <c r="ACP12" s="37"/>
      <c r="ACQ12" s="36"/>
      <c r="ACR12" s="37"/>
      <c r="ACS12" s="36"/>
      <c r="ACT12" s="36"/>
      <c r="ACU12" s="37"/>
      <c r="ACV12" s="37"/>
      <c r="ACX12" s="22"/>
      <c r="ACY12" s="35"/>
      <c r="ACZ12" s="36"/>
      <c r="ADA12" s="37"/>
      <c r="ADB12" s="36"/>
      <c r="ADC12" s="37"/>
      <c r="ADD12" s="36"/>
      <c r="ADE12" s="37"/>
      <c r="ADF12" s="36"/>
      <c r="ADG12" s="37"/>
      <c r="ADH12" s="36"/>
      <c r="ADI12" s="37"/>
      <c r="ADJ12" s="36"/>
      <c r="ADK12" s="37"/>
      <c r="ADL12" s="36"/>
      <c r="ADM12" s="37"/>
      <c r="ADN12" s="36"/>
      <c r="ADO12" s="37"/>
      <c r="ADP12" s="36"/>
      <c r="ADQ12" s="37"/>
      <c r="ADR12" s="36"/>
      <c r="ADS12" s="36"/>
      <c r="ADT12" s="37"/>
      <c r="ADU12" s="37"/>
      <c r="ADW12" s="22"/>
      <c r="ADX12" s="35"/>
      <c r="ADY12" s="36"/>
      <c r="ADZ12" s="37"/>
      <c r="AEA12" s="36"/>
      <c r="AEB12" s="37"/>
      <c r="AEC12" s="36"/>
      <c r="AED12" s="37"/>
      <c r="AEE12" s="36"/>
      <c r="AEF12" s="37"/>
      <c r="AEG12" s="36"/>
      <c r="AEH12" s="37"/>
      <c r="AEI12" s="36"/>
      <c r="AEJ12" s="37"/>
      <c r="AEK12" s="36"/>
      <c r="AEL12" s="37"/>
      <c r="AEM12" s="36"/>
      <c r="AEN12" s="37"/>
      <c r="AEO12" s="36"/>
      <c r="AEP12" s="37"/>
      <c r="AEQ12" s="36"/>
      <c r="AER12" s="36"/>
      <c r="AES12" s="37"/>
      <c r="AET12" s="37"/>
      <c r="AEV12" s="22"/>
      <c r="AEW12" s="35"/>
      <c r="AEX12" s="36"/>
      <c r="AEY12" s="37"/>
      <c r="AEZ12" s="36"/>
      <c r="AFA12" s="37"/>
      <c r="AFB12" s="36"/>
      <c r="AFC12" s="37"/>
      <c r="AFD12" s="36"/>
      <c r="AFE12" s="37"/>
      <c r="AFF12" s="36"/>
      <c r="AFG12" s="37"/>
      <c r="AFH12" s="36"/>
      <c r="AFI12" s="37"/>
      <c r="AFJ12" s="36"/>
      <c r="AFK12" s="37"/>
      <c r="AFL12" s="36"/>
      <c r="AFM12" s="37"/>
      <c r="AFN12" s="36"/>
      <c r="AFO12" s="37"/>
      <c r="AFP12" s="36"/>
      <c r="AFQ12" s="36"/>
      <c r="AFR12" s="37"/>
      <c r="AFS12" s="37"/>
      <c r="AFU12" s="22"/>
      <c r="AFV12" s="35"/>
      <c r="AFW12" s="36"/>
      <c r="AFX12" s="37"/>
      <c r="AFY12" s="36"/>
      <c r="AFZ12" s="37"/>
      <c r="AGA12" s="36"/>
      <c r="AGB12" s="37"/>
      <c r="AGC12" s="36"/>
      <c r="AGD12" s="37"/>
      <c r="AGE12" s="36"/>
      <c r="AGF12" s="37"/>
      <c r="AGG12" s="36"/>
      <c r="AGH12" s="37"/>
      <c r="AGI12" s="36"/>
      <c r="AGJ12" s="37"/>
      <c r="AGK12" s="36"/>
      <c r="AGL12" s="37"/>
      <c r="AGM12" s="36"/>
      <c r="AGN12" s="37"/>
      <c r="AGO12" s="36"/>
      <c r="AGP12" s="36"/>
      <c r="AGQ12" s="37"/>
      <c r="AGR12" s="37"/>
      <c r="AGT12" s="22"/>
      <c r="AGU12" s="35"/>
      <c r="AGV12" s="36"/>
      <c r="AGW12" s="37"/>
      <c r="AGX12" s="36"/>
      <c r="AGY12" s="37"/>
      <c r="AGZ12" s="36"/>
      <c r="AHA12" s="37"/>
      <c r="AHB12" s="36"/>
      <c r="AHC12" s="37"/>
      <c r="AHD12" s="36"/>
      <c r="AHE12" s="37"/>
      <c r="AHF12" s="36"/>
      <c r="AHG12" s="37"/>
      <c r="AHH12" s="36"/>
      <c r="AHI12" s="37"/>
      <c r="AHJ12" s="36"/>
      <c r="AHK12" s="37"/>
      <c r="AHL12" s="36"/>
      <c r="AHM12" s="37"/>
      <c r="AHN12" s="36"/>
      <c r="AHO12" s="36"/>
      <c r="AHP12" s="37"/>
      <c r="AHQ12" s="37"/>
      <c r="AHS12" s="22"/>
      <c r="AHT12" s="35"/>
      <c r="AHU12" s="36"/>
      <c r="AHV12" s="37"/>
      <c r="AHW12" s="36"/>
      <c r="AHX12" s="37"/>
      <c r="AHY12" s="36"/>
      <c r="AHZ12" s="37"/>
      <c r="AIA12" s="36"/>
      <c r="AIB12" s="37"/>
      <c r="AIC12" s="36"/>
      <c r="AID12" s="37"/>
      <c r="AIE12" s="36"/>
      <c r="AIF12" s="37"/>
      <c r="AIG12" s="36"/>
      <c r="AIH12" s="37"/>
      <c r="AII12" s="36"/>
      <c r="AIJ12" s="37"/>
      <c r="AIK12" s="36"/>
      <c r="AIL12" s="37"/>
      <c r="AIM12" s="36"/>
      <c r="AIN12" s="36"/>
      <c r="AIO12" s="37"/>
      <c r="AIP12" s="37"/>
      <c r="AIR12" s="22"/>
      <c r="AIS12" s="35"/>
      <c r="AIT12" s="36"/>
      <c r="AIU12" s="37"/>
      <c r="AIV12" s="36"/>
      <c r="AIW12" s="37"/>
      <c r="AIX12" s="36"/>
      <c r="AIY12" s="37"/>
      <c r="AIZ12" s="36"/>
      <c r="AJA12" s="37"/>
      <c r="AJB12" s="36"/>
      <c r="AJC12" s="37"/>
      <c r="AJD12" s="36"/>
      <c r="AJE12" s="37"/>
      <c r="AJF12" s="36"/>
      <c r="AJG12" s="37"/>
      <c r="AJH12" s="36"/>
      <c r="AJI12" s="37"/>
      <c r="AJJ12" s="36"/>
      <c r="AJK12" s="37"/>
      <c r="AJL12" s="36"/>
      <c r="AJM12" s="36"/>
      <c r="AJN12" s="37"/>
      <c r="AJO12" s="37"/>
      <c r="AJQ12" s="22"/>
      <c r="AJR12" s="35"/>
      <c r="AJS12" s="36"/>
      <c r="AJT12" s="37"/>
      <c r="AJU12" s="36"/>
      <c r="AJV12" s="37"/>
      <c r="AJW12" s="36"/>
      <c r="AJX12" s="37"/>
      <c r="AJY12" s="36"/>
      <c r="AJZ12" s="37"/>
      <c r="AKA12" s="36"/>
      <c r="AKB12" s="37"/>
      <c r="AKC12" s="36"/>
      <c r="AKD12" s="37"/>
      <c r="AKE12" s="36"/>
      <c r="AKF12" s="37"/>
      <c r="AKG12" s="36"/>
      <c r="AKH12" s="37"/>
      <c r="AKI12" s="36"/>
      <c r="AKJ12" s="37"/>
      <c r="AKK12" s="36"/>
      <c r="AKL12" s="36"/>
      <c r="AKM12" s="37"/>
      <c r="AKN12" s="37"/>
      <c r="AKP12" s="22"/>
      <c r="AKQ12" s="35"/>
      <c r="AKR12" s="36"/>
      <c r="AKS12" s="37"/>
      <c r="AKT12" s="36"/>
      <c r="AKU12" s="37"/>
      <c r="AKV12" s="36"/>
      <c r="AKW12" s="37"/>
      <c r="AKX12" s="36"/>
      <c r="AKY12" s="37"/>
      <c r="AKZ12" s="36"/>
      <c r="ALA12" s="37"/>
      <c r="ALB12" s="36"/>
      <c r="ALC12" s="37"/>
      <c r="ALD12" s="36"/>
      <c r="ALE12" s="37"/>
      <c r="ALF12" s="36"/>
      <c r="ALG12" s="37"/>
      <c r="ALH12" s="36"/>
      <c r="ALI12" s="37"/>
      <c r="ALJ12" s="36"/>
      <c r="ALK12" s="36"/>
      <c r="ALL12" s="37"/>
      <c r="ALM12" s="37"/>
      <c r="ALO12" s="22"/>
      <c r="ALP12" s="35"/>
      <c r="ALQ12" s="36"/>
      <c r="ALR12" s="37"/>
      <c r="ALS12" s="36"/>
      <c r="ALT12" s="37"/>
      <c r="ALU12" s="36"/>
      <c r="ALV12" s="37"/>
      <c r="ALW12" s="36"/>
      <c r="ALX12" s="37"/>
      <c r="ALY12" s="36"/>
      <c r="ALZ12" s="37"/>
      <c r="AMA12" s="36"/>
      <c r="AMB12" s="37"/>
      <c r="AMC12" s="36"/>
      <c r="AMD12" s="37"/>
      <c r="AME12" s="36"/>
      <c r="AMF12" s="37"/>
      <c r="AMG12" s="36"/>
      <c r="AMH12" s="37"/>
      <c r="AMI12" s="36"/>
      <c r="AMJ12" s="36"/>
      <c r="AMK12" s="37"/>
      <c r="AML12" s="37"/>
      <c r="AMN12" s="22"/>
      <c r="AMO12" s="35"/>
      <c r="AMP12" s="36"/>
      <c r="AMQ12" s="37"/>
      <c r="AMR12" s="36"/>
      <c r="AMS12" s="37"/>
      <c r="AMT12" s="36"/>
      <c r="AMU12" s="37"/>
      <c r="AMV12" s="36"/>
      <c r="AMW12" s="37"/>
      <c r="AMX12" s="36"/>
      <c r="AMY12" s="37"/>
      <c r="AMZ12" s="36"/>
      <c r="ANA12" s="37"/>
      <c r="ANB12" s="36"/>
      <c r="ANC12" s="37"/>
      <c r="AND12" s="36"/>
      <c r="ANE12" s="37"/>
      <c r="ANF12" s="36"/>
      <c r="ANG12" s="37"/>
      <c r="ANH12" s="36"/>
      <c r="ANI12" s="36"/>
      <c r="ANJ12" s="37"/>
      <c r="ANK12" s="37"/>
      <c r="ANM12" s="22"/>
      <c r="ANN12" s="35"/>
      <c r="ANO12" s="36"/>
      <c r="ANP12" s="37"/>
      <c r="ANQ12" s="36"/>
      <c r="ANR12" s="37"/>
      <c r="ANS12" s="36"/>
      <c r="ANT12" s="37"/>
      <c r="ANU12" s="36"/>
      <c r="ANV12" s="37"/>
      <c r="ANW12" s="36"/>
      <c r="ANX12" s="37"/>
      <c r="ANY12" s="36"/>
      <c r="ANZ12" s="37"/>
      <c r="AOA12" s="36"/>
      <c r="AOB12" s="37"/>
      <c r="AOC12" s="36"/>
      <c r="AOD12" s="37"/>
      <c r="AOE12" s="36"/>
      <c r="AOF12" s="37"/>
      <c r="AOG12" s="36"/>
      <c r="AOH12" s="36"/>
      <c r="AOI12" s="37"/>
      <c r="AOJ12" s="37"/>
      <c r="AOL12" s="22"/>
      <c r="AOM12" s="35"/>
      <c r="AON12" s="36"/>
      <c r="AOO12" s="37"/>
      <c r="AOP12" s="36"/>
      <c r="AOQ12" s="37"/>
      <c r="AOR12" s="36"/>
      <c r="AOS12" s="37"/>
      <c r="AOT12" s="36"/>
      <c r="AOU12" s="37"/>
      <c r="AOV12" s="36"/>
      <c r="AOW12" s="37"/>
      <c r="AOX12" s="36"/>
      <c r="AOY12" s="37"/>
      <c r="AOZ12" s="36"/>
      <c r="APA12" s="37"/>
      <c r="APB12" s="36"/>
      <c r="APC12" s="37"/>
      <c r="APD12" s="36"/>
      <c r="APE12" s="37"/>
      <c r="APF12" s="36"/>
      <c r="APG12" s="36"/>
      <c r="APH12" s="37"/>
      <c r="API12" s="37"/>
      <c r="APK12" s="22"/>
      <c r="APL12" s="35"/>
      <c r="APM12" s="36"/>
      <c r="APN12" s="37"/>
      <c r="APO12" s="36"/>
      <c r="APP12" s="37"/>
      <c r="APQ12" s="36"/>
      <c r="APR12" s="37"/>
      <c r="APS12" s="36"/>
      <c r="APT12" s="37"/>
      <c r="APU12" s="36"/>
      <c r="APV12" s="37"/>
      <c r="APW12" s="36"/>
      <c r="APX12" s="37"/>
      <c r="APY12" s="36"/>
      <c r="APZ12" s="37"/>
      <c r="AQA12" s="36"/>
      <c r="AQB12" s="37"/>
      <c r="AQC12" s="36"/>
      <c r="AQD12" s="37"/>
      <c r="AQE12" s="36"/>
      <c r="AQF12" s="36"/>
      <c r="AQG12" s="37"/>
      <c r="AQH12" s="37"/>
      <c r="AQJ12" s="22"/>
      <c r="AQK12" s="35"/>
      <c r="AQL12" s="36"/>
      <c r="AQM12" s="37"/>
      <c r="AQN12" s="36"/>
      <c r="AQO12" s="37"/>
      <c r="AQP12" s="36"/>
      <c r="AQQ12" s="37"/>
      <c r="AQR12" s="36"/>
      <c r="AQS12" s="37"/>
      <c r="AQT12" s="36"/>
      <c r="AQU12" s="37"/>
      <c r="AQV12" s="36"/>
      <c r="AQW12" s="37"/>
      <c r="AQX12" s="36"/>
      <c r="AQY12" s="37"/>
      <c r="AQZ12" s="36"/>
      <c r="ARA12" s="37"/>
      <c r="ARB12" s="36"/>
      <c r="ARC12" s="37"/>
      <c r="ARD12" s="36"/>
      <c r="ARE12" s="36"/>
      <c r="ARF12" s="37"/>
      <c r="ARG12" s="37"/>
      <c r="ARI12" s="22"/>
      <c r="ARJ12" s="35"/>
      <c r="ARK12" s="36"/>
      <c r="ARL12" s="37"/>
      <c r="ARM12" s="36"/>
      <c r="ARN12" s="37"/>
      <c r="ARO12" s="36"/>
      <c r="ARP12" s="37"/>
      <c r="ARQ12" s="36"/>
      <c r="ARR12" s="37"/>
      <c r="ARS12" s="36"/>
      <c r="ART12" s="37"/>
      <c r="ARU12" s="36"/>
      <c r="ARV12" s="37"/>
      <c r="ARW12" s="36"/>
      <c r="ARX12" s="37"/>
      <c r="ARY12" s="36"/>
      <c r="ARZ12" s="37"/>
      <c r="ASA12" s="36"/>
      <c r="ASB12" s="37"/>
      <c r="ASC12" s="36"/>
      <c r="ASD12" s="36"/>
      <c r="ASE12" s="37"/>
      <c r="ASF12" s="37"/>
      <c r="ASH12" s="22"/>
      <c r="ASI12" s="35"/>
      <c r="ASJ12" s="36"/>
      <c r="ASK12" s="37"/>
      <c r="ASL12" s="36"/>
      <c r="ASM12" s="37"/>
      <c r="ASN12" s="36"/>
      <c r="ASO12" s="37"/>
      <c r="ASP12" s="36"/>
      <c r="ASQ12" s="37"/>
      <c r="ASR12" s="36"/>
      <c r="ASS12" s="37"/>
      <c r="AST12" s="36"/>
      <c r="ASU12" s="37"/>
      <c r="ASV12" s="36"/>
      <c r="ASW12" s="37"/>
      <c r="ASX12" s="36"/>
      <c r="ASY12" s="37"/>
      <c r="ASZ12" s="36"/>
      <c r="ATA12" s="37"/>
      <c r="ATB12" s="36"/>
      <c r="ATC12" s="36"/>
      <c r="ATD12" s="37"/>
      <c r="ATE12" s="37"/>
      <c r="ATG12" s="22"/>
      <c r="ATH12" s="35"/>
      <c r="ATI12" s="36"/>
      <c r="ATJ12" s="37"/>
      <c r="ATK12" s="36"/>
      <c r="ATL12" s="37"/>
      <c r="ATM12" s="36"/>
      <c r="ATN12" s="37"/>
      <c r="ATO12" s="36"/>
      <c r="ATP12" s="37"/>
      <c r="ATQ12" s="36"/>
      <c r="ATR12" s="37"/>
      <c r="ATS12" s="36"/>
      <c r="ATT12" s="37"/>
      <c r="ATU12" s="36"/>
      <c r="ATV12" s="37"/>
      <c r="ATW12" s="36"/>
      <c r="ATX12" s="37"/>
      <c r="ATY12" s="36"/>
      <c r="ATZ12" s="37"/>
      <c r="AUA12" s="36"/>
      <c r="AUB12" s="36"/>
      <c r="AUC12" s="37"/>
      <c r="AUD12" s="37"/>
      <c r="AUF12" s="22"/>
      <c r="AUG12" s="35"/>
      <c r="AUH12" s="36"/>
      <c r="AUI12" s="37"/>
      <c r="AUJ12" s="36"/>
      <c r="AUK12" s="37"/>
      <c r="AUL12" s="36"/>
      <c r="AUM12" s="37"/>
      <c r="AUN12" s="36"/>
      <c r="AUO12" s="37"/>
      <c r="AUP12" s="36"/>
      <c r="AUQ12" s="37"/>
      <c r="AUR12" s="36"/>
      <c r="AUS12" s="37"/>
      <c r="AUT12" s="36"/>
      <c r="AUU12" s="37"/>
      <c r="AUV12" s="36"/>
      <c r="AUW12" s="37"/>
      <c r="AUX12" s="36"/>
      <c r="AUY12" s="37"/>
      <c r="AUZ12" s="36"/>
      <c r="AVA12" s="36"/>
      <c r="AVB12" s="37"/>
      <c r="AVC12" s="37"/>
      <c r="AVE12" s="22"/>
      <c r="AVF12" s="35"/>
      <c r="AVG12" s="36"/>
      <c r="AVH12" s="37"/>
      <c r="AVI12" s="36"/>
      <c r="AVJ12" s="37"/>
      <c r="AVK12" s="36"/>
      <c r="AVL12" s="37"/>
      <c r="AVM12" s="36"/>
      <c r="AVN12" s="37"/>
      <c r="AVO12" s="36"/>
      <c r="AVP12" s="37"/>
      <c r="AVQ12" s="36"/>
      <c r="AVR12" s="37"/>
      <c r="AVS12" s="36"/>
      <c r="AVT12" s="37"/>
      <c r="AVU12" s="36"/>
      <c r="AVV12" s="37"/>
      <c r="AVW12" s="36"/>
      <c r="AVX12" s="37"/>
      <c r="AVY12" s="36"/>
      <c r="AVZ12" s="36"/>
      <c r="AWA12" s="37"/>
      <c r="AWB12" s="37"/>
      <c r="AWD12" s="22"/>
      <c r="AWE12" s="35"/>
      <c r="AWF12" s="36"/>
      <c r="AWG12" s="37"/>
      <c r="AWH12" s="36"/>
      <c r="AWI12" s="37"/>
      <c r="AWJ12" s="36"/>
      <c r="AWK12" s="37"/>
      <c r="AWL12" s="36"/>
      <c r="AWM12" s="37"/>
      <c r="AWN12" s="36"/>
      <c r="AWO12" s="37"/>
      <c r="AWP12" s="36"/>
      <c r="AWQ12" s="37"/>
      <c r="AWR12" s="36"/>
      <c r="AWS12" s="37"/>
      <c r="AWT12" s="36"/>
      <c r="AWU12" s="37"/>
      <c r="AWV12" s="36"/>
      <c r="AWW12" s="37"/>
      <c r="AWX12" s="36"/>
      <c r="AWY12" s="36"/>
      <c r="AWZ12" s="37"/>
      <c r="AXA12" s="37"/>
      <c r="AXC12" s="22"/>
      <c r="AXD12" s="35"/>
      <c r="AXE12" s="36"/>
      <c r="AXF12" s="37"/>
      <c r="AXG12" s="36"/>
      <c r="AXH12" s="37"/>
      <c r="AXI12" s="36"/>
      <c r="AXJ12" s="37"/>
      <c r="AXK12" s="36"/>
      <c r="AXL12" s="37"/>
      <c r="AXM12" s="36"/>
      <c r="AXN12" s="37"/>
      <c r="AXO12" s="36"/>
      <c r="AXP12" s="37"/>
      <c r="AXQ12" s="36"/>
      <c r="AXR12" s="37"/>
      <c r="AXS12" s="36"/>
      <c r="AXT12" s="37"/>
      <c r="AXU12" s="36"/>
      <c r="AXV12" s="37"/>
      <c r="AXW12" s="36"/>
      <c r="AXX12" s="36"/>
      <c r="AXY12" s="37"/>
      <c r="AXZ12" s="37"/>
      <c r="AYB12" s="22"/>
      <c r="AYC12" s="35"/>
      <c r="AYD12" s="36"/>
      <c r="AYE12" s="37"/>
      <c r="AYF12" s="36"/>
      <c r="AYG12" s="37"/>
      <c r="AYH12" s="36"/>
      <c r="AYI12" s="37"/>
      <c r="AYJ12" s="36"/>
      <c r="AYK12" s="37"/>
      <c r="AYL12" s="36"/>
      <c r="AYM12" s="37"/>
      <c r="AYN12" s="36"/>
      <c r="AYO12" s="37"/>
      <c r="AYP12" s="36"/>
      <c r="AYQ12" s="37"/>
      <c r="AYR12" s="36"/>
      <c r="AYS12" s="37"/>
      <c r="AYT12" s="36"/>
      <c r="AYU12" s="37"/>
      <c r="AYV12" s="36"/>
      <c r="AYW12" s="36"/>
      <c r="AYX12" s="37"/>
      <c r="AYY12" s="37"/>
      <c r="AZA12" s="22"/>
      <c r="AZB12" s="35"/>
      <c r="AZC12" s="36"/>
      <c r="AZD12" s="37"/>
      <c r="AZE12" s="36"/>
      <c r="AZF12" s="37"/>
      <c r="AZG12" s="36"/>
      <c r="AZH12" s="37"/>
      <c r="AZI12" s="36"/>
      <c r="AZJ12" s="37"/>
      <c r="AZK12" s="36"/>
      <c r="AZL12" s="37"/>
      <c r="AZM12" s="36"/>
      <c r="AZN12" s="37"/>
      <c r="AZO12" s="36"/>
      <c r="AZP12" s="37"/>
      <c r="AZQ12" s="36"/>
      <c r="AZR12" s="37"/>
      <c r="AZS12" s="36"/>
      <c r="AZT12" s="37"/>
      <c r="AZU12" s="36"/>
      <c r="AZV12" s="36"/>
      <c r="AZW12" s="37"/>
      <c r="AZX12" s="37"/>
      <c r="AZZ12" s="22"/>
      <c r="BAA12" s="35"/>
      <c r="BAB12" s="36"/>
      <c r="BAC12" s="37"/>
      <c r="BAD12" s="36"/>
      <c r="BAE12" s="37"/>
      <c r="BAF12" s="36"/>
      <c r="BAG12" s="37"/>
      <c r="BAH12" s="36"/>
      <c r="BAI12" s="37"/>
      <c r="BAJ12" s="36"/>
      <c r="BAK12" s="37"/>
      <c r="BAL12" s="36"/>
      <c r="BAM12" s="37"/>
      <c r="BAN12" s="36"/>
      <c r="BAO12" s="37"/>
      <c r="BAP12" s="36"/>
      <c r="BAQ12" s="37"/>
      <c r="BAR12" s="36"/>
      <c r="BAS12" s="37"/>
      <c r="BAT12" s="36"/>
      <c r="BAU12" s="36"/>
      <c r="BAV12" s="37"/>
      <c r="BAW12" s="37"/>
      <c r="BAY12" s="22"/>
      <c r="BAZ12" s="35"/>
      <c r="BBA12" s="36"/>
      <c r="BBB12" s="37"/>
      <c r="BBC12" s="36"/>
      <c r="BBD12" s="37"/>
      <c r="BBE12" s="36"/>
      <c r="BBF12" s="37"/>
      <c r="BBG12" s="36"/>
      <c r="BBH12" s="37"/>
      <c r="BBI12" s="36"/>
      <c r="BBJ12" s="37"/>
      <c r="BBK12" s="36"/>
      <c r="BBL12" s="37"/>
      <c r="BBM12" s="36"/>
      <c r="BBN12" s="37"/>
      <c r="BBO12" s="36"/>
      <c r="BBP12" s="37"/>
      <c r="BBQ12" s="36"/>
      <c r="BBR12" s="37"/>
      <c r="BBS12" s="36"/>
      <c r="BBT12" s="36"/>
      <c r="BBU12" s="37"/>
      <c r="BBV12" s="37"/>
      <c r="BBX12" s="22"/>
      <c r="BBY12" s="35"/>
      <c r="BBZ12" s="36"/>
      <c r="BCA12" s="37"/>
      <c r="BCB12" s="36"/>
      <c r="BCC12" s="37"/>
      <c r="BCD12" s="36"/>
      <c r="BCE12" s="37"/>
      <c r="BCF12" s="36"/>
      <c r="BCG12" s="37"/>
      <c r="BCH12" s="36"/>
      <c r="BCI12" s="37"/>
      <c r="BCJ12" s="36"/>
      <c r="BCK12" s="37"/>
      <c r="BCL12" s="36"/>
      <c r="BCM12" s="37"/>
      <c r="BCN12" s="36"/>
      <c r="BCO12" s="37"/>
      <c r="BCP12" s="36"/>
      <c r="BCQ12" s="37"/>
      <c r="BCR12" s="36"/>
      <c r="BCS12" s="36"/>
      <c r="BCT12" s="37"/>
      <c r="BCU12" s="37"/>
      <c r="BCW12" s="22"/>
      <c r="BCX12" s="35"/>
      <c r="BCY12" s="36"/>
      <c r="BCZ12" s="37"/>
      <c r="BDA12" s="36"/>
      <c r="BDB12" s="37"/>
      <c r="BDC12" s="36"/>
      <c r="BDD12" s="37"/>
      <c r="BDE12" s="36"/>
      <c r="BDF12" s="37"/>
      <c r="BDG12" s="36"/>
      <c r="BDH12" s="37"/>
      <c r="BDI12" s="36"/>
      <c r="BDJ12" s="37"/>
      <c r="BDK12" s="36"/>
      <c r="BDL12" s="37"/>
      <c r="BDM12" s="36"/>
      <c r="BDN12" s="37"/>
      <c r="BDO12" s="36"/>
      <c r="BDP12" s="37"/>
      <c r="BDQ12" s="36"/>
      <c r="BDR12" s="36"/>
      <c r="BDS12" s="37"/>
      <c r="BDT12" s="37"/>
      <c r="BDV12" s="22"/>
      <c r="BDW12" s="35"/>
      <c r="BDX12" s="36"/>
      <c r="BDY12" s="37"/>
      <c r="BDZ12" s="36"/>
      <c r="BEA12" s="37"/>
      <c r="BEB12" s="36"/>
      <c r="BEC12" s="37"/>
      <c r="BED12" s="36"/>
      <c r="BEE12" s="37"/>
      <c r="BEF12" s="36"/>
      <c r="BEG12" s="37"/>
      <c r="BEH12" s="36"/>
      <c r="BEI12" s="37"/>
      <c r="BEJ12" s="36"/>
      <c r="BEK12" s="37"/>
      <c r="BEL12" s="36"/>
      <c r="BEM12" s="37"/>
      <c r="BEN12" s="36"/>
      <c r="BEO12" s="37"/>
      <c r="BEP12" s="36"/>
      <c r="BEQ12" s="36"/>
      <c r="BER12" s="37"/>
      <c r="BES12" s="37"/>
      <c r="BEU12" s="22"/>
      <c r="BEV12" s="35"/>
      <c r="BEW12" s="36"/>
      <c r="BEX12" s="37"/>
      <c r="BEY12" s="36"/>
      <c r="BEZ12" s="37"/>
      <c r="BFA12" s="36"/>
      <c r="BFB12" s="37"/>
      <c r="BFC12" s="36"/>
      <c r="BFD12" s="37"/>
      <c r="BFE12" s="36"/>
      <c r="BFF12" s="37"/>
      <c r="BFG12" s="36"/>
      <c r="BFH12" s="37"/>
      <c r="BFI12" s="36"/>
      <c r="BFJ12" s="37"/>
      <c r="BFK12" s="36"/>
      <c r="BFL12" s="37"/>
      <c r="BFM12" s="36"/>
      <c r="BFN12" s="37"/>
      <c r="BFO12" s="36"/>
      <c r="BFP12" s="36"/>
      <c r="BFQ12" s="37"/>
      <c r="BFR12" s="37"/>
      <c r="BFT12" s="22"/>
      <c r="BFU12" s="35"/>
      <c r="BFV12" s="36"/>
      <c r="BFW12" s="37"/>
      <c r="BFX12" s="36"/>
      <c r="BFY12" s="37"/>
      <c r="BFZ12" s="36"/>
      <c r="BGA12" s="37"/>
      <c r="BGB12" s="36"/>
      <c r="BGC12" s="37"/>
      <c r="BGD12" s="36"/>
      <c r="BGE12" s="37"/>
      <c r="BGF12" s="36"/>
      <c r="BGG12" s="37"/>
      <c r="BGH12" s="36"/>
      <c r="BGI12" s="37"/>
      <c r="BGJ12" s="36"/>
      <c r="BGK12" s="37"/>
      <c r="BGL12" s="36"/>
      <c r="BGM12" s="37"/>
      <c r="BGN12" s="36"/>
      <c r="BGO12" s="36"/>
      <c r="BGP12" s="37"/>
      <c r="BGQ12" s="37"/>
      <c r="BGS12" s="22"/>
      <c r="BGT12" s="35"/>
      <c r="BGU12" s="36"/>
      <c r="BGV12" s="37"/>
      <c r="BGW12" s="36"/>
      <c r="BGX12" s="37"/>
      <c r="BGY12" s="36"/>
      <c r="BGZ12" s="37"/>
      <c r="BHA12" s="36"/>
      <c r="BHB12" s="37"/>
      <c r="BHC12" s="36"/>
      <c r="BHD12" s="37"/>
      <c r="BHE12" s="36"/>
      <c r="BHF12" s="37"/>
      <c r="BHG12" s="36"/>
      <c r="BHH12" s="37"/>
      <c r="BHI12" s="36"/>
      <c r="BHJ12" s="37"/>
      <c r="BHK12" s="36"/>
      <c r="BHL12" s="37"/>
      <c r="BHM12" s="36"/>
      <c r="BHN12" s="36"/>
      <c r="BHO12" s="37"/>
      <c r="BHP12" s="37"/>
      <c r="BHR12" s="22"/>
      <c r="BHS12" s="35"/>
      <c r="BHT12" s="36"/>
      <c r="BHU12" s="37"/>
      <c r="BHV12" s="36"/>
      <c r="BHW12" s="37"/>
      <c r="BHX12" s="36"/>
      <c r="BHY12" s="37"/>
      <c r="BHZ12" s="36"/>
      <c r="BIA12" s="37"/>
      <c r="BIB12" s="36"/>
      <c r="BIC12" s="37"/>
      <c r="BID12" s="36"/>
      <c r="BIE12" s="37"/>
      <c r="BIF12" s="36"/>
      <c r="BIG12" s="37"/>
      <c r="BIH12" s="36"/>
      <c r="BII12" s="37"/>
      <c r="BIJ12" s="36"/>
      <c r="BIK12" s="37"/>
      <c r="BIL12" s="36"/>
      <c r="BIM12" s="36"/>
      <c r="BIN12" s="37"/>
      <c r="BIO12" s="37"/>
      <c r="BIQ12" s="22"/>
      <c r="BIR12" s="35"/>
      <c r="BIS12" s="36"/>
      <c r="BIT12" s="37"/>
      <c r="BIU12" s="36"/>
      <c r="BIV12" s="37"/>
      <c r="BIW12" s="36"/>
      <c r="BIX12" s="37"/>
      <c r="BIY12" s="36"/>
      <c r="BIZ12" s="37"/>
      <c r="BJA12" s="36"/>
      <c r="BJB12" s="37"/>
      <c r="BJC12" s="36"/>
      <c r="BJD12" s="37"/>
      <c r="BJE12" s="36"/>
      <c r="BJF12" s="37"/>
      <c r="BJG12" s="36"/>
      <c r="BJH12" s="37"/>
      <c r="BJI12" s="36"/>
      <c r="BJJ12" s="37"/>
      <c r="BJK12" s="36"/>
      <c r="BJL12" s="36"/>
      <c r="BJM12" s="37"/>
      <c r="BJN12" s="37"/>
      <c r="BJP12" s="22"/>
      <c r="BJQ12" s="35"/>
      <c r="BJR12" s="36"/>
      <c r="BJS12" s="37"/>
      <c r="BJT12" s="36"/>
      <c r="BJU12" s="37"/>
      <c r="BJV12" s="36"/>
      <c r="BJW12" s="37"/>
      <c r="BJX12" s="36"/>
      <c r="BJY12" s="37"/>
      <c r="BJZ12" s="36"/>
      <c r="BKA12" s="37"/>
      <c r="BKB12" s="36"/>
      <c r="BKC12" s="37"/>
      <c r="BKD12" s="36"/>
      <c r="BKE12" s="37"/>
      <c r="BKF12" s="36"/>
      <c r="BKG12" s="37"/>
      <c r="BKH12" s="36"/>
      <c r="BKI12" s="37"/>
      <c r="BKJ12" s="36"/>
      <c r="BKK12" s="36"/>
      <c r="BKL12" s="37"/>
      <c r="BKM12" s="37"/>
      <c r="BKO12" s="22"/>
      <c r="BKP12" s="35"/>
      <c r="BKQ12" s="36"/>
      <c r="BKR12" s="37"/>
      <c r="BKS12" s="36"/>
      <c r="BKT12" s="37"/>
      <c r="BKU12" s="36"/>
      <c r="BKV12" s="37"/>
      <c r="BKW12" s="36"/>
      <c r="BKX12" s="37"/>
      <c r="BKY12" s="36"/>
      <c r="BKZ12" s="37"/>
      <c r="BLA12" s="36"/>
      <c r="BLB12" s="37"/>
      <c r="BLC12" s="36"/>
      <c r="BLD12" s="37"/>
      <c r="BLE12" s="36"/>
      <c r="BLF12" s="37"/>
      <c r="BLG12" s="36"/>
      <c r="BLH12" s="37"/>
      <c r="BLI12" s="36"/>
      <c r="BLJ12" s="36"/>
      <c r="BLK12" s="37"/>
      <c r="BLL12" s="37"/>
      <c r="BLN12" s="22"/>
      <c r="BLO12" s="35"/>
      <c r="BLP12" s="36"/>
      <c r="BLQ12" s="37"/>
      <c r="BLR12" s="36"/>
      <c r="BLS12" s="37"/>
      <c r="BLT12" s="36"/>
      <c r="BLU12" s="37"/>
      <c r="BLV12" s="36"/>
      <c r="BLW12" s="37"/>
      <c r="BLX12" s="36"/>
      <c r="BLY12" s="37"/>
      <c r="BLZ12" s="36"/>
      <c r="BMA12" s="37"/>
      <c r="BMB12" s="36"/>
      <c r="BMC12" s="37"/>
      <c r="BMD12" s="36"/>
      <c r="BME12" s="37"/>
      <c r="BMF12" s="36"/>
      <c r="BMG12" s="37"/>
      <c r="BMH12" s="36"/>
      <c r="BMI12" s="36"/>
      <c r="BMJ12" s="37"/>
      <c r="BMK12" s="37"/>
      <c r="BMM12" s="22"/>
      <c r="BMN12" s="35"/>
      <c r="BMO12" s="36"/>
      <c r="BMP12" s="37"/>
      <c r="BMQ12" s="36"/>
      <c r="BMR12" s="37"/>
      <c r="BMS12" s="36"/>
      <c r="BMT12" s="37"/>
      <c r="BMU12" s="36"/>
      <c r="BMV12" s="37"/>
      <c r="BMW12" s="36"/>
      <c r="BMX12" s="37"/>
      <c r="BMY12" s="36"/>
      <c r="BMZ12" s="37"/>
      <c r="BNA12" s="36"/>
      <c r="BNB12" s="37"/>
      <c r="BNC12" s="36"/>
      <c r="BND12" s="37"/>
      <c r="BNE12" s="36"/>
      <c r="BNF12" s="37"/>
      <c r="BNG12" s="36"/>
      <c r="BNH12" s="36"/>
      <c r="BNI12" s="37"/>
      <c r="BNJ12" s="37"/>
      <c r="BNL12" s="22"/>
      <c r="BNM12" s="35"/>
      <c r="BNN12" s="36"/>
      <c r="BNO12" s="37"/>
      <c r="BNP12" s="36"/>
      <c r="BNQ12" s="37"/>
      <c r="BNR12" s="36"/>
      <c r="BNS12" s="37"/>
      <c r="BNT12" s="36"/>
      <c r="BNU12" s="37"/>
      <c r="BNV12" s="36"/>
      <c r="BNW12" s="37"/>
      <c r="BNX12" s="36"/>
      <c r="BNY12" s="37"/>
      <c r="BNZ12" s="36"/>
      <c r="BOA12" s="37"/>
      <c r="BOB12" s="36"/>
      <c r="BOC12" s="37"/>
      <c r="BOD12" s="36"/>
      <c r="BOE12" s="37"/>
      <c r="BOF12" s="36"/>
      <c r="BOG12" s="36"/>
      <c r="BOH12" s="37"/>
      <c r="BOI12" s="37"/>
      <c r="BOK12" s="22"/>
      <c r="BOL12" s="35"/>
      <c r="BOM12" s="36"/>
      <c r="BON12" s="37"/>
      <c r="BOO12" s="36"/>
      <c r="BOP12" s="37"/>
      <c r="BOQ12" s="36"/>
      <c r="BOR12" s="37"/>
      <c r="BOS12" s="36"/>
      <c r="BOT12" s="37"/>
      <c r="BOU12" s="36"/>
      <c r="BOV12" s="37"/>
      <c r="BOW12" s="36"/>
      <c r="BOX12" s="37"/>
      <c r="BOY12" s="36"/>
      <c r="BOZ12" s="37"/>
      <c r="BPA12" s="36"/>
      <c r="BPB12" s="37"/>
      <c r="BPC12" s="36"/>
      <c r="BPD12" s="37"/>
      <c r="BPE12" s="36"/>
      <c r="BPF12" s="36"/>
      <c r="BPG12" s="37"/>
      <c r="BPH12" s="37"/>
      <c r="BPJ12" s="22"/>
      <c r="BPK12" s="35"/>
      <c r="BPL12" s="36"/>
      <c r="BPM12" s="37"/>
      <c r="BPN12" s="36"/>
      <c r="BPO12" s="37"/>
      <c r="BPP12" s="36"/>
      <c r="BPQ12" s="37"/>
      <c r="BPR12" s="36"/>
      <c r="BPS12" s="37"/>
      <c r="BPT12" s="36"/>
      <c r="BPU12" s="37"/>
      <c r="BPV12" s="36"/>
      <c r="BPW12" s="37"/>
      <c r="BPX12" s="36"/>
      <c r="BPY12" s="37"/>
      <c r="BPZ12" s="36"/>
      <c r="BQA12" s="37"/>
      <c r="BQB12" s="36"/>
      <c r="BQC12" s="37"/>
      <c r="BQD12" s="36"/>
      <c r="BQE12" s="36"/>
      <c r="BQF12" s="37"/>
      <c r="BQG12" s="37"/>
      <c r="BQI12" s="22"/>
      <c r="BQJ12" s="35"/>
      <c r="BQK12" s="36"/>
      <c r="BQL12" s="37"/>
      <c r="BQM12" s="36"/>
      <c r="BQN12" s="37"/>
      <c r="BQO12" s="36"/>
      <c r="BQP12" s="37"/>
      <c r="BQQ12" s="36"/>
      <c r="BQR12" s="37"/>
      <c r="BQS12" s="36"/>
      <c r="BQT12" s="37"/>
      <c r="BQU12" s="36"/>
      <c r="BQV12" s="37"/>
      <c r="BQW12" s="36"/>
      <c r="BQX12" s="37"/>
      <c r="BQY12" s="36"/>
      <c r="BQZ12" s="37"/>
      <c r="BRA12" s="36"/>
      <c r="BRB12" s="37"/>
      <c r="BRC12" s="36"/>
      <c r="BRD12" s="36"/>
      <c r="BRE12" s="37"/>
      <c r="BRF12" s="37"/>
      <c r="BRH12" s="22"/>
      <c r="BRI12" s="35"/>
      <c r="BRJ12" s="36"/>
      <c r="BRK12" s="37"/>
      <c r="BRL12" s="36"/>
      <c r="BRM12" s="37"/>
      <c r="BRN12" s="36"/>
      <c r="BRO12" s="37"/>
      <c r="BRP12" s="36"/>
      <c r="BRQ12" s="37"/>
      <c r="BRR12" s="36"/>
      <c r="BRS12" s="37"/>
      <c r="BRT12" s="36"/>
      <c r="BRU12" s="37"/>
      <c r="BRV12" s="36"/>
      <c r="BRW12" s="37"/>
      <c r="BRX12" s="36"/>
      <c r="BRY12" s="37"/>
      <c r="BRZ12" s="36"/>
      <c r="BSA12" s="37"/>
      <c r="BSB12" s="36"/>
      <c r="BSC12" s="36"/>
      <c r="BSD12" s="37"/>
      <c r="BSE12" s="37"/>
      <c r="BSG12" s="22"/>
      <c r="BSH12" s="35"/>
      <c r="BSI12" s="36"/>
      <c r="BSJ12" s="37"/>
      <c r="BSK12" s="36"/>
      <c r="BSL12" s="37"/>
      <c r="BSM12" s="36"/>
      <c r="BSN12" s="37"/>
      <c r="BSO12" s="36"/>
      <c r="BSP12" s="37"/>
      <c r="BSQ12" s="36"/>
      <c r="BSR12" s="37"/>
      <c r="BSS12" s="36"/>
      <c r="BST12" s="37"/>
      <c r="BSU12" s="36"/>
      <c r="BSV12" s="37"/>
      <c r="BSW12" s="36"/>
      <c r="BSX12" s="37"/>
      <c r="BSY12" s="36"/>
      <c r="BSZ12" s="37"/>
      <c r="BTA12" s="36"/>
      <c r="BTB12" s="36"/>
      <c r="BTC12" s="37"/>
      <c r="BTD12" s="37"/>
      <c r="BTF12" s="22"/>
      <c r="BTG12" s="35"/>
      <c r="BTH12" s="36"/>
      <c r="BTI12" s="37"/>
      <c r="BTJ12" s="36"/>
      <c r="BTK12" s="37"/>
      <c r="BTL12" s="36"/>
      <c r="BTM12" s="37"/>
      <c r="BTN12" s="36"/>
      <c r="BTO12" s="37"/>
      <c r="BTP12" s="36"/>
      <c r="BTQ12" s="37"/>
      <c r="BTR12" s="36"/>
      <c r="BTS12" s="37"/>
      <c r="BTT12" s="36"/>
      <c r="BTU12" s="37"/>
      <c r="BTV12" s="36"/>
      <c r="BTW12" s="37"/>
      <c r="BTX12" s="36"/>
      <c r="BTY12" s="37"/>
      <c r="BTZ12" s="36"/>
      <c r="BUA12" s="36"/>
      <c r="BUB12" s="37"/>
      <c r="BUC12" s="37"/>
      <c r="BUE12" s="22"/>
      <c r="BUF12" s="35"/>
      <c r="BUG12" s="36"/>
      <c r="BUH12" s="37"/>
      <c r="BUI12" s="36"/>
      <c r="BUJ12" s="37"/>
      <c r="BUK12" s="36"/>
      <c r="BUL12" s="37"/>
      <c r="BUM12" s="36"/>
      <c r="BUN12" s="37"/>
      <c r="BUO12" s="36"/>
      <c r="BUP12" s="37"/>
      <c r="BUQ12" s="36"/>
      <c r="BUR12" s="37"/>
      <c r="BUS12" s="36"/>
      <c r="BUT12" s="37"/>
      <c r="BUU12" s="36"/>
      <c r="BUV12" s="37"/>
      <c r="BUW12" s="36"/>
      <c r="BUX12" s="37"/>
      <c r="BUY12" s="36"/>
      <c r="BUZ12" s="36"/>
      <c r="BVA12" s="37"/>
      <c r="BVB12" s="37"/>
      <c r="BVD12" s="22"/>
      <c r="BVE12" s="35"/>
      <c r="BVF12" s="36"/>
      <c r="BVG12" s="37"/>
      <c r="BVH12" s="36"/>
      <c r="BVI12" s="37"/>
      <c r="BVJ12" s="36"/>
      <c r="BVK12" s="37"/>
      <c r="BVL12" s="36"/>
      <c r="BVM12" s="37"/>
      <c r="BVN12" s="36"/>
      <c r="BVO12" s="37"/>
      <c r="BVP12" s="36"/>
      <c r="BVQ12" s="37"/>
      <c r="BVR12" s="36"/>
      <c r="BVS12" s="37"/>
      <c r="BVT12" s="36"/>
      <c r="BVU12" s="37"/>
      <c r="BVV12" s="36"/>
      <c r="BVW12" s="37"/>
      <c r="BVX12" s="36"/>
      <c r="BVY12" s="36"/>
      <c r="BVZ12" s="37"/>
      <c r="BWA12" s="37"/>
      <c r="BWC12" s="22"/>
      <c r="BWD12" s="35"/>
      <c r="BWE12" s="36"/>
      <c r="BWF12" s="37"/>
      <c r="BWG12" s="36"/>
      <c r="BWH12" s="37"/>
      <c r="BWI12" s="36"/>
      <c r="BWJ12" s="37"/>
      <c r="BWK12" s="36"/>
      <c r="BWL12" s="37"/>
      <c r="BWM12" s="36"/>
      <c r="BWN12" s="37"/>
      <c r="BWO12" s="36"/>
      <c r="BWP12" s="37"/>
      <c r="BWQ12" s="36"/>
      <c r="BWR12" s="37"/>
      <c r="BWS12" s="36"/>
      <c r="BWT12" s="37"/>
      <c r="BWU12" s="36"/>
      <c r="BWV12" s="37"/>
      <c r="BWW12" s="36"/>
      <c r="BWX12" s="36"/>
      <c r="BWY12" s="37"/>
      <c r="BWZ12" s="37"/>
      <c r="BXB12" s="22"/>
      <c r="BXC12" s="35"/>
      <c r="BXD12" s="36"/>
      <c r="BXE12" s="37"/>
      <c r="BXF12" s="36"/>
      <c r="BXG12" s="37"/>
      <c r="BXH12" s="36"/>
      <c r="BXI12" s="37"/>
      <c r="BXJ12" s="36"/>
      <c r="BXK12" s="37"/>
      <c r="BXL12" s="36"/>
      <c r="BXM12" s="37"/>
      <c r="BXN12" s="36"/>
      <c r="BXO12" s="37"/>
      <c r="BXP12" s="36"/>
      <c r="BXQ12" s="37"/>
      <c r="BXR12" s="36"/>
      <c r="BXS12" s="37"/>
      <c r="BXT12" s="36"/>
      <c r="BXU12" s="37"/>
      <c r="BXV12" s="36"/>
      <c r="BXW12" s="36"/>
      <c r="BXX12" s="37"/>
      <c r="BXY12" s="37"/>
      <c r="BYA12" s="22"/>
      <c r="BYB12" s="35"/>
      <c r="BYC12" s="36"/>
      <c r="BYD12" s="37"/>
      <c r="BYE12" s="36"/>
      <c r="BYF12" s="37"/>
      <c r="BYG12" s="36"/>
      <c r="BYH12" s="37"/>
      <c r="BYI12" s="36"/>
      <c r="BYJ12" s="37"/>
      <c r="BYK12" s="36"/>
      <c r="BYL12" s="37"/>
      <c r="BYM12" s="36"/>
      <c r="BYN12" s="37"/>
      <c r="BYO12" s="36"/>
      <c r="BYP12" s="37"/>
      <c r="BYQ12" s="36"/>
      <c r="BYR12" s="37"/>
      <c r="BYS12" s="36"/>
      <c r="BYT12" s="37"/>
      <c r="BYU12" s="36"/>
      <c r="BYV12" s="36"/>
      <c r="BYW12" s="37"/>
      <c r="BYX12" s="37"/>
      <c r="BYZ12" s="22"/>
      <c r="BZA12" s="35"/>
      <c r="BZB12" s="36"/>
      <c r="BZC12" s="37"/>
      <c r="BZD12" s="36"/>
      <c r="BZE12" s="37"/>
      <c r="BZF12" s="36"/>
      <c r="BZG12" s="37"/>
      <c r="BZH12" s="36"/>
      <c r="BZI12" s="37"/>
      <c r="BZJ12" s="36"/>
      <c r="BZK12" s="37"/>
      <c r="BZL12" s="36"/>
      <c r="BZM12" s="37"/>
      <c r="BZN12" s="36"/>
      <c r="BZO12" s="37"/>
      <c r="BZP12" s="36"/>
      <c r="BZQ12" s="37"/>
      <c r="BZR12" s="36"/>
      <c r="BZS12" s="37"/>
      <c r="BZT12" s="36"/>
      <c r="BZU12" s="36"/>
      <c r="BZV12" s="37"/>
      <c r="BZW12" s="37"/>
      <c r="BZY12" s="22"/>
      <c r="BZZ12" s="35"/>
      <c r="CAA12" s="36"/>
      <c r="CAB12" s="37"/>
      <c r="CAC12" s="36"/>
      <c r="CAD12" s="37"/>
      <c r="CAE12" s="36"/>
      <c r="CAF12" s="37"/>
      <c r="CAG12" s="36"/>
      <c r="CAH12" s="37"/>
      <c r="CAI12" s="36"/>
      <c r="CAJ12" s="37"/>
      <c r="CAK12" s="36"/>
      <c r="CAL12" s="37"/>
      <c r="CAM12" s="36"/>
      <c r="CAN12" s="37"/>
      <c r="CAO12" s="36"/>
      <c r="CAP12" s="37"/>
      <c r="CAQ12" s="36"/>
      <c r="CAR12" s="37"/>
      <c r="CAS12" s="36"/>
      <c r="CAT12" s="36"/>
      <c r="CAU12" s="37"/>
      <c r="CAV12" s="37"/>
      <c r="CAX12" s="22"/>
      <c r="CAY12" s="35"/>
      <c r="CAZ12" s="36"/>
      <c r="CBA12" s="37"/>
      <c r="CBB12" s="36"/>
      <c r="CBC12" s="37"/>
      <c r="CBD12" s="36"/>
      <c r="CBE12" s="37"/>
      <c r="CBF12" s="36"/>
      <c r="CBG12" s="37"/>
      <c r="CBH12" s="36"/>
      <c r="CBI12" s="37"/>
      <c r="CBJ12" s="36"/>
      <c r="CBK12" s="37"/>
      <c r="CBL12" s="36"/>
      <c r="CBM12" s="37"/>
      <c r="CBN12" s="36"/>
      <c r="CBO12" s="37"/>
      <c r="CBP12" s="36"/>
      <c r="CBQ12" s="37"/>
      <c r="CBR12" s="36"/>
      <c r="CBS12" s="36"/>
      <c r="CBT12" s="37"/>
      <c r="CBU12" s="37"/>
      <c r="CBW12" s="22"/>
      <c r="CBX12" s="35"/>
      <c r="CBY12" s="36"/>
      <c r="CBZ12" s="37"/>
      <c r="CCA12" s="36"/>
      <c r="CCB12" s="37"/>
      <c r="CCC12" s="36"/>
      <c r="CCD12" s="37"/>
      <c r="CCE12" s="36"/>
      <c r="CCF12" s="37"/>
      <c r="CCG12" s="36"/>
      <c r="CCH12" s="37"/>
      <c r="CCI12" s="36"/>
      <c r="CCJ12" s="37"/>
      <c r="CCK12" s="36"/>
      <c r="CCL12" s="37"/>
      <c r="CCM12" s="36"/>
      <c r="CCN12" s="37"/>
      <c r="CCO12" s="36"/>
      <c r="CCP12" s="37"/>
      <c r="CCQ12" s="36"/>
      <c r="CCR12" s="36"/>
      <c r="CCS12" s="37"/>
      <c r="CCT12" s="37"/>
      <c r="CCV12" s="22"/>
      <c r="CCW12" s="35"/>
      <c r="CCX12" s="36"/>
      <c r="CCY12" s="37"/>
      <c r="CCZ12" s="36"/>
      <c r="CDA12" s="37"/>
      <c r="CDB12" s="36"/>
      <c r="CDC12" s="37"/>
      <c r="CDD12" s="36"/>
      <c r="CDE12" s="37"/>
      <c r="CDF12" s="36"/>
      <c r="CDG12" s="37"/>
      <c r="CDH12" s="36"/>
      <c r="CDI12" s="37"/>
      <c r="CDJ12" s="36"/>
      <c r="CDK12" s="37"/>
      <c r="CDL12" s="36"/>
      <c r="CDM12" s="37"/>
      <c r="CDN12" s="36"/>
      <c r="CDO12" s="37"/>
      <c r="CDP12" s="36"/>
      <c r="CDQ12" s="36"/>
      <c r="CDR12" s="37"/>
      <c r="CDS12" s="37"/>
      <c r="CDU12" s="22"/>
      <c r="CDV12" s="35"/>
      <c r="CDW12" s="36"/>
      <c r="CDX12" s="37"/>
      <c r="CDY12" s="36"/>
      <c r="CDZ12" s="37"/>
      <c r="CEA12" s="36"/>
      <c r="CEB12" s="37"/>
      <c r="CEC12" s="36"/>
      <c r="CED12" s="37"/>
      <c r="CEE12" s="36"/>
      <c r="CEF12" s="37"/>
      <c r="CEG12" s="36"/>
      <c r="CEH12" s="37"/>
      <c r="CEI12" s="36"/>
      <c r="CEJ12" s="37"/>
      <c r="CEK12" s="36"/>
      <c r="CEL12" s="37"/>
      <c r="CEM12" s="36"/>
      <c r="CEN12" s="37"/>
      <c r="CEO12" s="36"/>
      <c r="CEP12" s="36"/>
      <c r="CEQ12" s="37"/>
      <c r="CER12" s="37"/>
      <c r="CET12" s="22"/>
      <c r="CEU12" s="35"/>
      <c r="CEV12" s="36"/>
      <c r="CEW12" s="37"/>
      <c r="CEX12" s="36"/>
      <c r="CEY12" s="37"/>
      <c r="CEZ12" s="36"/>
      <c r="CFA12" s="37"/>
      <c r="CFB12" s="36"/>
      <c r="CFC12" s="37"/>
      <c r="CFD12" s="36"/>
      <c r="CFE12" s="37"/>
      <c r="CFF12" s="36"/>
      <c r="CFG12" s="37"/>
      <c r="CFH12" s="36"/>
      <c r="CFI12" s="37"/>
      <c r="CFJ12" s="36"/>
      <c r="CFK12" s="37"/>
      <c r="CFL12" s="36"/>
      <c r="CFM12" s="37"/>
      <c r="CFN12" s="36"/>
      <c r="CFO12" s="36"/>
      <c r="CFP12" s="37"/>
      <c r="CFQ12" s="37"/>
      <c r="CFS12" s="22"/>
      <c r="CFT12" s="35"/>
      <c r="CFU12" s="36"/>
      <c r="CFV12" s="37"/>
      <c r="CFW12" s="36"/>
      <c r="CFX12" s="37"/>
      <c r="CFY12" s="36"/>
      <c r="CFZ12" s="37"/>
      <c r="CGA12" s="36"/>
      <c r="CGB12" s="37"/>
      <c r="CGC12" s="36"/>
      <c r="CGD12" s="37"/>
      <c r="CGE12" s="36"/>
      <c r="CGF12" s="37"/>
      <c r="CGG12" s="36"/>
      <c r="CGH12" s="37"/>
      <c r="CGI12" s="36"/>
      <c r="CGJ12" s="37"/>
      <c r="CGK12" s="36"/>
      <c r="CGL12" s="37"/>
      <c r="CGM12" s="36"/>
      <c r="CGN12" s="36"/>
      <c r="CGO12" s="37"/>
      <c r="CGP12" s="37"/>
      <c r="CGR12" s="22"/>
      <c r="CGS12" s="35"/>
      <c r="CGT12" s="36"/>
      <c r="CGU12" s="37"/>
      <c r="CGV12" s="36"/>
      <c r="CGW12" s="37"/>
      <c r="CGX12" s="36"/>
      <c r="CGY12" s="37"/>
      <c r="CGZ12" s="36"/>
      <c r="CHA12" s="37"/>
      <c r="CHB12" s="36"/>
      <c r="CHC12" s="37"/>
      <c r="CHD12" s="36"/>
      <c r="CHE12" s="37"/>
      <c r="CHF12" s="36"/>
      <c r="CHG12" s="37"/>
      <c r="CHH12" s="36"/>
      <c r="CHI12" s="37"/>
      <c r="CHJ12" s="36"/>
      <c r="CHK12" s="37"/>
      <c r="CHL12" s="36"/>
      <c r="CHM12" s="36"/>
      <c r="CHN12" s="37"/>
      <c r="CHO12" s="37"/>
      <c r="CHQ12" s="22"/>
      <c r="CHR12" s="35"/>
      <c r="CHS12" s="36"/>
      <c r="CHT12" s="37"/>
      <c r="CHU12" s="36"/>
      <c r="CHV12" s="37"/>
      <c r="CHW12" s="36"/>
      <c r="CHX12" s="37"/>
      <c r="CHY12" s="36"/>
      <c r="CHZ12" s="37"/>
      <c r="CIA12" s="36"/>
      <c r="CIB12" s="37"/>
      <c r="CIC12" s="36"/>
      <c r="CID12" s="37"/>
      <c r="CIE12" s="36"/>
      <c r="CIF12" s="37"/>
      <c r="CIG12" s="36"/>
      <c r="CIH12" s="37"/>
      <c r="CII12" s="36"/>
      <c r="CIJ12" s="37"/>
      <c r="CIK12" s="36"/>
      <c r="CIL12" s="36"/>
      <c r="CIM12" s="37"/>
      <c r="CIN12" s="37"/>
      <c r="CIP12" s="22"/>
      <c r="CIQ12" s="35"/>
      <c r="CIR12" s="36"/>
      <c r="CIS12" s="37"/>
      <c r="CIT12" s="36"/>
      <c r="CIU12" s="37"/>
      <c r="CIV12" s="36"/>
      <c r="CIW12" s="37"/>
      <c r="CIX12" s="36"/>
      <c r="CIY12" s="37"/>
      <c r="CIZ12" s="36"/>
      <c r="CJA12" s="37"/>
      <c r="CJB12" s="36"/>
      <c r="CJC12" s="37"/>
      <c r="CJD12" s="36"/>
      <c r="CJE12" s="37"/>
      <c r="CJF12" s="36"/>
      <c r="CJG12" s="37"/>
      <c r="CJH12" s="36"/>
      <c r="CJI12" s="37"/>
      <c r="CJJ12" s="36"/>
      <c r="CJK12" s="36"/>
      <c r="CJL12" s="37"/>
      <c r="CJM12" s="37"/>
      <c r="CJO12" s="22"/>
      <c r="CJP12" s="35"/>
      <c r="CJQ12" s="36"/>
      <c r="CJR12" s="37"/>
      <c r="CJS12" s="36"/>
      <c r="CJT12" s="37"/>
      <c r="CJU12" s="36"/>
      <c r="CJV12" s="37"/>
      <c r="CJW12" s="36"/>
      <c r="CJX12" s="37"/>
      <c r="CJY12" s="36"/>
      <c r="CJZ12" s="37"/>
      <c r="CKA12" s="36"/>
      <c r="CKB12" s="37"/>
      <c r="CKC12" s="36"/>
      <c r="CKD12" s="37"/>
      <c r="CKE12" s="36"/>
      <c r="CKF12" s="37"/>
      <c r="CKG12" s="36"/>
      <c r="CKH12" s="37"/>
      <c r="CKI12" s="36"/>
      <c r="CKJ12" s="36"/>
      <c r="CKK12" s="37"/>
      <c r="CKL12" s="37"/>
      <c r="CKN12" s="22"/>
      <c r="CKO12" s="35"/>
      <c r="CKP12" s="36"/>
      <c r="CKQ12" s="37"/>
      <c r="CKR12" s="36"/>
      <c r="CKS12" s="37"/>
      <c r="CKT12" s="36"/>
      <c r="CKU12" s="37"/>
      <c r="CKV12" s="36"/>
      <c r="CKW12" s="37"/>
      <c r="CKX12" s="36"/>
      <c r="CKY12" s="37"/>
      <c r="CKZ12" s="36"/>
      <c r="CLA12" s="37"/>
      <c r="CLB12" s="36"/>
      <c r="CLC12" s="37"/>
      <c r="CLD12" s="36"/>
      <c r="CLE12" s="37"/>
      <c r="CLF12" s="36"/>
      <c r="CLG12" s="37"/>
      <c r="CLH12" s="36"/>
      <c r="CLI12" s="36"/>
      <c r="CLJ12" s="37"/>
      <c r="CLK12" s="37"/>
      <c r="CLM12" s="22"/>
      <c r="CLN12" s="35"/>
      <c r="CLO12" s="36"/>
      <c r="CLP12" s="37"/>
      <c r="CLQ12" s="36"/>
      <c r="CLR12" s="37"/>
      <c r="CLS12" s="36"/>
      <c r="CLT12" s="37"/>
      <c r="CLU12" s="36"/>
      <c r="CLV12" s="37"/>
      <c r="CLW12" s="36"/>
      <c r="CLX12" s="37"/>
      <c r="CLY12" s="36"/>
      <c r="CLZ12" s="37"/>
      <c r="CMA12" s="36"/>
      <c r="CMB12" s="37"/>
      <c r="CMC12" s="36"/>
      <c r="CMD12" s="37"/>
      <c r="CME12" s="36"/>
      <c r="CMF12" s="37"/>
      <c r="CMG12" s="36"/>
      <c r="CMH12" s="36"/>
      <c r="CMI12" s="37"/>
      <c r="CMJ12" s="37"/>
      <c r="CML12" s="22"/>
      <c r="CMM12" s="35"/>
      <c r="CMN12" s="36"/>
      <c r="CMO12" s="37"/>
      <c r="CMP12" s="36"/>
      <c r="CMQ12" s="37"/>
      <c r="CMR12" s="36"/>
      <c r="CMS12" s="37"/>
      <c r="CMT12" s="36"/>
      <c r="CMU12" s="37"/>
      <c r="CMV12" s="36"/>
      <c r="CMW12" s="37"/>
      <c r="CMX12" s="36"/>
      <c r="CMY12" s="37"/>
      <c r="CMZ12" s="36"/>
      <c r="CNA12" s="37"/>
      <c r="CNB12" s="36"/>
      <c r="CNC12" s="37"/>
      <c r="CND12" s="36"/>
      <c r="CNE12" s="37"/>
      <c r="CNF12" s="36"/>
      <c r="CNG12" s="36"/>
      <c r="CNH12" s="37"/>
      <c r="CNI12" s="37"/>
      <c r="CNK12" s="22"/>
      <c r="CNL12" s="35"/>
      <c r="CNM12" s="36"/>
      <c r="CNN12" s="37"/>
      <c r="CNO12" s="36"/>
      <c r="CNP12" s="37"/>
      <c r="CNQ12" s="36"/>
      <c r="CNR12" s="37"/>
      <c r="CNS12" s="36"/>
      <c r="CNT12" s="37"/>
      <c r="CNU12" s="36"/>
      <c r="CNV12" s="37"/>
      <c r="CNW12" s="36"/>
      <c r="CNX12" s="37"/>
      <c r="CNY12" s="36"/>
      <c r="CNZ12" s="37"/>
      <c r="COA12" s="36"/>
      <c r="COB12" s="37"/>
      <c r="COC12" s="36"/>
      <c r="COD12" s="37"/>
      <c r="COE12" s="36"/>
      <c r="COF12" s="36"/>
      <c r="COG12" s="37"/>
      <c r="COH12" s="37"/>
      <c r="COJ12" s="22"/>
      <c r="COK12" s="35"/>
      <c r="COL12" s="36"/>
      <c r="COM12" s="37"/>
      <c r="CON12" s="36"/>
      <c r="COO12" s="37"/>
      <c r="COP12" s="36"/>
      <c r="COQ12" s="37"/>
      <c r="COR12" s="36"/>
      <c r="COS12" s="37"/>
      <c r="COT12" s="36"/>
      <c r="COU12" s="37"/>
      <c r="COV12" s="36"/>
      <c r="COW12" s="37"/>
      <c r="COX12" s="36"/>
      <c r="COY12" s="37"/>
      <c r="COZ12" s="36"/>
      <c r="CPA12" s="37"/>
      <c r="CPB12" s="36"/>
      <c r="CPC12" s="37"/>
      <c r="CPD12" s="36"/>
      <c r="CPE12" s="36"/>
      <c r="CPF12" s="37"/>
      <c r="CPG12" s="37"/>
      <c r="CPI12" s="22"/>
      <c r="CPJ12" s="35"/>
      <c r="CPK12" s="36"/>
      <c r="CPL12" s="37"/>
      <c r="CPM12" s="36"/>
      <c r="CPN12" s="37"/>
      <c r="CPO12" s="36"/>
      <c r="CPP12" s="37"/>
      <c r="CPQ12" s="36"/>
      <c r="CPR12" s="37"/>
      <c r="CPS12" s="36"/>
      <c r="CPT12" s="37"/>
      <c r="CPU12" s="36"/>
      <c r="CPV12" s="37"/>
      <c r="CPW12" s="36"/>
      <c r="CPX12" s="37"/>
      <c r="CPY12" s="36"/>
      <c r="CPZ12" s="37"/>
      <c r="CQA12" s="36"/>
      <c r="CQB12" s="37"/>
      <c r="CQC12" s="36"/>
      <c r="CQD12" s="36"/>
      <c r="CQE12" s="37"/>
      <c r="CQF12" s="37"/>
      <c r="CQH12" s="22"/>
      <c r="CQI12" s="35"/>
      <c r="CQJ12" s="36"/>
      <c r="CQK12" s="37"/>
      <c r="CQL12" s="36"/>
      <c r="CQM12" s="37"/>
      <c r="CQN12" s="36"/>
      <c r="CQO12" s="37"/>
      <c r="CQP12" s="36"/>
      <c r="CQQ12" s="37"/>
      <c r="CQR12" s="36"/>
      <c r="CQS12" s="37"/>
      <c r="CQT12" s="36"/>
      <c r="CQU12" s="37"/>
      <c r="CQV12" s="36"/>
      <c r="CQW12" s="37"/>
      <c r="CQX12" s="36"/>
      <c r="CQY12" s="37"/>
      <c r="CQZ12" s="36"/>
      <c r="CRA12" s="37"/>
      <c r="CRB12" s="36"/>
      <c r="CRC12" s="36"/>
      <c r="CRD12" s="37"/>
      <c r="CRE12" s="37"/>
      <c r="CRG12" s="22"/>
      <c r="CRH12" s="35"/>
      <c r="CRI12" s="36"/>
      <c r="CRJ12" s="37"/>
      <c r="CRK12" s="36"/>
      <c r="CRL12" s="37"/>
      <c r="CRM12" s="36"/>
      <c r="CRN12" s="37"/>
      <c r="CRO12" s="36"/>
      <c r="CRP12" s="37"/>
      <c r="CRQ12" s="36"/>
      <c r="CRR12" s="37"/>
      <c r="CRS12" s="36"/>
      <c r="CRT12" s="37"/>
      <c r="CRU12" s="36"/>
      <c r="CRV12" s="37"/>
      <c r="CRW12" s="36"/>
      <c r="CRX12" s="37"/>
      <c r="CRY12" s="36"/>
      <c r="CRZ12" s="37"/>
      <c r="CSA12" s="36"/>
      <c r="CSB12" s="36"/>
      <c r="CSC12" s="37"/>
      <c r="CSD12" s="37"/>
      <c r="CSF12" s="22"/>
      <c r="CSG12" s="35"/>
      <c r="CSH12" s="36"/>
      <c r="CSI12" s="37"/>
      <c r="CSJ12" s="36"/>
      <c r="CSK12" s="37"/>
      <c r="CSL12" s="36"/>
      <c r="CSM12" s="37"/>
      <c r="CSN12" s="36"/>
      <c r="CSO12" s="37"/>
      <c r="CSP12" s="36"/>
      <c r="CSQ12" s="37"/>
      <c r="CSR12" s="36"/>
      <c r="CSS12" s="37"/>
      <c r="CST12" s="36"/>
      <c r="CSU12" s="37"/>
      <c r="CSV12" s="36"/>
      <c r="CSW12" s="37"/>
      <c r="CSX12" s="36"/>
      <c r="CSY12" s="37"/>
      <c r="CSZ12" s="36"/>
      <c r="CTA12" s="36"/>
      <c r="CTB12" s="37"/>
      <c r="CTC12" s="37"/>
      <c r="CTE12" s="22"/>
      <c r="CTF12" s="35"/>
      <c r="CTG12" s="36"/>
      <c r="CTH12" s="37"/>
      <c r="CTI12" s="36"/>
      <c r="CTJ12" s="37"/>
      <c r="CTK12" s="36"/>
      <c r="CTL12" s="37"/>
      <c r="CTM12" s="36"/>
      <c r="CTN12" s="37"/>
      <c r="CTO12" s="36"/>
      <c r="CTP12" s="37"/>
      <c r="CTQ12" s="36"/>
      <c r="CTR12" s="37"/>
      <c r="CTS12" s="36"/>
      <c r="CTT12" s="37"/>
      <c r="CTU12" s="36"/>
      <c r="CTV12" s="37"/>
      <c r="CTW12" s="36"/>
      <c r="CTX12" s="37"/>
      <c r="CTY12" s="36"/>
      <c r="CTZ12" s="36"/>
      <c r="CUA12" s="37"/>
      <c r="CUB12" s="37"/>
      <c r="CUD12" s="22"/>
      <c r="CUE12" s="35"/>
      <c r="CUF12" s="36"/>
      <c r="CUG12" s="37"/>
      <c r="CUH12" s="36"/>
      <c r="CUI12" s="37"/>
      <c r="CUJ12" s="36"/>
      <c r="CUK12" s="37"/>
      <c r="CUL12" s="36"/>
      <c r="CUM12" s="37"/>
      <c r="CUN12" s="36"/>
      <c r="CUO12" s="37"/>
      <c r="CUP12" s="36"/>
      <c r="CUQ12" s="37"/>
      <c r="CUR12" s="36"/>
      <c r="CUS12" s="37"/>
      <c r="CUT12" s="36"/>
      <c r="CUU12" s="37"/>
      <c r="CUV12" s="36"/>
      <c r="CUW12" s="37"/>
      <c r="CUX12" s="36"/>
      <c r="CUY12" s="36"/>
      <c r="CUZ12" s="37"/>
      <c r="CVA12" s="37"/>
      <c r="CVC12" s="22"/>
      <c r="CVD12" s="35"/>
      <c r="CVE12" s="36"/>
      <c r="CVF12" s="37"/>
      <c r="CVG12" s="36"/>
      <c r="CVH12" s="37"/>
      <c r="CVI12" s="36"/>
      <c r="CVJ12" s="37"/>
      <c r="CVK12" s="36"/>
      <c r="CVL12" s="37"/>
      <c r="CVM12" s="36"/>
      <c r="CVN12" s="37"/>
      <c r="CVO12" s="36"/>
      <c r="CVP12" s="37"/>
      <c r="CVQ12" s="36"/>
      <c r="CVR12" s="37"/>
      <c r="CVS12" s="36"/>
      <c r="CVT12" s="37"/>
      <c r="CVU12" s="36"/>
      <c r="CVV12" s="37"/>
      <c r="CVW12" s="36"/>
      <c r="CVX12" s="36"/>
      <c r="CVY12" s="37"/>
      <c r="CVZ12" s="37"/>
      <c r="CWB12" s="22"/>
      <c r="CWC12" s="35"/>
      <c r="CWD12" s="36"/>
      <c r="CWE12" s="37"/>
      <c r="CWF12" s="36"/>
      <c r="CWG12" s="37"/>
      <c r="CWH12" s="36"/>
      <c r="CWI12" s="37"/>
      <c r="CWJ12" s="36"/>
      <c r="CWK12" s="37"/>
      <c r="CWL12" s="36"/>
      <c r="CWM12" s="37"/>
      <c r="CWN12" s="36"/>
      <c r="CWO12" s="37"/>
      <c r="CWP12" s="36"/>
      <c r="CWQ12" s="37"/>
      <c r="CWR12" s="36"/>
      <c r="CWS12" s="37"/>
      <c r="CWT12" s="36"/>
      <c r="CWU12" s="37"/>
      <c r="CWV12" s="36"/>
      <c r="CWW12" s="36"/>
      <c r="CWX12" s="37"/>
      <c r="CWY12" s="37"/>
      <c r="CXA12" s="22"/>
      <c r="CXB12" s="35"/>
      <c r="CXC12" s="36"/>
      <c r="CXD12" s="37"/>
      <c r="CXE12" s="36"/>
      <c r="CXF12" s="37"/>
      <c r="CXG12" s="36"/>
      <c r="CXH12" s="37"/>
      <c r="CXI12" s="36"/>
      <c r="CXJ12" s="37"/>
      <c r="CXK12" s="36"/>
      <c r="CXL12" s="37"/>
      <c r="CXM12" s="36"/>
      <c r="CXN12" s="37"/>
      <c r="CXO12" s="36"/>
      <c r="CXP12" s="37"/>
      <c r="CXQ12" s="36"/>
      <c r="CXR12" s="37"/>
      <c r="CXS12" s="36"/>
      <c r="CXT12" s="37"/>
      <c r="CXU12" s="36"/>
      <c r="CXV12" s="36"/>
      <c r="CXW12" s="37"/>
      <c r="CXX12" s="37"/>
      <c r="CXZ12" s="22"/>
      <c r="CYA12" s="35"/>
      <c r="CYB12" s="36"/>
      <c r="CYC12" s="37"/>
      <c r="CYD12" s="36"/>
      <c r="CYE12" s="37"/>
      <c r="CYF12" s="36"/>
      <c r="CYG12" s="37"/>
      <c r="CYH12" s="36"/>
      <c r="CYI12" s="37"/>
      <c r="CYJ12" s="36"/>
      <c r="CYK12" s="37"/>
      <c r="CYL12" s="36"/>
      <c r="CYM12" s="37"/>
      <c r="CYN12" s="36"/>
      <c r="CYO12" s="37"/>
      <c r="CYP12" s="36"/>
      <c r="CYQ12" s="37"/>
      <c r="CYR12" s="36"/>
      <c r="CYS12" s="37"/>
      <c r="CYT12" s="36"/>
      <c r="CYU12" s="36"/>
      <c r="CYV12" s="37"/>
      <c r="CYW12" s="37"/>
      <c r="CYY12" s="22"/>
      <c r="CYZ12" s="35"/>
      <c r="CZA12" s="36"/>
      <c r="CZB12" s="37"/>
      <c r="CZC12" s="36"/>
      <c r="CZD12" s="37"/>
      <c r="CZE12" s="36"/>
      <c r="CZF12" s="37"/>
      <c r="CZG12" s="36"/>
      <c r="CZH12" s="37"/>
      <c r="CZI12" s="36"/>
      <c r="CZJ12" s="37"/>
      <c r="CZK12" s="36"/>
      <c r="CZL12" s="37"/>
      <c r="CZM12" s="36"/>
      <c r="CZN12" s="37"/>
      <c r="CZO12" s="36"/>
      <c r="CZP12" s="37"/>
      <c r="CZQ12" s="36"/>
      <c r="CZR12" s="37"/>
      <c r="CZS12" s="36"/>
      <c r="CZT12" s="36"/>
      <c r="CZU12" s="37"/>
      <c r="CZV12" s="37"/>
      <c r="CZX12" s="22"/>
      <c r="CZY12" s="35"/>
      <c r="CZZ12" s="36"/>
      <c r="DAA12" s="37"/>
      <c r="DAB12" s="36"/>
      <c r="DAC12" s="37"/>
      <c r="DAD12" s="36"/>
      <c r="DAE12" s="37"/>
      <c r="DAF12" s="36"/>
      <c r="DAG12" s="37"/>
      <c r="DAH12" s="36"/>
      <c r="DAI12" s="37"/>
      <c r="DAJ12" s="36"/>
      <c r="DAK12" s="37"/>
      <c r="DAL12" s="36"/>
      <c r="DAM12" s="37"/>
      <c r="DAN12" s="36"/>
      <c r="DAO12" s="37"/>
      <c r="DAP12" s="36"/>
      <c r="DAQ12" s="37"/>
      <c r="DAR12" s="36"/>
      <c r="DAS12" s="36"/>
      <c r="DAT12" s="37"/>
      <c r="DAU12" s="37"/>
      <c r="DAW12" s="22"/>
      <c r="DAX12" s="35"/>
      <c r="DAY12" s="36"/>
      <c r="DAZ12" s="37"/>
      <c r="DBA12" s="36"/>
      <c r="DBB12" s="37"/>
      <c r="DBC12" s="36"/>
      <c r="DBD12" s="37"/>
      <c r="DBE12" s="36"/>
      <c r="DBF12" s="37"/>
      <c r="DBG12" s="36"/>
      <c r="DBH12" s="37"/>
      <c r="DBI12" s="36"/>
      <c r="DBJ12" s="37"/>
      <c r="DBK12" s="36"/>
      <c r="DBL12" s="37"/>
      <c r="DBM12" s="36"/>
      <c r="DBN12" s="37"/>
      <c r="DBO12" s="36"/>
      <c r="DBP12" s="37"/>
      <c r="DBQ12" s="36"/>
      <c r="DBR12" s="36"/>
      <c r="DBS12" s="37"/>
      <c r="DBT12" s="37"/>
      <c r="DBV12" s="22"/>
      <c r="DBW12" s="35"/>
      <c r="DBX12" s="36"/>
      <c r="DBY12" s="37"/>
      <c r="DBZ12" s="36"/>
      <c r="DCA12" s="37"/>
      <c r="DCB12" s="36"/>
      <c r="DCC12" s="37"/>
      <c r="DCD12" s="36"/>
      <c r="DCE12" s="37"/>
      <c r="DCF12" s="36"/>
      <c r="DCG12" s="37"/>
      <c r="DCH12" s="36"/>
      <c r="DCI12" s="37"/>
      <c r="DCJ12" s="36"/>
      <c r="DCK12" s="37"/>
      <c r="DCL12" s="36"/>
      <c r="DCM12" s="37"/>
      <c r="DCN12" s="36"/>
      <c r="DCO12" s="37"/>
      <c r="DCP12" s="36"/>
      <c r="DCQ12" s="36"/>
      <c r="DCR12" s="37"/>
      <c r="DCS12" s="37"/>
      <c r="DCU12" s="22"/>
      <c r="DCV12" s="35"/>
      <c r="DCW12" s="36"/>
      <c r="DCX12" s="37"/>
      <c r="DCY12" s="36"/>
      <c r="DCZ12" s="37"/>
      <c r="DDA12" s="36"/>
      <c r="DDB12" s="37"/>
      <c r="DDC12" s="36"/>
      <c r="DDD12" s="37"/>
      <c r="DDE12" s="36"/>
      <c r="DDF12" s="37"/>
      <c r="DDG12" s="36"/>
      <c r="DDH12" s="37"/>
      <c r="DDI12" s="36"/>
      <c r="DDJ12" s="37"/>
      <c r="DDK12" s="36"/>
      <c r="DDL12" s="37"/>
      <c r="DDM12" s="36"/>
      <c r="DDN12" s="37"/>
      <c r="DDO12" s="36"/>
      <c r="DDP12" s="36"/>
      <c r="DDQ12" s="37"/>
      <c r="DDR12" s="37"/>
      <c r="DDT12" s="22"/>
      <c r="DDU12" s="35"/>
      <c r="DDV12" s="36"/>
      <c r="DDW12" s="37"/>
      <c r="DDX12" s="36"/>
      <c r="DDY12" s="37"/>
      <c r="DDZ12" s="36"/>
      <c r="DEA12" s="37"/>
      <c r="DEB12" s="36"/>
      <c r="DEC12" s="37"/>
      <c r="DED12" s="36"/>
      <c r="DEE12" s="37"/>
      <c r="DEF12" s="36"/>
      <c r="DEG12" s="37"/>
      <c r="DEH12" s="36"/>
      <c r="DEI12" s="37"/>
      <c r="DEJ12" s="36"/>
      <c r="DEK12" s="37"/>
      <c r="DEL12" s="36"/>
      <c r="DEM12" s="37"/>
      <c r="DEN12" s="36"/>
      <c r="DEO12" s="36"/>
      <c r="DEP12" s="37"/>
      <c r="DEQ12" s="37"/>
      <c r="DES12" s="22"/>
      <c r="DET12" s="35"/>
      <c r="DEU12" s="36"/>
      <c r="DEV12" s="37"/>
      <c r="DEW12" s="36"/>
      <c r="DEX12" s="37"/>
      <c r="DEY12" s="36"/>
      <c r="DEZ12" s="37"/>
      <c r="DFA12" s="36"/>
      <c r="DFB12" s="37"/>
      <c r="DFC12" s="36"/>
      <c r="DFD12" s="37"/>
      <c r="DFE12" s="36"/>
      <c r="DFF12" s="37"/>
      <c r="DFG12" s="36"/>
      <c r="DFH12" s="37"/>
      <c r="DFI12" s="36"/>
      <c r="DFJ12" s="37"/>
      <c r="DFK12" s="36"/>
      <c r="DFL12" s="37"/>
      <c r="DFM12" s="36"/>
      <c r="DFN12" s="36"/>
      <c r="DFO12" s="37"/>
      <c r="DFP12" s="37"/>
      <c r="DFR12" s="22"/>
      <c r="DFS12" s="35"/>
      <c r="DFT12" s="36"/>
      <c r="DFU12" s="37"/>
      <c r="DFV12" s="36"/>
      <c r="DFW12" s="37"/>
      <c r="DFX12" s="36"/>
      <c r="DFY12" s="37"/>
      <c r="DFZ12" s="36"/>
      <c r="DGA12" s="37"/>
      <c r="DGB12" s="36"/>
      <c r="DGC12" s="37"/>
      <c r="DGD12" s="36"/>
      <c r="DGE12" s="37"/>
      <c r="DGF12" s="36"/>
      <c r="DGG12" s="37"/>
      <c r="DGH12" s="36"/>
      <c r="DGI12" s="37"/>
      <c r="DGJ12" s="36"/>
      <c r="DGK12" s="37"/>
      <c r="DGL12" s="36"/>
      <c r="DGM12" s="36"/>
      <c r="DGN12" s="37"/>
      <c r="DGO12" s="37"/>
      <c r="DGQ12" s="22"/>
      <c r="DGR12" s="35"/>
      <c r="DGS12" s="36"/>
      <c r="DGT12" s="37"/>
      <c r="DGU12" s="36"/>
      <c r="DGV12" s="37"/>
      <c r="DGW12" s="36"/>
      <c r="DGX12" s="37"/>
      <c r="DGY12" s="36"/>
      <c r="DGZ12" s="37"/>
      <c r="DHA12" s="36"/>
      <c r="DHB12" s="37"/>
      <c r="DHC12" s="36"/>
      <c r="DHD12" s="37"/>
      <c r="DHE12" s="36"/>
      <c r="DHF12" s="37"/>
      <c r="DHG12" s="36"/>
      <c r="DHH12" s="37"/>
      <c r="DHI12" s="36"/>
      <c r="DHJ12" s="37"/>
      <c r="DHK12" s="36"/>
      <c r="DHL12" s="36"/>
      <c r="DHM12" s="37"/>
      <c r="DHN12" s="37"/>
      <c r="DHP12" s="22"/>
      <c r="DHQ12" s="35"/>
      <c r="DHR12" s="36"/>
      <c r="DHS12" s="37"/>
      <c r="DHT12" s="36"/>
      <c r="DHU12" s="37"/>
      <c r="DHV12" s="36"/>
      <c r="DHW12" s="37"/>
      <c r="DHX12" s="36"/>
      <c r="DHY12" s="37"/>
      <c r="DHZ12" s="36"/>
      <c r="DIA12" s="37"/>
      <c r="DIB12" s="36"/>
      <c r="DIC12" s="37"/>
      <c r="DID12" s="36"/>
      <c r="DIE12" s="37"/>
      <c r="DIF12" s="36"/>
      <c r="DIG12" s="37"/>
      <c r="DIH12" s="36"/>
      <c r="DII12" s="37"/>
      <c r="DIJ12" s="36"/>
      <c r="DIK12" s="36"/>
      <c r="DIL12" s="37"/>
      <c r="DIM12" s="37"/>
      <c r="DIO12" s="22"/>
      <c r="DIP12" s="35"/>
      <c r="DIQ12" s="36"/>
      <c r="DIR12" s="37"/>
      <c r="DIS12" s="36"/>
      <c r="DIT12" s="37"/>
      <c r="DIU12" s="36"/>
      <c r="DIV12" s="37"/>
      <c r="DIW12" s="36"/>
      <c r="DIX12" s="37"/>
      <c r="DIY12" s="36"/>
      <c r="DIZ12" s="37"/>
      <c r="DJA12" s="36"/>
      <c r="DJB12" s="37"/>
      <c r="DJC12" s="36"/>
      <c r="DJD12" s="37"/>
      <c r="DJE12" s="36"/>
      <c r="DJF12" s="37"/>
      <c r="DJG12" s="36"/>
      <c r="DJH12" s="37"/>
      <c r="DJI12" s="36"/>
      <c r="DJJ12" s="36"/>
      <c r="DJK12" s="37"/>
      <c r="DJL12" s="37"/>
      <c r="DJN12" s="22"/>
      <c r="DJO12" s="35"/>
      <c r="DJP12" s="36"/>
      <c r="DJQ12" s="37"/>
      <c r="DJR12" s="36"/>
      <c r="DJS12" s="37"/>
      <c r="DJT12" s="36"/>
      <c r="DJU12" s="37"/>
      <c r="DJV12" s="36"/>
      <c r="DJW12" s="37"/>
      <c r="DJX12" s="36"/>
      <c r="DJY12" s="37"/>
      <c r="DJZ12" s="36"/>
      <c r="DKA12" s="37"/>
      <c r="DKB12" s="36"/>
      <c r="DKC12" s="37"/>
      <c r="DKD12" s="36"/>
      <c r="DKE12" s="37"/>
      <c r="DKF12" s="36"/>
      <c r="DKG12" s="37"/>
      <c r="DKH12" s="36"/>
      <c r="DKI12" s="36"/>
      <c r="DKJ12" s="37"/>
      <c r="DKK12" s="37"/>
      <c r="DKM12" s="22"/>
      <c r="DKN12" s="35"/>
      <c r="DKO12" s="36"/>
      <c r="DKP12" s="37"/>
      <c r="DKQ12" s="36"/>
      <c r="DKR12" s="37"/>
      <c r="DKS12" s="36"/>
      <c r="DKT12" s="37"/>
      <c r="DKU12" s="36"/>
      <c r="DKV12" s="37"/>
      <c r="DKW12" s="36"/>
      <c r="DKX12" s="37"/>
      <c r="DKY12" s="36"/>
      <c r="DKZ12" s="37"/>
      <c r="DLA12" s="36"/>
      <c r="DLB12" s="37"/>
      <c r="DLC12" s="36"/>
      <c r="DLD12" s="37"/>
      <c r="DLE12" s="36"/>
      <c r="DLF12" s="37"/>
      <c r="DLG12" s="36"/>
      <c r="DLH12" s="36"/>
      <c r="DLI12" s="37"/>
      <c r="DLJ12" s="37"/>
      <c r="DLL12" s="22"/>
      <c r="DLM12" s="35"/>
      <c r="DLN12" s="36"/>
      <c r="DLO12" s="37"/>
      <c r="DLP12" s="36"/>
      <c r="DLQ12" s="37"/>
      <c r="DLR12" s="36"/>
      <c r="DLS12" s="37"/>
      <c r="DLT12" s="36"/>
      <c r="DLU12" s="37"/>
      <c r="DLV12" s="36"/>
      <c r="DLW12" s="37"/>
      <c r="DLX12" s="36"/>
      <c r="DLY12" s="37"/>
      <c r="DLZ12" s="36"/>
      <c r="DMA12" s="37"/>
      <c r="DMB12" s="36"/>
      <c r="DMC12" s="37"/>
      <c r="DMD12" s="36"/>
      <c r="DME12" s="37"/>
      <c r="DMF12" s="36"/>
      <c r="DMG12" s="36"/>
      <c r="DMH12" s="37"/>
      <c r="DMI12" s="37"/>
      <c r="DMK12" s="22"/>
      <c r="DML12" s="35"/>
      <c r="DMM12" s="36"/>
      <c r="DMN12" s="37"/>
      <c r="DMO12" s="36"/>
      <c r="DMP12" s="37"/>
      <c r="DMQ12" s="36"/>
      <c r="DMR12" s="37"/>
      <c r="DMS12" s="36"/>
      <c r="DMT12" s="37"/>
      <c r="DMU12" s="36"/>
      <c r="DMV12" s="37"/>
      <c r="DMW12" s="36"/>
      <c r="DMX12" s="37"/>
      <c r="DMY12" s="36"/>
      <c r="DMZ12" s="37"/>
      <c r="DNA12" s="36"/>
      <c r="DNB12" s="37"/>
      <c r="DNC12" s="36"/>
      <c r="DND12" s="37"/>
      <c r="DNE12" s="36"/>
      <c r="DNF12" s="36"/>
      <c r="DNG12" s="37"/>
      <c r="DNH12" s="37"/>
      <c r="DNJ12" s="22"/>
      <c r="DNK12" s="35"/>
      <c r="DNL12" s="36"/>
      <c r="DNM12" s="37"/>
      <c r="DNN12" s="36"/>
      <c r="DNO12" s="37"/>
      <c r="DNP12" s="36"/>
      <c r="DNQ12" s="37"/>
      <c r="DNR12" s="36"/>
      <c r="DNS12" s="37"/>
      <c r="DNT12" s="36"/>
      <c r="DNU12" s="37"/>
      <c r="DNV12" s="36"/>
      <c r="DNW12" s="37"/>
      <c r="DNX12" s="36"/>
      <c r="DNY12" s="37"/>
      <c r="DNZ12" s="36"/>
      <c r="DOA12" s="37"/>
      <c r="DOB12" s="36"/>
      <c r="DOC12" s="37"/>
      <c r="DOD12" s="36"/>
      <c r="DOE12" s="36"/>
      <c r="DOF12" s="37"/>
      <c r="DOG12" s="37"/>
      <c r="DOI12" s="22"/>
      <c r="DOJ12" s="35"/>
      <c r="DOK12" s="36"/>
      <c r="DOL12" s="37"/>
      <c r="DOM12" s="36"/>
      <c r="DON12" s="37"/>
      <c r="DOO12" s="36"/>
      <c r="DOP12" s="37"/>
      <c r="DOQ12" s="36"/>
      <c r="DOR12" s="37"/>
      <c r="DOS12" s="36"/>
      <c r="DOT12" s="37"/>
      <c r="DOU12" s="36"/>
      <c r="DOV12" s="37"/>
      <c r="DOW12" s="36"/>
      <c r="DOX12" s="37"/>
      <c r="DOY12" s="36"/>
      <c r="DOZ12" s="37"/>
      <c r="DPA12" s="36"/>
      <c r="DPB12" s="37"/>
      <c r="DPC12" s="36"/>
      <c r="DPD12" s="36"/>
      <c r="DPE12" s="37"/>
      <c r="DPF12" s="37"/>
      <c r="DPH12" s="22"/>
      <c r="DPI12" s="35"/>
      <c r="DPJ12" s="36"/>
      <c r="DPK12" s="37"/>
      <c r="DPL12" s="36"/>
      <c r="DPM12" s="37"/>
      <c r="DPN12" s="36"/>
      <c r="DPO12" s="37"/>
      <c r="DPP12" s="36"/>
      <c r="DPQ12" s="37"/>
      <c r="DPR12" s="36"/>
      <c r="DPS12" s="37"/>
      <c r="DPT12" s="36"/>
      <c r="DPU12" s="37"/>
      <c r="DPV12" s="36"/>
      <c r="DPW12" s="37"/>
      <c r="DPX12" s="36"/>
      <c r="DPY12" s="37"/>
      <c r="DPZ12" s="36"/>
      <c r="DQA12" s="37"/>
      <c r="DQB12" s="36"/>
      <c r="DQC12" s="36"/>
      <c r="DQD12" s="37"/>
      <c r="DQE12" s="37"/>
      <c r="DQG12" s="22"/>
      <c r="DQH12" s="35"/>
      <c r="DQI12" s="36"/>
      <c r="DQJ12" s="37"/>
      <c r="DQK12" s="36"/>
      <c r="DQL12" s="37"/>
      <c r="DQM12" s="36"/>
      <c r="DQN12" s="37"/>
      <c r="DQO12" s="36"/>
      <c r="DQP12" s="37"/>
      <c r="DQQ12" s="36"/>
      <c r="DQR12" s="37"/>
      <c r="DQS12" s="36"/>
      <c r="DQT12" s="37"/>
      <c r="DQU12" s="36"/>
      <c r="DQV12" s="37"/>
      <c r="DQW12" s="36"/>
      <c r="DQX12" s="37"/>
      <c r="DQY12" s="36"/>
      <c r="DQZ12" s="37"/>
      <c r="DRA12" s="36"/>
      <c r="DRB12" s="36"/>
      <c r="DRC12" s="37"/>
      <c r="DRD12" s="37"/>
      <c r="DRF12" s="22"/>
      <c r="DRG12" s="35"/>
      <c r="DRH12" s="36"/>
      <c r="DRI12" s="37"/>
      <c r="DRJ12" s="36"/>
      <c r="DRK12" s="37"/>
      <c r="DRL12" s="36"/>
      <c r="DRM12" s="37"/>
      <c r="DRN12" s="36"/>
      <c r="DRO12" s="37"/>
      <c r="DRP12" s="36"/>
      <c r="DRQ12" s="37"/>
      <c r="DRR12" s="36"/>
      <c r="DRS12" s="37"/>
      <c r="DRT12" s="36"/>
      <c r="DRU12" s="37"/>
      <c r="DRV12" s="36"/>
      <c r="DRW12" s="37"/>
      <c r="DRX12" s="36"/>
      <c r="DRY12" s="37"/>
      <c r="DRZ12" s="36"/>
      <c r="DSA12" s="36"/>
      <c r="DSB12" s="37"/>
      <c r="DSC12" s="37"/>
      <c r="DSE12" s="22"/>
      <c r="DSF12" s="35"/>
      <c r="DSG12" s="36"/>
      <c r="DSH12" s="37"/>
      <c r="DSI12" s="36"/>
      <c r="DSJ12" s="37"/>
      <c r="DSK12" s="36"/>
      <c r="DSL12" s="37"/>
      <c r="DSM12" s="36"/>
      <c r="DSN12" s="37"/>
      <c r="DSO12" s="36"/>
      <c r="DSP12" s="37"/>
      <c r="DSQ12" s="36"/>
      <c r="DSR12" s="37"/>
      <c r="DSS12" s="36"/>
      <c r="DST12" s="37"/>
      <c r="DSU12" s="36"/>
      <c r="DSV12" s="37"/>
      <c r="DSW12" s="36"/>
      <c r="DSX12" s="37"/>
      <c r="DSY12" s="36"/>
      <c r="DSZ12" s="36"/>
      <c r="DTA12" s="37"/>
      <c r="DTB12" s="37"/>
      <c r="DTD12" s="22"/>
      <c r="DTE12" s="35"/>
      <c r="DTF12" s="36"/>
      <c r="DTG12" s="37"/>
      <c r="DTH12" s="36"/>
      <c r="DTI12" s="37"/>
      <c r="DTJ12" s="36"/>
      <c r="DTK12" s="37"/>
      <c r="DTL12" s="36"/>
      <c r="DTM12" s="37"/>
      <c r="DTN12" s="36"/>
      <c r="DTO12" s="37"/>
      <c r="DTP12" s="36"/>
      <c r="DTQ12" s="37"/>
      <c r="DTR12" s="36"/>
      <c r="DTS12" s="37"/>
      <c r="DTT12" s="36"/>
      <c r="DTU12" s="37"/>
      <c r="DTV12" s="36"/>
      <c r="DTW12" s="37"/>
      <c r="DTX12" s="36"/>
      <c r="DTY12" s="36"/>
      <c r="DTZ12" s="37"/>
      <c r="DUA12" s="37"/>
      <c r="DUC12" s="22"/>
      <c r="DUD12" s="35"/>
      <c r="DUE12" s="36"/>
      <c r="DUF12" s="37"/>
      <c r="DUG12" s="36"/>
      <c r="DUH12" s="37"/>
      <c r="DUI12" s="36"/>
      <c r="DUJ12" s="37"/>
      <c r="DUK12" s="36"/>
      <c r="DUL12" s="37"/>
      <c r="DUM12" s="36"/>
      <c r="DUN12" s="37"/>
      <c r="DUO12" s="36"/>
      <c r="DUP12" s="37"/>
      <c r="DUQ12" s="36"/>
      <c r="DUR12" s="37"/>
      <c r="DUS12" s="36"/>
      <c r="DUT12" s="37"/>
      <c r="DUU12" s="36"/>
      <c r="DUV12" s="37"/>
      <c r="DUW12" s="36"/>
      <c r="DUX12" s="36"/>
      <c r="DUY12" s="37"/>
      <c r="DUZ12" s="37"/>
      <c r="DVB12" s="22"/>
      <c r="DVC12" s="35"/>
      <c r="DVD12" s="36"/>
      <c r="DVE12" s="37"/>
      <c r="DVF12" s="36"/>
      <c r="DVG12" s="37"/>
      <c r="DVH12" s="36"/>
      <c r="DVI12" s="37"/>
      <c r="DVJ12" s="36"/>
      <c r="DVK12" s="37"/>
      <c r="DVL12" s="36"/>
      <c r="DVM12" s="37"/>
      <c r="DVN12" s="36"/>
      <c r="DVO12" s="37"/>
      <c r="DVP12" s="36"/>
      <c r="DVQ12" s="37"/>
      <c r="DVR12" s="36"/>
      <c r="DVS12" s="37"/>
      <c r="DVT12" s="36"/>
      <c r="DVU12" s="37"/>
      <c r="DVV12" s="36"/>
      <c r="DVW12" s="36"/>
      <c r="DVX12" s="37"/>
      <c r="DVY12" s="37"/>
      <c r="DWA12" s="22"/>
      <c r="DWB12" s="35"/>
      <c r="DWC12" s="36"/>
      <c r="DWD12" s="37"/>
      <c r="DWE12" s="36"/>
      <c r="DWF12" s="37"/>
      <c r="DWG12" s="36"/>
      <c r="DWH12" s="37"/>
      <c r="DWI12" s="36"/>
      <c r="DWJ12" s="37"/>
      <c r="DWK12" s="36"/>
      <c r="DWL12" s="37"/>
      <c r="DWM12" s="36"/>
      <c r="DWN12" s="37"/>
      <c r="DWO12" s="36"/>
      <c r="DWP12" s="37"/>
      <c r="DWQ12" s="36"/>
      <c r="DWR12" s="37"/>
      <c r="DWS12" s="36"/>
      <c r="DWT12" s="37"/>
      <c r="DWU12" s="36"/>
      <c r="DWV12" s="36"/>
      <c r="DWW12" s="37"/>
      <c r="DWX12" s="37"/>
      <c r="DWZ12" s="22"/>
      <c r="DXA12" s="35"/>
      <c r="DXB12" s="36"/>
      <c r="DXC12" s="37"/>
      <c r="DXD12" s="36"/>
      <c r="DXE12" s="37"/>
      <c r="DXF12" s="36"/>
      <c r="DXG12" s="37"/>
      <c r="DXH12" s="36"/>
      <c r="DXI12" s="37"/>
      <c r="DXJ12" s="36"/>
      <c r="DXK12" s="37"/>
      <c r="DXL12" s="36"/>
      <c r="DXM12" s="37"/>
      <c r="DXN12" s="36"/>
      <c r="DXO12" s="37"/>
      <c r="DXP12" s="36"/>
      <c r="DXQ12" s="37"/>
      <c r="DXR12" s="36"/>
      <c r="DXS12" s="37"/>
      <c r="DXT12" s="36"/>
      <c r="DXU12" s="36"/>
      <c r="DXV12" s="37"/>
      <c r="DXW12" s="37"/>
      <c r="DXY12" s="22"/>
      <c r="DXZ12" s="35"/>
      <c r="DYA12" s="36"/>
      <c r="DYB12" s="37"/>
      <c r="DYC12" s="36"/>
      <c r="DYD12" s="37"/>
      <c r="DYE12" s="36"/>
      <c r="DYF12" s="37"/>
      <c r="DYG12" s="36"/>
      <c r="DYH12" s="37"/>
      <c r="DYI12" s="36"/>
      <c r="DYJ12" s="37"/>
      <c r="DYK12" s="36"/>
      <c r="DYL12" s="37"/>
      <c r="DYM12" s="36"/>
      <c r="DYN12" s="37"/>
      <c r="DYO12" s="36"/>
      <c r="DYP12" s="37"/>
      <c r="DYQ12" s="36"/>
      <c r="DYR12" s="37"/>
      <c r="DYS12" s="36"/>
      <c r="DYT12" s="36"/>
      <c r="DYU12" s="37"/>
      <c r="DYV12" s="37"/>
      <c r="DYX12" s="22"/>
      <c r="DYY12" s="35"/>
      <c r="DYZ12" s="36"/>
      <c r="DZA12" s="37"/>
      <c r="DZB12" s="36"/>
      <c r="DZC12" s="37"/>
      <c r="DZD12" s="36"/>
      <c r="DZE12" s="37"/>
      <c r="DZF12" s="36"/>
      <c r="DZG12" s="37"/>
      <c r="DZH12" s="36"/>
      <c r="DZI12" s="37"/>
      <c r="DZJ12" s="36"/>
      <c r="DZK12" s="37"/>
      <c r="DZL12" s="36"/>
      <c r="DZM12" s="37"/>
      <c r="DZN12" s="36"/>
      <c r="DZO12" s="37"/>
      <c r="DZP12" s="36"/>
      <c r="DZQ12" s="37"/>
      <c r="DZR12" s="36"/>
      <c r="DZS12" s="36"/>
      <c r="DZT12" s="37"/>
      <c r="DZU12" s="37"/>
      <c r="DZW12" s="22"/>
      <c r="DZX12" s="35"/>
      <c r="DZY12" s="36"/>
      <c r="DZZ12" s="37"/>
      <c r="EAA12" s="36"/>
      <c r="EAB12" s="37"/>
      <c r="EAC12" s="36"/>
      <c r="EAD12" s="37"/>
      <c r="EAE12" s="36"/>
      <c r="EAF12" s="37"/>
      <c r="EAG12" s="36"/>
      <c r="EAH12" s="37"/>
      <c r="EAI12" s="36"/>
      <c r="EAJ12" s="37"/>
      <c r="EAK12" s="36"/>
      <c r="EAL12" s="37"/>
      <c r="EAM12" s="36"/>
      <c r="EAN12" s="37"/>
      <c r="EAO12" s="36"/>
      <c r="EAP12" s="37"/>
      <c r="EAQ12" s="36"/>
      <c r="EAR12" s="36"/>
      <c r="EAS12" s="37"/>
      <c r="EAT12" s="37"/>
      <c r="EAV12" s="22"/>
      <c r="EAW12" s="35"/>
      <c r="EAX12" s="36"/>
      <c r="EAY12" s="37"/>
      <c r="EAZ12" s="36"/>
      <c r="EBA12" s="37"/>
      <c r="EBB12" s="36"/>
      <c r="EBC12" s="37"/>
      <c r="EBD12" s="36"/>
      <c r="EBE12" s="37"/>
      <c r="EBF12" s="36"/>
      <c r="EBG12" s="37"/>
      <c r="EBH12" s="36"/>
      <c r="EBI12" s="37"/>
      <c r="EBJ12" s="36"/>
      <c r="EBK12" s="37"/>
      <c r="EBL12" s="36"/>
      <c r="EBM12" s="37"/>
      <c r="EBN12" s="36"/>
      <c r="EBO12" s="37"/>
      <c r="EBP12" s="36"/>
      <c r="EBQ12" s="36"/>
      <c r="EBR12" s="37"/>
      <c r="EBS12" s="37"/>
      <c r="EBU12" s="22"/>
      <c r="EBV12" s="35"/>
      <c r="EBW12" s="36"/>
      <c r="EBX12" s="37"/>
      <c r="EBY12" s="36"/>
      <c r="EBZ12" s="37"/>
      <c r="ECA12" s="36"/>
      <c r="ECB12" s="37"/>
      <c r="ECC12" s="36"/>
      <c r="ECD12" s="37"/>
      <c r="ECE12" s="36"/>
      <c r="ECF12" s="37"/>
      <c r="ECG12" s="36"/>
      <c r="ECH12" s="37"/>
      <c r="ECI12" s="36"/>
      <c r="ECJ12" s="37"/>
      <c r="ECK12" s="36"/>
      <c r="ECL12" s="37"/>
      <c r="ECM12" s="36"/>
      <c r="ECN12" s="37"/>
      <c r="ECO12" s="36"/>
      <c r="ECP12" s="36"/>
      <c r="ECQ12" s="37"/>
      <c r="ECR12" s="37"/>
      <c r="ECT12" s="22"/>
      <c r="ECU12" s="35"/>
      <c r="ECV12" s="36"/>
      <c r="ECW12" s="37"/>
      <c r="ECX12" s="36"/>
      <c r="ECY12" s="37"/>
      <c r="ECZ12" s="36"/>
      <c r="EDA12" s="37"/>
      <c r="EDB12" s="36"/>
      <c r="EDC12" s="37"/>
      <c r="EDD12" s="36"/>
      <c r="EDE12" s="37"/>
      <c r="EDF12" s="36"/>
      <c r="EDG12" s="37"/>
      <c r="EDH12" s="36"/>
      <c r="EDI12" s="37"/>
      <c r="EDJ12" s="36"/>
      <c r="EDK12" s="37"/>
      <c r="EDL12" s="36"/>
      <c r="EDM12" s="37"/>
      <c r="EDN12" s="36"/>
      <c r="EDO12" s="36"/>
      <c r="EDP12" s="37"/>
      <c r="EDQ12" s="37"/>
      <c r="EDS12" s="22"/>
      <c r="EDT12" s="35"/>
      <c r="EDU12" s="36"/>
      <c r="EDV12" s="37"/>
      <c r="EDW12" s="36"/>
      <c r="EDX12" s="37"/>
      <c r="EDY12" s="36"/>
      <c r="EDZ12" s="37"/>
      <c r="EEA12" s="36"/>
      <c r="EEB12" s="37"/>
      <c r="EEC12" s="36"/>
      <c r="EED12" s="37"/>
      <c r="EEE12" s="36"/>
      <c r="EEF12" s="37"/>
      <c r="EEG12" s="36"/>
      <c r="EEH12" s="37"/>
      <c r="EEI12" s="36"/>
      <c r="EEJ12" s="37"/>
      <c r="EEK12" s="36"/>
      <c r="EEL12" s="37"/>
      <c r="EEM12" s="36"/>
      <c r="EEN12" s="36"/>
      <c r="EEO12" s="37"/>
      <c r="EEP12" s="37"/>
      <c r="EER12" s="22"/>
      <c r="EES12" s="35"/>
      <c r="EET12" s="36"/>
      <c r="EEU12" s="37"/>
      <c r="EEV12" s="36"/>
      <c r="EEW12" s="37"/>
      <c r="EEX12" s="36"/>
      <c r="EEY12" s="37"/>
      <c r="EEZ12" s="36"/>
      <c r="EFA12" s="37"/>
      <c r="EFB12" s="36"/>
      <c r="EFC12" s="37"/>
      <c r="EFD12" s="36"/>
      <c r="EFE12" s="37"/>
      <c r="EFF12" s="36"/>
      <c r="EFG12" s="37"/>
      <c r="EFH12" s="36"/>
      <c r="EFI12" s="37"/>
      <c r="EFJ12" s="36"/>
      <c r="EFK12" s="37"/>
      <c r="EFL12" s="36"/>
      <c r="EFM12" s="36"/>
      <c r="EFN12" s="37"/>
      <c r="EFO12" s="37"/>
      <c r="EFQ12" s="22"/>
      <c r="EFR12" s="35"/>
      <c r="EFS12" s="36"/>
      <c r="EFT12" s="37"/>
      <c r="EFU12" s="36"/>
      <c r="EFV12" s="37"/>
      <c r="EFW12" s="36"/>
      <c r="EFX12" s="37"/>
      <c r="EFY12" s="36"/>
      <c r="EFZ12" s="37"/>
      <c r="EGA12" s="36"/>
      <c r="EGB12" s="37"/>
      <c r="EGC12" s="36"/>
      <c r="EGD12" s="37"/>
      <c r="EGE12" s="36"/>
      <c r="EGF12" s="37"/>
      <c r="EGG12" s="36"/>
      <c r="EGH12" s="37"/>
      <c r="EGI12" s="36"/>
      <c r="EGJ12" s="37"/>
      <c r="EGK12" s="36"/>
      <c r="EGL12" s="36"/>
      <c r="EGM12" s="37"/>
      <c r="EGN12" s="37"/>
      <c r="EGP12" s="22"/>
      <c r="EGQ12" s="35"/>
      <c r="EGR12" s="36"/>
      <c r="EGS12" s="37"/>
      <c r="EGT12" s="36"/>
      <c r="EGU12" s="37"/>
      <c r="EGV12" s="36"/>
      <c r="EGW12" s="37"/>
      <c r="EGX12" s="36"/>
      <c r="EGY12" s="37"/>
      <c r="EGZ12" s="36"/>
      <c r="EHA12" s="37"/>
      <c r="EHB12" s="36"/>
      <c r="EHC12" s="37"/>
      <c r="EHD12" s="36"/>
      <c r="EHE12" s="37"/>
      <c r="EHF12" s="36"/>
      <c r="EHG12" s="37"/>
      <c r="EHH12" s="36"/>
      <c r="EHI12" s="37"/>
      <c r="EHJ12" s="36"/>
      <c r="EHK12" s="36"/>
      <c r="EHL12" s="37"/>
      <c r="EHM12" s="37"/>
      <c r="EHO12" s="22"/>
      <c r="EHP12" s="35"/>
      <c r="EHQ12" s="36"/>
      <c r="EHR12" s="37"/>
      <c r="EHS12" s="36"/>
      <c r="EHT12" s="37"/>
      <c r="EHU12" s="36"/>
      <c r="EHV12" s="37"/>
      <c r="EHW12" s="36"/>
      <c r="EHX12" s="37"/>
      <c r="EHY12" s="36"/>
      <c r="EHZ12" s="37"/>
      <c r="EIA12" s="36"/>
      <c r="EIB12" s="37"/>
      <c r="EIC12" s="36"/>
      <c r="EID12" s="37"/>
      <c r="EIE12" s="36"/>
      <c r="EIF12" s="37"/>
      <c r="EIG12" s="36"/>
      <c r="EIH12" s="37"/>
      <c r="EII12" s="36"/>
      <c r="EIJ12" s="36"/>
      <c r="EIK12" s="37"/>
      <c r="EIL12" s="37"/>
      <c r="EIN12" s="22"/>
      <c r="EIO12" s="35"/>
      <c r="EIP12" s="36"/>
      <c r="EIQ12" s="37"/>
      <c r="EIR12" s="36"/>
      <c r="EIS12" s="37"/>
      <c r="EIT12" s="36"/>
      <c r="EIU12" s="37"/>
      <c r="EIV12" s="36"/>
      <c r="EIW12" s="37"/>
      <c r="EIX12" s="36"/>
      <c r="EIY12" s="37"/>
      <c r="EIZ12" s="36"/>
      <c r="EJA12" s="37"/>
      <c r="EJB12" s="36"/>
      <c r="EJC12" s="37"/>
      <c r="EJD12" s="36"/>
      <c r="EJE12" s="37"/>
      <c r="EJF12" s="36"/>
      <c r="EJG12" s="37"/>
      <c r="EJH12" s="36"/>
      <c r="EJI12" s="36"/>
      <c r="EJJ12" s="37"/>
      <c r="EJK12" s="37"/>
      <c r="EJM12" s="22"/>
      <c r="EJN12" s="35"/>
      <c r="EJO12" s="36"/>
      <c r="EJP12" s="37"/>
      <c r="EJQ12" s="36"/>
      <c r="EJR12" s="37"/>
      <c r="EJS12" s="36"/>
      <c r="EJT12" s="37"/>
      <c r="EJU12" s="36"/>
      <c r="EJV12" s="37"/>
      <c r="EJW12" s="36"/>
      <c r="EJX12" s="37"/>
      <c r="EJY12" s="36"/>
      <c r="EJZ12" s="37"/>
      <c r="EKA12" s="36"/>
      <c r="EKB12" s="37"/>
      <c r="EKC12" s="36"/>
      <c r="EKD12" s="37"/>
      <c r="EKE12" s="36"/>
      <c r="EKF12" s="37"/>
      <c r="EKG12" s="36"/>
      <c r="EKH12" s="36"/>
      <c r="EKI12" s="37"/>
      <c r="EKJ12" s="37"/>
      <c r="EKL12" s="22"/>
      <c r="EKM12" s="35"/>
      <c r="EKN12" s="36"/>
      <c r="EKO12" s="37"/>
      <c r="EKP12" s="36"/>
      <c r="EKQ12" s="37"/>
      <c r="EKR12" s="36"/>
      <c r="EKS12" s="37"/>
      <c r="EKT12" s="36"/>
      <c r="EKU12" s="37"/>
      <c r="EKV12" s="36"/>
      <c r="EKW12" s="37"/>
      <c r="EKX12" s="36"/>
      <c r="EKY12" s="37"/>
      <c r="EKZ12" s="36"/>
      <c r="ELA12" s="37"/>
      <c r="ELB12" s="36"/>
      <c r="ELC12" s="37"/>
      <c r="ELD12" s="36"/>
      <c r="ELE12" s="37"/>
      <c r="ELF12" s="36"/>
      <c r="ELG12" s="36"/>
      <c r="ELH12" s="37"/>
      <c r="ELI12" s="37"/>
      <c r="ELK12" s="22"/>
      <c r="ELL12" s="35"/>
      <c r="ELM12" s="36"/>
      <c r="ELN12" s="37"/>
      <c r="ELO12" s="36"/>
      <c r="ELP12" s="37"/>
      <c r="ELQ12" s="36"/>
      <c r="ELR12" s="37"/>
      <c r="ELS12" s="36"/>
      <c r="ELT12" s="37"/>
      <c r="ELU12" s="36"/>
      <c r="ELV12" s="37"/>
      <c r="ELW12" s="36"/>
      <c r="ELX12" s="37"/>
      <c r="ELY12" s="36"/>
      <c r="ELZ12" s="37"/>
      <c r="EMA12" s="36"/>
      <c r="EMB12" s="37"/>
      <c r="EMC12" s="36"/>
      <c r="EMD12" s="37"/>
      <c r="EME12" s="36"/>
      <c r="EMF12" s="36"/>
      <c r="EMG12" s="37"/>
      <c r="EMH12" s="37"/>
      <c r="EMJ12" s="22"/>
      <c r="EMK12" s="35"/>
      <c r="EML12" s="36"/>
      <c r="EMM12" s="37"/>
      <c r="EMN12" s="36"/>
      <c r="EMO12" s="37"/>
      <c r="EMP12" s="36"/>
      <c r="EMQ12" s="37"/>
      <c r="EMR12" s="36"/>
      <c r="EMS12" s="37"/>
      <c r="EMT12" s="36"/>
      <c r="EMU12" s="37"/>
      <c r="EMV12" s="36"/>
      <c r="EMW12" s="37"/>
      <c r="EMX12" s="36"/>
      <c r="EMY12" s="37"/>
      <c r="EMZ12" s="36"/>
      <c r="ENA12" s="37"/>
      <c r="ENB12" s="36"/>
      <c r="ENC12" s="37"/>
      <c r="END12" s="36"/>
      <c r="ENE12" s="36"/>
      <c r="ENF12" s="37"/>
      <c r="ENG12" s="37"/>
      <c r="ENI12" s="22"/>
      <c r="ENJ12" s="35"/>
      <c r="ENK12" s="36"/>
      <c r="ENL12" s="37"/>
      <c r="ENM12" s="36"/>
      <c r="ENN12" s="37"/>
      <c r="ENO12" s="36"/>
      <c r="ENP12" s="37"/>
      <c r="ENQ12" s="36"/>
      <c r="ENR12" s="37"/>
      <c r="ENS12" s="36"/>
      <c r="ENT12" s="37"/>
      <c r="ENU12" s="36"/>
      <c r="ENV12" s="37"/>
      <c r="ENW12" s="36"/>
      <c r="ENX12" s="37"/>
      <c r="ENY12" s="36"/>
      <c r="ENZ12" s="37"/>
      <c r="EOA12" s="36"/>
      <c r="EOB12" s="37"/>
      <c r="EOC12" s="36"/>
      <c r="EOD12" s="36"/>
      <c r="EOE12" s="37"/>
      <c r="EOF12" s="37"/>
      <c r="EOH12" s="22"/>
      <c r="EOI12" s="35"/>
      <c r="EOJ12" s="36"/>
      <c r="EOK12" s="37"/>
      <c r="EOL12" s="36"/>
      <c r="EOM12" s="37"/>
      <c r="EON12" s="36"/>
      <c r="EOO12" s="37"/>
      <c r="EOP12" s="36"/>
      <c r="EOQ12" s="37"/>
      <c r="EOR12" s="36"/>
      <c r="EOS12" s="37"/>
      <c r="EOT12" s="36"/>
      <c r="EOU12" s="37"/>
      <c r="EOV12" s="36"/>
      <c r="EOW12" s="37"/>
      <c r="EOX12" s="36"/>
      <c r="EOY12" s="37"/>
      <c r="EOZ12" s="36"/>
      <c r="EPA12" s="37"/>
      <c r="EPB12" s="36"/>
      <c r="EPC12" s="36"/>
      <c r="EPD12" s="37"/>
      <c r="EPE12" s="37"/>
      <c r="EPG12" s="22"/>
      <c r="EPH12" s="35"/>
      <c r="EPI12" s="36"/>
      <c r="EPJ12" s="37"/>
      <c r="EPK12" s="36"/>
      <c r="EPL12" s="37"/>
      <c r="EPM12" s="36"/>
      <c r="EPN12" s="37"/>
      <c r="EPO12" s="36"/>
      <c r="EPP12" s="37"/>
      <c r="EPQ12" s="36"/>
      <c r="EPR12" s="37"/>
      <c r="EPS12" s="36"/>
      <c r="EPT12" s="37"/>
      <c r="EPU12" s="36"/>
      <c r="EPV12" s="37"/>
      <c r="EPW12" s="36"/>
      <c r="EPX12" s="37"/>
      <c r="EPY12" s="36"/>
      <c r="EPZ12" s="37"/>
      <c r="EQA12" s="36"/>
      <c r="EQB12" s="36"/>
      <c r="EQC12" s="37"/>
      <c r="EQD12" s="37"/>
      <c r="EQF12" s="22"/>
      <c r="EQG12" s="35"/>
      <c r="EQH12" s="36"/>
      <c r="EQI12" s="37"/>
      <c r="EQJ12" s="36"/>
      <c r="EQK12" s="37"/>
      <c r="EQL12" s="36"/>
      <c r="EQM12" s="37"/>
      <c r="EQN12" s="36"/>
      <c r="EQO12" s="37"/>
      <c r="EQP12" s="36"/>
      <c r="EQQ12" s="37"/>
      <c r="EQR12" s="36"/>
      <c r="EQS12" s="37"/>
      <c r="EQT12" s="36"/>
      <c r="EQU12" s="37"/>
      <c r="EQV12" s="36"/>
      <c r="EQW12" s="37"/>
      <c r="EQX12" s="36"/>
      <c r="EQY12" s="37"/>
      <c r="EQZ12" s="36"/>
      <c r="ERA12" s="36"/>
      <c r="ERB12" s="37"/>
      <c r="ERC12" s="37"/>
      <c r="ERE12" s="22"/>
      <c r="ERF12" s="35"/>
      <c r="ERG12" s="36"/>
      <c r="ERH12" s="37"/>
      <c r="ERI12" s="36"/>
      <c r="ERJ12" s="37"/>
      <c r="ERK12" s="36"/>
      <c r="ERL12" s="37"/>
      <c r="ERM12" s="36"/>
      <c r="ERN12" s="37"/>
      <c r="ERO12" s="36"/>
      <c r="ERP12" s="37"/>
      <c r="ERQ12" s="36"/>
      <c r="ERR12" s="37"/>
      <c r="ERS12" s="36"/>
      <c r="ERT12" s="37"/>
      <c r="ERU12" s="36"/>
      <c r="ERV12" s="37"/>
      <c r="ERW12" s="36"/>
      <c r="ERX12" s="37"/>
      <c r="ERY12" s="36"/>
      <c r="ERZ12" s="36"/>
      <c r="ESA12" s="37"/>
      <c r="ESB12" s="37"/>
      <c r="ESD12" s="22"/>
      <c r="ESE12" s="35"/>
      <c r="ESF12" s="36"/>
      <c r="ESG12" s="37"/>
      <c r="ESH12" s="36"/>
      <c r="ESI12" s="37"/>
      <c r="ESJ12" s="36"/>
      <c r="ESK12" s="37"/>
      <c r="ESL12" s="36"/>
      <c r="ESM12" s="37"/>
      <c r="ESN12" s="36"/>
      <c r="ESO12" s="37"/>
      <c r="ESP12" s="36"/>
      <c r="ESQ12" s="37"/>
      <c r="ESR12" s="36"/>
      <c r="ESS12" s="37"/>
      <c r="EST12" s="36"/>
      <c r="ESU12" s="37"/>
      <c r="ESV12" s="36"/>
      <c r="ESW12" s="37"/>
      <c r="ESX12" s="36"/>
      <c r="ESY12" s="36"/>
      <c r="ESZ12" s="37"/>
      <c r="ETA12" s="37"/>
      <c r="ETC12" s="22"/>
      <c r="ETD12" s="35"/>
      <c r="ETE12" s="36"/>
      <c r="ETF12" s="37"/>
      <c r="ETG12" s="36"/>
      <c r="ETH12" s="37"/>
      <c r="ETI12" s="36"/>
      <c r="ETJ12" s="37"/>
      <c r="ETK12" s="36"/>
      <c r="ETL12" s="37"/>
      <c r="ETM12" s="36"/>
      <c r="ETN12" s="37"/>
      <c r="ETO12" s="36"/>
      <c r="ETP12" s="37"/>
      <c r="ETQ12" s="36"/>
      <c r="ETR12" s="37"/>
      <c r="ETS12" s="36"/>
      <c r="ETT12" s="37"/>
      <c r="ETU12" s="36"/>
      <c r="ETV12" s="37"/>
      <c r="ETW12" s="36"/>
      <c r="ETX12" s="36"/>
      <c r="ETY12" s="37"/>
      <c r="ETZ12" s="37"/>
      <c r="EUB12" s="22"/>
      <c r="EUC12" s="35"/>
      <c r="EUD12" s="36"/>
      <c r="EUE12" s="37"/>
      <c r="EUF12" s="36"/>
      <c r="EUG12" s="37"/>
      <c r="EUH12" s="36"/>
      <c r="EUI12" s="37"/>
      <c r="EUJ12" s="36"/>
      <c r="EUK12" s="37"/>
      <c r="EUL12" s="36"/>
      <c r="EUM12" s="37"/>
      <c r="EUN12" s="36"/>
      <c r="EUO12" s="37"/>
      <c r="EUP12" s="36"/>
      <c r="EUQ12" s="37"/>
      <c r="EUR12" s="36"/>
      <c r="EUS12" s="37"/>
      <c r="EUT12" s="36"/>
      <c r="EUU12" s="37"/>
      <c r="EUV12" s="36"/>
      <c r="EUW12" s="36"/>
      <c r="EUX12" s="37"/>
      <c r="EUY12" s="37"/>
      <c r="EVA12" s="22"/>
      <c r="EVB12" s="35"/>
      <c r="EVC12" s="36"/>
      <c r="EVD12" s="37"/>
      <c r="EVE12" s="36"/>
      <c r="EVF12" s="37"/>
      <c r="EVG12" s="36"/>
      <c r="EVH12" s="37"/>
      <c r="EVI12" s="36"/>
      <c r="EVJ12" s="37"/>
      <c r="EVK12" s="36"/>
      <c r="EVL12" s="37"/>
      <c r="EVM12" s="36"/>
      <c r="EVN12" s="37"/>
      <c r="EVO12" s="36"/>
      <c r="EVP12" s="37"/>
      <c r="EVQ12" s="36"/>
      <c r="EVR12" s="37"/>
      <c r="EVS12" s="36"/>
      <c r="EVT12" s="37"/>
      <c r="EVU12" s="36"/>
      <c r="EVV12" s="36"/>
      <c r="EVW12" s="37"/>
      <c r="EVX12" s="37"/>
      <c r="EVZ12" s="22"/>
      <c r="EWA12" s="35"/>
      <c r="EWB12" s="36"/>
      <c r="EWC12" s="37"/>
      <c r="EWD12" s="36"/>
      <c r="EWE12" s="37"/>
      <c r="EWF12" s="36"/>
      <c r="EWG12" s="37"/>
      <c r="EWH12" s="36"/>
      <c r="EWI12" s="37"/>
      <c r="EWJ12" s="36"/>
      <c r="EWK12" s="37"/>
      <c r="EWL12" s="36"/>
      <c r="EWM12" s="37"/>
      <c r="EWN12" s="36"/>
      <c r="EWO12" s="37"/>
      <c r="EWP12" s="36"/>
      <c r="EWQ12" s="37"/>
      <c r="EWR12" s="36"/>
      <c r="EWS12" s="37"/>
      <c r="EWT12" s="36"/>
      <c r="EWU12" s="36"/>
      <c r="EWV12" s="37"/>
      <c r="EWW12" s="37"/>
      <c r="EWY12" s="22"/>
      <c r="EWZ12" s="35"/>
      <c r="EXA12" s="36"/>
      <c r="EXB12" s="37"/>
      <c r="EXC12" s="36"/>
      <c r="EXD12" s="37"/>
      <c r="EXE12" s="36"/>
      <c r="EXF12" s="37"/>
      <c r="EXG12" s="36"/>
      <c r="EXH12" s="37"/>
      <c r="EXI12" s="36"/>
      <c r="EXJ12" s="37"/>
      <c r="EXK12" s="36"/>
      <c r="EXL12" s="37"/>
      <c r="EXM12" s="36"/>
      <c r="EXN12" s="37"/>
      <c r="EXO12" s="36"/>
      <c r="EXP12" s="37"/>
      <c r="EXQ12" s="36"/>
      <c r="EXR12" s="37"/>
      <c r="EXS12" s="36"/>
      <c r="EXT12" s="36"/>
      <c r="EXU12" s="37"/>
      <c r="EXV12" s="37"/>
      <c r="EXX12" s="22"/>
      <c r="EXY12" s="35"/>
      <c r="EXZ12" s="36"/>
      <c r="EYA12" s="37"/>
      <c r="EYB12" s="36"/>
      <c r="EYC12" s="37"/>
      <c r="EYD12" s="36"/>
      <c r="EYE12" s="37"/>
      <c r="EYF12" s="36"/>
      <c r="EYG12" s="37"/>
      <c r="EYH12" s="36"/>
      <c r="EYI12" s="37"/>
      <c r="EYJ12" s="36"/>
      <c r="EYK12" s="37"/>
      <c r="EYL12" s="36"/>
      <c r="EYM12" s="37"/>
      <c r="EYN12" s="36"/>
      <c r="EYO12" s="37"/>
      <c r="EYP12" s="36"/>
      <c r="EYQ12" s="37"/>
      <c r="EYR12" s="36"/>
      <c r="EYS12" s="36"/>
      <c r="EYT12" s="37"/>
      <c r="EYU12" s="37"/>
      <c r="EYW12" s="22"/>
      <c r="EYX12" s="35"/>
      <c r="EYY12" s="36"/>
      <c r="EYZ12" s="37"/>
      <c r="EZA12" s="36"/>
      <c r="EZB12" s="37"/>
      <c r="EZC12" s="36"/>
      <c r="EZD12" s="37"/>
      <c r="EZE12" s="36"/>
      <c r="EZF12" s="37"/>
      <c r="EZG12" s="36"/>
      <c r="EZH12" s="37"/>
      <c r="EZI12" s="36"/>
      <c r="EZJ12" s="37"/>
      <c r="EZK12" s="36"/>
      <c r="EZL12" s="37"/>
      <c r="EZM12" s="36"/>
      <c r="EZN12" s="37"/>
      <c r="EZO12" s="36"/>
      <c r="EZP12" s="37"/>
      <c r="EZQ12" s="36"/>
      <c r="EZR12" s="36"/>
      <c r="EZS12" s="37"/>
      <c r="EZT12" s="37"/>
      <c r="EZV12" s="22"/>
      <c r="EZW12" s="35"/>
      <c r="EZX12" s="36"/>
      <c r="EZY12" s="37"/>
      <c r="EZZ12" s="36"/>
      <c r="FAA12" s="37"/>
      <c r="FAB12" s="36"/>
      <c r="FAC12" s="37"/>
      <c r="FAD12" s="36"/>
      <c r="FAE12" s="37"/>
      <c r="FAF12" s="36"/>
      <c r="FAG12" s="37"/>
      <c r="FAH12" s="36"/>
      <c r="FAI12" s="37"/>
      <c r="FAJ12" s="36"/>
      <c r="FAK12" s="37"/>
      <c r="FAL12" s="36"/>
      <c r="FAM12" s="37"/>
      <c r="FAN12" s="36"/>
      <c r="FAO12" s="37"/>
      <c r="FAP12" s="36"/>
      <c r="FAQ12" s="36"/>
      <c r="FAR12" s="37"/>
      <c r="FAS12" s="37"/>
      <c r="FAU12" s="22"/>
      <c r="FAV12" s="35"/>
      <c r="FAW12" s="36"/>
      <c r="FAX12" s="37"/>
      <c r="FAY12" s="36"/>
      <c r="FAZ12" s="37"/>
      <c r="FBA12" s="36"/>
      <c r="FBB12" s="37"/>
      <c r="FBC12" s="36"/>
      <c r="FBD12" s="37"/>
      <c r="FBE12" s="36"/>
      <c r="FBF12" s="37"/>
      <c r="FBG12" s="36"/>
      <c r="FBH12" s="37"/>
      <c r="FBI12" s="36"/>
      <c r="FBJ12" s="37"/>
      <c r="FBK12" s="36"/>
      <c r="FBL12" s="37"/>
      <c r="FBM12" s="36"/>
      <c r="FBN12" s="37"/>
      <c r="FBO12" s="36"/>
      <c r="FBP12" s="36"/>
      <c r="FBQ12" s="37"/>
      <c r="FBR12" s="37"/>
      <c r="FBT12" s="22"/>
      <c r="FBU12" s="35"/>
      <c r="FBV12" s="36"/>
      <c r="FBW12" s="37"/>
      <c r="FBX12" s="36"/>
      <c r="FBY12" s="37"/>
      <c r="FBZ12" s="36"/>
      <c r="FCA12" s="37"/>
      <c r="FCB12" s="36"/>
      <c r="FCC12" s="37"/>
      <c r="FCD12" s="36"/>
      <c r="FCE12" s="37"/>
      <c r="FCF12" s="36"/>
      <c r="FCG12" s="37"/>
      <c r="FCH12" s="36"/>
      <c r="FCI12" s="37"/>
      <c r="FCJ12" s="36"/>
      <c r="FCK12" s="37"/>
      <c r="FCL12" s="36"/>
      <c r="FCM12" s="37"/>
      <c r="FCN12" s="36"/>
      <c r="FCO12" s="36"/>
      <c r="FCP12" s="37"/>
      <c r="FCQ12" s="37"/>
      <c r="FCS12" s="22"/>
      <c r="FCT12" s="35"/>
      <c r="FCU12" s="36"/>
      <c r="FCV12" s="37"/>
      <c r="FCW12" s="36"/>
      <c r="FCX12" s="37"/>
      <c r="FCY12" s="36"/>
      <c r="FCZ12" s="37"/>
      <c r="FDA12" s="36"/>
      <c r="FDB12" s="37"/>
      <c r="FDC12" s="36"/>
      <c r="FDD12" s="37"/>
      <c r="FDE12" s="36"/>
      <c r="FDF12" s="37"/>
      <c r="FDG12" s="36"/>
      <c r="FDH12" s="37"/>
      <c r="FDI12" s="36"/>
      <c r="FDJ12" s="37"/>
      <c r="FDK12" s="36"/>
      <c r="FDL12" s="37"/>
      <c r="FDM12" s="36"/>
      <c r="FDN12" s="36"/>
      <c r="FDO12" s="37"/>
      <c r="FDP12" s="37"/>
      <c r="FDR12" s="22"/>
      <c r="FDS12" s="35"/>
      <c r="FDT12" s="36"/>
      <c r="FDU12" s="37"/>
      <c r="FDV12" s="36"/>
      <c r="FDW12" s="37"/>
      <c r="FDX12" s="36"/>
      <c r="FDY12" s="37"/>
      <c r="FDZ12" s="36"/>
      <c r="FEA12" s="37"/>
      <c r="FEB12" s="36"/>
      <c r="FEC12" s="37"/>
      <c r="FED12" s="36"/>
      <c r="FEE12" s="37"/>
      <c r="FEF12" s="36"/>
      <c r="FEG12" s="37"/>
      <c r="FEH12" s="36"/>
      <c r="FEI12" s="37"/>
      <c r="FEJ12" s="36"/>
      <c r="FEK12" s="37"/>
      <c r="FEL12" s="36"/>
      <c r="FEM12" s="36"/>
      <c r="FEN12" s="37"/>
      <c r="FEO12" s="37"/>
      <c r="FEQ12" s="22"/>
      <c r="FER12" s="35"/>
      <c r="FES12" s="36"/>
      <c r="FET12" s="37"/>
      <c r="FEU12" s="36"/>
      <c r="FEV12" s="37"/>
      <c r="FEW12" s="36"/>
      <c r="FEX12" s="37"/>
      <c r="FEY12" s="36"/>
      <c r="FEZ12" s="37"/>
      <c r="FFA12" s="36"/>
      <c r="FFB12" s="37"/>
      <c r="FFC12" s="36"/>
      <c r="FFD12" s="37"/>
      <c r="FFE12" s="36"/>
      <c r="FFF12" s="37"/>
      <c r="FFG12" s="36"/>
      <c r="FFH12" s="37"/>
      <c r="FFI12" s="36"/>
      <c r="FFJ12" s="37"/>
      <c r="FFK12" s="36"/>
      <c r="FFL12" s="36"/>
      <c r="FFM12" s="37"/>
      <c r="FFN12" s="37"/>
      <c r="FFP12" s="22"/>
      <c r="FFQ12" s="35"/>
      <c r="FFR12" s="36"/>
      <c r="FFS12" s="37"/>
      <c r="FFT12" s="36"/>
      <c r="FFU12" s="37"/>
      <c r="FFV12" s="36"/>
      <c r="FFW12" s="37"/>
      <c r="FFX12" s="36"/>
      <c r="FFY12" s="37"/>
      <c r="FFZ12" s="36"/>
      <c r="FGA12" s="37"/>
      <c r="FGB12" s="36"/>
      <c r="FGC12" s="37"/>
      <c r="FGD12" s="36"/>
      <c r="FGE12" s="37"/>
      <c r="FGF12" s="36"/>
      <c r="FGG12" s="37"/>
      <c r="FGH12" s="36"/>
      <c r="FGI12" s="37"/>
      <c r="FGJ12" s="36"/>
      <c r="FGK12" s="36"/>
      <c r="FGL12" s="37"/>
      <c r="FGM12" s="37"/>
      <c r="FGO12" s="22"/>
      <c r="FGP12" s="35"/>
      <c r="FGQ12" s="36"/>
      <c r="FGR12" s="37"/>
      <c r="FGS12" s="36"/>
      <c r="FGT12" s="37"/>
      <c r="FGU12" s="36"/>
      <c r="FGV12" s="37"/>
      <c r="FGW12" s="36"/>
      <c r="FGX12" s="37"/>
      <c r="FGY12" s="36"/>
      <c r="FGZ12" s="37"/>
      <c r="FHA12" s="36"/>
      <c r="FHB12" s="37"/>
      <c r="FHC12" s="36"/>
      <c r="FHD12" s="37"/>
      <c r="FHE12" s="36"/>
      <c r="FHF12" s="37"/>
      <c r="FHG12" s="36"/>
      <c r="FHH12" s="37"/>
      <c r="FHI12" s="36"/>
      <c r="FHJ12" s="36"/>
      <c r="FHK12" s="37"/>
      <c r="FHL12" s="37"/>
      <c r="FHN12" s="22"/>
      <c r="FHO12" s="35"/>
      <c r="FHP12" s="36"/>
      <c r="FHQ12" s="37"/>
      <c r="FHR12" s="36"/>
      <c r="FHS12" s="37"/>
      <c r="FHT12" s="36"/>
      <c r="FHU12" s="37"/>
      <c r="FHV12" s="36"/>
      <c r="FHW12" s="37"/>
      <c r="FHX12" s="36"/>
      <c r="FHY12" s="37"/>
      <c r="FHZ12" s="36"/>
      <c r="FIA12" s="37"/>
      <c r="FIB12" s="36"/>
      <c r="FIC12" s="37"/>
      <c r="FID12" s="36"/>
      <c r="FIE12" s="37"/>
      <c r="FIF12" s="36"/>
      <c r="FIG12" s="37"/>
      <c r="FIH12" s="36"/>
      <c r="FII12" s="36"/>
      <c r="FIJ12" s="37"/>
      <c r="FIK12" s="37"/>
      <c r="FIM12" s="22"/>
      <c r="FIN12" s="35"/>
      <c r="FIO12" s="36"/>
      <c r="FIP12" s="37"/>
      <c r="FIQ12" s="36"/>
      <c r="FIR12" s="37"/>
      <c r="FIS12" s="36"/>
      <c r="FIT12" s="37"/>
      <c r="FIU12" s="36"/>
      <c r="FIV12" s="37"/>
      <c r="FIW12" s="36"/>
      <c r="FIX12" s="37"/>
      <c r="FIY12" s="36"/>
      <c r="FIZ12" s="37"/>
      <c r="FJA12" s="36"/>
      <c r="FJB12" s="37"/>
      <c r="FJC12" s="36"/>
      <c r="FJD12" s="37"/>
      <c r="FJE12" s="36"/>
      <c r="FJF12" s="37"/>
      <c r="FJG12" s="36"/>
      <c r="FJH12" s="36"/>
      <c r="FJI12" s="37"/>
      <c r="FJJ12" s="37"/>
      <c r="FJL12" s="22"/>
      <c r="FJM12" s="35"/>
      <c r="FJN12" s="36"/>
      <c r="FJO12" s="37"/>
      <c r="FJP12" s="36"/>
      <c r="FJQ12" s="37"/>
      <c r="FJR12" s="36"/>
      <c r="FJS12" s="37"/>
      <c r="FJT12" s="36"/>
      <c r="FJU12" s="37"/>
      <c r="FJV12" s="36"/>
      <c r="FJW12" s="37"/>
      <c r="FJX12" s="36"/>
      <c r="FJY12" s="37"/>
      <c r="FJZ12" s="36"/>
      <c r="FKA12" s="37"/>
      <c r="FKB12" s="36"/>
      <c r="FKC12" s="37"/>
      <c r="FKD12" s="36"/>
      <c r="FKE12" s="37"/>
      <c r="FKF12" s="36"/>
      <c r="FKG12" s="36"/>
      <c r="FKH12" s="37"/>
      <c r="FKI12" s="37"/>
      <c r="FKK12" s="22"/>
      <c r="FKL12" s="35"/>
      <c r="FKM12" s="36"/>
      <c r="FKN12" s="37"/>
      <c r="FKO12" s="36"/>
      <c r="FKP12" s="37"/>
      <c r="FKQ12" s="36"/>
      <c r="FKR12" s="37"/>
      <c r="FKS12" s="36"/>
      <c r="FKT12" s="37"/>
      <c r="FKU12" s="36"/>
      <c r="FKV12" s="37"/>
      <c r="FKW12" s="36"/>
      <c r="FKX12" s="37"/>
      <c r="FKY12" s="36"/>
      <c r="FKZ12" s="37"/>
      <c r="FLA12" s="36"/>
      <c r="FLB12" s="37"/>
      <c r="FLC12" s="36"/>
      <c r="FLD12" s="37"/>
      <c r="FLE12" s="36"/>
      <c r="FLF12" s="36"/>
      <c r="FLG12" s="37"/>
      <c r="FLH12" s="37"/>
      <c r="FLJ12" s="22"/>
      <c r="FLK12" s="35"/>
      <c r="FLL12" s="36"/>
      <c r="FLM12" s="37"/>
      <c r="FLN12" s="36"/>
      <c r="FLO12" s="37"/>
      <c r="FLP12" s="36"/>
      <c r="FLQ12" s="37"/>
      <c r="FLR12" s="36"/>
      <c r="FLS12" s="37"/>
      <c r="FLT12" s="36"/>
      <c r="FLU12" s="37"/>
      <c r="FLV12" s="36"/>
      <c r="FLW12" s="37"/>
      <c r="FLX12" s="36"/>
      <c r="FLY12" s="37"/>
      <c r="FLZ12" s="36"/>
      <c r="FMA12" s="37"/>
      <c r="FMB12" s="36"/>
      <c r="FMC12" s="37"/>
      <c r="FMD12" s="36"/>
      <c r="FME12" s="36"/>
      <c r="FMF12" s="37"/>
      <c r="FMG12" s="37"/>
      <c r="FMI12" s="22"/>
      <c r="FMJ12" s="35"/>
      <c r="FMK12" s="36"/>
      <c r="FML12" s="37"/>
      <c r="FMM12" s="36"/>
      <c r="FMN12" s="37"/>
      <c r="FMO12" s="36"/>
      <c r="FMP12" s="37"/>
      <c r="FMQ12" s="36"/>
      <c r="FMR12" s="37"/>
      <c r="FMS12" s="36"/>
      <c r="FMT12" s="37"/>
      <c r="FMU12" s="36"/>
      <c r="FMV12" s="37"/>
      <c r="FMW12" s="36"/>
      <c r="FMX12" s="37"/>
      <c r="FMY12" s="36"/>
      <c r="FMZ12" s="37"/>
      <c r="FNA12" s="36"/>
      <c r="FNB12" s="37"/>
      <c r="FNC12" s="36"/>
      <c r="FND12" s="36"/>
      <c r="FNE12" s="37"/>
      <c r="FNF12" s="37"/>
      <c r="FNH12" s="22"/>
      <c r="FNI12" s="35"/>
      <c r="FNJ12" s="36"/>
      <c r="FNK12" s="37"/>
      <c r="FNL12" s="36"/>
      <c r="FNM12" s="37"/>
      <c r="FNN12" s="36"/>
      <c r="FNO12" s="37"/>
      <c r="FNP12" s="36"/>
      <c r="FNQ12" s="37"/>
      <c r="FNR12" s="36"/>
      <c r="FNS12" s="37"/>
      <c r="FNT12" s="36"/>
      <c r="FNU12" s="37"/>
      <c r="FNV12" s="36"/>
      <c r="FNW12" s="37"/>
      <c r="FNX12" s="36"/>
      <c r="FNY12" s="37"/>
      <c r="FNZ12" s="36"/>
      <c r="FOA12" s="37"/>
      <c r="FOB12" s="36"/>
      <c r="FOC12" s="36"/>
      <c r="FOD12" s="37"/>
      <c r="FOE12" s="37"/>
      <c r="FOG12" s="22"/>
      <c r="FOH12" s="35"/>
      <c r="FOI12" s="36"/>
      <c r="FOJ12" s="37"/>
      <c r="FOK12" s="36"/>
      <c r="FOL12" s="37"/>
      <c r="FOM12" s="36"/>
      <c r="FON12" s="37"/>
      <c r="FOO12" s="36"/>
      <c r="FOP12" s="37"/>
      <c r="FOQ12" s="36"/>
      <c r="FOR12" s="37"/>
      <c r="FOS12" s="36"/>
      <c r="FOT12" s="37"/>
      <c r="FOU12" s="36"/>
      <c r="FOV12" s="37"/>
      <c r="FOW12" s="36"/>
      <c r="FOX12" s="37"/>
      <c r="FOY12" s="36"/>
      <c r="FOZ12" s="37"/>
      <c r="FPA12" s="36"/>
      <c r="FPB12" s="36"/>
      <c r="FPC12" s="37"/>
      <c r="FPD12" s="37"/>
      <c r="FPF12" s="22"/>
      <c r="FPG12" s="35"/>
      <c r="FPH12" s="36"/>
      <c r="FPI12" s="37"/>
      <c r="FPJ12" s="36"/>
      <c r="FPK12" s="37"/>
      <c r="FPL12" s="36"/>
      <c r="FPM12" s="37"/>
      <c r="FPN12" s="36"/>
      <c r="FPO12" s="37"/>
      <c r="FPP12" s="36"/>
      <c r="FPQ12" s="37"/>
      <c r="FPR12" s="36"/>
      <c r="FPS12" s="37"/>
      <c r="FPT12" s="36"/>
      <c r="FPU12" s="37"/>
      <c r="FPV12" s="36"/>
      <c r="FPW12" s="37"/>
      <c r="FPX12" s="36"/>
      <c r="FPY12" s="37"/>
      <c r="FPZ12" s="36"/>
      <c r="FQA12" s="36"/>
      <c r="FQB12" s="37"/>
      <c r="FQC12" s="37"/>
      <c r="FQE12" s="22"/>
      <c r="FQF12" s="35"/>
      <c r="FQG12" s="36"/>
      <c r="FQH12" s="37"/>
      <c r="FQI12" s="36"/>
      <c r="FQJ12" s="37"/>
      <c r="FQK12" s="36"/>
      <c r="FQL12" s="37"/>
      <c r="FQM12" s="36"/>
      <c r="FQN12" s="37"/>
      <c r="FQO12" s="36"/>
      <c r="FQP12" s="37"/>
      <c r="FQQ12" s="36"/>
      <c r="FQR12" s="37"/>
      <c r="FQS12" s="36"/>
      <c r="FQT12" s="37"/>
      <c r="FQU12" s="36"/>
      <c r="FQV12" s="37"/>
      <c r="FQW12" s="36"/>
      <c r="FQX12" s="37"/>
      <c r="FQY12" s="36"/>
      <c r="FQZ12" s="36"/>
      <c r="FRA12" s="37"/>
      <c r="FRB12" s="37"/>
      <c r="FRD12" s="22"/>
      <c r="FRE12" s="35"/>
      <c r="FRF12" s="36"/>
      <c r="FRG12" s="37"/>
      <c r="FRH12" s="36"/>
      <c r="FRI12" s="37"/>
      <c r="FRJ12" s="36"/>
      <c r="FRK12" s="37"/>
      <c r="FRL12" s="36"/>
      <c r="FRM12" s="37"/>
      <c r="FRN12" s="36"/>
      <c r="FRO12" s="37"/>
      <c r="FRP12" s="36"/>
      <c r="FRQ12" s="37"/>
      <c r="FRR12" s="36"/>
      <c r="FRS12" s="37"/>
      <c r="FRT12" s="36"/>
      <c r="FRU12" s="37"/>
      <c r="FRV12" s="36"/>
      <c r="FRW12" s="37"/>
      <c r="FRX12" s="36"/>
      <c r="FRY12" s="36"/>
      <c r="FRZ12" s="37"/>
      <c r="FSA12" s="37"/>
      <c r="FSC12" s="22"/>
      <c r="FSD12" s="35"/>
      <c r="FSE12" s="36"/>
      <c r="FSF12" s="37"/>
      <c r="FSG12" s="36"/>
      <c r="FSH12" s="37"/>
      <c r="FSI12" s="36"/>
      <c r="FSJ12" s="37"/>
      <c r="FSK12" s="36"/>
      <c r="FSL12" s="37"/>
      <c r="FSM12" s="36"/>
      <c r="FSN12" s="37"/>
      <c r="FSO12" s="36"/>
      <c r="FSP12" s="37"/>
      <c r="FSQ12" s="36"/>
      <c r="FSR12" s="37"/>
      <c r="FSS12" s="36"/>
      <c r="FST12" s="37"/>
      <c r="FSU12" s="36"/>
      <c r="FSV12" s="37"/>
      <c r="FSW12" s="36"/>
      <c r="FSX12" s="36"/>
      <c r="FSY12" s="37"/>
      <c r="FSZ12" s="37"/>
      <c r="FTB12" s="22"/>
      <c r="FTC12" s="35"/>
      <c r="FTD12" s="36"/>
      <c r="FTE12" s="37"/>
      <c r="FTF12" s="36"/>
      <c r="FTG12" s="37"/>
      <c r="FTH12" s="36"/>
      <c r="FTI12" s="37"/>
      <c r="FTJ12" s="36"/>
      <c r="FTK12" s="37"/>
      <c r="FTL12" s="36"/>
      <c r="FTM12" s="37"/>
      <c r="FTN12" s="36"/>
      <c r="FTO12" s="37"/>
      <c r="FTP12" s="36"/>
      <c r="FTQ12" s="37"/>
      <c r="FTR12" s="36"/>
      <c r="FTS12" s="37"/>
      <c r="FTT12" s="36"/>
      <c r="FTU12" s="37"/>
      <c r="FTV12" s="36"/>
      <c r="FTW12" s="36"/>
      <c r="FTX12" s="37"/>
      <c r="FTY12" s="37"/>
      <c r="FUA12" s="22"/>
      <c r="FUB12" s="35"/>
      <c r="FUC12" s="36"/>
      <c r="FUD12" s="37"/>
      <c r="FUE12" s="36"/>
      <c r="FUF12" s="37"/>
      <c r="FUG12" s="36"/>
      <c r="FUH12" s="37"/>
      <c r="FUI12" s="36"/>
      <c r="FUJ12" s="37"/>
      <c r="FUK12" s="36"/>
      <c r="FUL12" s="37"/>
      <c r="FUM12" s="36"/>
      <c r="FUN12" s="37"/>
      <c r="FUO12" s="36"/>
      <c r="FUP12" s="37"/>
      <c r="FUQ12" s="36"/>
      <c r="FUR12" s="37"/>
      <c r="FUS12" s="36"/>
      <c r="FUT12" s="37"/>
      <c r="FUU12" s="36"/>
      <c r="FUV12" s="36"/>
      <c r="FUW12" s="37"/>
      <c r="FUX12" s="37"/>
      <c r="FUZ12" s="22"/>
      <c r="FVA12" s="35"/>
      <c r="FVB12" s="36"/>
      <c r="FVC12" s="37"/>
      <c r="FVD12" s="36"/>
      <c r="FVE12" s="37"/>
      <c r="FVF12" s="36"/>
      <c r="FVG12" s="37"/>
      <c r="FVH12" s="36"/>
      <c r="FVI12" s="37"/>
      <c r="FVJ12" s="36"/>
      <c r="FVK12" s="37"/>
      <c r="FVL12" s="36"/>
      <c r="FVM12" s="37"/>
      <c r="FVN12" s="36"/>
      <c r="FVO12" s="37"/>
      <c r="FVP12" s="36"/>
      <c r="FVQ12" s="37"/>
      <c r="FVR12" s="36"/>
      <c r="FVS12" s="37"/>
      <c r="FVT12" s="36"/>
      <c r="FVU12" s="36"/>
      <c r="FVV12" s="37"/>
      <c r="FVW12" s="37"/>
      <c r="FVY12" s="22"/>
      <c r="FVZ12" s="35"/>
      <c r="FWA12" s="36"/>
      <c r="FWB12" s="37"/>
      <c r="FWC12" s="36"/>
      <c r="FWD12" s="37"/>
      <c r="FWE12" s="36"/>
      <c r="FWF12" s="37"/>
      <c r="FWG12" s="36"/>
      <c r="FWH12" s="37"/>
      <c r="FWI12" s="36"/>
      <c r="FWJ12" s="37"/>
      <c r="FWK12" s="36"/>
      <c r="FWL12" s="37"/>
      <c r="FWM12" s="36"/>
      <c r="FWN12" s="37"/>
      <c r="FWO12" s="36"/>
      <c r="FWP12" s="37"/>
      <c r="FWQ12" s="36"/>
      <c r="FWR12" s="37"/>
      <c r="FWS12" s="36"/>
      <c r="FWT12" s="36"/>
      <c r="FWU12" s="37"/>
      <c r="FWV12" s="37"/>
      <c r="FWX12" s="22"/>
      <c r="FWY12" s="35"/>
      <c r="FWZ12" s="36"/>
      <c r="FXA12" s="37"/>
      <c r="FXB12" s="36"/>
      <c r="FXC12" s="37"/>
      <c r="FXD12" s="36"/>
      <c r="FXE12" s="37"/>
      <c r="FXF12" s="36"/>
      <c r="FXG12" s="37"/>
      <c r="FXH12" s="36"/>
      <c r="FXI12" s="37"/>
      <c r="FXJ12" s="36"/>
      <c r="FXK12" s="37"/>
      <c r="FXL12" s="36"/>
      <c r="FXM12" s="37"/>
      <c r="FXN12" s="36"/>
      <c r="FXO12" s="37"/>
      <c r="FXP12" s="36"/>
      <c r="FXQ12" s="37"/>
      <c r="FXR12" s="36"/>
      <c r="FXS12" s="36"/>
      <c r="FXT12" s="37"/>
      <c r="FXU12" s="37"/>
      <c r="FXW12" s="22"/>
      <c r="FXX12" s="35"/>
      <c r="FXY12" s="36"/>
      <c r="FXZ12" s="37"/>
      <c r="FYA12" s="36"/>
      <c r="FYB12" s="37"/>
      <c r="FYC12" s="36"/>
      <c r="FYD12" s="37"/>
      <c r="FYE12" s="36"/>
      <c r="FYF12" s="37"/>
      <c r="FYG12" s="36"/>
      <c r="FYH12" s="37"/>
      <c r="FYI12" s="36"/>
      <c r="FYJ12" s="37"/>
      <c r="FYK12" s="36"/>
      <c r="FYL12" s="37"/>
      <c r="FYM12" s="36"/>
      <c r="FYN12" s="37"/>
      <c r="FYO12" s="36"/>
      <c r="FYP12" s="37"/>
      <c r="FYQ12" s="36"/>
      <c r="FYR12" s="36"/>
      <c r="FYS12" s="37"/>
      <c r="FYT12" s="37"/>
      <c r="FYV12" s="22"/>
      <c r="FYW12" s="35"/>
      <c r="FYX12" s="36"/>
      <c r="FYY12" s="37"/>
      <c r="FYZ12" s="36"/>
      <c r="FZA12" s="37"/>
      <c r="FZB12" s="36"/>
      <c r="FZC12" s="37"/>
      <c r="FZD12" s="36"/>
      <c r="FZE12" s="37"/>
      <c r="FZF12" s="36"/>
      <c r="FZG12" s="37"/>
      <c r="FZH12" s="36"/>
      <c r="FZI12" s="37"/>
      <c r="FZJ12" s="36"/>
      <c r="FZK12" s="37"/>
      <c r="FZL12" s="36"/>
      <c r="FZM12" s="37"/>
      <c r="FZN12" s="36"/>
      <c r="FZO12" s="37"/>
      <c r="FZP12" s="36"/>
      <c r="FZQ12" s="36"/>
      <c r="FZR12" s="37"/>
      <c r="FZS12" s="37"/>
      <c r="FZU12" s="22"/>
      <c r="FZV12" s="35"/>
      <c r="FZW12" s="36"/>
      <c r="FZX12" s="37"/>
      <c r="FZY12" s="36"/>
      <c r="FZZ12" s="37"/>
      <c r="GAA12" s="36"/>
      <c r="GAB12" s="37"/>
      <c r="GAC12" s="36"/>
      <c r="GAD12" s="37"/>
      <c r="GAE12" s="36"/>
      <c r="GAF12" s="37"/>
      <c r="GAG12" s="36"/>
      <c r="GAH12" s="37"/>
      <c r="GAI12" s="36"/>
      <c r="GAJ12" s="37"/>
      <c r="GAK12" s="36"/>
      <c r="GAL12" s="37"/>
      <c r="GAM12" s="36"/>
      <c r="GAN12" s="37"/>
      <c r="GAO12" s="36"/>
      <c r="GAP12" s="36"/>
      <c r="GAQ12" s="37"/>
      <c r="GAR12" s="37"/>
      <c r="GAT12" s="22"/>
      <c r="GAU12" s="35"/>
      <c r="GAV12" s="36"/>
      <c r="GAW12" s="37"/>
      <c r="GAX12" s="36"/>
      <c r="GAY12" s="37"/>
      <c r="GAZ12" s="36"/>
      <c r="GBA12" s="37"/>
      <c r="GBB12" s="36"/>
      <c r="GBC12" s="37"/>
      <c r="GBD12" s="36"/>
      <c r="GBE12" s="37"/>
      <c r="GBF12" s="36"/>
      <c r="GBG12" s="37"/>
      <c r="GBH12" s="36"/>
      <c r="GBI12" s="37"/>
      <c r="GBJ12" s="36"/>
      <c r="GBK12" s="37"/>
      <c r="GBL12" s="36"/>
      <c r="GBM12" s="37"/>
      <c r="GBN12" s="36"/>
      <c r="GBO12" s="36"/>
      <c r="GBP12" s="37"/>
      <c r="GBQ12" s="37"/>
      <c r="GBS12" s="22"/>
      <c r="GBT12" s="35"/>
      <c r="GBU12" s="36"/>
      <c r="GBV12" s="37"/>
      <c r="GBW12" s="36"/>
      <c r="GBX12" s="37"/>
      <c r="GBY12" s="36"/>
      <c r="GBZ12" s="37"/>
      <c r="GCA12" s="36"/>
      <c r="GCB12" s="37"/>
      <c r="GCC12" s="36"/>
      <c r="GCD12" s="37"/>
      <c r="GCE12" s="36"/>
      <c r="GCF12" s="37"/>
      <c r="GCG12" s="36"/>
      <c r="GCH12" s="37"/>
      <c r="GCI12" s="36"/>
      <c r="GCJ12" s="37"/>
      <c r="GCK12" s="36"/>
      <c r="GCL12" s="37"/>
      <c r="GCM12" s="36"/>
      <c r="GCN12" s="36"/>
      <c r="GCO12" s="37"/>
      <c r="GCP12" s="37"/>
      <c r="GCR12" s="22"/>
      <c r="GCS12" s="35"/>
      <c r="GCT12" s="36"/>
      <c r="GCU12" s="37"/>
      <c r="GCV12" s="36"/>
      <c r="GCW12" s="37"/>
      <c r="GCX12" s="36"/>
      <c r="GCY12" s="37"/>
      <c r="GCZ12" s="36"/>
      <c r="GDA12" s="37"/>
      <c r="GDB12" s="36"/>
      <c r="GDC12" s="37"/>
      <c r="GDD12" s="36"/>
      <c r="GDE12" s="37"/>
      <c r="GDF12" s="36"/>
      <c r="GDG12" s="37"/>
      <c r="GDH12" s="36"/>
      <c r="GDI12" s="37"/>
      <c r="GDJ12" s="36"/>
      <c r="GDK12" s="37"/>
      <c r="GDL12" s="36"/>
      <c r="GDM12" s="36"/>
      <c r="GDN12" s="37"/>
      <c r="GDO12" s="37"/>
      <c r="GDQ12" s="22"/>
      <c r="GDR12" s="35"/>
      <c r="GDS12" s="36"/>
      <c r="GDT12" s="37"/>
      <c r="GDU12" s="36"/>
      <c r="GDV12" s="37"/>
      <c r="GDW12" s="36"/>
      <c r="GDX12" s="37"/>
      <c r="GDY12" s="36"/>
      <c r="GDZ12" s="37"/>
      <c r="GEA12" s="36"/>
      <c r="GEB12" s="37"/>
      <c r="GEC12" s="36"/>
      <c r="GED12" s="37"/>
      <c r="GEE12" s="36"/>
      <c r="GEF12" s="37"/>
      <c r="GEG12" s="36"/>
      <c r="GEH12" s="37"/>
      <c r="GEI12" s="36"/>
      <c r="GEJ12" s="37"/>
      <c r="GEK12" s="36"/>
      <c r="GEL12" s="36"/>
      <c r="GEM12" s="37"/>
      <c r="GEN12" s="37"/>
      <c r="GEP12" s="22"/>
      <c r="GEQ12" s="35"/>
      <c r="GER12" s="36"/>
      <c r="GES12" s="37"/>
      <c r="GET12" s="36"/>
      <c r="GEU12" s="37"/>
      <c r="GEV12" s="36"/>
      <c r="GEW12" s="37"/>
      <c r="GEX12" s="36"/>
      <c r="GEY12" s="37"/>
      <c r="GEZ12" s="36"/>
      <c r="GFA12" s="37"/>
      <c r="GFB12" s="36"/>
      <c r="GFC12" s="37"/>
      <c r="GFD12" s="36"/>
      <c r="GFE12" s="37"/>
      <c r="GFF12" s="36"/>
      <c r="GFG12" s="37"/>
      <c r="GFH12" s="36"/>
      <c r="GFI12" s="37"/>
      <c r="GFJ12" s="36"/>
      <c r="GFK12" s="36"/>
      <c r="GFL12" s="37"/>
      <c r="GFM12" s="37"/>
      <c r="GFO12" s="22"/>
      <c r="GFP12" s="35"/>
      <c r="GFQ12" s="36"/>
      <c r="GFR12" s="37"/>
      <c r="GFS12" s="36"/>
      <c r="GFT12" s="37"/>
      <c r="GFU12" s="36"/>
      <c r="GFV12" s="37"/>
      <c r="GFW12" s="36"/>
      <c r="GFX12" s="37"/>
      <c r="GFY12" s="36"/>
      <c r="GFZ12" s="37"/>
      <c r="GGA12" s="36"/>
      <c r="GGB12" s="37"/>
      <c r="GGC12" s="36"/>
      <c r="GGD12" s="37"/>
      <c r="GGE12" s="36"/>
      <c r="GGF12" s="37"/>
      <c r="GGG12" s="36"/>
      <c r="GGH12" s="37"/>
      <c r="GGI12" s="36"/>
      <c r="GGJ12" s="36"/>
      <c r="GGK12" s="37"/>
      <c r="GGL12" s="37"/>
      <c r="GGN12" s="22"/>
      <c r="GGO12" s="35"/>
      <c r="GGP12" s="36"/>
      <c r="GGQ12" s="37"/>
      <c r="GGR12" s="36"/>
      <c r="GGS12" s="37"/>
      <c r="GGT12" s="36"/>
      <c r="GGU12" s="37"/>
      <c r="GGV12" s="36"/>
      <c r="GGW12" s="37"/>
      <c r="GGX12" s="36"/>
      <c r="GGY12" s="37"/>
      <c r="GGZ12" s="36"/>
      <c r="GHA12" s="37"/>
      <c r="GHB12" s="36"/>
      <c r="GHC12" s="37"/>
      <c r="GHD12" s="36"/>
      <c r="GHE12" s="37"/>
      <c r="GHF12" s="36"/>
      <c r="GHG12" s="37"/>
      <c r="GHH12" s="36"/>
      <c r="GHI12" s="36"/>
      <c r="GHJ12" s="37"/>
      <c r="GHK12" s="37"/>
      <c r="GHM12" s="22"/>
      <c r="GHN12" s="35"/>
      <c r="GHO12" s="36"/>
      <c r="GHP12" s="37"/>
      <c r="GHQ12" s="36"/>
      <c r="GHR12" s="37"/>
      <c r="GHS12" s="36"/>
      <c r="GHT12" s="37"/>
      <c r="GHU12" s="36"/>
      <c r="GHV12" s="37"/>
      <c r="GHW12" s="36"/>
      <c r="GHX12" s="37"/>
      <c r="GHY12" s="36"/>
      <c r="GHZ12" s="37"/>
      <c r="GIA12" s="36"/>
      <c r="GIB12" s="37"/>
      <c r="GIC12" s="36"/>
      <c r="GID12" s="37"/>
      <c r="GIE12" s="36"/>
      <c r="GIF12" s="37"/>
      <c r="GIG12" s="36"/>
      <c r="GIH12" s="36"/>
      <c r="GII12" s="37"/>
      <c r="GIJ12" s="37"/>
      <c r="GIL12" s="22"/>
      <c r="GIM12" s="35"/>
      <c r="GIN12" s="36"/>
      <c r="GIO12" s="37"/>
      <c r="GIP12" s="36"/>
      <c r="GIQ12" s="37"/>
      <c r="GIR12" s="36"/>
      <c r="GIS12" s="37"/>
      <c r="GIT12" s="36"/>
      <c r="GIU12" s="37"/>
      <c r="GIV12" s="36"/>
      <c r="GIW12" s="37"/>
      <c r="GIX12" s="36"/>
      <c r="GIY12" s="37"/>
      <c r="GIZ12" s="36"/>
      <c r="GJA12" s="37"/>
      <c r="GJB12" s="36"/>
      <c r="GJC12" s="37"/>
      <c r="GJD12" s="36"/>
      <c r="GJE12" s="37"/>
      <c r="GJF12" s="36"/>
      <c r="GJG12" s="36"/>
      <c r="GJH12" s="37"/>
      <c r="GJI12" s="37"/>
      <c r="GJK12" s="22"/>
      <c r="GJL12" s="35"/>
      <c r="GJM12" s="36"/>
      <c r="GJN12" s="37"/>
      <c r="GJO12" s="36"/>
      <c r="GJP12" s="37"/>
      <c r="GJQ12" s="36"/>
      <c r="GJR12" s="37"/>
      <c r="GJS12" s="36"/>
      <c r="GJT12" s="37"/>
      <c r="GJU12" s="36"/>
      <c r="GJV12" s="37"/>
      <c r="GJW12" s="36"/>
      <c r="GJX12" s="37"/>
      <c r="GJY12" s="36"/>
      <c r="GJZ12" s="37"/>
      <c r="GKA12" s="36"/>
      <c r="GKB12" s="37"/>
      <c r="GKC12" s="36"/>
      <c r="GKD12" s="37"/>
      <c r="GKE12" s="36"/>
      <c r="GKF12" s="36"/>
      <c r="GKG12" s="37"/>
      <c r="GKH12" s="37"/>
      <c r="GKJ12" s="22"/>
      <c r="GKK12" s="35"/>
      <c r="GKL12" s="36"/>
      <c r="GKM12" s="37"/>
      <c r="GKN12" s="36"/>
      <c r="GKO12" s="37"/>
      <c r="GKP12" s="36"/>
      <c r="GKQ12" s="37"/>
      <c r="GKR12" s="36"/>
      <c r="GKS12" s="37"/>
      <c r="GKT12" s="36"/>
      <c r="GKU12" s="37"/>
      <c r="GKV12" s="36"/>
      <c r="GKW12" s="37"/>
      <c r="GKX12" s="36"/>
      <c r="GKY12" s="37"/>
      <c r="GKZ12" s="36"/>
      <c r="GLA12" s="37"/>
      <c r="GLB12" s="36"/>
      <c r="GLC12" s="37"/>
      <c r="GLD12" s="36"/>
      <c r="GLE12" s="36"/>
      <c r="GLF12" s="37"/>
      <c r="GLG12" s="37"/>
      <c r="GLI12" s="22"/>
      <c r="GLJ12" s="35"/>
      <c r="GLK12" s="36"/>
      <c r="GLL12" s="37"/>
      <c r="GLM12" s="36"/>
      <c r="GLN12" s="37"/>
      <c r="GLO12" s="36"/>
      <c r="GLP12" s="37"/>
      <c r="GLQ12" s="36"/>
      <c r="GLR12" s="37"/>
      <c r="GLS12" s="36"/>
      <c r="GLT12" s="37"/>
      <c r="GLU12" s="36"/>
      <c r="GLV12" s="37"/>
      <c r="GLW12" s="36"/>
      <c r="GLX12" s="37"/>
      <c r="GLY12" s="36"/>
      <c r="GLZ12" s="37"/>
      <c r="GMA12" s="36"/>
      <c r="GMB12" s="37"/>
      <c r="GMC12" s="36"/>
      <c r="GMD12" s="36"/>
      <c r="GME12" s="37"/>
      <c r="GMF12" s="37"/>
      <c r="GMH12" s="22"/>
      <c r="GMI12" s="35"/>
      <c r="GMJ12" s="36"/>
      <c r="GMK12" s="37"/>
      <c r="GML12" s="36"/>
      <c r="GMM12" s="37"/>
      <c r="GMN12" s="36"/>
      <c r="GMO12" s="37"/>
      <c r="GMP12" s="36"/>
      <c r="GMQ12" s="37"/>
      <c r="GMR12" s="36"/>
      <c r="GMS12" s="37"/>
      <c r="GMT12" s="36"/>
      <c r="GMU12" s="37"/>
      <c r="GMV12" s="36"/>
      <c r="GMW12" s="37"/>
      <c r="GMX12" s="36"/>
      <c r="GMY12" s="37"/>
      <c r="GMZ12" s="36"/>
      <c r="GNA12" s="37"/>
      <c r="GNB12" s="36"/>
      <c r="GNC12" s="36"/>
      <c r="GND12" s="37"/>
      <c r="GNE12" s="37"/>
      <c r="GNG12" s="22"/>
      <c r="GNH12" s="35"/>
      <c r="GNI12" s="36"/>
      <c r="GNJ12" s="37"/>
      <c r="GNK12" s="36"/>
      <c r="GNL12" s="37"/>
      <c r="GNM12" s="36"/>
      <c r="GNN12" s="37"/>
      <c r="GNO12" s="36"/>
      <c r="GNP12" s="37"/>
      <c r="GNQ12" s="36"/>
      <c r="GNR12" s="37"/>
      <c r="GNS12" s="36"/>
      <c r="GNT12" s="37"/>
      <c r="GNU12" s="36"/>
      <c r="GNV12" s="37"/>
      <c r="GNW12" s="36"/>
      <c r="GNX12" s="37"/>
      <c r="GNY12" s="36"/>
      <c r="GNZ12" s="37"/>
      <c r="GOA12" s="36"/>
      <c r="GOB12" s="36"/>
      <c r="GOC12" s="37"/>
      <c r="GOD12" s="37"/>
      <c r="GOF12" s="22"/>
      <c r="GOG12" s="35"/>
      <c r="GOH12" s="36"/>
      <c r="GOI12" s="37"/>
      <c r="GOJ12" s="36"/>
      <c r="GOK12" s="37"/>
      <c r="GOL12" s="36"/>
      <c r="GOM12" s="37"/>
      <c r="GON12" s="36"/>
      <c r="GOO12" s="37"/>
      <c r="GOP12" s="36"/>
      <c r="GOQ12" s="37"/>
      <c r="GOR12" s="36"/>
      <c r="GOS12" s="37"/>
      <c r="GOT12" s="36"/>
      <c r="GOU12" s="37"/>
      <c r="GOV12" s="36"/>
      <c r="GOW12" s="37"/>
      <c r="GOX12" s="36"/>
      <c r="GOY12" s="37"/>
      <c r="GOZ12" s="36"/>
      <c r="GPA12" s="36"/>
      <c r="GPB12" s="37"/>
      <c r="GPC12" s="37"/>
      <c r="GPE12" s="22"/>
      <c r="GPF12" s="35"/>
      <c r="GPG12" s="36"/>
      <c r="GPH12" s="37"/>
      <c r="GPI12" s="36"/>
      <c r="GPJ12" s="37"/>
      <c r="GPK12" s="36"/>
      <c r="GPL12" s="37"/>
      <c r="GPM12" s="36"/>
      <c r="GPN12" s="37"/>
      <c r="GPO12" s="36"/>
      <c r="GPP12" s="37"/>
      <c r="GPQ12" s="36"/>
      <c r="GPR12" s="37"/>
      <c r="GPS12" s="36"/>
      <c r="GPT12" s="37"/>
      <c r="GPU12" s="36"/>
      <c r="GPV12" s="37"/>
      <c r="GPW12" s="36"/>
      <c r="GPX12" s="37"/>
      <c r="GPY12" s="36"/>
      <c r="GPZ12" s="36"/>
      <c r="GQA12" s="37"/>
      <c r="GQB12" s="37"/>
      <c r="GQD12" s="22"/>
      <c r="GQE12" s="35"/>
      <c r="GQF12" s="36"/>
      <c r="GQG12" s="37"/>
      <c r="GQH12" s="36"/>
      <c r="GQI12" s="37"/>
      <c r="GQJ12" s="36"/>
      <c r="GQK12" s="37"/>
      <c r="GQL12" s="36"/>
      <c r="GQM12" s="37"/>
      <c r="GQN12" s="36"/>
      <c r="GQO12" s="37"/>
      <c r="GQP12" s="36"/>
      <c r="GQQ12" s="37"/>
      <c r="GQR12" s="36"/>
      <c r="GQS12" s="37"/>
      <c r="GQT12" s="36"/>
      <c r="GQU12" s="37"/>
      <c r="GQV12" s="36"/>
      <c r="GQW12" s="37"/>
      <c r="GQX12" s="36"/>
      <c r="GQY12" s="36"/>
      <c r="GQZ12" s="37"/>
      <c r="GRA12" s="37"/>
      <c r="GRC12" s="22"/>
      <c r="GRD12" s="35"/>
      <c r="GRE12" s="36"/>
      <c r="GRF12" s="37"/>
      <c r="GRG12" s="36"/>
      <c r="GRH12" s="37"/>
      <c r="GRI12" s="36"/>
      <c r="GRJ12" s="37"/>
      <c r="GRK12" s="36"/>
      <c r="GRL12" s="37"/>
      <c r="GRM12" s="36"/>
      <c r="GRN12" s="37"/>
      <c r="GRO12" s="36"/>
      <c r="GRP12" s="37"/>
      <c r="GRQ12" s="36"/>
      <c r="GRR12" s="37"/>
      <c r="GRS12" s="36"/>
      <c r="GRT12" s="37"/>
      <c r="GRU12" s="36"/>
      <c r="GRV12" s="37"/>
      <c r="GRW12" s="36"/>
      <c r="GRX12" s="36"/>
      <c r="GRY12" s="37"/>
      <c r="GRZ12" s="37"/>
      <c r="GSB12" s="22"/>
      <c r="GSC12" s="35"/>
      <c r="GSD12" s="36"/>
      <c r="GSE12" s="37"/>
      <c r="GSF12" s="36"/>
      <c r="GSG12" s="37"/>
      <c r="GSH12" s="36"/>
      <c r="GSI12" s="37"/>
      <c r="GSJ12" s="36"/>
      <c r="GSK12" s="37"/>
      <c r="GSL12" s="36"/>
      <c r="GSM12" s="37"/>
      <c r="GSN12" s="36"/>
      <c r="GSO12" s="37"/>
      <c r="GSP12" s="36"/>
      <c r="GSQ12" s="37"/>
      <c r="GSR12" s="36"/>
      <c r="GSS12" s="37"/>
      <c r="GST12" s="36"/>
      <c r="GSU12" s="37"/>
      <c r="GSV12" s="36"/>
      <c r="GSW12" s="36"/>
      <c r="GSX12" s="37"/>
      <c r="GSY12" s="37"/>
      <c r="GTA12" s="22"/>
      <c r="GTB12" s="35"/>
      <c r="GTC12" s="36"/>
      <c r="GTD12" s="37"/>
      <c r="GTE12" s="36"/>
      <c r="GTF12" s="37"/>
      <c r="GTG12" s="36"/>
      <c r="GTH12" s="37"/>
      <c r="GTI12" s="36"/>
      <c r="GTJ12" s="37"/>
      <c r="GTK12" s="36"/>
      <c r="GTL12" s="37"/>
      <c r="GTM12" s="36"/>
      <c r="GTN12" s="37"/>
      <c r="GTO12" s="36"/>
      <c r="GTP12" s="37"/>
      <c r="GTQ12" s="36"/>
      <c r="GTR12" s="37"/>
      <c r="GTS12" s="36"/>
      <c r="GTT12" s="37"/>
      <c r="GTU12" s="36"/>
      <c r="GTV12" s="36"/>
      <c r="GTW12" s="37"/>
      <c r="GTX12" s="37"/>
      <c r="GTZ12" s="22"/>
      <c r="GUA12" s="35"/>
      <c r="GUB12" s="36"/>
      <c r="GUC12" s="37"/>
      <c r="GUD12" s="36"/>
      <c r="GUE12" s="37"/>
      <c r="GUF12" s="36"/>
      <c r="GUG12" s="37"/>
      <c r="GUH12" s="36"/>
      <c r="GUI12" s="37"/>
      <c r="GUJ12" s="36"/>
      <c r="GUK12" s="37"/>
      <c r="GUL12" s="36"/>
      <c r="GUM12" s="37"/>
      <c r="GUN12" s="36"/>
      <c r="GUO12" s="37"/>
      <c r="GUP12" s="36"/>
      <c r="GUQ12" s="37"/>
      <c r="GUR12" s="36"/>
      <c r="GUS12" s="37"/>
      <c r="GUT12" s="36"/>
      <c r="GUU12" s="36"/>
      <c r="GUV12" s="37"/>
      <c r="GUW12" s="37"/>
      <c r="GUY12" s="22"/>
      <c r="GUZ12" s="35"/>
      <c r="GVA12" s="36"/>
      <c r="GVB12" s="37"/>
      <c r="GVC12" s="36"/>
      <c r="GVD12" s="37"/>
      <c r="GVE12" s="36"/>
      <c r="GVF12" s="37"/>
      <c r="GVG12" s="36"/>
      <c r="GVH12" s="37"/>
      <c r="GVI12" s="36"/>
      <c r="GVJ12" s="37"/>
      <c r="GVK12" s="36"/>
      <c r="GVL12" s="37"/>
      <c r="GVM12" s="36"/>
      <c r="GVN12" s="37"/>
      <c r="GVO12" s="36"/>
      <c r="GVP12" s="37"/>
      <c r="GVQ12" s="36"/>
      <c r="GVR12" s="37"/>
      <c r="GVS12" s="36"/>
      <c r="GVT12" s="36"/>
      <c r="GVU12" s="37"/>
      <c r="GVV12" s="37"/>
      <c r="GVX12" s="22"/>
      <c r="GVY12" s="35"/>
      <c r="GVZ12" s="36"/>
      <c r="GWA12" s="37"/>
      <c r="GWB12" s="36"/>
      <c r="GWC12" s="37"/>
      <c r="GWD12" s="36"/>
      <c r="GWE12" s="37"/>
      <c r="GWF12" s="36"/>
      <c r="GWG12" s="37"/>
      <c r="GWH12" s="36"/>
      <c r="GWI12" s="37"/>
      <c r="GWJ12" s="36"/>
      <c r="GWK12" s="37"/>
      <c r="GWL12" s="36"/>
      <c r="GWM12" s="37"/>
      <c r="GWN12" s="36"/>
      <c r="GWO12" s="37"/>
      <c r="GWP12" s="36"/>
      <c r="GWQ12" s="37"/>
      <c r="GWR12" s="36"/>
      <c r="GWS12" s="36"/>
      <c r="GWT12" s="37"/>
      <c r="GWU12" s="37"/>
      <c r="GWW12" s="22"/>
      <c r="GWX12" s="35"/>
      <c r="GWY12" s="36"/>
      <c r="GWZ12" s="37"/>
      <c r="GXA12" s="36"/>
      <c r="GXB12" s="37"/>
      <c r="GXC12" s="36"/>
      <c r="GXD12" s="37"/>
      <c r="GXE12" s="36"/>
      <c r="GXF12" s="37"/>
      <c r="GXG12" s="36"/>
      <c r="GXH12" s="37"/>
      <c r="GXI12" s="36"/>
      <c r="GXJ12" s="37"/>
      <c r="GXK12" s="36"/>
      <c r="GXL12" s="37"/>
      <c r="GXM12" s="36"/>
      <c r="GXN12" s="37"/>
      <c r="GXO12" s="36"/>
      <c r="GXP12" s="37"/>
      <c r="GXQ12" s="36"/>
      <c r="GXR12" s="36"/>
      <c r="GXS12" s="37"/>
      <c r="GXT12" s="37"/>
      <c r="GXV12" s="22"/>
      <c r="GXW12" s="35"/>
      <c r="GXX12" s="36"/>
      <c r="GXY12" s="37"/>
      <c r="GXZ12" s="36"/>
      <c r="GYA12" s="37"/>
      <c r="GYB12" s="36"/>
      <c r="GYC12" s="37"/>
      <c r="GYD12" s="36"/>
      <c r="GYE12" s="37"/>
      <c r="GYF12" s="36"/>
      <c r="GYG12" s="37"/>
      <c r="GYH12" s="36"/>
      <c r="GYI12" s="37"/>
      <c r="GYJ12" s="36"/>
      <c r="GYK12" s="37"/>
      <c r="GYL12" s="36"/>
      <c r="GYM12" s="37"/>
      <c r="GYN12" s="36"/>
      <c r="GYO12" s="37"/>
      <c r="GYP12" s="36"/>
      <c r="GYQ12" s="36"/>
      <c r="GYR12" s="37"/>
      <c r="GYS12" s="37"/>
      <c r="GYU12" s="22"/>
      <c r="GYV12" s="35"/>
      <c r="GYW12" s="36"/>
      <c r="GYX12" s="37"/>
      <c r="GYY12" s="36"/>
      <c r="GYZ12" s="37"/>
      <c r="GZA12" s="36"/>
      <c r="GZB12" s="37"/>
      <c r="GZC12" s="36"/>
      <c r="GZD12" s="37"/>
      <c r="GZE12" s="36"/>
      <c r="GZF12" s="37"/>
      <c r="GZG12" s="36"/>
      <c r="GZH12" s="37"/>
      <c r="GZI12" s="36"/>
      <c r="GZJ12" s="37"/>
      <c r="GZK12" s="36"/>
      <c r="GZL12" s="37"/>
      <c r="GZM12" s="36"/>
      <c r="GZN12" s="37"/>
      <c r="GZO12" s="36"/>
      <c r="GZP12" s="36"/>
      <c r="GZQ12" s="37"/>
      <c r="GZR12" s="37"/>
      <c r="GZT12" s="22"/>
      <c r="GZU12" s="35"/>
      <c r="GZV12" s="36"/>
      <c r="GZW12" s="37"/>
      <c r="GZX12" s="36"/>
      <c r="GZY12" s="37"/>
      <c r="GZZ12" s="36"/>
      <c r="HAA12" s="37"/>
      <c r="HAB12" s="36"/>
      <c r="HAC12" s="37"/>
      <c r="HAD12" s="36"/>
      <c r="HAE12" s="37"/>
      <c r="HAF12" s="36"/>
      <c r="HAG12" s="37"/>
      <c r="HAH12" s="36"/>
      <c r="HAI12" s="37"/>
      <c r="HAJ12" s="36"/>
      <c r="HAK12" s="37"/>
      <c r="HAL12" s="36"/>
      <c r="HAM12" s="37"/>
      <c r="HAN12" s="36"/>
      <c r="HAO12" s="36"/>
      <c r="HAP12" s="37"/>
      <c r="HAQ12" s="37"/>
      <c r="HAS12" s="22"/>
      <c r="HAT12" s="35"/>
      <c r="HAU12" s="36"/>
      <c r="HAV12" s="37"/>
      <c r="HAW12" s="36"/>
      <c r="HAX12" s="37"/>
      <c r="HAY12" s="36"/>
      <c r="HAZ12" s="37"/>
      <c r="HBA12" s="36"/>
      <c r="HBB12" s="37"/>
      <c r="HBC12" s="36"/>
      <c r="HBD12" s="37"/>
      <c r="HBE12" s="36"/>
      <c r="HBF12" s="37"/>
      <c r="HBG12" s="36"/>
      <c r="HBH12" s="37"/>
      <c r="HBI12" s="36"/>
      <c r="HBJ12" s="37"/>
      <c r="HBK12" s="36"/>
      <c r="HBL12" s="37"/>
      <c r="HBM12" s="36"/>
      <c r="HBN12" s="36"/>
      <c r="HBO12" s="37"/>
      <c r="HBP12" s="37"/>
      <c r="HBR12" s="22"/>
      <c r="HBS12" s="35"/>
      <c r="HBT12" s="36"/>
      <c r="HBU12" s="37"/>
      <c r="HBV12" s="36"/>
      <c r="HBW12" s="37"/>
      <c r="HBX12" s="36"/>
      <c r="HBY12" s="37"/>
      <c r="HBZ12" s="36"/>
      <c r="HCA12" s="37"/>
      <c r="HCB12" s="36"/>
      <c r="HCC12" s="37"/>
      <c r="HCD12" s="36"/>
      <c r="HCE12" s="37"/>
      <c r="HCF12" s="36"/>
      <c r="HCG12" s="37"/>
      <c r="HCH12" s="36"/>
      <c r="HCI12" s="37"/>
      <c r="HCJ12" s="36"/>
      <c r="HCK12" s="37"/>
      <c r="HCL12" s="36"/>
      <c r="HCM12" s="36"/>
      <c r="HCN12" s="37"/>
      <c r="HCO12" s="37"/>
      <c r="HCQ12" s="22"/>
      <c r="HCR12" s="35"/>
      <c r="HCS12" s="36"/>
      <c r="HCT12" s="37"/>
      <c r="HCU12" s="36"/>
      <c r="HCV12" s="37"/>
      <c r="HCW12" s="36"/>
      <c r="HCX12" s="37"/>
      <c r="HCY12" s="36"/>
      <c r="HCZ12" s="37"/>
      <c r="HDA12" s="36"/>
      <c r="HDB12" s="37"/>
      <c r="HDC12" s="36"/>
      <c r="HDD12" s="37"/>
      <c r="HDE12" s="36"/>
      <c r="HDF12" s="37"/>
      <c r="HDG12" s="36"/>
      <c r="HDH12" s="37"/>
      <c r="HDI12" s="36"/>
      <c r="HDJ12" s="37"/>
      <c r="HDK12" s="36"/>
      <c r="HDL12" s="36"/>
      <c r="HDM12" s="37"/>
      <c r="HDN12" s="37"/>
      <c r="HDP12" s="22"/>
      <c r="HDQ12" s="35"/>
      <c r="HDR12" s="36"/>
      <c r="HDS12" s="37"/>
      <c r="HDT12" s="36"/>
      <c r="HDU12" s="37"/>
      <c r="HDV12" s="36"/>
      <c r="HDW12" s="37"/>
      <c r="HDX12" s="36"/>
      <c r="HDY12" s="37"/>
      <c r="HDZ12" s="36"/>
      <c r="HEA12" s="37"/>
      <c r="HEB12" s="36"/>
      <c r="HEC12" s="37"/>
      <c r="HED12" s="36"/>
      <c r="HEE12" s="37"/>
      <c r="HEF12" s="36"/>
      <c r="HEG12" s="37"/>
      <c r="HEH12" s="36"/>
      <c r="HEI12" s="37"/>
      <c r="HEJ12" s="36"/>
      <c r="HEK12" s="36"/>
      <c r="HEL12" s="37"/>
      <c r="HEM12" s="37"/>
      <c r="HEO12" s="22"/>
      <c r="HEP12" s="35"/>
      <c r="HEQ12" s="36"/>
      <c r="HER12" s="37"/>
      <c r="HES12" s="36"/>
      <c r="HET12" s="37"/>
      <c r="HEU12" s="36"/>
      <c r="HEV12" s="37"/>
      <c r="HEW12" s="36"/>
      <c r="HEX12" s="37"/>
      <c r="HEY12" s="36"/>
      <c r="HEZ12" s="37"/>
      <c r="HFA12" s="36"/>
      <c r="HFB12" s="37"/>
      <c r="HFC12" s="36"/>
      <c r="HFD12" s="37"/>
      <c r="HFE12" s="36"/>
      <c r="HFF12" s="37"/>
      <c r="HFG12" s="36"/>
      <c r="HFH12" s="37"/>
      <c r="HFI12" s="36"/>
      <c r="HFJ12" s="36"/>
      <c r="HFK12" s="37"/>
      <c r="HFL12" s="37"/>
      <c r="HFN12" s="22"/>
      <c r="HFO12" s="35"/>
      <c r="HFP12" s="36"/>
      <c r="HFQ12" s="37"/>
      <c r="HFR12" s="36"/>
      <c r="HFS12" s="37"/>
      <c r="HFT12" s="36"/>
      <c r="HFU12" s="37"/>
      <c r="HFV12" s="36"/>
      <c r="HFW12" s="37"/>
      <c r="HFX12" s="36"/>
      <c r="HFY12" s="37"/>
      <c r="HFZ12" s="36"/>
      <c r="HGA12" s="37"/>
      <c r="HGB12" s="36"/>
      <c r="HGC12" s="37"/>
      <c r="HGD12" s="36"/>
      <c r="HGE12" s="37"/>
      <c r="HGF12" s="36"/>
      <c r="HGG12" s="37"/>
      <c r="HGH12" s="36"/>
      <c r="HGI12" s="36"/>
      <c r="HGJ12" s="37"/>
      <c r="HGK12" s="37"/>
      <c r="HGM12" s="22"/>
      <c r="HGN12" s="35"/>
      <c r="HGO12" s="36"/>
      <c r="HGP12" s="37"/>
      <c r="HGQ12" s="36"/>
      <c r="HGR12" s="37"/>
      <c r="HGS12" s="36"/>
      <c r="HGT12" s="37"/>
      <c r="HGU12" s="36"/>
      <c r="HGV12" s="37"/>
      <c r="HGW12" s="36"/>
      <c r="HGX12" s="37"/>
      <c r="HGY12" s="36"/>
      <c r="HGZ12" s="37"/>
      <c r="HHA12" s="36"/>
      <c r="HHB12" s="37"/>
      <c r="HHC12" s="36"/>
      <c r="HHD12" s="37"/>
      <c r="HHE12" s="36"/>
      <c r="HHF12" s="37"/>
      <c r="HHG12" s="36"/>
      <c r="HHH12" s="36"/>
      <c r="HHI12" s="37"/>
      <c r="HHJ12" s="37"/>
      <c r="HHL12" s="22"/>
      <c r="HHM12" s="35"/>
      <c r="HHN12" s="36"/>
      <c r="HHO12" s="37"/>
      <c r="HHP12" s="36"/>
      <c r="HHQ12" s="37"/>
      <c r="HHR12" s="36"/>
      <c r="HHS12" s="37"/>
      <c r="HHT12" s="36"/>
      <c r="HHU12" s="37"/>
      <c r="HHV12" s="36"/>
      <c r="HHW12" s="37"/>
      <c r="HHX12" s="36"/>
      <c r="HHY12" s="37"/>
      <c r="HHZ12" s="36"/>
      <c r="HIA12" s="37"/>
      <c r="HIB12" s="36"/>
      <c r="HIC12" s="37"/>
      <c r="HID12" s="36"/>
      <c r="HIE12" s="37"/>
      <c r="HIF12" s="36"/>
      <c r="HIG12" s="36"/>
      <c r="HIH12" s="37"/>
      <c r="HII12" s="37"/>
      <c r="HIK12" s="22"/>
      <c r="HIL12" s="35"/>
      <c r="HIM12" s="36"/>
      <c r="HIN12" s="37"/>
      <c r="HIO12" s="36"/>
      <c r="HIP12" s="37"/>
      <c r="HIQ12" s="36"/>
      <c r="HIR12" s="37"/>
      <c r="HIS12" s="36"/>
      <c r="HIT12" s="37"/>
      <c r="HIU12" s="36"/>
      <c r="HIV12" s="37"/>
      <c r="HIW12" s="36"/>
      <c r="HIX12" s="37"/>
      <c r="HIY12" s="36"/>
      <c r="HIZ12" s="37"/>
      <c r="HJA12" s="36"/>
      <c r="HJB12" s="37"/>
      <c r="HJC12" s="36"/>
      <c r="HJD12" s="37"/>
      <c r="HJE12" s="36"/>
      <c r="HJF12" s="36"/>
      <c r="HJG12" s="37"/>
      <c r="HJH12" s="37"/>
      <c r="HJJ12" s="22"/>
      <c r="HJK12" s="35"/>
      <c r="HJL12" s="36"/>
      <c r="HJM12" s="37"/>
      <c r="HJN12" s="36"/>
      <c r="HJO12" s="37"/>
      <c r="HJP12" s="36"/>
      <c r="HJQ12" s="37"/>
      <c r="HJR12" s="36"/>
      <c r="HJS12" s="37"/>
      <c r="HJT12" s="36"/>
      <c r="HJU12" s="37"/>
      <c r="HJV12" s="36"/>
      <c r="HJW12" s="37"/>
      <c r="HJX12" s="36"/>
      <c r="HJY12" s="37"/>
      <c r="HJZ12" s="36"/>
      <c r="HKA12" s="37"/>
      <c r="HKB12" s="36"/>
      <c r="HKC12" s="37"/>
      <c r="HKD12" s="36"/>
      <c r="HKE12" s="36"/>
      <c r="HKF12" s="37"/>
      <c r="HKG12" s="37"/>
      <c r="HKI12" s="22"/>
      <c r="HKJ12" s="35"/>
      <c r="HKK12" s="36"/>
      <c r="HKL12" s="37"/>
      <c r="HKM12" s="36"/>
      <c r="HKN12" s="37"/>
      <c r="HKO12" s="36"/>
      <c r="HKP12" s="37"/>
      <c r="HKQ12" s="36"/>
      <c r="HKR12" s="37"/>
      <c r="HKS12" s="36"/>
      <c r="HKT12" s="37"/>
      <c r="HKU12" s="36"/>
      <c r="HKV12" s="37"/>
      <c r="HKW12" s="36"/>
      <c r="HKX12" s="37"/>
      <c r="HKY12" s="36"/>
      <c r="HKZ12" s="37"/>
      <c r="HLA12" s="36"/>
      <c r="HLB12" s="37"/>
      <c r="HLC12" s="36"/>
      <c r="HLD12" s="36"/>
      <c r="HLE12" s="37"/>
      <c r="HLF12" s="37"/>
      <c r="HLH12" s="22"/>
      <c r="HLI12" s="35"/>
      <c r="HLJ12" s="36"/>
      <c r="HLK12" s="37"/>
      <c r="HLL12" s="36"/>
      <c r="HLM12" s="37"/>
      <c r="HLN12" s="36"/>
      <c r="HLO12" s="37"/>
      <c r="HLP12" s="36"/>
      <c r="HLQ12" s="37"/>
      <c r="HLR12" s="36"/>
      <c r="HLS12" s="37"/>
      <c r="HLT12" s="36"/>
      <c r="HLU12" s="37"/>
      <c r="HLV12" s="36"/>
      <c r="HLW12" s="37"/>
      <c r="HLX12" s="36"/>
      <c r="HLY12" s="37"/>
      <c r="HLZ12" s="36"/>
      <c r="HMA12" s="37"/>
      <c r="HMB12" s="36"/>
      <c r="HMC12" s="36"/>
      <c r="HMD12" s="37"/>
      <c r="HME12" s="37"/>
      <c r="HMG12" s="22"/>
      <c r="HMH12" s="35"/>
      <c r="HMI12" s="36"/>
      <c r="HMJ12" s="37"/>
      <c r="HMK12" s="36"/>
      <c r="HML12" s="37"/>
      <c r="HMM12" s="36"/>
      <c r="HMN12" s="37"/>
      <c r="HMO12" s="36"/>
      <c r="HMP12" s="37"/>
      <c r="HMQ12" s="36"/>
      <c r="HMR12" s="37"/>
      <c r="HMS12" s="36"/>
      <c r="HMT12" s="37"/>
      <c r="HMU12" s="36"/>
      <c r="HMV12" s="37"/>
      <c r="HMW12" s="36"/>
      <c r="HMX12" s="37"/>
      <c r="HMY12" s="36"/>
      <c r="HMZ12" s="37"/>
      <c r="HNA12" s="36"/>
      <c r="HNB12" s="36"/>
      <c r="HNC12" s="37"/>
      <c r="HND12" s="37"/>
      <c r="HNF12" s="22"/>
      <c r="HNG12" s="35"/>
      <c r="HNH12" s="36"/>
      <c r="HNI12" s="37"/>
      <c r="HNJ12" s="36"/>
      <c r="HNK12" s="37"/>
      <c r="HNL12" s="36"/>
      <c r="HNM12" s="37"/>
      <c r="HNN12" s="36"/>
      <c r="HNO12" s="37"/>
      <c r="HNP12" s="36"/>
      <c r="HNQ12" s="37"/>
      <c r="HNR12" s="36"/>
      <c r="HNS12" s="37"/>
      <c r="HNT12" s="36"/>
      <c r="HNU12" s="37"/>
      <c r="HNV12" s="36"/>
      <c r="HNW12" s="37"/>
      <c r="HNX12" s="36"/>
      <c r="HNY12" s="37"/>
      <c r="HNZ12" s="36"/>
      <c r="HOA12" s="36"/>
      <c r="HOB12" s="37"/>
      <c r="HOC12" s="37"/>
      <c r="HOE12" s="22"/>
      <c r="HOF12" s="35"/>
      <c r="HOG12" s="36"/>
      <c r="HOH12" s="37"/>
      <c r="HOI12" s="36"/>
      <c r="HOJ12" s="37"/>
      <c r="HOK12" s="36"/>
      <c r="HOL12" s="37"/>
      <c r="HOM12" s="36"/>
      <c r="HON12" s="37"/>
      <c r="HOO12" s="36"/>
      <c r="HOP12" s="37"/>
      <c r="HOQ12" s="36"/>
      <c r="HOR12" s="37"/>
      <c r="HOS12" s="36"/>
      <c r="HOT12" s="37"/>
      <c r="HOU12" s="36"/>
      <c r="HOV12" s="37"/>
      <c r="HOW12" s="36"/>
      <c r="HOX12" s="37"/>
      <c r="HOY12" s="36"/>
      <c r="HOZ12" s="36"/>
      <c r="HPA12" s="37"/>
      <c r="HPB12" s="37"/>
      <c r="HPD12" s="22"/>
      <c r="HPE12" s="35"/>
      <c r="HPF12" s="36"/>
      <c r="HPG12" s="37"/>
      <c r="HPH12" s="36"/>
      <c r="HPI12" s="37"/>
      <c r="HPJ12" s="36"/>
      <c r="HPK12" s="37"/>
      <c r="HPL12" s="36"/>
      <c r="HPM12" s="37"/>
      <c r="HPN12" s="36"/>
      <c r="HPO12" s="37"/>
      <c r="HPP12" s="36"/>
      <c r="HPQ12" s="37"/>
      <c r="HPR12" s="36"/>
      <c r="HPS12" s="37"/>
      <c r="HPT12" s="36"/>
      <c r="HPU12" s="37"/>
      <c r="HPV12" s="36"/>
      <c r="HPW12" s="37"/>
      <c r="HPX12" s="36"/>
      <c r="HPY12" s="36"/>
      <c r="HPZ12" s="37"/>
      <c r="HQA12" s="37"/>
      <c r="HQC12" s="22"/>
      <c r="HQD12" s="35"/>
      <c r="HQE12" s="36"/>
      <c r="HQF12" s="37"/>
      <c r="HQG12" s="36"/>
      <c r="HQH12" s="37"/>
      <c r="HQI12" s="36"/>
      <c r="HQJ12" s="37"/>
      <c r="HQK12" s="36"/>
      <c r="HQL12" s="37"/>
      <c r="HQM12" s="36"/>
      <c r="HQN12" s="37"/>
      <c r="HQO12" s="36"/>
      <c r="HQP12" s="37"/>
      <c r="HQQ12" s="36"/>
      <c r="HQR12" s="37"/>
      <c r="HQS12" s="36"/>
      <c r="HQT12" s="37"/>
      <c r="HQU12" s="36"/>
      <c r="HQV12" s="37"/>
      <c r="HQW12" s="36"/>
      <c r="HQX12" s="36"/>
      <c r="HQY12" s="37"/>
      <c r="HQZ12" s="37"/>
      <c r="HRB12" s="22"/>
      <c r="HRC12" s="35"/>
      <c r="HRD12" s="36"/>
      <c r="HRE12" s="37"/>
      <c r="HRF12" s="36"/>
      <c r="HRG12" s="37"/>
      <c r="HRH12" s="36"/>
      <c r="HRI12" s="37"/>
      <c r="HRJ12" s="36"/>
      <c r="HRK12" s="37"/>
      <c r="HRL12" s="36"/>
      <c r="HRM12" s="37"/>
      <c r="HRN12" s="36"/>
      <c r="HRO12" s="37"/>
      <c r="HRP12" s="36"/>
      <c r="HRQ12" s="37"/>
      <c r="HRR12" s="36"/>
      <c r="HRS12" s="37"/>
      <c r="HRT12" s="36"/>
      <c r="HRU12" s="37"/>
      <c r="HRV12" s="36"/>
      <c r="HRW12" s="36"/>
      <c r="HRX12" s="37"/>
      <c r="HRY12" s="37"/>
      <c r="HSA12" s="22"/>
      <c r="HSB12" s="35"/>
      <c r="HSC12" s="36"/>
      <c r="HSD12" s="37"/>
      <c r="HSE12" s="36"/>
      <c r="HSF12" s="37"/>
      <c r="HSG12" s="36"/>
      <c r="HSH12" s="37"/>
      <c r="HSI12" s="36"/>
      <c r="HSJ12" s="37"/>
      <c r="HSK12" s="36"/>
      <c r="HSL12" s="37"/>
      <c r="HSM12" s="36"/>
      <c r="HSN12" s="37"/>
      <c r="HSO12" s="36"/>
      <c r="HSP12" s="37"/>
      <c r="HSQ12" s="36"/>
      <c r="HSR12" s="37"/>
      <c r="HSS12" s="36"/>
      <c r="HST12" s="37"/>
      <c r="HSU12" s="36"/>
      <c r="HSV12" s="36"/>
      <c r="HSW12" s="37"/>
      <c r="HSX12" s="37"/>
      <c r="HSZ12" s="22"/>
      <c r="HTA12" s="35"/>
      <c r="HTB12" s="36"/>
      <c r="HTC12" s="37"/>
      <c r="HTD12" s="36"/>
      <c r="HTE12" s="37"/>
      <c r="HTF12" s="36"/>
      <c r="HTG12" s="37"/>
      <c r="HTH12" s="36"/>
      <c r="HTI12" s="37"/>
      <c r="HTJ12" s="36"/>
      <c r="HTK12" s="37"/>
      <c r="HTL12" s="36"/>
      <c r="HTM12" s="37"/>
      <c r="HTN12" s="36"/>
      <c r="HTO12" s="37"/>
      <c r="HTP12" s="36"/>
      <c r="HTQ12" s="37"/>
      <c r="HTR12" s="36"/>
      <c r="HTS12" s="37"/>
      <c r="HTT12" s="36"/>
      <c r="HTU12" s="36"/>
      <c r="HTV12" s="37"/>
      <c r="HTW12" s="37"/>
      <c r="HTY12" s="22"/>
      <c r="HTZ12" s="35"/>
      <c r="HUA12" s="36"/>
      <c r="HUB12" s="37"/>
      <c r="HUC12" s="36"/>
      <c r="HUD12" s="37"/>
      <c r="HUE12" s="36"/>
      <c r="HUF12" s="37"/>
      <c r="HUG12" s="36"/>
      <c r="HUH12" s="37"/>
      <c r="HUI12" s="36"/>
      <c r="HUJ12" s="37"/>
      <c r="HUK12" s="36"/>
      <c r="HUL12" s="37"/>
      <c r="HUM12" s="36"/>
      <c r="HUN12" s="37"/>
      <c r="HUO12" s="36"/>
      <c r="HUP12" s="37"/>
      <c r="HUQ12" s="36"/>
      <c r="HUR12" s="37"/>
      <c r="HUS12" s="36"/>
      <c r="HUT12" s="36"/>
      <c r="HUU12" s="37"/>
      <c r="HUV12" s="37"/>
      <c r="HUX12" s="22"/>
      <c r="HUY12" s="35"/>
      <c r="HUZ12" s="36"/>
      <c r="HVA12" s="37"/>
      <c r="HVB12" s="36"/>
      <c r="HVC12" s="37"/>
      <c r="HVD12" s="36"/>
      <c r="HVE12" s="37"/>
      <c r="HVF12" s="36"/>
      <c r="HVG12" s="37"/>
      <c r="HVH12" s="36"/>
      <c r="HVI12" s="37"/>
      <c r="HVJ12" s="36"/>
      <c r="HVK12" s="37"/>
      <c r="HVL12" s="36"/>
      <c r="HVM12" s="37"/>
      <c r="HVN12" s="36"/>
      <c r="HVO12" s="37"/>
      <c r="HVP12" s="36"/>
      <c r="HVQ12" s="37"/>
      <c r="HVR12" s="36"/>
      <c r="HVS12" s="36"/>
      <c r="HVT12" s="37"/>
      <c r="HVU12" s="37"/>
      <c r="HVW12" s="22"/>
      <c r="HVX12" s="35"/>
      <c r="HVY12" s="36"/>
      <c r="HVZ12" s="37"/>
      <c r="HWA12" s="36"/>
      <c r="HWB12" s="37"/>
      <c r="HWC12" s="36"/>
      <c r="HWD12" s="37"/>
      <c r="HWE12" s="36"/>
      <c r="HWF12" s="37"/>
      <c r="HWG12" s="36"/>
      <c r="HWH12" s="37"/>
      <c r="HWI12" s="36"/>
      <c r="HWJ12" s="37"/>
      <c r="HWK12" s="36"/>
      <c r="HWL12" s="37"/>
      <c r="HWM12" s="36"/>
      <c r="HWN12" s="37"/>
      <c r="HWO12" s="36"/>
      <c r="HWP12" s="37"/>
      <c r="HWQ12" s="36"/>
      <c r="HWR12" s="36"/>
      <c r="HWS12" s="37"/>
      <c r="HWT12" s="37"/>
      <c r="HWV12" s="22"/>
      <c r="HWW12" s="35"/>
      <c r="HWX12" s="36"/>
      <c r="HWY12" s="37"/>
      <c r="HWZ12" s="36"/>
      <c r="HXA12" s="37"/>
      <c r="HXB12" s="36"/>
      <c r="HXC12" s="37"/>
      <c r="HXD12" s="36"/>
      <c r="HXE12" s="37"/>
      <c r="HXF12" s="36"/>
      <c r="HXG12" s="37"/>
      <c r="HXH12" s="36"/>
      <c r="HXI12" s="37"/>
      <c r="HXJ12" s="36"/>
      <c r="HXK12" s="37"/>
      <c r="HXL12" s="36"/>
      <c r="HXM12" s="37"/>
      <c r="HXN12" s="36"/>
      <c r="HXO12" s="37"/>
      <c r="HXP12" s="36"/>
      <c r="HXQ12" s="36"/>
      <c r="HXR12" s="37"/>
      <c r="HXS12" s="37"/>
      <c r="HXU12" s="22"/>
      <c r="HXV12" s="35"/>
      <c r="HXW12" s="36"/>
      <c r="HXX12" s="37"/>
      <c r="HXY12" s="36"/>
      <c r="HXZ12" s="37"/>
      <c r="HYA12" s="36"/>
      <c r="HYB12" s="37"/>
      <c r="HYC12" s="36"/>
      <c r="HYD12" s="37"/>
      <c r="HYE12" s="36"/>
      <c r="HYF12" s="37"/>
      <c r="HYG12" s="36"/>
      <c r="HYH12" s="37"/>
      <c r="HYI12" s="36"/>
      <c r="HYJ12" s="37"/>
      <c r="HYK12" s="36"/>
      <c r="HYL12" s="37"/>
      <c r="HYM12" s="36"/>
      <c r="HYN12" s="37"/>
      <c r="HYO12" s="36"/>
      <c r="HYP12" s="36"/>
      <c r="HYQ12" s="37"/>
      <c r="HYR12" s="37"/>
      <c r="HYT12" s="22"/>
      <c r="HYU12" s="35"/>
      <c r="HYV12" s="36"/>
      <c r="HYW12" s="37"/>
      <c r="HYX12" s="36"/>
      <c r="HYY12" s="37"/>
      <c r="HYZ12" s="36"/>
      <c r="HZA12" s="37"/>
      <c r="HZB12" s="36"/>
      <c r="HZC12" s="37"/>
      <c r="HZD12" s="36"/>
      <c r="HZE12" s="37"/>
      <c r="HZF12" s="36"/>
      <c r="HZG12" s="37"/>
      <c r="HZH12" s="36"/>
      <c r="HZI12" s="37"/>
      <c r="HZJ12" s="36"/>
      <c r="HZK12" s="37"/>
      <c r="HZL12" s="36"/>
      <c r="HZM12" s="37"/>
      <c r="HZN12" s="36"/>
      <c r="HZO12" s="36"/>
      <c r="HZP12" s="37"/>
      <c r="HZQ12" s="37"/>
      <c r="HZS12" s="22"/>
      <c r="HZT12" s="35"/>
      <c r="HZU12" s="36"/>
      <c r="HZV12" s="37"/>
      <c r="HZW12" s="36"/>
      <c r="HZX12" s="37"/>
      <c r="HZY12" s="36"/>
      <c r="HZZ12" s="37"/>
      <c r="IAA12" s="36"/>
      <c r="IAB12" s="37"/>
      <c r="IAC12" s="36"/>
      <c r="IAD12" s="37"/>
      <c r="IAE12" s="36"/>
      <c r="IAF12" s="37"/>
      <c r="IAG12" s="36"/>
      <c r="IAH12" s="37"/>
      <c r="IAI12" s="36"/>
      <c r="IAJ12" s="37"/>
      <c r="IAK12" s="36"/>
      <c r="IAL12" s="37"/>
      <c r="IAM12" s="36"/>
      <c r="IAN12" s="36"/>
      <c r="IAO12" s="37"/>
      <c r="IAP12" s="37"/>
      <c r="IAR12" s="22"/>
      <c r="IAS12" s="35"/>
      <c r="IAT12" s="36"/>
      <c r="IAU12" s="37"/>
      <c r="IAV12" s="36"/>
      <c r="IAW12" s="37"/>
      <c r="IAX12" s="36"/>
      <c r="IAY12" s="37"/>
      <c r="IAZ12" s="36"/>
      <c r="IBA12" s="37"/>
      <c r="IBB12" s="36"/>
      <c r="IBC12" s="37"/>
      <c r="IBD12" s="36"/>
      <c r="IBE12" s="37"/>
      <c r="IBF12" s="36"/>
      <c r="IBG12" s="37"/>
      <c r="IBH12" s="36"/>
      <c r="IBI12" s="37"/>
      <c r="IBJ12" s="36"/>
      <c r="IBK12" s="37"/>
      <c r="IBL12" s="36"/>
      <c r="IBM12" s="36"/>
      <c r="IBN12" s="37"/>
      <c r="IBO12" s="37"/>
      <c r="IBQ12" s="22"/>
      <c r="IBR12" s="35"/>
      <c r="IBS12" s="36"/>
      <c r="IBT12" s="37"/>
      <c r="IBU12" s="36"/>
      <c r="IBV12" s="37"/>
      <c r="IBW12" s="36"/>
      <c r="IBX12" s="37"/>
      <c r="IBY12" s="36"/>
      <c r="IBZ12" s="37"/>
      <c r="ICA12" s="36"/>
      <c r="ICB12" s="37"/>
      <c r="ICC12" s="36"/>
      <c r="ICD12" s="37"/>
      <c r="ICE12" s="36"/>
      <c r="ICF12" s="37"/>
      <c r="ICG12" s="36"/>
      <c r="ICH12" s="37"/>
      <c r="ICI12" s="36"/>
      <c r="ICJ12" s="37"/>
      <c r="ICK12" s="36"/>
      <c r="ICL12" s="36"/>
      <c r="ICM12" s="37"/>
      <c r="ICN12" s="37"/>
      <c r="ICP12" s="22"/>
      <c r="ICQ12" s="35"/>
      <c r="ICR12" s="36"/>
      <c r="ICS12" s="37"/>
      <c r="ICT12" s="36"/>
      <c r="ICU12" s="37"/>
      <c r="ICV12" s="36"/>
      <c r="ICW12" s="37"/>
      <c r="ICX12" s="36"/>
      <c r="ICY12" s="37"/>
      <c r="ICZ12" s="36"/>
      <c r="IDA12" s="37"/>
      <c r="IDB12" s="36"/>
      <c r="IDC12" s="37"/>
      <c r="IDD12" s="36"/>
      <c r="IDE12" s="37"/>
      <c r="IDF12" s="36"/>
      <c r="IDG12" s="37"/>
      <c r="IDH12" s="36"/>
      <c r="IDI12" s="37"/>
      <c r="IDJ12" s="36"/>
      <c r="IDK12" s="36"/>
      <c r="IDL12" s="37"/>
      <c r="IDM12" s="37"/>
      <c r="IDO12" s="22"/>
      <c r="IDP12" s="35"/>
      <c r="IDQ12" s="36"/>
      <c r="IDR12" s="37"/>
      <c r="IDS12" s="36"/>
      <c r="IDT12" s="37"/>
      <c r="IDU12" s="36"/>
      <c r="IDV12" s="37"/>
      <c r="IDW12" s="36"/>
      <c r="IDX12" s="37"/>
      <c r="IDY12" s="36"/>
      <c r="IDZ12" s="37"/>
      <c r="IEA12" s="36"/>
      <c r="IEB12" s="37"/>
      <c r="IEC12" s="36"/>
      <c r="IED12" s="37"/>
      <c r="IEE12" s="36"/>
      <c r="IEF12" s="37"/>
      <c r="IEG12" s="36"/>
      <c r="IEH12" s="37"/>
      <c r="IEI12" s="36"/>
      <c r="IEJ12" s="36"/>
      <c r="IEK12" s="37"/>
      <c r="IEL12" s="37"/>
      <c r="IEN12" s="22"/>
      <c r="IEO12" s="35"/>
      <c r="IEP12" s="36"/>
      <c r="IEQ12" s="37"/>
      <c r="IER12" s="36"/>
      <c r="IES12" s="37"/>
      <c r="IET12" s="36"/>
      <c r="IEU12" s="37"/>
      <c r="IEV12" s="36"/>
      <c r="IEW12" s="37"/>
      <c r="IEX12" s="36"/>
      <c r="IEY12" s="37"/>
      <c r="IEZ12" s="36"/>
      <c r="IFA12" s="37"/>
      <c r="IFB12" s="36"/>
      <c r="IFC12" s="37"/>
      <c r="IFD12" s="36"/>
      <c r="IFE12" s="37"/>
      <c r="IFF12" s="36"/>
      <c r="IFG12" s="37"/>
      <c r="IFH12" s="36"/>
      <c r="IFI12" s="36"/>
      <c r="IFJ12" s="37"/>
      <c r="IFK12" s="37"/>
      <c r="IFM12" s="22"/>
      <c r="IFN12" s="35"/>
      <c r="IFO12" s="36"/>
      <c r="IFP12" s="37"/>
      <c r="IFQ12" s="36"/>
      <c r="IFR12" s="37"/>
      <c r="IFS12" s="36"/>
      <c r="IFT12" s="37"/>
      <c r="IFU12" s="36"/>
      <c r="IFV12" s="37"/>
      <c r="IFW12" s="36"/>
      <c r="IFX12" s="37"/>
      <c r="IFY12" s="36"/>
      <c r="IFZ12" s="37"/>
      <c r="IGA12" s="36"/>
      <c r="IGB12" s="37"/>
      <c r="IGC12" s="36"/>
      <c r="IGD12" s="37"/>
      <c r="IGE12" s="36"/>
      <c r="IGF12" s="37"/>
      <c r="IGG12" s="36"/>
      <c r="IGH12" s="36"/>
      <c r="IGI12" s="37"/>
      <c r="IGJ12" s="37"/>
      <c r="IGL12" s="22"/>
      <c r="IGM12" s="35"/>
      <c r="IGN12" s="36"/>
      <c r="IGO12" s="37"/>
      <c r="IGP12" s="36"/>
      <c r="IGQ12" s="37"/>
      <c r="IGR12" s="36"/>
      <c r="IGS12" s="37"/>
      <c r="IGT12" s="36"/>
      <c r="IGU12" s="37"/>
      <c r="IGV12" s="36"/>
      <c r="IGW12" s="37"/>
      <c r="IGX12" s="36"/>
      <c r="IGY12" s="37"/>
      <c r="IGZ12" s="36"/>
      <c r="IHA12" s="37"/>
      <c r="IHB12" s="36"/>
      <c r="IHC12" s="37"/>
      <c r="IHD12" s="36"/>
      <c r="IHE12" s="37"/>
      <c r="IHF12" s="36"/>
      <c r="IHG12" s="36"/>
      <c r="IHH12" s="37"/>
      <c r="IHI12" s="37"/>
      <c r="IHK12" s="22"/>
      <c r="IHL12" s="35"/>
      <c r="IHM12" s="36"/>
      <c r="IHN12" s="37"/>
      <c r="IHO12" s="36"/>
      <c r="IHP12" s="37"/>
      <c r="IHQ12" s="36"/>
      <c r="IHR12" s="37"/>
      <c r="IHS12" s="36"/>
      <c r="IHT12" s="37"/>
      <c r="IHU12" s="36"/>
      <c r="IHV12" s="37"/>
      <c r="IHW12" s="36"/>
      <c r="IHX12" s="37"/>
      <c r="IHY12" s="36"/>
      <c r="IHZ12" s="37"/>
      <c r="IIA12" s="36"/>
      <c r="IIB12" s="37"/>
      <c r="IIC12" s="36"/>
      <c r="IID12" s="37"/>
      <c r="IIE12" s="36"/>
      <c r="IIF12" s="36"/>
      <c r="IIG12" s="37"/>
      <c r="IIH12" s="37"/>
      <c r="IIJ12" s="22"/>
      <c r="IIK12" s="35"/>
      <c r="IIL12" s="36"/>
      <c r="IIM12" s="37"/>
      <c r="IIN12" s="36"/>
      <c r="IIO12" s="37"/>
      <c r="IIP12" s="36"/>
      <c r="IIQ12" s="37"/>
      <c r="IIR12" s="36"/>
      <c r="IIS12" s="37"/>
      <c r="IIT12" s="36"/>
      <c r="IIU12" s="37"/>
      <c r="IIV12" s="36"/>
      <c r="IIW12" s="37"/>
      <c r="IIX12" s="36"/>
      <c r="IIY12" s="37"/>
      <c r="IIZ12" s="36"/>
      <c r="IJA12" s="37"/>
      <c r="IJB12" s="36"/>
      <c r="IJC12" s="37"/>
      <c r="IJD12" s="36"/>
      <c r="IJE12" s="36"/>
      <c r="IJF12" s="37"/>
      <c r="IJG12" s="37"/>
      <c r="IJI12" s="22"/>
      <c r="IJJ12" s="35"/>
      <c r="IJK12" s="36"/>
      <c r="IJL12" s="37"/>
      <c r="IJM12" s="36"/>
      <c r="IJN12" s="37"/>
      <c r="IJO12" s="36"/>
      <c r="IJP12" s="37"/>
      <c r="IJQ12" s="36"/>
      <c r="IJR12" s="37"/>
      <c r="IJS12" s="36"/>
      <c r="IJT12" s="37"/>
      <c r="IJU12" s="36"/>
      <c r="IJV12" s="37"/>
      <c r="IJW12" s="36"/>
      <c r="IJX12" s="37"/>
      <c r="IJY12" s="36"/>
      <c r="IJZ12" s="37"/>
      <c r="IKA12" s="36"/>
      <c r="IKB12" s="37"/>
      <c r="IKC12" s="36"/>
      <c r="IKD12" s="36"/>
      <c r="IKE12" s="37"/>
      <c r="IKF12" s="37"/>
      <c r="IKH12" s="22"/>
      <c r="IKI12" s="35"/>
      <c r="IKJ12" s="36"/>
      <c r="IKK12" s="37"/>
      <c r="IKL12" s="36"/>
      <c r="IKM12" s="37"/>
      <c r="IKN12" s="36"/>
      <c r="IKO12" s="37"/>
      <c r="IKP12" s="36"/>
      <c r="IKQ12" s="37"/>
      <c r="IKR12" s="36"/>
      <c r="IKS12" s="37"/>
      <c r="IKT12" s="36"/>
      <c r="IKU12" s="37"/>
      <c r="IKV12" s="36"/>
      <c r="IKW12" s="37"/>
      <c r="IKX12" s="36"/>
      <c r="IKY12" s="37"/>
      <c r="IKZ12" s="36"/>
      <c r="ILA12" s="37"/>
      <c r="ILB12" s="36"/>
      <c r="ILC12" s="36"/>
      <c r="ILD12" s="37"/>
      <c r="ILE12" s="37"/>
      <c r="ILG12" s="22"/>
      <c r="ILH12" s="35"/>
      <c r="ILI12" s="36"/>
      <c r="ILJ12" s="37"/>
      <c r="ILK12" s="36"/>
      <c r="ILL12" s="37"/>
      <c r="ILM12" s="36"/>
      <c r="ILN12" s="37"/>
      <c r="ILO12" s="36"/>
      <c r="ILP12" s="37"/>
      <c r="ILQ12" s="36"/>
      <c r="ILR12" s="37"/>
      <c r="ILS12" s="36"/>
      <c r="ILT12" s="37"/>
      <c r="ILU12" s="36"/>
      <c r="ILV12" s="37"/>
      <c r="ILW12" s="36"/>
      <c r="ILX12" s="37"/>
      <c r="ILY12" s="36"/>
      <c r="ILZ12" s="37"/>
      <c r="IMA12" s="36"/>
      <c r="IMB12" s="36"/>
      <c r="IMC12" s="37"/>
      <c r="IMD12" s="37"/>
      <c r="IMF12" s="22"/>
      <c r="IMG12" s="35"/>
      <c r="IMH12" s="36"/>
      <c r="IMI12" s="37"/>
      <c r="IMJ12" s="36"/>
      <c r="IMK12" s="37"/>
      <c r="IML12" s="36"/>
      <c r="IMM12" s="37"/>
      <c r="IMN12" s="36"/>
      <c r="IMO12" s="37"/>
      <c r="IMP12" s="36"/>
      <c r="IMQ12" s="37"/>
      <c r="IMR12" s="36"/>
      <c r="IMS12" s="37"/>
      <c r="IMT12" s="36"/>
      <c r="IMU12" s="37"/>
      <c r="IMV12" s="36"/>
      <c r="IMW12" s="37"/>
      <c r="IMX12" s="36"/>
      <c r="IMY12" s="37"/>
      <c r="IMZ12" s="36"/>
      <c r="INA12" s="36"/>
      <c r="INB12" s="37"/>
      <c r="INC12" s="37"/>
      <c r="INE12" s="22"/>
      <c r="INF12" s="35"/>
      <c r="ING12" s="36"/>
      <c r="INH12" s="37"/>
      <c r="INI12" s="36"/>
      <c r="INJ12" s="37"/>
      <c r="INK12" s="36"/>
      <c r="INL12" s="37"/>
      <c r="INM12" s="36"/>
      <c r="INN12" s="37"/>
      <c r="INO12" s="36"/>
      <c r="INP12" s="37"/>
      <c r="INQ12" s="36"/>
      <c r="INR12" s="37"/>
      <c r="INS12" s="36"/>
      <c r="INT12" s="37"/>
      <c r="INU12" s="36"/>
      <c r="INV12" s="37"/>
      <c r="INW12" s="36"/>
      <c r="INX12" s="37"/>
      <c r="INY12" s="36"/>
      <c r="INZ12" s="36"/>
      <c r="IOA12" s="37"/>
      <c r="IOB12" s="37"/>
      <c r="IOD12" s="22"/>
      <c r="IOE12" s="35"/>
      <c r="IOF12" s="36"/>
      <c r="IOG12" s="37"/>
      <c r="IOH12" s="36"/>
      <c r="IOI12" s="37"/>
      <c r="IOJ12" s="36"/>
      <c r="IOK12" s="37"/>
      <c r="IOL12" s="36"/>
      <c r="IOM12" s="37"/>
      <c r="ION12" s="36"/>
      <c r="IOO12" s="37"/>
      <c r="IOP12" s="36"/>
      <c r="IOQ12" s="37"/>
      <c r="IOR12" s="36"/>
      <c r="IOS12" s="37"/>
      <c r="IOT12" s="36"/>
      <c r="IOU12" s="37"/>
      <c r="IOV12" s="36"/>
      <c r="IOW12" s="37"/>
      <c r="IOX12" s="36"/>
      <c r="IOY12" s="36"/>
      <c r="IOZ12" s="37"/>
      <c r="IPA12" s="37"/>
      <c r="IPC12" s="22"/>
      <c r="IPD12" s="35"/>
      <c r="IPE12" s="36"/>
      <c r="IPF12" s="37"/>
      <c r="IPG12" s="36"/>
      <c r="IPH12" s="37"/>
      <c r="IPI12" s="36"/>
      <c r="IPJ12" s="37"/>
      <c r="IPK12" s="36"/>
      <c r="IPL12" s="37"/>
      <c r="IPM12" s="36"/>
      <c r="IPN12" s="37"/>
      <c r="IPO12" s="36"/>
      <c r="IPP12" s="37"/>
      <c r="IPQ12" s="36"/>
      <c r="IPR12" s="37"/>
      <c r="IPS12" s="36"/>
      <c r="IPT12" s="37"/>
      <c r="IPU12" s="36"/>
      <c r="IPV12" s="37"/>
      <c r="IPW12" s="36"/>
      <c r="IPX12" s="36"/>
      <c r="IPY12" s="37"/>
      <c r="IPZ12" s="37"/>
      <c r="IQB12" s="22"/>
      <c r="IQC12" s="35"/>
      <c r="IQD12" s="36"/>
      <c r="IQE12" s="37"/>
      <c r="IQF12" s="36"/>
      <c r="IQG12" s="37"/>
      <c r="IQH12" s="36"/>
      <c r="IQI12" s="37"/>
      <c r="IQJ12" s="36"/>
      <c r="IQK12" s="37"/>
      <c r="IQL12" s="36"/>
      <c r="IQM12" s="37"/>
      <c r="IQN12" s="36"/>
      <c r="IQO12" s="37"/>
      <c r="IQP12" s="36"/>
      <c r="IQQ12" s="37"/>
      <c r="IQR12" s="36"/>
      <c r="IQS12" s="37"/>
      <c r="IQT12" s="36"/>
      <c r="IQU12" s="37"/>
      <c r="IQV12" s="36"/>
      <c r="IQW12" s="36"/>
      <c r="IQX12" s="37"/>
      <c r="IQY12" s="37"/>
      <c r="IRA12" s="22"/>
      <c r="IRB12" s="35"/>
      <c r="IRC12" s="36"/>
      <c r="IRD12" s="37"/>
      <c r="IRE12" s="36"/>
      <c r="IRF12" s="37"/>
      <c r="IRG12" s="36"/>
      <c r="IRH12" s="37"/>
      <c r="IRI12" s="36"/>
      <c r="IRJ12" s="37"/>
      <c r="IRK12" s="36"/>
      <c r="IRL12" s="37"/>
      <c r="IRM12" s="36"/>
      <c r="IRN12" s="37"/>
      <c r="IRO12" s="36"/>
      <c r="IRP12" s="37"/>
      <c r="IRQ12" s="36"/>
      <c r="IRR12" s="37"/>
      <c r="IRS12" s="36"/>
      <c r="IRT12" s="37"/>
      <c r="IRU12" s="36"/>
      <c r="IRV12" s="36"/>
      <c r="IRW12" s="37"/>
      <c r="IRX12" s="37"/>
      <c r="IRZ12" s="22"/>
      <c r="ISA12" s="35"/>
      <c r="ISB12" s="36"/>
      <c r="ISC12" s="37"/>
      <c r="ISD12" s="36"/>
      <c r="ISE12" s="37"/>
      <c r="ISF12" s="36"/>
      <c r="ISG12" s="37"/>
      <c r="ISH12" s="36"/>
      <c r="ISI12" s="37"/>
      <c r="ISJ12" s="36"/>
      <c r="ISK12" s="37"/>
      <c r="ISL12" s="36"/>
      <c r="ISM12" s="37"/>
      <c r="ISN12" s="36"/>
      <c r="ISO12" s="37"/>
      <c r="ISP12" s="36"/>
      <c r="ISQ12" s="37"/>
      <c r="ISR12" s="36"/>
      <c r="ISS12" s="37"/>
      <c r="IST12" s="36"/>
      <c r="ISU12" s="36"/>
      <c r="ISV12" s="37"/>
      <c r="ISW12" s="37"/>
      <c r="ISY12" s="22"/>
      <c r="ISZ12" s="35"/>
      <c r="ITA12" s="36"/>
      <c r="ITB12" s="37"/>
      <c r="ITC12" s="36"/>
      <c r="ITD12" s="37"/>
      <c r="ITE12" s="36"/>
      <c r="ITF12" s="37"/>
      <c r="ITG12" s="36"/>
      <c r="ITH12" s="37"/>
      <c r="ITI12" s="36"/>
      <c r="ITJ12" s="37"/>
      <c r="ITK12" s="36"/>
      <c r="ITL12" s="37"/>
      <c r="ITM12" s="36"/>
      <c r="ITN12" s="37"/>
      <c r="ITO12" s="36"/>
      <c r="ITP12" s="37"/>
      <c r="ITQ12" s="36"/>
      <c r="ITR12" s="37"/>
      <c r="ITS12" s="36"/>
      <c r="ITT12" s="36"/>
      <c r="ITU12" s="37"/>
      <c r="ITV12" s="37"/>
      <c r="ITX12" s="22"/>
      <c r="ITY12" s="35"/>
      <c r="ITZ12" s="36"/>
      <c r="IUA12" s="37"/>
      <c r="IUB12" s="36"/>
      <c r="IUC12" s="37"/>
      <c r="IUD12" s="36"/>
      <c r="IUE12" s="37"/>
      <c r="IUF12" s="36"/>
      <c r="IUG12" s="37"/>
      <c r="IUH12" s="36"/>
      <c r="IUI12" s="37"/>
      <c r="IUJ12" s="36"/>
      <c r="IUK12" s="37"/>
      <c r="IUL12" s="36"/>
      <c r="IUM12" s="37"/>
      <c r="IUN12" s="36"/>
      <c r="IUO12" s="37"/>
      <c r="IUP12" s="36"/>
      <c r="IUQ12" s="37"/>
      <c r="IUR12" s="36"/>
      <c r="IUS12" s="36"/>
      <c r="IUT12" s="37"/>
      <c r="IUU12" s="37"/>
      <c r="IUW12" s="22"/>
      <c r="IUX12" s="35"/>
      <c r="IUY12" s="36"/>
      <c r="IUZ12" s="37"/>
      <c r="IVA12" s="36"/>
      <c r="IVB12" s="37"/>
      <c r="IVC12" s="36"/>
      <c r="IVD12" s="37"/>
      <c r="IVE12" s="36"/>
      <c r="IVF12" s="37"/>
      <c r="IVG12" s="36"/>
      <c r="IVH12" s="37"/>
      <c r="IVI12" s="36"/>
      <c r="IVJ12" s="37"/>
      <c r="IVK12" s="36"/>
      <c r="IVL12" s="37"/>
      <c r="IVM12" s="36"/>
      <c r="IVN12" s="37"/>
      <c r="IVO12" s="36"/>
      <c r="IVP12" s="37"/>
      <c r="IVQ12" s="36"/>
      <c r="IVR12" s="36"/>
      <c r="IVS12" s="37"/>
      <c r="IVT12" s="37"/>
      <c r="IVV12" s="22"/>
      <c r="IVW12" s="35"/>
      <c r="IVX12" s="36"/>
      <c r="IVY12" s="37"/>
      <c r="IVZ12" s="36"/>
      <c r="IWA12" s="37"/>
      <c r="IWB12" s="36"/>
      <c r="IWC12" s="37"/>
      <c r="IWD12" s="36"/>
      <c r="IWE12" s="37"/>
      <c r="IWF12" s="36"/>
      <c r="IWG12" s="37"/>
      <c r="IWH12" s="36"/>
      <c r="IWI12" s="37"/>
      <c r="IWJ12" s="36"/>
      <c r="IWK12" s="37"/>
      <c r="IWL12" s="36"/>
      <c r="IWM12" s="37"/>
      <c r="IWN12" s="36"/>
      <c r="IWO12" s="37"/>
      <c r="IWP12" s="36"/>
      <c r="IWQ12" s="36"/>
      <c r="IWR12" s="37"/>
      <c r="IWS12" s="37"/>
      <c r="IWU12" s="22"/>
      <c r="IWV12" s="35"/>
      <c r="IWW12" s="36"/>
      <c r="IWX12" s="37"/>
      <c r="IWY12" s="36"/>
      <c r="IWZ12" s="37"/>
      <c r="IXA12" s="36"/>
      <c r="IXB12" s="37"/>
      <c r="IXC12" s="36"/>
      <c r="IXD12" s="37"/>
      <c r="IXE12" s="36"/>
      <c r="IXF12" s="37"/>
      <c r="IXG12" s="36"/>
      <c r="IXH12" s="37"/>
      <c r="IXI12" s="36"/>
      <c r="IXJ12" s="37"/>
      <c r="IXK12" s="36"/>
      <c r="IXL12" s="37"/>
      <c r="IXM12" s="36"/>
      <c r="IXN12" s="37"/>
      <c r="IXO12" s="36"/>
      <c r="IXP12" s="36"/>
      <c r="IXQ12" s="37"/>
      <c r="IXR12" s="37"/>
      <c r="IXT12" s="22"/>
      <c r="IXU12" s="35"/>
      <c r="IXV12" s="36"/>
      <c r="IXW12" s="37"/>
      <c r="IXX12" s="36"/>
      <c r="IXY12" s="37"/>
      <c r="IXZ12" s="36"/>
      <c r="IYA12" s="37"/>
      <c r="IYB12" s="36"/>
      <c r="IYC12" s="37"/>
      <c r="IYD12" s="36"/>
      <c r="IYE12" s="37"/>
      <c r="IYF12" s="36"/>
      <c r="IYG12" s="37"/>
      <c r="IYH12" s="36"/>
      <c r="IYI12" s="37"/>
      <c r="IYJ12" s="36"/>
      <c r="IYK12" s="37"/>
      <c r="IYL12" s="36"/>
      <c r="IYM12" s="37"/>
      <c r="IYN12" s="36"/>
      <c r="IYO12" s="36"/>
      <c r="IYP12" s="37"/>
      <c r="IYQ12" s="37"/>
      <c r="IYS12" s="22"/>
      <c r="IYT12" s="35"/>
      <c r="IYU12" s="36"/>
      <c r="IYV12" s="37"/>
      <c r="IYW12" s="36"/>
      <c r="IYX12" s="37"/>
      <c r="IYY12" s="36"/>
      <c r="IYZ12" s="37"/>
      <c r="IZA12" s="36"/>
      <c r="IZB12" s="37"/>
      <c r="IZC12" s="36"/>
      <c r="IZD12" s="37"/>
      <c r="IZE12" s="36"/>
      <c r="IZF12" s="37"/>
      <c r="IZG12" s="36"/>
      <c r="IZH12" s="37"/>
      <c r="IZI12" s="36"/>
      <c r="IZJ12" s="37"/>
      <c r="IZK12" s="36"/>
      <c r="IZL12" s="37"/>
      <c r="IZM12" s="36"/>
      <c r="IZN12" s="36"/>
      <c r="IZO12" s="37"/>
      <c r="IZP12" s="37"/>
      <c r="IZR12" s="22"/>
      <c r="IZS12" s="35"/>
      <c r="IZT12" s="36"/>
      <c r="IZU12" s="37"/>
      <c r="IZV12" s="36"/>
      <c r="IZW12" s="37"/>
      <c r="IZX12" s="36"/>
      <c r="IZY12" s="37"/>
      <c r="IZZ12" s="36"/>
      <c r="JAA12" s="37"/>
      <c r="JAB12" s="36"/>
      <c r="JAC12" s="37"/>
      <c r="JAD12" s="36"/>
      <c r="JAE12" s="37"/>
      <c r="JAF12" s="36"/>
      <c r="JAG12" s="37"/>
      <c r="JAH12" s="36"/>
      <c r="JAI12" s="37"/>
      <c r="JAJ12" s="36"/>
      <c r="JAK12" s="37"/>
      <c r="JAL12" s="36"/>
      <c r="JAM12" s="36"/>
      <c r="JAN12" s="37"/>
      <c r="JAO12" s="37"/>
      <c r="JAQ12" s="22"/>
      <c r="JAR12" s="35"/>
      <c r="JAS12" s="36"/>
      <c r="JAT12" s="37"/>
      <c r="JAU12" s="36"/>
      <c r="JAV12" s="37"/>
      <c r="JAW12" s="36"/>
      <c r="JAX12" s="37"/>
      <c r="JAY12" s="36"/>
      <c r="JAZ12" s="37"/>
      <c r="JBA12" s="36"/>
      <c r="JBB12" s="37"/>
      <c r="JBC12" s="36"/>
      <c r="JBD12" s="37"/>
      <c r="JBE12" s="36"/>
      <c r="JBF12" s="37"/>
      <c r="JBG12" s="36"/>
      <c r="JBH12" s="37"/>
      <c r="JBI12" s="36"/>
      <c r="JBJ12" s="37"/>
      <c r="JBK12" s="36"/>
      <c r="JBL12" s="36"/>
      <c r="JBM12" s="37"/>
      <c r="JBN12" s="37"/>
      <c r="JBP12" s="22"/>
      <c r="JBQ12" s="35"/>
      <c r="JBR12" s="36"/>
      <c r="JBS12" s="37"/>
      <c r="JBT12" s="36"/>
      <c r="JBU12" s="37"/>
      <c r="JBV12" s="36"/>
      <c r="JBW12" s="37"/>
      <c r="JBX12" s="36"/>
      <c r="JBY12" s="37"/>
      <c r="JBZ12" s="36"/>
      <c r="JCA12" s="37"/>
      <c r="JCB12" s="36"/>
      <c r="JCC12" s="37"/>
      <c r="JCD12" s="36"/>
      <c r="JCE12" s="37"/>
      <c r="JCF12" s="36"/>
      <c r="JCG12" s="37"/>
      <c r="JCH12" s="36"/>
      <c r="JCI12" s="37"/>
      <c r="JCJ12" s="36"/>
      <c r="JCK12" s="36"/>
      <c r="JCL12" s="37"/>
      <c r="JCM12" s="37"/>
      <c r="JCO12" s="22"/>
      <c r="JCP12" s="35"/>
      <c r="JCQ12" s="36"/>
      <c r="JCR12" s="37"/>
      <c r="JCS12" s="36"/>
      <c r="JCT12" s="37"/>
      <c r="JCU12" s="36"/>
      <c r="JCV12" s="37"/>
      <c r="JCW12" s="36"/>
      <c r="JCX12" s="37"/>
      <c r="JCY12" s="36"/>
      <c r="JCZ12" s="37"/>
      <c r="JDA12" s="36"/>
      <c r="JDB12" s="37"/>
      <c r="JDC12" s="36"/>
      <c r="JDD12" s="37"/>
      <c r="JDE12" s="36"/>
      <c r="JDF12" s="37"/>
      <c r="JDG12" s="36"/>
      <c r="JDH12" s="37"/>
      <c r="JDI12" s="36"/>
      <c r="JDJ12" s="36"/>
      <c r="JDK12" s="37"/>
      <c r="JDL12" s="37"/>
      <c r="JDN12" s="22"/>
      <c r="JDO12" s="35"/>
      <c r="JDP12" s="36"/>
      <c r="JDQ12" s="37"/>
      <c r="JDR12" s="36"/>
      <c r="JDS12" s="37"/>
      <c r="JDT12" s="36"/>
      <c r="JDU12" s="37"/>
      <c r="JDV12" s="36"/>
      <c r="JDW12" s="37"/>
      <c r="JDX12" s="36"/>
      <c r="JDY12" s="37"/>
      <c r="JDZ12" s="36"/>
      <c r="JEA12" s="37"/>
      <c r="JEB12" s="36"/>
      <c r="JEC12" s="37"/>
      <c r="JED12" s="36"/>
      <c r="JEE12" s="37"/>
      <c r="JEF12" s="36"/>
      <c r="JEG12" s="37"/>
      <c r="JEH12" s="36"/>
      <c r="JEI12" s="36"/>
      <c r="JEJ12" s="37"/>
      <c r="JEK12" s="37"/>
      <c r="JEM12" s="22"/>
      <c r="JEN12" s="35"/>
      <c r="JEO12" s="36"/>
      <c r="JEP12" s="37"/>
      <c r="JEQ12" s="36"/>
      <c r="JER12" s="37"/>
      <c r="JES12" s="36"/>
      <c r="JET12" s="37"/>
      <c r="JEU12" s="36"/>
      <c r="JEV12" s="37"/>
      <c r="JEW12" s="36"/>
      <c r="JEX12" s="37"/>
      <c r="JEY12" s="36"/>
      <c r="JEZ12" s="37"/>
      <c r="JFA12" s="36"/>
      <c r="JFB12" s="37"/>
      <c r="JFC12" s="36"/>
      <c r="JFD12" s="37"/>
      <c r="JFE12" s="36"/>
      <c r="JFF12" s="37"/>
      <c r="JFG12" s="36"/>
      <c r="JFH12" s="36"/>
      <c r="JFI12" s="37"/>
      <c r="JFJ12" s="37"/>
      <c r="JFL12" s="22"/>
      <c r="JFM12" s="35"/>
      <c r="JFN12" s="36"/>
      <c r="JFO12" s="37"/>
      <c r="JFP12" s="36"/>
      <c r="JFQ12" s="37"/>
      <c r="JFR12" s="36"/>
      <c r="JFS12" s="37"/>
      <c r="JFT12" s="36"/>
      <c r="JFU12" s="37"/>
      <c r="JFV12" s="36"/>
      <c r="JFW12" s="37"/>
      <c r="JFX12" s="36"/>
      <c r="JFY12" s="37"/>
      <c r="JFZ12" s="36"/>
      <c r="JGA12" s="37"/>
      <c r="JGB12" s="36"/>
      <c r="JGC12" s="37"/>
      <c r="JGD12" s="36"/>
      <c r="JGE12" s="37"/>
      <c r="JGF12" s="36"/>
      <c r="JGG12" s="36"/>
      <c r="JGH12" s="37"/>
      <c r="JGI12" s="37"/>
      <c r="JGK12" s="22"/>
      <c r="JGL12" s="35"/>
      <c r="JGM12" s="36"/>
      <c r="JGN12" s="37"/>
      <c r="JGO12" s="36"/>
      <c r="JGP12" s="37"/>
      <c r="JGQ12" s="36"/>
      <c r="JGR12" s="37"/>
      <c r="JGS12" s="36"/>
      <c r="JGT12" s="37"/>
      <c r="JGU12" s="36"/>
      <c r="JGV12" s="37"/>
      <c r="JGW12" s="36"/>
      <c r="JGX12" s="37"/>
      <c r="JGY12" s="36"/>
      <c r="JGZ12" s="37"/>
      <c r="JHA12" s="36"/>
      <c r="JHB12" s="37"/>
      <c r="JHC12" s="36"/>
      <c r="JHD12" s="37"/>
      <c r="JHE12" s="36"/>
      <c r="JHF12" s="36"/>
      <c r="JHG12" s="37"/>
      <c r="JHH12" s="37"/>
      <c r="JHJ12" s="22"/>
      <c r="JHK12" s="35"/>
      <c r="JHL12" s="36"/>
      <c r="JHM12" s="37"/>
      <c r="JHN12" s="36"/>
      <c r="JHO12" s="37"/>
      <c r="JHP12" s="36"/>
      <c r="JHQ12" s="37"/>
      <c r="JHR12" s="36"/>
      <c r="JHS12" s="37"/>
      <c r="JHT12" s="36"/>
      <c r="JHU12" s="37"/>
      <c r="JHV12" s="36"/>
      <c r="JHW12" s="37"/>
      <c r="JHX12" s="36"/>
      <c r="JHY12" s="37"/>
      <c r="JHZ12" s="36"/>
      <c r="JIA12" s="37"/>
      <c r="JIB12" s="36"/>
      <c r="JIC12" s="37"/>
      <c r="JID12" s="36"/>
      <c r="JIE12" s="36"/>
      <c r="JIF12" s="37"/>
      <c r="JIG12" s="37"/>
      <c r="JII12" s="22"/>
      <c r="JIJ12" s="35"/>
      <c r="JIK12" s="36"/>
      <c r="JIL12" s="37"/>
      <c r="JIM12" s="36"/>
      <c r="JIN12" s="37"/>
      <c r="JIO12" s="36"/>
      <c r="JIP12" s="37"/>
      <c r="JIQ12" s="36"/>
      <c r="JIR12" s="37"/>
      <c r="JIS12" s="36"/>
      <c r="JIT12" s="37"/>
      <c r="JIU12" s="36"/>
      <c r="JIV12" s="37"/>
      <c r="JIW12" s="36"/>
      <c r="JIX12" s="37"/>
      <c r="JIY12" s="36"/>
      <c r="JIZ12" s="37"/>
      <c r="JJA12" s="36"/>
      <c r="JJB12" s="37"/>
      <c r="JJC12" s="36"/>
      <c r="JJD12" s="36"/>
      <c r="JJE12" s="37"/>
      <c r="JJF12" s="37"/>
      <c r="JJH12" s="22"/>
      <c r="JJI12" s="35"/>
      <c r="JJJ12" s="36"/>
      <c r="JJK12" s="37"/>
      <c r="JJL12" s="36"/>
      <c r="JJM12" s="37"/>
      <c r="JJN12" s="36"/>
      <c r="JJO12" s="37"/>
      <c r="JJP12" s="36"/>
      <c r="JJQ12" s="37"/>
      <c r="JJR12" s="36"/>
      <c r="JJS12" s="37"/>
      <c r="JJT12" s="36"/>
      <c r="JJU12" s="37"/>
      <c r="JJV12" s="36"/>
      <c r="JJW12" s="37"/>
      <c r="JJX12" s="36"/>
      <c r="JJY12" s="37"/>
      <c r="JJZ12" s="36"/>
      <c r="JKA12" s="37"/>
      <c r="JKB12" s="36"/>
      <c r="JKC12" s="36"/>
      <c r="JKD12" s="37"/>
      <c r="JKE12" s="37"/>
      <c r="JKG12" s="22"/>
      <c r="JKH12" s="35"/>
      <c r="JKI12" s="36"/>
      <c r="JKJ12" s="37"/>
      <c r="JKK12" s="36"/>
      <c r="JKL12" s="37"/>
      <c r="JKM12" s="36"/>
      <c r="JKN12" s="37"/>
      <c r="JKO12" s="36"/>
      <c r="JKP12" s="37"/>
      <c r="JKQ12" s="36"/>
      <c r="JKR12" s="37"/>
      <c r="JKS12" s="36"/>
      <c r="JKT12" s="37"/>
      <c r="JKU12" s="36"/>
      <c r="JKV12" s="37"/>
      <c r="JKW12" s="36"/>
      <c r="JKX12" s="37"/>
      <c r="JKY12" s="36"/>
      <c r="JKZ12" s="37"/>
      <c r="JLA12" s="36"/>
      <c r="JLB12" s="36"/>
      <c r="JLC12" s="37"/>
      <c r="JLD12" s="37"/>
      <c r="JLF12" s="22"/>
      <c r="JLG12" s="35"/>
      <c r="JLH12" s="36"/>
      <c r="JLI12" s="37"/>
      <c r="JLJ12" s="36"/>
      <c r="JLK12" s="37"/>
      <c r="JLL12" s="36"/>
      <c r="JLM12" s="37"/>
      <c r="JLN12" s="36"/>
      <c r="JLO12" s="37"/>
      <c r="JLP12" s="36"/>
      <c r="JLQ12" s="37"/>
      <c r="JLR12" s="36"/>
      <c r="JLS12" s="37"/>
      <c r="JLT12" s="36"/>
      <c r="JLU12" s="37"/>
      <c r="JLV12" s="36"/>
      <c r="JLW12" s="37"/>
      <c r="JLX12" s="36"/>
      <c r="JLY12" s="37"/>
      <c r="JLZ12" s="36"/>
      <c r="JMA12" s="36"/>
      <c r="JMB12" s="37"/>
      <c r="JMC12" s="37"/>
      <c r="JME12" s="22"/>
      <c r="JMF12" s="35"/>
      <c r="JMG12" s="36"/>
      <c r="JMH12" s="37"/>
      <c r="JMI12" s="36"/>
      <c r="JMJ12" s="37"/>
      <c r="JMK12" s="36"/>
      <c r="JML12" s="37"/>
      <c r="JMM12" s="36"/>
      <c r="JMN12" s="37"/>
      <c r="JMO12" s="36"/>
      <c r="JMP12" s="37"/>
      <c r="JMQ12" s="36"/>
      <c r="JMR12" s="37"/>
      <c r="JMS12" s="36"/>
      <c r="JMT12" s="37"/>
      <c r="JMU12" s="36"/>
      <c r="JMV12" s="37"/>
      <c r="JMW12" s="36"/>
      <c r="JMX12" s="37"/>
      <c r="JMY12" s="36"/>
      <c r="JMZ12" s="36"/>
      <c r="JNA12" s="37"/>
      <c r="JNB12" s="37"/>
      <c r="JND12" s="22"/>
      <c r="JNE12" s="35"/>
      <c r="JNF12" s="36"/>
      <c r="JNG12" s="37"/>
      <c r="JNH12" s="36"/>
      <c r="JNI12" s="37"/>
      <c r="JNJ12" s="36"/>
      <c r="JNK12" s="37"/>
      <c r="JNL12" s="36"/>
      <c r="JNM12" s="37"/>
      <c r="JNN12" s="36"/>
      <c r="JNO12" s="37"/>
      <c r="JNP12" s="36"/>
      <c r="JNQ12" s="37"/>
      <c r="JNR12" s="36"/>
      <c r="JNS12" s="37"/>
      <c r="JNT12" s="36"/>
      <c r="JNU12" s="37"/>
      <c r="JNV12" s="36"/>
      <c r="JNW12" s="37"/>
      <c r="JNX12" s="36"/>
      <c r="JNY12" s="36"/>
      <c r="JNZ12" s="37"/>
      <c r="JOA12" s="37"/>
      <c r="JOC12" s="22"/>
      <c r="JOD12" s="35"/>
      <c r="JOE12" s="36"/>
      <c r="JOF12" s="37"/>
      <c r="JOG12" s="36"/>
      <c r="JOH12" s="37"/>
      <c r="JOI12" s="36"/>
      <c r="JOJ12" s="37"/>
      <c r="JOK12" s="36"/>
      <c r="JOL12" s="37"/>
      <c r="JOM12" s="36"/>
      <c r="JON12" s="37"/>
      <c r="JOO12" s="36"/>
      <c r="JOP12" s="37"/>
      <c r="JOQ12" s="36"/>
      <c r="JOR12" s="37"/>
      <c r="JOS12" s="36"/>
      <c r="JOT12" s="37"/>
      <c r="JOU12" s="36"/>
      <c r="JOV12" s="37"/>
      <c r="JOW12" s="36"/>
      <c r="JOX12" s="36"/>
      <c r="JOY12" s="37"/>
      <c r="JOZ12" s="37"/>
      <c r="JPB12" s="22"/>
      <c r="JPC12" s="35"/>
      <c r="JPD12" s="36"/>
      <c r="JPE12" s="37"/>
      <c r="JPF12" s="36"/>
      <c r="JPG12" s="37"/>
      <c r="JPH12" s="36"/>
      <c r="JPI12" s="37"/>
      <c r="JPJ12" s="36"/>
      <c r="JPK12" s="37"/>
      <c r="JPL12" s="36"/>
      <c r="JPM12" s="37"/>
      <c r="JPN12" s="36"/>
      <c r="JPO12" s="37"/>
      <c r="JPP12" s="36"/>
      <c r="JPQ12" s="37"/>
      <c r="JPR12" s="36"/>
      <c r="JPS12" s="37"/>
      <c r="JPT12" s="36"/>
      <c r="JPU12" s="37"/>
      <c r="JPV12" s="36"/>
      <c r="JPW12" s="36"/>
      <c r="JPX12" s="37"/>
      <c r="JPY12" s="37"/>
      <c r="JQA12" s="22"/>
      <c r="JQB12" s="35"/>
      <c r="JQC12" s="36"/>
      <c r="JQD12" s="37"/>
      <c r="JQE12" s="36"/>
      <c r="JQF12" s="37"/>
      <c r="JQG12" s="36"/>
      <c r="JQH12" s="37"/>
      <c r="JQI12" s="36"/>
      <c r="JQJ12" s="37"/>
      <c r="JQK12" s="36"/>
      <c r="JQL12" s="37"/>
      <c r="JQM12" s="36"/>
      <c r="JQN12" s="37"/>
      <c r="JQO12" s="36"/>
      <c r="JQP12" s="37"/>
      <c r="JQQ12" s="36"/>
      <c r="JQR12" s="37"/>
      <c r="JQS12" s="36"/>
      <c r="JQT12" s="37"/>
      <c r="JQU12" s="36"/>
      <c r="JQV12" s="36"/>
      <c r="JQW12" s="37"/>
      <c r="JQX12" s="37"/>
      <c r="JQZ12" s="22"/>
      <c r="JRA12" s="35"/>
      <c r="JRB12" s="36"/>
      <c r="JRC12" s="37"/>
      <c r="JRD12" s="36"/>
      <c r="JRE12" s="37"/>
      <c r="JRF12" s="36"/>
      <c r="JRG12" s="37"/>
      <c r="JRH12" s="36"/>
      <c r="JRI12" s="37"/>
      <c r="JRJ12" s="36"/>
      <c r="JRK12" s="37"/>
      <c r="JRL12" s="36"/>
      <c r="JRM12" s="37"/>
      <c r="JRN12" s="36"/>
      <c r="JRO12" s="37"/>
      <c r="JRP12" s="36"/>
      <c r="JRQ12" s="37"/>
      <c r="JRR12" s="36"/>
      <c r="JRS12" s="37"/>
      <c r="JRT12" s="36"/>
      <c r="JRU12" s="36"/>
      <c r="JRV12" s="37"/>
      <c r="JRW12" s="37"/>
      <c r="JRY12" s="22"/>
      <c r="JRZ12" s="35"/>
      <c r="JSA12" s="36"/>
      <c r="JSB12" s="37"/>
      <c r="JSC12" s="36"/>
      <c r="JSD12" s="37"/>
      <c r="JSE12" s="36"/>
      <c r="JSF12" s="37"/>
      <c r="JSG12" s="36"/>
      <c r="JSH12" s="37"/>
      <c r="JSI12" s="36"/>
      <c r="JSJ12" s="37"/>
      <c r="JSK12" s="36"/>
      <c r="JSL12" s="37"/>
      <c r="JSM12" s="36"/>
      <c r="JSN12" s="37"/>
      <c r="JSO12" s="36"/>
      <c r="JSP12" s="37"/>
      <c r="JSQ12" s="36"/>
      <c r="JSR12" s="37"/>
      <c r="JSS12" s="36"/>
      <c r="JST12" s="36"/>
      <c r="JSU12" s="37"/>
      <c r="JSV12" s="37"/>
      <c r="JSX12" s="22"/>
      <c r="JSY12" s="35"/>
      <c r="JSZ12" s="36"/>
      <c r="JTA12" s="37"/>
      <c r="JTB12" s="36"/>
      <c r="JTC12" s="37"/>
      <c r="JTD12" s="36"/>
      <c r="JTE12" s="37"/>
      <c r="JTF12" s="36"/>
      <c r="JTG12" s="37"/>
      <c r="JTH12" s="36"/>
      <c r="JTI12" s="37"/>
      <c r="JTJ12" s="36"/>
      <c r="JTK12" s="37"/>
      <c r="JTL12" s="36"/>
      <c r="JTM12" s="37"/>
      <c r="JTN12" s="36"/>
      <c r="JTO12" s="37"/>
      <c r="JTP12" s="36"/>
      <c r="JTQ12" s="37"/>
      <c r="JTR12" s="36"/>
      <c r="JTS12" s="36"/>
      <c r="JTT12" s="37"/>
      <c r="JTU12" s="37"/>
      <c r="JTW12" s="22"/>
      <c r="JTX12" s="35"/>
      <c r="JTY12" s="36"/>
      <c r="JTZ12" s="37"/>
      <c r="JUA12" s="36"/>
      <c r="JUB12" s="37"/>
      <c r="JUC12" s="36"/>
      <c r="JUD12" s="37"/>
      <c r="JUE12" s="36"/>
      <c r="JUF12" s="37"/>
      <c r="JUG12" s="36"/>
      <c r="JUH12" s="37"/>
      <c r="JUI12" s="36"/>
      <c r="JUJ12" s="37"/>
      <c r="JUK12" s="36"/>
      <c r="JUL12" s="37"/>
      <c r="JUM12" s="36"/>
      <c r="JUN12" s="37"/>
      <c r="JUO12" s="36"/>
      <c r="JUP12" s="37"/>
      <c r="JUQ12" s="36"/>
      <c r="JUR12" s="36"/>
      <c r="JUS12" s="37"/>
      <c r="JUT12" s="37"/>
      <c r="JUV12" s="22"/>
      <c r="JUW12" s="35"/>
      <c r="JUX12" s="36"/>
      <c r="JUY12" s="37"/>
      <c r="JUZ12" s="36"/>
      <c r="JVA12" s="37"/>
      <c r="JVB12" s="36"/>
      <c r="JVC12" s="37"/>
      <c r="JVD12" s="36"/>
      <c r="JVE12" s="37"/>
      <c r="JVF12" s="36"/>
      <c r="JVG12" s="37"/>
      <c r="JVH12" s="36"/>
      <c r="JVI12" s="37"/>
      <c r="JVJ12" s="36"/>
      <c r="JVK12" s="37"/>
      <c r="JVL12" s="36"/>
      <c r="JVM12" s="37"/>
      <c r="JVN12" s="36"/>
      <c r="JVO12" s="37"/>
      <c r="JVP12" s="36"/>
      <c r="JVQ12" s="36"/>
      <c r="JVR12" s="37"/>
      <c r="JVS12" s="37"/>
      <c r="JVU12" s="22"/>
      <c r="JVV12" s="35"/>
      <c r="JVW12" s="36"/>
      <c r="JVX12" s="37"/>
      <c r="JVY12" s="36"/>
      <c r="JVZ12" s="37"/>
      <c r="JWA12" s="36"/>
      <c r="JWB12" s="37"/>
      <c r="JWC12" s="36"/>
      <c r="JWD12" s="37"/>
      <c r="JWE12" s="36"/>
      <c r="JWF12" s="37"/>
      <c r="JWG12" s="36"/>
      <c r="JWH12" s="37"/>
      <c r="JWI12" s="36"/>
      <c r="JWJ12" s="37"/>
      <c r="JWK12" s="36"/>
      <c r="JWL12" s="37"/>
      <c r="JWM12" s="36"/>
      <c r="JWN12" s="37"/>
      <c r="JWO12" s="36"/>
      <c r="JWP12" s="36"/>
      <c r="JWQ12" s="37"/>
      <c r="JWR12" s="37"/>
      <c r="JWT12" s="22"/>
      <c r="JWU12" s="35"/>
      <c r="JWV12" s="36"/>
      <c r="JWW12" s="37"/>
      <c r="JWX12" s="36"/>
      <c r="JWY12" s="37"/>
      <c r="JWZ12" s="36"/>
      <c r="JXA12" s="37"/>
      <c r="JXB12" s="36"/>
      <c r="JXC12" s="37"/>
      <c r="JXD12" s="36"/>
      <c r="JXE12" s="37"/>
      <c r="JXF12" s="36"/>
      <c r="JXG12" s="37"/>
      <c r="JXH12" s="36"/>
      <c r="JXI12" s="37"/>
      <c r="JXJ12" s="36"/>
      <c r="JXK12" s="37"/>
      <c r="JXL12" s="36"/>
      <c r="JXM12" s="37"/>
      <c r="JXN12" s="36"/>
      <c r="JXO12" s="36"/>
      <c r="JXP12" s="37"/>
      <c r="JXQ12" s="37"/>
      <c r="JXS12" s="22"/>
      <c r="JXT12" s="35"/>
      <c r="JXU12" s="36"/>
      <c r="JXV12" s="37"/>
      <c r="JXW12" s="36"/>
      <c r="JXX12" s="37"/>
      <c r="JXY12" s="36"/>
      <c r="JXZ12" s="37"/>
      <c r="JYA12" s="36"/>
      <c r="JYB12" s="37"/>
      <c r="JYC12" s="36"/>
      <c r="JYD12" s="37"/>
      <c r="JYE12" s="36"/>
      <c r="JYF12" s="37"/>
      <c r="JYG12" s="36"/>
      <c r="JYH12" s="37"/>
      <c r="JYI12" s="36"/>
      <c r="JYJ12" s="37"/>
      <c r="JYK12" s="36"/>
      <c r="JYL12" s="37"/>
      <c r="JYM12" s="36"/>
      <c r="JYN12" s="36"/>
      <c r="JYO12" s="37"/>
      <c r="JYP12" s="37"/>
      <c r="JYR12" s="22"/>
      <c r="JYS12" s="35"/>
      <c r="JYT12" s="36"/>
      <c r="JYU12" s="37"/>
      <c r="JYV12" s="36"/>
      <c r="JYW12" s="37"/>
      <c r="JYX12" s="36"/>
      <c r="JYY12" s="37"/>
      <c r="JYZ12" s="36"/>
      <c r="JZA12" s="37"/>
      <c r="JZB12" s="36"/>
      <c r="JZC12" s="37"/>
      <c r="JZD12" s="36"/>
      <c r="JZE12" s="37"/>
      <c r="JZF12" s="36"/>
      <c r="JZG12" s="37"/>
      <c r="JZH12" s="36"/>
      <c r="JZI12" s="37"/>
      <c r="JZJ12" s="36"/>
      <c r="JZK12" s="37"/>
      <c r="JZL12" s="36"/>
      <c r="JZM12" s="36"/>
      <c r="JZN12" s="37"/>
      <c r="JZO12" s="37"/>
      <c r="JZQ12" s="22"/>
      <c r="JZR12" s="35"/>
      <c r="JZS12" s="36"/>
      <c r="JZT12" s="37"/>
      <c r="JZU12" s="36"/>
      <c r="JZV12" s="37"/>
      <c r="JZW12" s="36"/>
      <c r="JZX12" s="37"/>
      <c r="JZY12" s="36"/>
      <c r="JZZ12" s="37"/>
      <c r="KAA12" s="36"/>
      <c r="KAB12" s="37"/>
      <c r="KAC12" s="36"/>
      <c r="KAD12" s="37"/>
      <c r="KAE12" s="36"/>
      <c r="KAF12" s="37"/>
      <c r="KAG12" s="36"/>
      <c r="KAH12" s="37"/>
      <c r="KAI12" s="36"/>
      <c r="KAJ12" s="37"/>
      <c r="KAK12" s="36"/>
      <c r="KAL12" s="36"/>
      <c r="KAM12" s="37"/>
      <c r="KAN12" s="37"/>
      <c r="KAP12" s="22"/>
      <c r="KAQ12" s="35"/>
      <c r="KAR12" s="36"/>
      <c r="KAS12" s="37"/>
      <c r="KAT12" s="36"/>
      <c r="KAU12" s="37"/>
      <c r="KAV12" s="36"/>
      <c r="KAW12" s="37"/>
      <c r="KAX12" s="36"/>
      <c r="KAY12" s="37"/>
      <c r="KAZ12" s="36"/>
      <c r="KBA12" s="37"/>
      <c r="KBB12" s="36"/>
      <c r="KBC12" s="37"/>
      <c r="KBD12" s="36"/>
      <c r="KBE12" s="37"/>
      <c r="KBF12" s="36"/>
      <c r="KBG12" s="37"/>
      <c r="KBH12" s="36"/>
      <c r="KBI12" s="37"/>
      <c r="KBJ12" s="36"/>
      <c r="KBK12" s="36"/>
      <c r="KBL12" s="37"/>
      <c r="KBM12" s="37"/>
      <c r="KBO12" s="22"/>
      <c r="KBP12" s="35"/>
      <c r="KBQ12" s="36"/>
      <c r="KBR12" s="37"/>
      <c r="KBS12" s="36"/>
      <c r="KBT12" s="37"/>
      <c r="KBU12" s="36"/>
      <c r="KBV12" s="37"/>
      <c r="KBW12" s="36"/>
      <c r="KBX12" s="37"/>
      <c r="KBY12" s="36"/>
      <c r="KBZ12" s="37"/>
      <c r="KCA12" s="36"/>
      <c r="KCB12" s="37"/>
      <c r="KCC12" s="36"/>
      <c r="KCD12" s="37"/>
      <c r="KCE12" s="36"/>
      <c r="KCF12" s="37"/>
      <c r="KCG12" s="36"/>
      <c r="KCH12" s="37"/>
      <c r="KCI12" s="36"/>
      <c r="KCJ12" s="36"/>
      <c r="KCK12" s="37"/>
      <c r="KCL12" s="37"/>
      <c r="KCN12" s="22"/>
      <c r="KCO12" s="35"/>
      <c r="KCP12" s="36"/>
      <c r="KCQ12" s="37"/>
      <c r="KCR12" s="36"/>
      <c r="KCS12" s="37"/>
      <c r="KCT12" s="36"/>
      <c r="KCU12" s="37"/>
      <c r="KCV12" s="36"/>
      <c r="KCW12" s="37"/>
      <c r="KCX12" s="36"/>
      <c r="KCY12" s="37"/>
      <c r="KCZ12" s="36"/>
      <c r="KDA12" s="37"/>
      <c r="KDB12" s="36"/>
      <c r="KDC12" s="37"/>
      <c r="KDD12" s="36"/>
      <c r="KDE12" s="37"/>
      <c r="KDF12" s="36"/>
      <c r="KDG12" s="37"/>
      <c r="KDH12" s="36"/>
      <c r="KDI12" s="36"/>
      <c r="KDJ12" s="37"/>
      <c r="KDK12" s="37"/>
      <c r="KDM12" s="22"/>
      <c r="KDN12" s="35"/>
      <c r="KDO12" s="36"/>
      <c r="KDP12" s="37"/>
      <c r="KDQ12" s="36"/>
      <c r="KDR12" s="37"/>
      <c r="KDS12" s="36"/>
      <c r="KDT12" s="37"/>
      <c r="KDU12" s="36"/>
      <c r="KDV12" s="37"/>
      <c r="KDW12" s="36"/>
      <c r="KDX12" s="37"/>
      <c r="KDY12" s="36"/>
      <c r="KDZ12" s="37"/>
      <c r="KEA12" s="36"/>
      <c r="KEB12" s="37"/>
      <c r="KEC12" s="36"/>
      <c r="KED12" s="37"/>
      <c r="KEE12" s="36"/>
      <c r="KEF12" s="37"/>
      <c r="KEG12" s="36"/>
      <c r="KEH12" s="36"/>
      <c r="KEI12" s="37"/>
      <c r="KEJ12" s="37"/>
      <c r="KEL12" s="22"/>
      <c r="KEM12" s="35"/>
      <c r="KEN12" s="36"/>
      <c r="KEO12" s="37"/>
      <c r="KEP12" s="36"/>
      <c r="KEQ12" s="37"/>
      <c r="KER12" s="36"/>
      <c r="KES12" s="37"/>
      <c r="KET12" s="36"/>
      <c r="KEU12" s="37"/>
      <c r="KEV12" s="36"/>
      <c r="KEW12" s="37"/>
      <c r="KEX12" s="36"/>
      <c r="KEY12" s="37"/>
      <c r="KEZ12" s="36"/>
      <c r="KFA12" s="37"/>
      <c r="KFB12" s="36"/>
      <c r="KFC12" s="37"/>
      <c r="KFD12" s="36"/>
      <c r="KFE12" s="37"/>
      <c r="KFF12" s="36"/>
      <c r="KFG12" s="36"/>
      <c r="KFH12" s="37"/>
      <c r="KFI12" s="37"/>
      <c r="KFK12" s="22"/>
      <c r="KFL12" s="35"/>
      <c r="KFM12" s="36"/>
      <c r="KFN12" s="37"/>
      <c r="KFO12" s="36"/>
      <c r="KFP12" s="37"/>
      <c r="KFQ12" s="36"/>
      <c r="KFR12" s="37"/>
      <c r="KFS12" s="36"/>
      <c r="KFT12" s="37"/>
      <c r="KFU12" s="36"/>
      <c r="KFV12" s="37"/>
      <c r="KFW12" s="36"/>
      <c r="KFX12" s="37"/>
      <c r="KFY12" s="36"/>
      <c r="KFZ12" s="37"/>
      <c r="KGA12" s="36"/>
      <c r="KGB12" s="37"/>
      <c r="KGC12" s="36"/>
      <c r="KGD12" s="37"/>
      <c r="KGE12" s="36"/>
      <c r="KGF12" s="36"/>
      <c r="KGG12" s="37"/>
      <c r="KGH12" s="37"/>
      <c r="KGJ12" s="22"/>
      <c r="KGK12" s="35"/>
      <c r="KGL12" s="36"/>
      <c r="KGM12" s="37"/>
      <c r="KGN12" s="36"/>
      <c r="KGO12" s="37"/>
      <c r="KGP12" s="36"/>
      <c r="KGQ12" s="37"/>
      <c r="KGR12" s="36"/>
      <c r="KGS12" s="37"/>
      <c r="KGT12" s="36"/>
      <c r="KGU12" s="37"/>
      <c r="KGV12" s="36"/>
      <c r="KGW12" s="37"/>
      <c r="KGX12" s="36"/>
      <c r="KGY12" s="37"/>
      <c r="KGZ12" s="36"/>
      <c r="KHA12" s="37"/>
      <c r="KHB12" s="36"/>
      <c r="KHC12" s="37"/>
      <c r="KHD12" s="36"/>
      <c r="KHE12" s="36"/>
      <c r="KHF12" s="37"/>
      <c r="KHG12" s="37"/>
      <c r="KHI12" s="22"/>
      <c r="KHJ12" s="35"/>
      <c r="KHK12" s="36"/>
      <c r="KHL12" s="37"/>
      <c r="KHM12" s="36"/>
      <c r="KHN12" s="37"/>
      <c r="KHO12" s="36"/>
      <c r="KHP12" s="37"/>
      <c r="KHQ12" s="36"/>
      <c r="KHR12" s="37"/>
      <c r="KHS12" s="36"/>
      <c r="KHT12" s="37"/>
      <c r="KHU12" s="36"/>
      <c r="KHV12" s="37"/>
      <c r="KHW12" s="36"/>
      <c r="KHX12" s="37"/>
      <c r="KHY12" s="36"/>
      <c r="KHZ12" s="37"/>
      <c r="KIA12" s="36"/>
      <c r="KIB12" s="37"/>
      <c r="KIC12" s="36"/>
      <c r="KID12" s="36"/>
      <c r="KIE12" s="37"/>
      <c r="KIF12" s="37"/>
      <c r="KIH12" s="22"/>
      <c r="KII12" s="35"/>
      <c r="KIJ12" s="36"/>
      <c r="KIK12" s="37"/>
      <c r="KIL12" s="36"/>
      <c r="KIM12" s="37"/>
      <c r="KIN12" s="36"/>
      <c r="KIO12" s="37"/>
      <c r="KIP12" s="36"/>
      <c r="KIQ12" s="37"/>
      <c r="KIR12" s="36"/>
      <c r="KIS12" s="37"/>
      <c r="KIT12" s="36"/>
      <c r="KIU12" s="37"/>
      <c r="KIV12" s="36"/>
      <c r="KIW12" s="37"/>
      <c r="KIX12" s="36"/>
      <c r="KIY12" s="37"/>
      <c r="KIZ12" s="36"/>
      <c r="KJA12" s="37"/>
      <c r="KJB12" s="36"/>
      <c r="KJC12" s="36"/>
      <c r="KJD12" s="37"/>
      <c r="KJE12" s="37"/>
      <c r="KJG12" s="22"/>
      <c r="KJH12" s="35"/>
      <c r="KJI12" s="36"/>
      <c r="KJJ12" s="37"/>
      <c r="KJK12" s="36"/>
      <c r="KJL12" s="37"/>
      <c r="KJM12" s="36"/>
      <c r="KJN12" s="37"/>
      <c r="KJO12" s="36"/>
      <c r="KJP12" s="37"/>
      <c r="KJQ12" s="36"/>
      <c r="KJR12" s="37"/>
      <c r="KJS12" s="36"/>
      <c r="KJT12" s="37"/>
      <c r="KJU12" s="36"/>
      <c r="KJV12" s="37"/>
      <c r="KJW12" s="36"/>
      <c r="KJX12" s="37"/>
      <c r="KJY12" s="36"/>
      <c r="KJZ12" s="37"/>
      <c r="KKA12" s="36"/>
      <c r="KKB12" s="36"/>
      <c r="KKC12" s="37"/>
      <c r="KKD12" s="37"/>
      <c r="KKF12" s="22"/>
      <c r="KKG12" s="35"/>
      <c r="KKH12" s="36"/>
      <c r="KKI12" s="37"/>
      <c r="KKJ12" s="36"/>
      <c r="KKK12" s="37"/>
      <c r="KKL12" s="36"/>
      <c r="KKM12" s="37"/>
      <c r="KKN12" s="36"/>
      <c r="KKO12" s="37"/>
      <c r="KKP12" s="36"/>
      <c r="KKQ12" s="37"/>
      <c r="KKR12" s="36"/>
      <c r="KKS12" s="37"/>
      <c r="KKT12" s="36"/>
      <c r="KKU12" s="37"/>
      <c r="KKV12" s="36"/>
      <c r="KKW12" s="37"/>
      <c r="KKX12" s="36"/>
      <c r="KKY12" s="37"/>
      <c r="KKZ12" s="36"/>
      <c r="KLA12" s="36"/>
      <c r="KLB12" s="37"/>
      <c r="KLC12" s="37"/>
      <c r="KLE12" s="22"/>
      <c r="KLF12" s="35"/>
      <c r="KLG12" s="36"/>
      <c r="KLH12" s="37"/>
      <c r="KLI12" s="36"/>
      <c r="KLJ12" s="37"/>
      <c r="KLK12" s="36"/>
      <c r="KLL12" s="37"/>
      <c r="KLM12" s="36"/>
      <c r="KLN12" s="37"/>
      <c r="KLO12" s="36"/>
      <c r="KLP12" s="37"/>
      <c r="KLQ12" s="36"/>
      <c r="KLR12" s="37"/>
      <c r="KLS12" s="36"/>
      <c r="KLT12" s="37"/>
      <c r="KLU12" s="36"/>
      <c r="KLV12" s="37"/>
      <c r="KLW12" s="36"/>
      <c r="KLX12" s="37"/>
      <c r="KLY12" s="36"/>
      <c r="KLZ12" s="36"/>
      <c r="KMA12" s="37"/>
      <c r="KMB12" s="37"/>
      <c r="KMD12" s="22"/>
      <c r="KME12" s="35"/>
      <c r="KMF12" s="36"/>
      <c r="KMG12" s="37"/>
      <c r="KMH12" s="36"/>
      <c r="KMI12" s="37"/>
      <c r="KMJ12" s="36"/>
      <c r="KMK12" s="37"/>
      <c r="KML12" s="36"/>
      <c r="KMM12" s="37"/>
      <c r="KMN12" s="36"/>
      <c r="KMO12" s="37"/>
      <c r="KMP12" s="36"/>
      <c r="KMQ12" s="37"/>
      <c r="KMR12" s="36"/>
      <c r="KMS12" s="37"/>
      <c r="KMT12" s="36"/>
      <c r="KMU12" s="37"/>
      <c r="KMV12" s="36"/>
      <c r="KMW12" s="37"/>
      <c r="KMX12" s="36"/>
      <c r="KMY12" s="36"/>
      <c r="KMZ12" s="37"/>
      <c r="KNA12" s="37"/>
      <c r="KNC12" s="22"/>
      <c r="KND12" s="35"/>
      <c r="KNE12" s="36"/>
      <c r="KNF12" s="37"/>
      <c r="KNG12" s="36"/>
      <c r="KNH12" s="37"/>
      <c r="KNI12" s="36"/>
      <c r="KNJ12" s="37"/>
      <c r="KNK12" s="36"/>
      <c r="KNL12" s="37"/>
      <c r="KNM12" s="36"/>
      <c r="KNN12" s="37"/>
      <c r="KNO12" s="36"/>
      <c r="KNP12" s="37"/>
      <c r="KNQ12" s="36"/>
      <c r="KNR12" s="37"/>
      <c r="KNS12" s="36"/>
      <c r="KNT12" s="37"/>
      <c r="KNU12" s="36"/>
      <c r="KNV12" s="37"/>
      <c r="KNW12" s="36"/>
      <c r="KNX12" s="36"/>
      <c r="KNY12" s="37"/>
      <c r="KNZ12" s="37"/>
      <c r="KOB12" s="22"/>
      <c r="KOC12" s="35"/>
      <c r="KOD12" s="36"/>
      <c r="KOE12" s="37"/>
      <c r="KOF12" s="36"/>
      <c r="KOG12" s="37"/>
      <c r="KOH12" s="36"/>
      <c r="KOI12" s="37"/>
      <c r="KOJ12" s="36"/>
      <c r="KOK12" s="37"/>
      <c r="KOL12" s="36"/>
      <c r="KOM12" s="37"/>
      <c r="KON12" s="36"/>
      <c r="KOO12" s="37"/>
      <c r="KOP12" s="36"/>
      <c r="KOQ12" s="37"/>
      <c r="KOR12" s="36"/>
      <c r="KOS12" s="37"/>
      <c r="KOT12" s="36"/>
      <c r="KOU12" s="37"/>
      <c r="KOV12" s="36"/>
      <c r="KOW12" s="36"/>
      <c r="KOX12" s="37"/>
      <c r="KOY12" s="37"/>
      <c r="KPA12" s="22"/>
      <c r="KPB12" s="35"/>
      <c r="KPC12" s="36"/>
      <c r="KPD12" s="37"/>
      <c r="KPE12" s="36"/>
      <c r="KPF12" s="37"/>
      <c r="KPG12" s="36"/>
      <c r="KPH12" s="37"/>
      <c r="KPI12" s="36"/>
      <c r="KPJ12" s="37"/>
      <c r="KPK12" s="36"/>
      <c r="KPL12" s="37"/>
      <c r="KPM12" s="36"/>
      <c r="KPN12" s="37"/>
      <c r="KPO12" s="36"/>
      <c r="KPP12" s="37"/>
      <c r="KPQ12" s="36"/>
      <c r="KPR12" s="37"/>
      <c r="KPS12" s="36"/>
      <c r="KPT12" s="37"/>
      <c r="KPU12" s="36"/>
      <c r="KPV12" s="36"/>
      <c r="KPW12" s="37"/>
      <c r="KPX12" s="37"/>
      <c r="KPZ12" s="22"/>
      <c r="KQA12" s="35"/>
      <c r="KQB12" s="36"/>
      <c r="KQC12" s="37"/>
      <c r="KQD12" s="36"/>
      <c r="KQE12" s="37"/>
      <c r="KQF12" s="36"/>
      <c r="KQG12" s="37"/>
      <c r="KQH12" s="36"/>
      <c r="KQI12" s="37"/>
      <c r="KQJ12" s="36"/>
      <c r="KQK12" s="37"/>
      <c r="KQL12" s="36"/>
      <c r="KQM12" s="37"/>
      <c r="KQN12" s="36"/>
      <c r="KQO12" s="37"/>
      <c r="KQP12" s="36"/>
      <c r="KQQ12" s="37"/>
      <c r="KQR12" s="36"/>
      <c r="KQS12" s="37"/>
      <c r="KQT12" s="36"/>
      <c r="KQU12" s="36"/>
      <c r="KQV12" s="37"/>
      <c r="KQW12" s="37"/>
      <c r="KQY12" s="22"/>
      <c r="KQZ12" s="35"/>
      <c r="KRA12" s="36"/>
      <c r="KRB12" s="37"/>
      <c r="KRC12" s="36"/>
      <c r="KRD12" s="37"/>
      <c r="KRE12" s="36"/>
      <c r="KRF12" s="37"/>
      <c r="KRG12" s="36"/>
      <c r="KRH12" s="37"/>
      <c r="KRI12" s="36"/>
      <c r="KRJ12" s="37"/>
      <c r="KRK12" s="36"/>
      <c r="KRL12" s="37"/>
      <c r="KRM12" s="36"/>
      <c r="KRN12" s="37"/>
      <c r="KRO12" s="36"/>
      <c r="KRP12" s="37"/>
      <c r="KRQ12" s="36"/>
      <c r="KRR12" s="37"/>
      <c r="KRS12" s="36"/>
      <c r="KRT12" s="36"/>
      <c r="KRU12" s="37"/>
      <c r="KRV12" s="37"/>
      <c r="KRX12" s="22"/>
      <c r="KRY12" s="35"/>
      <c r="KRZ12" s="36"/>
      <c r="KSA12" s="37"/>
      <c r="KSB12" s="36"/>
      <c r="KSC12" s="37"/>
      <c r="KSD12" s="36"/>
      <c r="KSE12" s="37"/>
      <c r="KSF12" s="36"/>
      <c r="KSG12" s="37"/>
      <c r="KSH12" s="36"/>
      <c r="KSI12" s="37"/>
      <c r="KSJ12" s="36"/>
      <c r="KSK12" s="37"/>
      <c r="KSL12" s="36"/>
      <c r="KSM12" s="37"/>
      <c r="KSN12" s="36"/>
      <c r="KSO12" s="37"/>
      <c r="KSP12" s="36"/>
      <c r="KSQ12" s="37"/>
      <c r="KSR12" s="36"/>
      <c r="KSS12" s="36"/>
      <c r="KST12" s="37"/>
      <c r="KSU12" s="37"/>
      <c r="KSW12" s="22"/>
      <c r="KSX12" s="35"/>
      <c r="KSY12" s="36"/>
      <c r="KSZ12" s="37"/>
      <c r="KTA12" s="36"/>
      <c r="KTB12" s="37"/>
      <c r="KTC12" s="36"/>
      <c r="KTD12" s="37"/>
      <c r="KTE12" s="36"/>
      <c r="KTF12" s="37"/>
      <c r="KTG12" s="36"/>
      <c r="KTH12" s="37"/>
      <c r="KTI12" s="36"/>
      <c r="KTJ12" s="37"/>
      <c r="KTK12" s="36"/>
      <c r="KTL12" s="37"/>
      <c r="KTM12" s="36"/>
      <c r="KTN12" s="37"/>
      <c r="KTO12" s="36"/>
      <c r="KTP12" s="37"/>
      <c r="KTQ12" s="36"/>
      <c r="KTR12" s="36"/>
      <c r="KTS12" s="37"/>
      <c r="KTT12" s="37"/>
      <c r="KTV12" s="22"/>
      <c r="KTW12" s="35"/>
      <c r="KTX12" s="36"/>
      <c r="KTY12" s="37"/>
      <c r="KTZ12" s="36"/>
      <c r="KUA12" s="37"/>
      <c r="KUB12" s="36"/>
      <c r="KUC12" s="37"/>
      <c r="KUD12" s="36"/>
      <c r="KUE12" s="37"/>
      <c r="KUF12" s="36"/>
      <c r="KUG12" s="37"/>
      <c r="KUH12" s="36"/>
      <c r="KUI12" s="37"/>
      <c r="KUJ12" s="36"/>
      <c r="KUK12" s="37"/>
      <c r="KUL12" s="36"/>
      <c r="KUM12" s="37"/>
      <c r="KUN12" s="36"/>
      <c r="KUO12" s="37"/>
      <c r="KUP12" s="36"/>
      <c r="KUQ12" s="36"/>
      <c r="KUR12" s="37"/>
      <c r="KUS12" s="37"/>
      <c r="KUU12" s="22"/>
      <c r="KUV12" s="35"/>
      <c r="KUW12" s="36"/>
      <c r="KUX12" s="37"/>
      <c r="KUY12" s="36"/>
      <c r="KUZ12" s="37"/>
      <c r="KVA12" s="36"/>
      <c r="KVB12" s="37"/>
      <c r="KVC12" s="36"/>
      <c r="KVD12" s="37"/>
      <c r="KVE12" s="36"/>
      <c r="KVF12" s="37"/>
      <c r="KVG12" s="36"/>
      <c r="KVH12" s="37"/>
      <c r="KVI12" s="36"/>
      <c r="KVJ12" s="37"/>
      <c r="KVK12" s="36"/>
      <c r="KVL12" s="37"/>
      <c r="KVM12" s="36"/>
      <c r="KVN12" s="37"/>
      <c r="KVO12" s="36"/>
      <c r="KVP12" s="36"/>
      <c r="KVQ12" s="37"/>
      <c r="KVR12" s="37"/>
      <c r="KVT12" s="22"/>
      <c r="KVU12" s="35"/>
      <c r="KVV12" s="36"/>
      <c r="KVW12" s="37"/>
      <c r="KVX12" s="36"/>
      <c r="KVY12" s="37"/>
      <c r="KVZ12" s="36"/>
      <c r="KWA12" s="37"/>
      <c r="KWB12" s="36"/>
      <c r="KWC12" s="37"/>
      <c r="KWD12" s="36"/>
      <c r="KWE12" s="37"/>
      <c r="KWF12" s="36"/>
      <c r="KWG12" s="37"/>
      <c r="KWH12" s="36"/>
      <c r="KWI12" s="37"/>
      <c r="KWJ12" s="36"/>
      <c r="KWK12" s="37"/>
      <c r="KWL12" s="36"/>
      <c r="KWM12" s="37"/>
      <c r="KWN12" s="36"/>
      <c r="KWO12" s="36"/>
      <c r="KWP12" s="37"/>
      <c r="KWQ12" s="37"/>
      <c r="KWS12" s="22"/>
      <c r="KWT12" s="35"/>
      <c r="KWU12" s="36"/>
      <c r="KWV12" s="37"/>
      <c r="KWW12" s="36"/>
      <c r="KWX12" s="37"/>
      <c r="KWY12" s="36"/>
      <c r="KWZ12" s="37"/>
      <c r="KXA12" s="36"/>
      <c r="KXB12" s="37"/>
      <c r="KXC12" s="36"/>
      <c r="KXD12" s="37"/>
      <c r="KXE12" s="36"/>
      <c r="KXF12" s="37"/>
      <c r="KXG12" s="36"/>
      <c r="KXH12" s="37"/>
      <c r="KXI12" s="36"/>
      <c r="KXJ12" s="37"/>
      <c r="KXK12" s="36"/>
      <c r="KXL12" s="37"/>
      <c r="KXM12" s="36"/>
      <c r="KXN12" s="36"/>
      <c r="KXO12" s="37"/>
      <c r="KXP12" s="37"/>
      <c r="KXR12" s="22"/>
      <c r="KXS12" s="35"/>
      <c r="KXT12" s="36"/>
      <c r="KXU12" s="37"/>
      <c r="KXV12" s="36"/>
      <c r="KXW12" s="37"/>
      <c r="KXX12" s="36"/>
      <c r="KXY12" s="37"/>
      <c r="KXZ12" s="36"/>
      <c r="KYA12" s="37"/>
      <c r="KYB12" s="36"/>
      <c r="KYC12" s="37"/>
      <c r="KYD12" s="36"/>
      <c r="KYE12" s="37"/>
      <c r="KYF12" s="36"/>
      <c r="KYG12" s="37"/>
      <c r="KYH12" s="36"/>
      <c r="KYI12" s="37"/>
      <c r="KYJ12" s="36"/>
      <c r="KYK12" s="37"/>
      <c r="KYL12" s="36"/>
      <c r="KYM12" s="36"/>
      <c r="KYN12" s="37"/>
      <c r="KYO12" s="37"/>
      <c r="KYQ12" s="22"/>
      <c r="KYR12" s="35"/>
      <c r="KYS12" s="36"/>
      <c r="KYT12" s="37"/>
      <c r="KYU12" s="36"/>
      <c r="KYV12" s="37"/>
      <c r="KYW12" s="36"/>
      <c r="KYX12" s="37"/>
      <c r="KYY12" s="36"/>
      <c r="KYZ12" s="37"/>
      <c r="KZA12" s="36"/>
      <c r="KZB12" s="37"/>
      <c r="KZC12" s="36"/>
      <c r="KZD12" s="37"/>
      <c r="KZE12" s="36"/>
      <c r="KZF12" s="37"/>
      <c r="KZG12" s="36"/>
      <c r="KZH12" s="37"/>
      <c r="KZI12" s="36"/>
      <c r="KZJ12" s="37"/>
      <c r="KZK12" s="36"/>
      <c r="KZL12" s="36"/>
      <c r="KZM12" s="37"/>
      <c r="KZN12" s="37"/>
      <c r="KZP12" s="22"/>
      <c r="KZQ12" s="35"/>
      <c r="KZR12" s="36"/>
      <c r="KZS12" s="37"/>
      <c r="KZT12" s="36"/>
      <c r="KZU12" s="37"/>
      <c r="KZV12" s="36"/>
      <c r="KZW12" s="37"/>
      <c r="KZX12" s="36"/>
      <c r="KZY12" s="37"/>
      <c r="KZZ12" s="36"/>
      <c r="LAA12" s="37"/>
      <c r="LAB12" s="36"/>
      <c r="LAC12" s="37"/>
      <c r="LAD12" s="36"/>
      <c r="LAE12" s="37"/>
      <c r="LAF12" s="36"/>
      <c r="LAG12" s="37"/>
      <c r="LAH12" s="36"/>
      <c r="LAI12" s="37"/>
      <c r="LAJ12" s="36"/>
      <c r="LAK12" s="36"/>
      <c r="LAL12" s="37"/>
      <c r="LAM12" s="37"/>
      <c r="LAO12" s="22"/>
      <c r="LAP12" s="35"/>
      <c r="LAQ12" s="36"/>
      <c r="LAR12" s="37"/>
      <c r="LAS12" s="36"/>
      <c r="LAT12" s="37"/>
      <c r="LAU12" s="36"/>
      <c r="LAV12" s="37"/>
      <c r="LAW12" s="36"/>
      <c r="LAX12" s="37"/>
      <c r="LAY12" s="36"/>
      <c r="LAZ12" s="37"/>
      <c r="LBA12" s="36"/>
      <c r="LBB12" s="37"/>
      <c r="LBC12" s="36"/>
      <c r="LBD12" s="37"/>
      <c r="LBE12" s="36"/>
      <c r="LBF12" s="37"/>
      <c r="LBG12" s="36"/>
      <c r="LBH12" s="37"/>
      <c r="LBI12" s="36"/>
      <c r="LBJ12" s="36"/>
      <c r="LBK12" s="37"/>
      <c r="LBL12" s="37"/>
      <c r="LBN12" s="22"/>
      <c r="LBO12" s="35"/>
      <c r="LBP12" s="36"/>
      <c r="LBQ12" s="37"/>
      <c r="LBR12" s="36"/>
      <c r="LBS12" s="37"/>
      <c r="LBT12" s="36"/>
      <c r="LBU12" s="37"/>
      <c r="LBV12" s="36"/>
      <c r="LBW12" s="37"/>
      <c r="LBX12" s="36"/>
      <c r="LBY12" s="37"/>
      <c r="LBZ12" s="36"/>
      <c r="LCA12" s="37"/>
      <c r="LCB12" s="36"/>
      <c r="LCC12" s="37"/>
      <c r="LCD12" s="36"/>
      <c r="LCE12" s="37"/>
      <c r="LCF12" s="36"/>
      <c r="LCG12" s="37"/>
      <c r="LCH12" s="36"/>
      <c r="LCI12" s="36"/>
      <c r="LCJ12" s="37"/>
      <c r="LCK12" s="37"/>
      <c r="LCM12" s="22"/>
      <c r="LCN12" s="35"/>
      <c r="LCO12" s="36"/>
      <c r="LCP12" s="37"/>
      <c r="LCQ12" s="36"/>
      <c r="LCR12" s="37"/>
      <c r="LCS12" s="36"/>
      <c r="LCT12" s="37"/>
      <c r="LCU12" s="36"/>
      <c r="LCV12" s="37"/>
      <c r="LCW12" s="36"/>
      <c r="LCX12" s="37"/>
      <c r="LCY12" s="36"/>
      <c r="LCZ12" s="37"/>
      <c r="LDA12" s="36"/>
      <c r="LDB12" s="37"/>
      <c r="LDC12" s="36"/>
      <c r="LDD12" s="37"/>
      <c r="LDE12" s="36"/>
      <c r="LDF12" s="37"/>
      <c r="LDG12" s="36"/>
      <c r="LDH12" s="36"/>
      <c r="LDI12" s="37"/>
      <c r="LDJ12" s="37"/>
      <c r="LDL12" s="22"/>
      <c r="LDM12" s="35"/>
      <c r="LDN12" s="36"/>
      <c r="LDO12" s="37"/>
      <c r="LDP12" s="36"/>
      <c r="LDQ12" s="37"/>
      <c r="LDR12" s="36"/>
      <c r="LDS12" s="37"/>
      <c r="LDT12" s="36"/>
      <c r="LDU12" s="37"/>
      <c r="LDV12" s="36"/>
      <c r="LDW12" s="37"/>
      <c r="LDX12" s="36"/>
      <c r="LDY12" s="37"/>
      <c r="LDZ12" s="36"/>
      <c r="LEA12" s="37"/>
      <c r="LEB12" s="36"/>
      <c r="LEC12" s="37"/>
      <c r="LED12" s="36"/>
      <c r="LEE12" s="37"/>
      <c r="LEF12" s="36"/>
      <c r="LEG12" s="36"/>
      <c r="LEH12" s="37"/>
      <c r="LEI12" s="37"/>
      <c r="LEK12" s="22"/>
      <c r="LEL12" s="35"/>
      <c r="LEM12" s="36"/>
      <c r="LEN12" s="37"/>
      <c r="LEO12" s="36"/>
      <c r="LEP12" s="37"/>
      <c r="LEQ12" s="36"/>
      <c r="LER12" s="37"/>
      <c r="LES12" s="36"/>
      <c r="LET12" s="37"/>
      <c r="LEU12" s="36"/>
      <c r="LEV12" s="37"/>
      <c r="LEW12" s="36"/>
      <c r="LEX12" s="37"/>
      <c r="LEY12" s="36"/>
      <c r="LEZ12" s="37"/>
      <c r="LFA12" s="36"/>
      <c r="LFB12" s="37"/>
      <c r="LFC12" s="36"/>
      <c r="LFD12" s="37"/>
      <c r="LFE12" s="36"/>
      <c r="LFF12" s="36"/>
      <c r="LFG12" s="37"/>
      <c r="LFH12" s="37"/>
      <c r="LFJ12" s="22"/>
      <c r="LFK12" s="35"/>
      <c r="LFL12" s="36"/>
      <c r="LFM12" s="37"/>
      <c r="LFN12" s="36"/>
      <c r="LFO12" s="37"/>
      <c r="LFP12" s="36"/>
      <c r="LFQ12" s="37"/>
      <c r="LFR12" s="36"/>
      <c r="LFS12" s="37"/>
      <c r="LFT12" s="36"/>
      <c r="LFU12" s="37"/>
      <c r="LFV12" s="36"/>
      <c r="LFW12" s="37"/>
      <c r="LFX12" s="36"/>
      <c r="LFY12" s="37"/>
      <c r="LFZ12" s="36"/>
      <c r="LGA12" s="37"/>
      <c r="LGB12" s="36"/>
      <c r="LGC12" s="37"/>
      <c r="LGD12" s="36"/>
      <c r="LGE12" s="36"/>
      <c r="LGF12" s="37"/>
      <c r="LGG12" s="37"/>
      <c r="LGI12" s="22"/>
      <c r="LGJ12" s="35"/>
      <c r="LGK12" s="36"/>
      <c r="LGL12" s="37"/>
      <c r="LGM12" s="36"/>
      <c r="LGN12" s="37"/>
      <c r="LGO12" s="36"/>
      <c r="LGP12" s="37"/>
      <c r="LGQ12" s="36"/>
      <c r="LGR12" s="37"/>
      <c r="LGS12" s="36"/>
      <c r="LGT12" s="37"/>
      <c r="LGU12" s="36"/>
      <c r="LGV12" s="37"/>
      <c r="LGW12" s="36"/>
      <c r="LGX12" s="37"/>
      <c r="LGY12" s="36"/>
      <c r="LGZ12" s="37"/>
      <c r="LHA12" s="36"/>
      <c r="LHB12" s="37"/>
      <c r="LHC12" s="36"/>
      <c r="LHD12" s="36"/>
      <c r="LHE12" s="37"/>
      <c r="LHF12" s="37"/>
      <c r="LHH12" s="22"/>
      <c r="LHI12" s="35"/>
      <c r="LHJ12" s="36"/>
      <c r="LHK12" s="37"/>
      <c r="LHL12" s="36"/>
      <c r="LHM12" s="37"/>
      <c r="LHN12" s="36"/>
      <c r="LHO12" s="37"/>
      <c r="LHP12" s="36"/>
      <c r="LHQ12" s="37"/>
      <c r="LHR12" s="36"/>
      <c r="LHS12" s="37"/>
      <c r="LHT12" s="36"/>
      <c r="LHU12" s="37"/>
      <c r="LHV12" s="36"/>
      <c r="LHW12" s="37"/>
      <c r="LHX12" s="36"/>
      <c r="LHY12" s="37"/>
      <c r="LHZ12" s="36"/>
      <c r="LIA12" s="37"/>
      <c r="LIB12" s="36"/>
      <c r="LIC12" s="36"/>
      <c r="LID12" s="37"/>
      <c r="LIE12" s="37"/>
      <c r="LIG12" s="22"/>
      <c r="LIH12" s="35"/>
      <c r="LII12" s="36"/>
      <c r="LIJ12" s="37"/>
      <c r="LIK12" s="36"/>
      <c r="LIL12" s="37"/>
      <c r="LIM12" s="36"/>
      <c r="LIN12" s="37"/>
      <c r="LIO12" s="36"/>
      <c r="LIP12" s="37"/>
      <c r="LIQ12" s="36"/>
      <c r="LIR12" s="37"/>
      <c r="LIS12" s="36"/>
      <c r="LIT12" s="37"/>
      <c r="LIU12" s="36"/>
      <c r="LIV12" s="37"/>
      <c r="LIW12" s="36"/>
      <c r="LIX12" s="37"/>
      <c r="LIY12" s="36"/>
      <c r="LIZ12" s="37"/>
      <c r="LJA12" s="36"/>
      <c r="LJB12" s="36"/>
      <c r="LJC12" s="37"/>
      <c r="LJD12" s="37"/>
      <c r="LJF12" s="22"/>
      <c r="LJG12" s="35"/>
      <c r="LJH12" s="36"/>
      <c r="LJI12" s="37"/>
      <c r="LJJ12" s="36"/>
      <c r="LJK12" s="37"/>
      <c r="LJL12" s="36"/>
      <c r="LJM12" s="37"/>
      <c r="LJN12" s="36"/>
      <c r="LJO12" s="37"/>
      <c r="LJP12" s="36"/>
      <c r="LJQ12" s="37"/>
      <c r="LJR12" s="36"/>
      <c r="LJS12" s="37"/>
      <c r="LJT12" s="36"/>
      <c r="LJU12" s="37"/>
      <c r="LJV12" s="36"/>
      <c r="LJW12" s="37"/>
      <c r="LJX12" s="36"/>
      <c r="LJY12" s="37"/>
      <c r="LJZ12" s="36"/>
      <c r="LKA12" s="36"/>
      <c r="LKB12" s="37"/>
      <c r="LKC12" s="37"/>
      <c r="LKE12" s="22"/>
      <c r="LKF12" s="35"/>
      <c r="LKG12" s="36"/>
      <c r="LKH12" s="37"/>
      <c r="LKI12" s="36"/>
      <c r="LKJ12" s="37"/>
      <c r="LKK12" s="36"/>
      <c r="LKL12" s="37"/>
      <c r="LKM12" s="36"/>
      <c r="LKN12" s="37"/>
      <c r="LKO12" s="36"/>
      <c r="LKP12" s="37"/>
      <c r="LKQ12" s="36"/>
      <c r="LKR12" s="37"/>
      <c r="LKS12" s="36"/>
      <c r="LKT12" s="37"/>
      <c r="LKU12" s="36"/>
      <c r="LKV12" s="37"/>
      <c r="LKW12" s="36"/>
      <c r="LKX12" s="37"/>
      <c r="LKY12" s="36"/>
      <c r="LKZ12" s="36"/>
      <c r="LLA12" s="37"/>
      <c r="LLB12" s="37"/>
      <c r="LLD12" s="22"/>
      <c r="LLE12" s="35"/>
      <c r="LLF12" s="36"/>
      <c r="LLG12" s="37"/>
      <c r="LLH12" s="36"/>
      <c r="LLI12" s="37"/>
      <c r="LLJ12" s="36"/>
      <c r="LLK12" s="37"/>
      <c r="LLL12" s="36"/>
      <c r="LLM12" s="37"/>
      <c r="LLN12" s="36"/>
      <c r="LLO12" s="37"/>
      <c r="LLP12" s="36"/>
      <c r="LLQ12" s="37"/>
      <c r="LLR12" s="36"/>
      <c r="LLS12" s="37"/>
      <c r="LLT12" s="36"/>
      <c r="LLU12" s="37"/>
      <c r="LLV12" s="36"/>
      <c r="LLW12" s="37"/>
      <c r="LLX12" s="36"/>
      <c r="LLY12" s="36"/>
      <c r="LLZ12" s="37"/>
      <c r="LMA12" s="37"/>
      <c r="LMC12" s="22"/>
      <c r="LMD12" s="35"/>
      <c r="LME12" s="36"/>
      <c r="LMF12" s="37"/>
      <c r="LMG12" s="36"/>
      <c r="LMH12" s="37"/>
      <c r="LMI12" s="36"/>
      <c r="LMJ12" s="37"/>
      <c r="LMK12" s="36"/>
      <c r="LML12" s="37"/>
      <c r="LMM12" s="36"/>
      <c r="LMN12" s="37"/>
      <c r="LMO12" s="36"/>
      <c r="LMP12" s="37"/>
      <c r="LMQ12" s="36"/>
      <c r="LMR12" s="37"/>
      <c r="LMS12" s="36"/>
      <c r="LMT12" s="37"/>
      <c r="LMU12" s="36"/>
      <c r="LMV12" s="37"/>
      <c r="LMW12" s="36"/>
      <c r="LMX12" s="36"/>
      <c r="LMY12" s="37"/>
      <c r="LMZ12" s="37"/>
      <c r="LNB12" s="22"/>
      <c r="LNC12" s="35"/>
      <c r="LND12" s="36"/>
      <c r="LNE12" s="37"/>
      <c r="LNF12" s="36"/>
      <c r="LNG12" s="37"/>
      <c r="LNH12" s="36"/>
      <c r="LNI12" s="37"/>
      <c r="LNJ12" s="36"/>
      <c r="LNK12" s="37"/>
      <c r="LNL12" s="36"/>
      <c r="LNM12" s="37"/>
      <c r="LNN12" s="36"/>
      <c r="LNO12" s="37"/>
      <c r="LNP12" s="36"/>
      <c r="LNQ12" s="37"/>
      <c r="LNR12" s="36"/>
      <c r="LNS12" s="37"/>
      <c r="LNT12" s="36"/>
      <c r="LNU12" s="37"/>
      <c r="LNV12" s="36"/>
      <c r="LNW12" s="36"/>
      <c r="LNX12" s="37"/>
      <c r="LNY12" s="37"/>
      <c r="LOA12" s="22"/>
      <c r="LOB12" s="35"/>
      <c r="LOC12" s="36"/>
      <c r="LOD12" s="37"/>
      <c r="LOE12" s="36"/>
      <c r="LOF12" s="37"/>
      <c r="LOG12" s="36"/>
      <c r="LOH12" s="37"/>
      <c r="LOI12" s="36"/>
      <c r="LOJ12" s="37"/>
      <c r="LOK12" s="36"/>
      <c r="LOL12" s="37"/>
      <c r="LOM12" s="36"/>
      <c r="LON12" s="37"/>
      <c r="LOO12" s="36"/>
      <c r="LOP12" s="37"/>
      <c r="LOQ12" s="36"/>
      <c r="LOR12" s="37"/>
      <c r="LOS12" s="36"/>
      <c r="LOT12" s="37"/>
      <c r="LOU12" s="36"/>
      <c r="LOV12" s="36"/>
      <c r="LOW12" s="37"/>
      <c r="LOX12" s="37"/>
      <c r="LOZ12" s="22"/>
      <c r="LPA12" s="35"/>
      <c r="LPB12" s="36"/>
      <c r="LPC12" s="37"/>
      <c r="LPD12" s="36"/>
      <c r="LPE12" s="37"/>
      <c r="LPF12" s="36"/>
      <c r="LPG12" s="37"/>
      <c r="LPH12" s="36"/>
      <c r="LPI12" s="37"/>
      <c r="LPJ12" s="36"/>
      <c r="LPK12" s="37"/>
      <c r="LPL12" s="36"/>
      <c r="LPM12" s="37"/>
      <c r="LPN12" s="36"/>
      <c r="LPO12" s="37"/>
      <c r="LPP12" s="36"/>
      <c r="LPQ12" s="37"/>
      <c r="LPR12" s="36"/>
      <c r="LPS12" s="37"/>
      <c r="LPT12" s="36"/>
      <c r="LPU12" s="36"/>
      <c r="LPV12" s="37"/>
      <c r="LPW12" s="37"/>
      <c r="LPY12" s="22"/>
      <c r="LPZ12" s="35"/>
      <c r="LQA12" s="36"/>
      <c r="LQB12" s="37"/>
      <c r="LQC12" s="36"/>
      <c r="LQD12" s="37"/>
      <c r="LQE12" s="36"/>
      <c r="LQF12" s="37"/>
      <c r="LQG12" s="36"/>
      <c r="LQH12" s="37"/>
      <c r="LQI12" s="36"/>
      <c r="LQJ12" s="37"/>
      <c r="LQK12" s="36"/>
      <c r="LQL12" s="37"/>
      <c r="LQM12" s="36"/>
      <c r="LQN12" s="37"/>
      <c r="LQO12" s="36"/>
      <c r="LQP12" s="37"/>
      <c r="LQQ12" s="36"/>
      <c r="LQR12" s="37"/>
      <c r="LQS12" s="36"/>
      <c r="LQT12" s="36"/>
      <c r="LQU12" s="37"/>
      <c r="LQV12" s="37"/>
      <c r="LQX12" s="22"/>
      <c r="LQY12" s="35"/>
      <c r="LQZ12" s="36"/>
      <c r="LRA12" s="37"/>
      <c r="LRB12" s="36"/>
      <c r="LRC12" s="37"/>
      <c r="LRD12" s="36"/>
      <c r="LRE12" s="37"/>
      <c r="LRF12" s="36"/>
      <c r="LRG12" s="37"/>
      <c r="LRH12" s="36"/>
      <c r="LRI12" s="37"/>
      <c r="LRJ12" s="36"/>
      <c r="LRK12" s="37"/>
      <c r="LRL12" s="36"/>
      <c r="LRM12" s="37"/>
      <c r="LRN12" s="36"/>
      <c r="LRO12" s="37"/>
      <c r="LRP12" s="36"/>
      <c r="LRQ12" s="37"/>
      <c r="LRR12" s="36"/>
      <c r="LRS12" s="36"/>
      <c r="LRT12" s="37"/>
      <c r="LRU12" s="37"/>
      <c r="LRW12" s="22"/>
      <c r="LRX12" s="35"/>
      <c r="LRY12" s="36"/>
      <c r="LRZ12" s="37"/>
      <c r="LSA12" s="36"/>
      <c r="LSB12" s="37"/>
      <c r="LSC12" s="36"/>
      <c r="LSD12" s="37"/>
      <c r="LSE12" s="36"/>
      <c r="LSF12" s="37"/>
      <c r="LSG12" s="36"/>
      <c r="LSH12" s="37"/>
      <c r="LSI12" s="36"/>
      <c r="LSJ12" s="37"/>
      <c r="LSK12" s="36"/>
      <c r="LSL12" s="37"/>
      <c r="LSM12" s="36"/>
      <c r="LSN12" s="37"/>
      <c r="LSO12" s="36"/>
      <c r="LSP12" s="37"/>
      <c r="LSQ12" s="36"/>
      <c r="LSR12" s="36"/>
      <c r="LSS12" s="37"/>
      <c r="LST12" s="37"/>
      <c r="LSV12" s="22"/>
      <c r="LSW12" s="35"/>
      <c r="LSX12" s="36"/>
      <c r="LSY12" s="37"/>
      <c r="LSZ12" s="36"/>
      <c r="LTA12" s="37"/>
      <c r="LTB12" s="36"/>
      <c r="LTC12" s="37"/>
      <c r="LTD12" s="36"/>
      <c r="LTE12" s="37"/>
      <c r="LTF12" s="36"/>
      <c r="LTG12" s="37"/>
      <c r="LTH12" s="36"/>
      <c r="LTI12" s="37"/>
      <c r="LTJ12" s="36"/>
      <c r="LTK12" s="37"/>
      <c r="LTL12" s="36"/>
      <c r="LTM12" s="37"/>
      <c r="LTN12" s="36"/>
      <c r="LTO12" s="37"/>
      <c r="LTP12" s="36"/>
      <c r="LTQ12" s="36"/>
      <c r="LTR12" s="37"/>
      <c r="LTS12" s="37"/>
      <c r="LTU12" s="22"/>
      <c r="LTV12" s="35"/>
      <c r="LTW12" s="36"/>
      <c r="LTX12" s="37"/>
      <c r="LTY12" s="36"/>
      <c r="LTZ12" s="37"/>
      <c r="LUA12" s="36"/>
      <c r="LUB12" s="37"/>
      <c r="LUC12" s="36"/>
      <c r="LUD12" s="37"/>
      <c r="LUE12" s="36"/>
      <c r="LUF12" s="37"/>
      <c r="LUG12" s="36"/>
      <c r="LUH12" s="37"/>
      <c r="LUI12" s="36"/>
      <c r="LUJ12" s="37"/>
      <c r="LUK12" s="36"/>
      <c r="LUL12" s="37"/>
      <c r="LUM12" s="36"/>
      <c r="LUN12" s="37"/>
      <c r="LUO12" s="36"/>
      <c r="LUP12" s="36"/>
      <c r="LUQ12" s="37"/>
      <c r="LUR12" s="37"/>
      <c r="LUT12" s="22"/>
      <c r="LUU12" s="35"/>
      <c r="LUV12" s="36"/>
      <c r="LUW12" s="37"/>
      <c r="LUX12" s="36"/>
      <c r="LUY12" s="37"/>
      <c r="LUZ12" s="36"/>
      <c r="LVA12" s="37"/>
      <c r="LVB12" s="36"/>
      <c r="LVC12" s="37"/>
      <c r="LVD12" s="36"/>
      <c r="LVE12" s="37"/>
      <c r="LVF12" s="36"/>
      <c r="LVG12" s="37"/>
      <c r="LVH12" s="36"/>
      <c r="LVI12" s="37"/>
      <c r="LVJ12" s="36"/>
      <c r="LVK12" s="37"/>
      <c r="LVL12" s="36"/>
      <c r="LVM12" s="37"/>
      <c r="LVN12" s="36"/>
      <c r="LVO12" s="36"/>
      <c r="LVP12" s="37"/>
      <c r="LVQ12" s="37"/>
      <c r="LVS12" s="22"/>
      <c r="LVT12" s="35"/>
      <c r="LVU12" s="36"/>
      <c r="LVV12" s="37"/>
      <c r="LVW12" s="36"/>
      <c r="LVX12" s="37"/>
      <c r="LVY12" s="36"/>
      <c r="LVZ12" s="37"/>
      <c r="LWA12" s="36"/>
      <c r="LWB12" s="37"/>
      <c r="LWC12" s="36"/>
      <c r="LWD12" s="37"/>
      <c r="LWE12" s="36"/>
      <c r="LWF12" s="37"/>
      <c r="LWG12" s="36"/>
      <c r="LWH12" s="37"/>
      <c r="LWI12" s="36"/>
      <c r="LWJ12" s="37"/>
      <c r="LWK12" s="36"/>
      <c r="LWL12" s="37"/>
      <c r="LWM12" s="36"/>
      <c r="LWN12" s="36"/>
      <c r="LWO12" s="37"/>
      <c r="LWP12" s="37"/>
      <c r="LWR12" s="22"/>
      <c r="LWS12" s="35"/>
      <c r="LWT12" s="36"/>
      <c r="LWU12" s="37"/>
      <c r="LWV12" s="36"/>
      <c r="LWW12" s="37"/>
      <c r="LWX12" s="36"/>
      <c r="LWY12" s="37"/>
      <c r="LWZ12" s="36"/>
      <c r="LXA12" s="37"/>
      <c r="LXB12" s="36"/>
      <c r="LXC12" s="37"/>
      <c r="LXD12" s="36"/>
      <c r="LXE12" s="37"/>
      <c r="LXF12" s="36"/>
      <c r="LXG12" s="37"/>
      <c r="LXH12" s="36"/>
      <c r="LXI12" s="37"/>
      <c r="LXJ12" s="36"/>
      <c r="LXK12" s="37"/>
      <c r="LXL12" s="36"/>
      <c r="LXM12" s="36"/>
      <c r="LXN12" s="37"/>
      <c r="LXO12" s="37"/>
      <c r="LXQ12" s="22"/>
      <c r="LXR12" s="35"/>
      <c r="LXS12" s="36"/>
      <c r="LXT12" s="37"/>
      <c r="LXU12" s="36"/>
      <c r="LXV12" s="37"/>
      <c r="LXW12" s="36"/>
      <c r="LXX12" s="37"/>
      <c r="LXY12" s="36"/>
      <c r="LXZ12" s="37"/>
      <c r="LYA12" s="36"/>
      <c r="LYB12" s="37"/>
      <c r="LYC12" s="36"/>
      <c r="LYD12" s="37"/>
      <c r="LYE12" s="36"/>
      <c r="LYF12" s="37"/>
      <c r="LYG12" s="36"/>
      <c r="LYH12" s="37"/>
      <c r="LYI12" s="36"/>
      <c r="LYJ12" s="37"/>
      <c r="LYK12" s="36"/>
      <c r="LYL12" s="36"/>
      <c r="LYM12" s="37"/>
      <c r="LYN12" s="37"/>
      <c r="LYP12" s="22"/>
      <c r="LYQ12" s="35"/>
      <c r="LYR12" s="36"/>
      <c r="LYS12" s="37"/>
      <c r="LYT12" s="36"/>
      <c r="LYU12" s="37"/>
      <c r="LYV12" s="36"/>
      <c r="LYW12" s="37"/>
      <c r="LYX12" s="36"/>
      <c r="LYY12" s="37"/>
      <c r="LYZ12" s="36"/>
      <c r="LZA12" s="37"/>
      <c r="LZB12" s="36"/>
      <c r="LZC12" s="37"/>
      <c r="LZD12" s="36"/>
      <c r="LZE12" s="37"/>
      <c r="LZF12" s="36"/>
      <c r="LZG12" s="37"/>
      <c r="LZH12" s="36"/>
      <c r="LZI12" s="37"/>
      <c r="LZJ12" s="36"/>
      <c r="LZK12" s="36"/>
      <c r="LZL12" s="37"/>
      <c r="LZM12" s="37"/>
      <c r="LZO12" s="22"/>
      <c r="LZP12" s="35"/>
      <c r="LZQ12" s="36"/>
      <c r="LZR12" s="37"/>
      <c r="LZS12" s="36"/>
      <c r="LZT12" s="37"/>
      <c r="LZU12" s="36"/>
      <c r="LZV12" s="37"/>
      <c r="LZW12" s="36"/>
      <c r="LZX12" s="37"/>
      <c r="LZY12" s="36"/>
      <c r="LZZ12" s="37"/>
      <c r="MAA12" s="36"/>
      <c r="MAB12" s="37"/>
      <c r="MAC12" s="36"/>
      <c r="MAD12" s="37"/>
      <c r="MAE12" s="36"/>
      <c r="MAF12" s="37"/>
      <c r="MAG12" s="36"/>
      <c r="MAH12" s="37"/>
      <c r="MAI12" s="36"/>
      <c r="MAJ12" s="36"/>
      <c r="MAK12" s="37"/>
      <c r="MAL12" s="37"/>
      <c r="MAN12" s="22"/>
      <c r="MAO12" s="35"/>
      <c r="MAP12" s="36"/>
      <c r="MAQ12" s="37"/>
      <c r="MAR12" s="36"/>
      <c r="MAS12" s="37"/>
      <c r="MAT12" s="36"/>
      <c r="MAU12" s="37"/>
      <c r="MAV12" s="36"/>
      <c r="MAW12" s="37"/>
      <c r="MAX12" s="36"/>
      <c r="MAY12" s="37"/>
      <c r="MAZ12" s="36"/>
      <c r="MBA12" s="37"/>
      <c r="MBB12" s="36"/>
      <c r="MBC12" s="37"/>
      <c r="MBD12" s="36"/>
      <c r="MBE12" s="37"/>
      <c r="MBF12" s="36"/>
      <c r="MBG12" s="37"/>
      <c r="MBH12" s="36"/>
      <c r="MBI12" s="36"/>
      <c r="MBJ12" s="37"/>
      <c r="MBK12" s="37"/>
      <c r="MBM12" s="22"/>
      <c r="MBN12" s="35"/>
      <c r="MBO12" s="36"/>
      <c r="MBP12" s="37"/>
      <c r="MBQ12" s="36"/>
      <c r="MBR12" s="37"/>
      <c r="MBS12" s="36"/>
      <c r="MBT12" s="37"/>
      <c r="MBU12" s="36"/>
      <c r="MBV12" s="37"/>
      <c r="MBW12" s="36"/>
      <c r="MBX12" s="37"/>
      <c r="MBY12" s="36"/>
      <c r="MBZ12" s="37"/>
      <c r="MCA12" s="36"/>
      <c r="MCB12" s="37"/>
      <c r="MCC12" s="36"/>
      <c r="MCD12" s="37"/>
      <c r="MCE12" s="36"/>
      <c r="MCF12" s="37"/>
      <c r="MCG12" s="36"/>
      <c r="MCH12" s="36"/>
      <c r="MCI12" s="37"/>
      <c r="MCJ12" s="37"/>
      <c r="MCL12" s="22"/>
      <c r="MCM12" s="35"/>
      <c r="MCN12" s="36"/>
      <c r="MCO12" s="37"/>
      <c r="MCP12" s="36"/>
      <c r="MCQ12" s="37"/>
      <c r="MCR12" s="36"/>
      <c r="MCS12" s="37"/>
      <c r="MCT12" s="36"/>
      <c r="MCU12" s="37"/>
      <c r="MCV12" s="36"/>
      <c r="MCW12" s="37"/>
      <c r="MCX12" s="36"/>
      <c r="MCY12" s="37"/>
      <c r="MCZ12" s="36"/>
      <c r="MDA12" s="37"/>
      <c r="MDB12" s="36"/>
      <c r="MDC12" s="37"/>
      <c r="MDD12" s="36"/>
      <c r="MDE12" s="37"/>
      <c r="MDF12" s="36"/>
      <c r="MDG12" s="36"/>
      <c r="MDH12" s="37"/>
      <c r="MDI12" s="37"/>
      <c r="MDK12" s="22"/>
      <c r="MDL12" s="35"/>
      <c r="MDM12" s="36"/>
      <c r="MDN12" s="37"/>
      <c r="MDO12" s="36"/>
      <c r="MDP12" s="37"/>
      <c r="MDQ12" s="36"/>
      <c r="MDR12" s="37"/>
      <c r="MDS12" s="36"/>
      <c r="MDT12" s="37"/>
      <c r="MDU12" s="36"/>
      <c r="MDV12" s="37"/>
      <c r="MDW12" s="36"/>
      <c r="MDX12" s="37"/>
      <c r="MDY12" s="36"/>
      <c r="MDZ12" s="37"/>
      <c r="MEA12" s="36"/>
      <c r="MEB12" s="37"/>
      <c r="MEC12" s="36"/>
      <c r="MED12" s="37"/>
      <c r="MEE12" s="36"/>
      <c r="MEF12" s="36"/>
      <c r="MEG12" s="37"/>
      <c r="MEH12" s="37"/>
      <c r="MEJ12" s="22"/>
      <c r="MEK12" s="35"/>
      <c r="MEL12" s="36"/>
      <c r="MEM12" s="37"/>
      <c r="MEN12" s="36"/>
      <c r="MEO12" s="37"/>
      <c r="MEP12" s="36"/>
      <c r="MEQ12" s="37"/>
      <c r="MER12" s="36"/>
      <c r="MES12" s="37"/>
      <c r="MET12" s="36"/>
      <c r="MEU12" s="37"/>
      <c r="MEV12" s="36"/>
      <c r="MEW12" s="37"/>
      <c r="MEX12" s="36"/>
      <c r="MEY12" s="37"/>
      <c r="MEZ12" s="36"/>
      <c r="MFA12" s="37"/>
      <c r="MFB12" s="36"/>
      <c r="MFC12" s="37"/>
      <c r="MFD12" s="36"/>
      <c r="MFE12" s="36"/>
      <c r="MFF12" s="37"/>
      <c r="MFG12" s="37"/>
      <c r="MFI12" s="22"/>
      <c r="MFJ12" s="35"/>
      <c r="MFK12" s="36"/>
      <c r="MFL12" s="37"/>
      <c r="MFM12" s="36"/>
      <c r="MFN12" s="37"/>
      <c r="MFO12" s="36"/>
      <c r="MFP12" s="37"/>
      <c r="MFQ12" s="36"/>
      <c r="MFR12" s="37"/>
      <c r="MFS12" s="36"/>
      <c r="MFT12" s="37"/>
      <c r="MFU12" s="36"/>
      <c r="MFV12" s="37"/>
      <c r="MFW12" s="36"/>
      <c r="MFX12" s="37"/>
      <c r="MFY12" s="36"/>
      <c r="MFZ12" s="37"/>
      <c r="MGA12" s="36"/>
      <c r="MGB12" s="37"/>
      <c r="MGC12" s="36"/>
      <c r="MGD12" s="36"/>
      <c r="MGE12" s="37"/>
      <c r="MGF12" s="37"/>
      <c r="MGH12" s="22"/>
      <c r="MGI12" s="35"/>
      <c r="MGJ12" s="36"/>
      <c r="MGK12" s="37"/>
      <c r="MGL12" s="36"/>
      <c r="MGM12" s="37"/>
      <c r="MGN12" s="36"/>
      <c r="MGO12" s="37"/>
      <c r="MGP12" s="36"/>
      <c r="MGQ12" s="37"/>
      <c r="MGR12" s="36"/>
      <c r="MGS12" s="37"/>
      <c r="MGT12" s="36"/>
      <c r="MGU12" s="37"/>
      <c r="MGV12" s="36"/>
      <c r="MGW12" s="37"/>
      <c r="MGX12" s="36"/>
      <c r="MGY12" s="37"/>
      <c r="MGZ12" s="36"/>
      <c r="MHA12" s="37"/>
      <c r="MHB12" s="36"/>
      <c r="MHC12" s="36"/>
      <c r="MHD12" s="37"/>
      <c r="MHE12" s="37"/>
      <c r="MHG12" s="22"/>
      <c r="MHH12" s="35"/>
      <c r="MHI12" s="36"/>
      <c r="MHJ12" s="37"/>
      <c r="MHK12" s="36"/>
      <c r="MHL12" s="37"/>
      <c r="MHM12" s="36"/>
      <c r="MHN12" s="37"/>
      <c r="MHO12" s="36"/>
      <c r="MHP12" s="37"/>
      <c r="MHQ12" s="36"/>
      <c r="MHR12" s="37"/>
      <c r="MHS12" s="36"/>
      <c r="MHT12" s="37"/>
      <c r="MHU12" s="36"/>
      <c r="MHV12" s="37"/>
      <c r="MHW12" s="36"/>
      <c r="MHX12" s="37"/>
      <c r="MHY12" s="36"/>
      <c r="MHZ12" s="37"/>
      <c r="MIA12" s="36"/>
      <c r="MIB12" s="36"/>
      <c r="MIC12" s="37"/>
      <c r="MID12" s="37"/>
      <c r="MIF12" s="22"/>
      <c r="MIG12" s="35"/>
      <c r="MIH12" s="36"/>
      <c r="MII12" s="37"/>
      <c r="MIJ12" s="36"/>
      <c r="MIK12" s="37"/>
      <c r="MIL12" s="36"/>
      <c r="MIM12" s="37"/>
      <c r="MIN12" s="36"/>
      <c r="MIO12" s="37"/>
      <c r="MIP12" s="36"/>
      <c r="MIQ12" s="37"/>
      <c r="MIR12" s="36"/>
      <c r="MIS12" s="37"/>
      <c r="MIT12" s="36"/>
      <c r="MIU12" s="37"/>
      <c r="MIV12" s="36"/>
      <c r="MIW12" s="37"/>
      <c r="MIX12" s="36"/>
      <c r="MIY12" s="37"/>
      <c r="MIZ12" s="36"/>
      <c r="MJA12" s="36"/>
      <c r="MJB12" s="37"/>
      <c r="MJC12" s="37"/>
      <c r="MJE12" s="22"/>
      <c r="MJF12" s="35"/>
      <c r="MJG12" s="36"/>
      <c r="MJH12" s="37"/>
      <c r="MJI12" s="36"/>
      <c r="MJJ12" s="37"/>
      <c r="MJK12" s="36"/>
      <c r="MJL12" s="37"/>
      <c r="MJM12" s="36"/>
      <c r="MJN12" s="37"/>
      <c r="MJO12" s="36"/>
      <c r="MJP12" s="37"/>
      <c r="MJQ12" s="36"/>
      <c r="MJR12" s="37"/>
      <c r="MJS12" s="36"/>
      <c r="MJT12" s="37"/>
      <c r="MJU12" s="36"/>
      <c r="MJV12" s="37"/>
      <c r="MJW12" s="36"/>
      <c r="MJX12" s="37"/>
      <c r="MJY12" s="36"/>
      <c r="MJZ12" s="36"/>
      <c r="MKA12" s="37"/>
      <c r="MKB12" s="37"/>
      <c r="MKD12" s="22"/>
      <c r="MKE12" s="35"/>
      <c r="MKF12" s="36"/>
      <c r="MKG12" s="37"/>
      <c r="MKH12" s="36"/>
      <c r="MKI12" s="37"/>
      <c r="MKJ12" s="36"/>
      <c r="MKK12" s="37"/>
      <c r="MKL12" s="36"/>
      <c r="MKM12" s="37"/>
      <c r="MKN12" s="36"/>
      <c r="MKO12" s="37"/>
      <c r="MKP12" s="36"/>
      <c r="MKQ12" s="37"/>
      <c r="MKR12" s="36"/>
      <c r="MKS12" s="37"/>
      <c r="MKT12" s="36"/>
      <c r="MKU12" s="37"/>
      <c r="MKV12" s="36"/>
      <c r="MKW12" s="37"/>
      <c r="MKX12" s="36"/>
      <c r="MKY12" s="36"/>
      <c r="MKZ12" s="37"/>
      <c r="MLA12" s="37"/>
      <c r="MLC12" s="22"/>
      <c r="MLD12" s="35"/>
      <c r="MLE12" s="36"/>
      <c r="MLF12" s="37"/>
      <c r="MLG12" s="36"/>
      <c r="MLH12" s="37"/>
      <c r="MLI12" s="36"/>
      <c r="MLJ12" s="37"/>
      <c r="MLK12" s="36"/>
      <c r="MLL12" s="37"/>
      <c r="MLM12" s="36"/>
      <c r="MLN12" s="37"/>
      <c r="MLO12" s="36"/>
      <c r="MLP12" s="37"/>
      <c r="MLQ12" s="36"/>
      <c r="MLR12" s="37"/>
      <c r="MLS12" s="36"/>
      <c r="MLT12" s="37"/>
      <c r="MLU12" s="36"/>
      <c r="MLV12" s="37"/>
      <c r="MLW12" s="36"/>
      <c r="MLX12" s="36"/>
      <c r="MLY12" s="37"/>
      <c r="MLZ12" s="37"/>
      <c r="MMB12" s="22"/>
      <c r="MMC12" s="35"/>
      <c r="MMD12" s="36"/>
      <c r="MME12" s="37"/>
      <c r="MMF12" s="36"/>
      <c r="MMG12" s="37"/>
      <c r="MMH12" s="36"/>
      <c r="MMI12" s="37"/>
      <c r="MMJ12" s="36"/>
      <c r="MMK12" s="37"/>
      <c r="MML12" s="36"/>
      <c r="MMM12" s="37"/>
      <c r="MMN12" s="36"/>
      <c r="MMO12" s="37"/>
      <c r="MMP12" s="36"/>
      <c r="MMQ12" s="37"/>
      <c r="MMR12" s="36"/>
      <c r="MMS12" s="37"/>
      <c r="MMT12" s="36"/>
      <c r="MMU12" s="37"/>
      <c r="MMV12" s="36"/>
      <c r="MMW12" s="36"/>
      <c r="MMX12" s="37"/>
      <c r="MMY12" s="37"/>
      <c r="MNA12" s="22"/>
      <c r="MNB12" s="35"/>
      <c r="MNC12" s="36"/>
      <c r="MND12" s="37"/>
      <c r="MNE12" s="36"/>
      <c r="MNF12" s="37"/>
      <c r="MNG12" s="36"/>
      <c r="MNH12" s="37"/>
      <c r="MNI12" s="36"/>
      <c r="MNJ12" s="37"/>
      <c r="MNK12" s="36"/>
      <c r="MNL12" s="37"/>
      <c r="MNM12" s="36"/>
      <c r="MNN12" s="37"/>
      <c r="MNO12" s="36"/>
      <c r="MNP12" s="37"/>
      <c r="MNQ12" s="36"/>
      <c r="MNR12" s="37"/>
      <c r="MNS12" s="36"/>
      <c r="MNT12" s="37"/>
      <c r="MNU12" s="36"/>
      <c r="MNV12" s="36"/>
      <c r="MNW12" s="37"/>
      <c r="MNX12" s="37"/>
      <c r="MNZ12" s="22"/>
      <c r="MOA12" s="35"/>
      <c r="MOB12" s="36"/>
      <c r="MOC12" s="37"/>
      <c r="MOD12" s="36"/>
      <c r="MOE12" s="37"/>
      <c r="MOF12" s="36"/>
      <c r="MOG12" s="37"/>
      <c r="MOH12" s="36"/>
      <c r="MOI12" s="37"/>
      <c r="MOJ12" s="36"/>
      <c r="MOK12" s="37"/>
      <c r="MOL12" s="36"/>
      <c r="MOM12" s="37"/>
      <c r="MON12" s="36"/>
      <c r="MOO12" s="37"/>
      <c r="MOP12" s="36"/>
      <c r="MOQ12" s="37"/>
      <c r="MOR12" s="36"/>
      <c r="MOS12" s="37"/>
      <c r="MOT12" s="36"/>
      <c r="MOU12" s="36"/>
      <c r="MOV12" s="37"/>
      <c r="MOW12" s="37"/>
      <c r="MOY12" s="22"/>
      <c r="MOZ12" s="35"/>
      <c r="MPA12" s="36"/>
      <c r="MPB12" s="37"/>
      <c r="MPC12" s="36"/>
      <c r="MPD12" s="37"/>
      <c r="MPE12" s="36"/>
      <c r="MPF12" s="37"/>
      <c r="MPG12" s="36"/>
      <c r="MPH12" s="37"/>
      <c r="MPI12" s="36"/>
      <c r="MPJ12" s="37"/>
      <c r="MPK12" s="36"/>
      <c r="MPL12" s="37"/>
      <c r="MPM12" s="36"/>
      <c r="MPN12" s="37"/>
      <c r="MPO12" s="36"/>
      <c r="MPP12" s="37"/>
      <c r="MPQ12" s="36"/>
      <c r="MPR12" s="37"/>
      <c r="MPS12" s="36"/>
      <c r="MPT12" s="36"/>
      <c r="MPU12" s="37"/>
      <c r="MPV12" s="37"/>
      <c r="MPX12" s="22"/>
      <c r="MPY12" s="35"/>
      <c r="MPZ12" s="36"/>
      <c r="MQA12" s="37"/>
      <c r="MQB12" s="36"/>
      <c r="MQC12" s="37"/>
      <c r="MQD12" s="36"/>
      <c r="MQE12" s="37"/>
      <c r="MQF12" s="36"/>
      <c r="MQG12" s="37"/>
      <c r="MQH12" s="36"/>
      <c r="MQI12" s="37"/>
      <c r="MQJ12" s="36"/>
      <c r="MQK12" s="37"/>
      <c r="MQL12" s="36"/>
      <c r="MQM12" s="37"/>
      <c r="MQN12" s="36"/>
      <c r="MQO12" s="37"/>
      <c r="MQP12" s="36"/>
      <c r="MQQ12" s="37"/>
      <c r="MQR12" s="36"/>
      <c r="MQS12" s="36"/>
      <c r="MQT12" s="37"/>
      <c r="MQU12" s="37"/>
      <c r="MQW12" s="22"/>
      <c r="MQX12" s="35"/>
      <c r="MQY12" s="36"/>
      <c r="MQZ12" s="37"/>
      <c r="MRA12" s="36"/>
      <c r="MRB12" s="37"/>
      <c r="MRC12" s="36"/>
      <c r="MRD12" s="37"/>
      <c r="MRE12" s="36"/>
      <c r="MRF12" s="37"/>
      <c r="MRG12" s="36"/>
      <c r="MRH12" s="37"/>
      <c r="MRI12" s="36"/>
      <c r="MRJ12" s="37"/>
      <c r="MRK12" s="36"/>
      <c r="MRL12" s="37"/>
      <c r="MRM12" s="36"/>
      <c r="MRN12" s="37"/>
      <c r="MRO12" s="36"/>
      <c r="MRP12" s="37"/>
      <c r="MRQ12" s="36"/>
      <c r="MRR12" s="36"/>
      <c r="MRS12" s="37"/>
      <c r="MRT12" s="37"/>
      <c r="MRV12" s="22"/>
      <c r="MRW12" s="35"/>
      <c r="MRX12" s="36"/>
      <c r="MRY12" s="37"/>
      <c r="MRZ12" s="36"/>
      <c r="MSA12" s="37"/>
      <c r="MSB12" s="36"/>
      <c r="MSC12" s="37"/>
      <c r="MSD12" s="36"/>
      <c r="MSE12" s="37"/>
      <c r="MSF12" s="36"/>
      <c r="MSG12" s="37"/>
      <c r="MSH12" s="36"/>
      <c r="MSI12" s="37"/>
      <c r="MSJ12" s="36"/>
      <c r="MSK12" s="37"/>
      <c r="MSL12" s="36"/>
      <c r="MSM12" s="37"/>
      <c r="MSN12" s="36"/>
      <c r="MSO12" s="37"/>
      <c r="MSP12" s="36"/>
      <c r="MSQ12" s="36"/>
      <c r="MSR12" s="37"/>
      <c r="MSS12" s="37"/>
      <c r="MSU12" s="22"/>
      <c r="MSV12" s="35"/>
      <c r="MSW12" s="36"/>
      <c r="MSX12" s="37"/>
      <c r="MSY12" s="36"/>
      <c r="MSZ12" s="37"/>
      <c r="MTA12" s="36"/>
      <c r="MTB12" s="37"/>
      <c r="MTC12" s="36"/>
      <c r="MTD12" s="37"/>
      <c r="MTE12" s="36"/>
      <c r="MTF12" s="37"/>
      <c r="MTG12" s="36"/>
      <c r="MTH12" s="37"/>
      <c r="MTI12" s="36"/>
      <c r="MTJ12" s="37"/>
      <c r="MTK12" s="36"/>
      <c r="MTL12" s="37"/>
      <c r="MTM12" s="36"/>
      <c r="MTN12" s="37"/>
      <c r="MTO12" s="36"/>
      <c r="MTP12" s="36"/>
      <c r="MTQ12" s="37"/>
      <c r="MTR12" s="37"/>
      <c r="MTT12" s="22"/>
      <c r="MTU12" s="35"/>
      <c r="MTV12" s="36"/>
      <c r="MTW12" s="37"/>
      <c r="MTX12" s="36"/>
      <c r="MTY12" s="37"/>
      <c r="MTZ12" s="36"/>
      <c r="MUA12" s="37"/>
      <c r="MUB12" s="36"/>
      <c r="MUC12" s="37"/>
      <c r="MUD12" s="36"/>
      <c r="MUE12" s="37"/>
      <c r="MUF12" s="36"/>
      <c r="MUG12" s="37"/>
      <c r="MUH12" s="36"/>
      <c r="MUI12" s="37"/>
      <c r="MUJ12" s="36"/>
      <c r="MUK12" s="37"/>
      <c r="MUL12" s="36"/>
      <c r="MUM12" s="37"/>
      <c r="MUN12" s="36"/>
      <c r="MUO12" s="36"/>
      <c r="MUP12" s="37"/>
      <c r="MUQ12" s="37"/>
      <c r="MUS12" s="22"/>
      <c r="MUT12" s="35"/>
      <c r="MUU12" s="36"/>
      <c r="MUV12" s="37"/>
      <c r="MUW12" s="36"/>
      <c r="MUX12" s="37"/>
      <c r="MUY12" s="36"/>
      <c r="MUZ12" s="37"/>
      <c r="MVA12" s="36"/>
      <c r="MVB12" s="37"/>
      <c r="MVC12" s="36"/>
      <c r="MVD12" s="37"/>
      <c r="MVE12" s="36"/>
      <c r="MVF12" s="37"/>
      <c r="MVG12" s="36"/>
      <c r="MVH12" s="37"/>
      <c r="MVI12" s="36"/>
      <c r="MVJ12" s="37"/>
      <c r="MVK12" s="36"/>
      <c r="MVL12" s="37"/>
      <c r="MVM12" s="36"/>
      <c r="MVN12" s="36"/>
      <c r="MVO12" s="37"/>
      <c r="MVP12" s="37"/>
      <c r="MVR12" s="22"/>
      <c r="MVS12" s="35"/>
      <c r="MVT12" s="36"/>
      <c r="MVU12" s="37"/>
      <c r="MVV12" s="36"/>
      <c r="MVW12" s="37"/>
      <c r="MVX12" s="36"/>
      <c r="MVY12" s="37"/>
      <c r="MVZ12" s="36"/>
      <c r="MWA12" s="37"/>
      <c r="MWB12" s="36"/>
      <c r="MWC12" s="37"/>
      <c r="MWD12" s="36"/>
      <c r="MWE12" s="37"/>
      <c r="MWF12" s="36"/>
      <c r="MWG12" s="37"/>
      <c r="MWH12" s="36"/>
      <c r="MWI12" s="37"/>
      <c r="MWJ12" s="36"/>
      <c r="MWK12" s="37"/>
      <c r="MWL12" s="36"/>
      <c r="MWM12" s="36"/>
      <c r="MWN12" s="37"/>
      <c r="MWO12" s="37"/>
      <c r="MWQ12" s="22"/>
      <c r="MWR12" s="35"/>
      <c r="MWS12" s="36"/>
      <c r="MWT12" s="37"/>
      <c r="MWU12" s="36"/>
      <c r="MWV12" s="37"/>
      <c r="MWW12" s="36"/>
      <c r="MWX12" s="37"/>
      <c r="MWY12" s="36"/>
      <c r="MWZ12" s="37"/>
      <c r="MXA12" s="36"/>
      <c r="MXB12" s="37"/>
      <c r="MXC12" s="36"/>
      <c r="MXD12" s="37"/>
      <c r="MXE12" s="36"/>
      <c r="MXF12" s="37"/>
      <c r="MXG12" s="36"/>
      <c r="MXH12" s="37"/>
      <c r="MXI12" s="36"/>
      <c r="MXJ12" s="37"/>
      <c r="MXK12" s="36"/>
      <c r="MXL12" s="36"/>
      <c r="MXM12" s="37"/>
      <c r="MXN12" s="37"/>
      <c r="MXP12" s="22"/>
      <c r="MXQ12" s="35"/>
      <c r="MXR12" s="36"/>
      <c r="MXS12" s="37"/>
      <c r="MXT12" s="36"/>
      <c r="MXU12" s="37"/>
      <c r="MXV12" s="36"/>
      <c r="MXW12" s="37"/>
      <c r="MXX12" s="36"/>
      <c r="MXY12" s="37"/>
      <c r="MXZ12" s="36"/>
      <c r="MYA12" s="37"/>
      <c r="MYB12" s="36"/>
      <c r="MYC12" s="37"/>
      <c r="MYD12" s="36"/>
      <c r="MYE12" s="37"/>
      <c r="MYF12" s="36"/>
      <c r="MYG12" s="37"/>
      <c r="MYH12" s="36"/>
      <c r="MYI12" s="37"/>
      <c r="MYJ12" s="36"/>
      <c r="MYK12" s="36"/>
      <c r="MYL12" s="37"/>
      <c r="MYM12" s="37"/>
      <c r="MYO12" s="22"/>
      <c r="MYP12" s="35"/>
      <c r="MYQ12" s="36"/>
      <c r="MYR12" s="37"/>
      <c r="MYS12" s="36"/>
      <c r="MYT12" s="37"/>
      <c r="MYU12" s="36"/>
      <c r="MYV12" s="37"/>
      <c r="MYW12" s="36"/>
      <c r="MYX12" s="37"/>
      <c r="MYY12" s="36"/>
      <c r="MYZ12" s="37"/>
      <c r="MZA12" s="36"/>
      <c r="MZB12" s="37"/>
      <c r="MZC12" s="36"/>
      <c r="MZD12" s="37"/>
      <c r="MZE12" s="36"/>
      <c r="MZF12" s="37"/>
      <c r="MZG12" s="36"/>
      <c r="MZH12" s="37"/>
      <c r="MZI12" s="36"/>
      <c r="MZJ12" s="36"/>
      <c r="MZK12" s="37"/>
      <c r="MZL12" s="37"/>
      <c r="MZN12" s="22"/>
      <c r="MZO12" s="35"/>
      <c r="MZP12" s="36"/>
      <c r="MZQ12" s="37"/>
      <c r="MZR12" s="36"/>
      <c r="MZS12" s="37"/>
      <c r="MZT12" s="36"/>
      <c r="MZU12" s="37"/>
      <c r="MZV12" s="36"/>
      <c r="MZW12" s="37"/>
      <c r="MZX12" s="36"/>
      <c r="MZY12" s="37"/>
      <c r="MZZ12" s="36"/>
      <c r="NAA12" s="37"/>
      <c r="NAB12" s="36"/>
      <c r="NAC12" s="37"/>
      <c r="NAD12" s="36"/>
      <c r="NAE12" s="37"/>
      <c r="NAF12" s="36"/>
      <c r="NAG12" s="37"/>
      <c r="NAH12" s="36"/>
      <c r="NAI12" s="36"/>
      <c r="NAJ12" s="37"/>
      <c r="NAK12" s="37"/>
      <c r="NAM12" s="22"/>
      <c r="NAN12" s="35"/>
      <c r="NAO12" s="36"/>
      <c r="NAP12" s="37"/>
      <c r="NAQ12" s="36"/>
      <c r="NAR12" s="37"/>
      <c r="NAS12" s="36"/>
      <c r="NAT12" s="37"/>
      <c r="NAU12" s="36"/>
      <c r="NAV12" s="37"/>
      <c r="NAW12" s="36"/>
      <c r="NAX12" s="37"/>
      <c r="NAY12" s="36"/>
      <c r="NAZ12" s="37"/>
      <c r="NBA12" s="36"/>
      <c r="NBB12" s="37"/>
      <c r="NBC12" s="36"/>
      <c r="NBD12" s="37"/>
      <c r="NBE12" s="36"/>
      <c r="NBF12" s="37"/>
      <c r="NBG12" s="36"/>
      <c r="NBH12" s="36"/>
      <c r="NBI12" s="37"/>
      <c r="NBJ12" s="37"/>
      <c r="NBL12" s="22"/>
      <c r="NBM12" s="35"/>
      <c r="NBN12" s="36"/>
      <c r="NBO12" s="37"/>
      <c r="NBP12" s="36"/>
      <c r="NBQ12" s="37"/>
      <c r="NBR12" s="36"/>
      <c r="NBS12" s="37"/>
      <c r="NBT12" s="36"/>
      <c r="NBU12" s="37"/>
      <c r="NBV12" s="36"/>
      <c r="NBW12" s="37"/>
      <c r="NBX12" s="36"/>
      <c r="NBY12" s="37"/>
      <c r="NBZ12" s="36"/>
      <c r="NCA12" s="37"/>
      <c r="NCB12" s="36"/>
      <c r="NCC12" s="37"/>
      <c r="NCD12" s="36"/>
      <c r="NCE12" s="37"/>
      <c r="NCF12" s="36"/>
      <c r="NCG12" s="36"/>
      <c r="NCH12" s="37"/>
      <c r="NCI12" s="37"/>
      <c r="NCK12" s="22"/>
      <c r="NCL12" s="35"/>
      <c r="NCM12" s="36"/>
      <c r="NCN12" s="37"/>
      <c r="NCO12" s="36"/>
      <c r="NCP12" s="37"/>
      <c r="NCQ12" s="36"/>
      <c r="NCR12" s="37"/>
      <c r="NCS12" s="36"/>
      <c r="NCT12" s="37"/>
      <c r="NCU12" s="36"/>
      <c r="NCV12" s="37"/>
      <c r="NCW12" s="36"/>
      <c r="NCX12" s="37"/>
      <c r="NCY12" s="36"/>
      <c r="NCZ12" s="37"/>
      <c r="NDA12" s="36"/>
      <c r="NDB12" s="37"/>
      <c r="NDC12" s="36"/>
      <c r="NDD12" s="37"/>
      <c r="NDE12" s="36"/>
      <c r="NDF12" s="36"/>
      <c r="NDG12" s="37"/>
      <c r="NDH12" s="37"/>
      <c r="NDJ12" s="22"/>
      <c r="NDK12" s="35"/>
      <c r="NDL12" s="36"/>
      <c r="NDM12" s="37"/>
      <c r="NDN12" s="36"/>
      <c r="NDO12" s="37"/>
      <c r="NDP12" s="36"/>
      <c r="NDQ12" s="37"/>
      <c r="NDR12" s="36"/>
      <c r="NDS12" s="37"/>
      <c r="NDT12" s="36"/>
      <c r="NDU12" s="37"/>
      <c r="NDV12" s="36"/>
      <c r="NDW12" s="37"/>
      <c r="NDX12" s="36"/>
      <c r="NDY12" s="37"/>
      <c r="NDZ12" s="36"/>
      <c r="NEA12" s="37"/>
      <c r="NEB12" s="36"/>
      <c r="NEC12" s="37"/>
      <c r="NED12" s="36"/>
      <c r="NEE12" s="36"/>
      <c r="NEF12" s="37"/>
      <c r="NEG12" s="37"/>
      <c r="NEI12" s="22"/>
      <c r="NEJ12" s="35"/>
      <c r="NEK12" s="36"/>
      <c r="NEL12" s="37"/>
      <c r="NEM12" s="36"/>
      <c r="NEN12" s="37"/>
      <c r="NEO12" s="36"/>
      <c r="NEP12" s="37"/>
      <c r="NEQ12" s="36"/>
      <c r="NER12" s="37"/>
      <c r="NES12" s="36"/>
      <c r="NET12" s="37"/>
      <c r="NEU12" s="36"/>
      <c r="NEV12" s="37"/>
      <c r="NEW12" s="36"/>
      <c r="NEX12" s="37"/>
      <c r="NEY12" s="36"/>
      <c r="NEZ12" s="37"/>
      <c r="NFA12" s="36"/>
      <c r="NFB12" s="37"/>
      <c r="NFC12" s="36"/>
      <c r="NFD12" s="36"/>
      <c r="NFE12" s="37"/>
      <c r="NFF12" s="37"/>
      <c r="NFH12" s="22"/>
      <c r="NFI12" s="35"/>
      <c r="NFJ12" s="36"/>
      <c r="NFK12" s="37"/>
      <c r="NFL12" s="36"/>
      <c r="NFM12" s="37"/>
      <c r="NFN12" s="36"/>
      <c r="NFO12" s="37"/>
      <c r="NFP12" s="36"/>
      <c r="NFQ12" s="37"/>
      <c r="NFR12" s="36"/>
      <c r="NFS12" s="37"/>
      <c r="NFT12" s="36"/>
      <c r="NFU12" s="37"/>
      <c r="NFV12" s="36"/>
      <c r="NFW12" s="37"/>
      <c r="NFX12" s="36"/>
      <c r="NFY12" s="37"/>
      <c r="NFZ12" s="36"/>
      <c r="NGA12" s="37"/>
      <c r="NGB12" s="36"/>
      <c r="NGC12" s="36"/>
      <c r="NGD12" s="37"/>
      <c r="NGE12" s="37"/>
      <c r="NGG12" s="22"/>
      <c r="NGH12" s="35"/>
      <c r="NGI12" s="36"/>
      <c r="NGJ12" s="37"/>
      <c r="NGK12" s="36"/>
      <c r="NGL12" s="37"/>
      <c r="NGM12" s="36"/>
      <c r="NGN12" s="37"/>
      <c r="NGO12" s="36"/>
      <c r="NGP12" s="37"/>
      <c r="NGQ12" s="36"/>
      <c r="NGR12" s="37"/>
      <c r="NGS12" s="36"/>
      <c r="NGT12" s="37"/>
      <c r="NGU12" s="36"/>
      <c r="NGV12" s="37"/>
      <c r="NGW12" s="36"/>
      <c r="NGX12" s="37"/>
      <c r="NGY12" s="36"/>
      <c r="NGZ12" s="37"/>
      <c r="NHA12" s="36"/>
      <c r="NHB12" s="36"/>
      <c r="NHC12" s="37"/>
      <c r="NHD12" s="37"/>
      <c r="NHF12" s="22"/>
      <c r="NHG12" s="35"/>
      <c r="NHH12" s="36"/>
      <c r="NHI12" s="37"/>
      <c r="NHJ12" s="36"/>
      <c r="NHK12" s="37"/>
      <c r="NHL12" s="36"/>
      <c r="NHM12" s="37"/>
      <c r="NHN12" s="36"/>
      <c r="NHO12" s="37"/>
      <c r="NHP12" s="36"/>
      <c r="NHQ12" s="37"/>
      <c r="NHR12" s="36"/>
      <c r="NHS12" s="37"/>
      <c r="NHT12" s="36"/>
      <c r="NHU12" s="37"/>
      <c r="NHV12" s="36"/>
      <c r="NHW12" s="37"/>
      <c r="NHX12" s="36"/>
      <c r="NHY12" s="37"/>
      <c r="NHZ12" s="36"/>
      <c r="NIA12" s="36"/>
      <c r="NIB12" s="37"/>
      <c r="NIC12" s="37"/>
      <c r="NIE12" s="22"/>
      <c r="NIF12" s="35"/>
      <c r="NIG12" s="36"/>
      <c r="NIH12" s="37"/>
      <c r="NII12" s="36"/>
      <c r="NIJ12" s="37"/>
      <c r="NIK12" s="36"/>
      <c r="NIL12" s="37"/>
      <c r="NIM12" s="36"/>
      <c r="NIN12" s="37"/>
      <c r="NIO12" s="36"/>
      <c r="NIP12" s="37"/>
      <c r="NIQ12" s="36"/>
      <c r="NIR12" s="37"/>
      <c r="NIS12" s="36"/>
      <c r="NIT12" s="37"/>
      <c r="NIU12" s="36"/>
      <c r="NIV12" s="37"/>
      <c r="NIW12" s="36"/>
      <c r="NIX12" s="37"/>
      <c r="NIY12" s="36"/>
      <c r="NIZ12" s="36"/>
      <c r="NJA12" s="37"/>
      <c r="NJB12" s="37"/>
      <c r="NJD12" s="22"/>
      <c r="NJE12" s="35"/>
      <c r="NJF12" s="36"/>
      <c r="NJG12" s="37"/>
      <c r="NJH12" s="36"/>
      <c r="NJI12" s="37"/>
      <c r="NJJ12" s="36"/>
      <c r="NJK12" s="37"/>
      <c r="NJL12" s="36"/>
      <c r="NJM12" s="37"/>
      <c r="NJN12" s="36"/>
      <c r="NJO12" s="37"/>
      <c r="NJP12" s="36"/>
      <c r="NJQ12" s="37"/>
      <c r="NJR12" s="36"/>
      <c r="NJS12" s="37"/>
      <c r="NJT12" s="36"/>
      <c r="NJU12" s="37"/>
      <c r="NJV12" s="36"/>
      <c r="NJW12" s="37"/>
      <c r="NJX12" s="36"/>
      <c r="NJY12" s="36"/>
      <c r="NJZ12" s="37"/>
      <c r="NKA12" s="37"/>
      <c r="NKC12" s="22"/>
      <c r="NKD12" s="35"/>
      <c r="NKE12" s="36"/>
      <c r="NKF12" s="37"/>
      <c r="NKG12" s="36"/>
      <c r="NKH12" s="37"/>
      <c r="NKI12" s="36"/>
      <c r="NKJ12" s="37"/>
      <c r="NKK12" s="36"/>
      <c r="NKL12" s="37"/>
      <c r="NKM12" s="36"/>
      <c r="NKN12" s="37"/>
      <c r="NKO12" s="36"/>
      <c r="NKP12" s="37"/>
      <c r="NKQ12" s="36"/>
      <c r="NKR12" s="37"/>
      <c r="NKS12" s="36"/>
      <c r="NKT12" s="37"/>
      <c r="NKU12" s="36"/>
      <c r="NKV12" s="37"/>
      <c r="NKW12" s="36"/>
      <c r="NKX12" s="36"/>
      <c r="NKY12" s="37"/>
      <c r="NKZ12" s="37"/>
      <c r="NLB12" s="22"/>
      <c r="NLC12" s="35"/>
      <c r="NLD12" s="36"/>
      <c r="NLE12" s="37"/>
      <c r="NLF12" s="36"/>
      <c r="NLG12" s="37"/>
      <c r="NLH12" s="36"/>
      <c r="NLI12" s="37"/>
      <c r="NLJ12" s="36"/>
      <c r="NLK12" s="37"/>
      <c r="NLL12" s="36"/>
      <c r="NLM12" s="37"/>
      <c r="NLN12" s="36"/>
      <c r="NLO12" s="37"/>
      <c r="NLP12" s="36"/>
      <c r="NLQ12" s="37"/>
      <c r="NLR12" s="36"/>
      <c r="NLS12" s="37"/>
      <c r="NLT12" s="36"/>
      <c r="NLU12" s="37"/>
      <c r="NLV12" s="36"/>
      <c r="NLW12" s="36"/>
      <c r="NLX12" s="37"/>
      <c r="NLY12" s="37"/>
      <c r="NMA12" s="22"/>
      <c r="NMB12" s="35"/>
      <c r="NMC12" s="36"/>
      <c r="NMD12" s="37"/>
      <c r="NME12" s="36"/>
      <c r="NMF12" s="37"/>
      <c r="NMG12" s="36"/>
      <c r="NMH12" s="37"/>
      <c r="NMI12" s="36"/>
      <c r="NMJ12" s="37"/>
      <c r="NMK12" s="36"/>
      <c r="NML12" s="37"/>
      <c r="NMM12" s="36"/>
      <c r="NMN12" s="37"/>
      <c r="NMO12" s="36"/>
      <c r="NMP12" s="37"/>
      <c r="NMQ12" s="36"/>
      <c r="NMR12" s="37"/>
      <c r="NMS12" s="36"/>
      <c r="NMT12" s="37"/>
      <c r="NMU12" s="36"/>
      <c r="NMV12" s="36"/>
      <c r="NMW12" s="37"/>
      <c r="NMX12" s="37"/>
      <c r="NMZ12" s="22"/>
      <c r="NNA12" s="35"/>
      <c r="NNB12" s="36"/>
      <c r="NNC12" s="37"/>
      <c r="NND12" s="36"/>
      <c r="NNE12" s="37"/>
      <c r="NNF12" s="36"/>
      <c r="NNG12" s="37"/>
      <c r="NNH12" s="36"/>
      <c r="NNI12" s="37"/>
      <c r="NNJ12" s="36"/>
      <c r="NNK12" s="37"/>
      <c r="NNL12" s="36"/>
      <c r="NNM12" s="37"/>
      <c r="NNN12" s="36"/>
      <c r="NNO12" s="37"/>
      <c r="NNP12" s="36"/>
      <c r="NNQ12" s="37"/>
      <c r="NNR12" s="36"/>
      <c r="NNS12" s="37"/>
      <c r="NNT12" s="36"/>
      <c r="NNU12" s="36"/>
      <c r="NNV12" s="37"/>
      <c r="NNW12" s="37"/>
      <c r="NNY12" s="22"/>
      <c r="NNZ12" s="35"/>
      <c r="NOA12" s="36"/>
      <c r="NOB12" s="37"/>
      <c r="NOC12" s="36"/>
      <c r="NOD12" s="37"/>
      <c r="NOE12" s="36"/>
      <c r="NOF12" s="37"/>
      <c r="NOG12" s="36"/>
      <c r="NOH12" s="37"/>
      <c r="NOI12" s="36"/>
      <c r="NOJ12" s="37"/>
      <c r="NOK12" s="36"/>
      <c r="NOL12" s="37"/>
      <c r="NOM12" s="36"/>
      <c r="NON12" s="37"/>
      <c r="NOO12" s="36"/>
      <c r="NOP12" s="37"/>
      <c r="NOQ12" s="36"/>
      <c r="NOR12" s="37"/>
      <c r="NOS12" s="36"/>
      <c r="NOT12" s="36"/>
      <c r="NOU12" s="37"/>
      <c r="NOV12" s="37"/>
      <c r="NOX12" s="22"/>
      <c r="NOY12" s="35"/>
      <c r="NOZ12" s="36"/>
      <c r="NPA12" s="37"/>
      <c r="NPB12" s="36"/>
      <c r="NPC12" s="37"/>
      <c r="NPD12" s="36"/>
      <c r="NPE12" s="37"/>
      <c r="NPF12" s="36"/>
      <c r="NPG12" s="37"/>
      <c r="NPH12" s="36"/>
      <c r="NPI12" s="37"/>
      <c r="NPJ12" s="36"/>
      <c r="NPK12" s="37"/>
      <c r="NPL12" s="36"/>
      <c r="NPM12" s="37"/>
      <c r="NPN12" s="36"/>
      <c r="NPO12" s="37"/>
      <c r="NPP12" s="36"/>
      <c r="NPQ12" s="37"/>
      <c r="NPR12" s="36"/>
      <c r="NPS12" s="36"/>
      <c r="NPT12" s="37"/>
      <c r="NPU12" s="37"/>
      <c r="NPW12" s="22"/>
      <c r="NPX12" s="35"/>
      <c r="NPY12" s="36"/>
      <c r="NPZ12" s="37"/>
      <c r="NQA12" s="36"/>
      <c r="NQB12" s="37"/>
      <c r="NQC12" s="36"/>
      <c r="NQD12" s="37"/>
      <c r="NQE12" s="36"/>
      <c r="NQF12" s="37"/>
      <c r="NQG12" s="36"/>
      <c r="NQH12" s="37"/>
      <c r="NQI12" s="36"/>
      <c r="NQJ12" s="37"/>
      <c r="NQK12" s="36"/>
      <c r="NQL12" s="37"/>
      <c r="NQM12" s="36"/>
      <c r="NQN12" s="37"/>
      <c r="NQO12" s="36"/>
      <c r="NQP12" s="37"/>
      <c r="NQQ12" s="36"/>
      <c r="NQR12" s="36"/>
      <c r="NQS12" s="37"/>
      <c r="NQT12" s="37"/>
      <c r="NQV12" s="22"/>
      <c r="NQW12" s="35"/>
      <c r="NQX12" s="36"/>
      <c r="NQY12" s="37"/>
      <c r="NQZ12" s="36"/>
      <c r="NRA12" s="37"/>
      <c r="NRB12" s="36"/>
      <c r="NRC12" s="37"/>
      <c r="NRD12" s="36"/>
      <c r="NRE12" s="37"/>
      <c r="NRF12" s="36"/>
      <c r="NRG12" s="37"/>
      <c r="NRH12" s="36"/>
      <c r="NRI12" s="37"/>
      <c r="NRJ12" s="36"/>
      <c r="NRK12" s="37"/>
      <c r="NRL12" s="36"/>
      <c r="NRM12" s="37"/>
      <c r="NRN12" s="36"/>
      <c r="NRO12" s="37"/>
      <c r="NRP12" s="36"/>
      <c r="NRQ12" s="36"/>
      <c r="NRR12" s="37"/>
      <c r="NRS12" s="37"/>
      <c r="NRU12" s="22"/>
      <c r="NRV12" s="35"/>
      <c r="NRW12" s="36"/>
      <c r="NRX12" s="37"/>
      <c r="NRY12" s="36"/>
      <c r="NRZ12" s="37"/>
      <c r="NSA12" s="36"/>
      <c r="NSB12" s="37"/>
      <c r="NSC12" s="36"/>
      <c r="NSD12" s="37"/>
      <c r="NSE12" s="36"/>
      <c r="NSF12" s="37"/>
      <c r="NSG12" s="36"/>
      <c r="NSH12" s="37"/>
      <c r="NSI12" s="36"/>
      <c r="NSJ12" s="37"/>
      <c r="NSK12" s="36"/>
      <c r="NSL12" s="37"/>
      <c r="NSM12" s="36"/>
      <c r="NSN12" s="37"/>
      <c r="NSO12" s="36"/>
      <c r="NSP12" s="36"/>
      <c r="NSQ12" s="37"/>
      <c r="NSR12" s="37"/>
      <c r="NST12" s="22"/>
      <c r="NSU12" s="35"/>
      <c r="NSV12" s="36"/>
      <c r="NSW12" s="37"/>
      <c r="NSX12" s="36"/>
      <c r="NSY12" s="37"/>
      <c r="NSZ12" s="36"/>
      <c r="NTA12" s="37"/>
      <c r="NTB12" s="36"/>
      <c r="NTC12" s="37"/>
      <c r="NTD12" s="36"/>
      <c r="NTE12" s="37"/>
      <c r="NTF12" s="36"/>
      <c r="NTG12" s="37"/>
      <c r="NTH12" s="36"/>
      <c r="NTI12" s="37"/>
      <c r="NTJ12" s="36"/>
      <c r="NTK12" s="37"/>
      <c r="NTL12" s="36"/>
      <c r="NTM12" s="37"/>
      <c r="NTN12" s="36"/>
      <c r="NTO12" s="36"/>
      <c r="NTP12" s="37"/>
      <c r="NTQ12" s="37"/>
      <c r="NTS12" s="22"/>
      <c r="NTT12" s="35"/>
      <c r="NTU12" s="36"/>
      <c r="NTV12" s="37"/>
      <c r="NTW12" s="36"/>
      <c r="NTX12" s="37"/>
      <c r="NTY12" s="36"/>
      <c r="NTZ12" s="37"/>
      <c r="NUA12" s="36"/>
      <c r="NUB12" s="37"/>
      <c r="NUC12" s="36"/>
      <c r="NUD12" s="37"/>
      <c r="NUE12" s="36"/>
      <c r="NUF12" s="37"/>
      <c r="NUG12" s="36"/>
      <c r="NUH12" s="37"/>
      <c r="NUI12" s="36"/>
      <c r="NUJ12" s="37"/>
      <c r="NUK12" s="36"/>
      <c r="NUL12" s="37"/>
      <c r="NUM12" s="36"/>
      <c r="NUN12" s="36"/>
      <c r="NUO12" s="37"/>
      <c r="NUP12" s="37"/>
      <c r="NUR12" s="22"/>
      <c r="NUS12" s="35"/>
      <c r="NUT12" s="36"/>
      <c r="NUU12" s="37"/>
      <c r="NUV12" s="36"/>
      <c r="NUW12" s="37"/>
      <c r="NUX12" s="36"/>
      <c r="NUY12" s="37"/>
      <c r="NUZ12" s="36"/>
      <c r="NVA12" s="37"/>
      <c r="NVB12" s="36"/>
      <c r="NVC12" s="37"/>
      <c r="NVD12" s="36"/>
      <c r="NVE12" s="37"/>
      <c r="NVF12" s="36"/>
      <c r="NVG12" s="37"/>
      <c r="NVH12" s="36"/>
      <c r="NVI12" s="37"/>
      <c r="NVJ12" s="36"/>
      <c r="NVK12" s="37"/>
      <c r="NVL12" s="36"/>
      <c r="NVM12" s="36"/>
      <c r="NVN12" s="37"/>
      <c r="NVO12" s="37"/>
      <c r="NVQ12" s="22"/>
      <c r="NVR12" s="35"/>
      <c r="NVS12" s="36"/>
      <c r="NVT12" s="37"/>
      <c r="NVU12" s="36"/>
      <c r="NVV12" s="37"/>
      <c r="NVW12" s="36"/>
      <c r="NVX12" s="37"/>
      <c r="NVY12" s="36"/>
      <c r="NVZ12" s="37"/>
      <c r="NWA12" s="36"/>
      <c r="NWB12" s="37"/>
      <c r="NWC12" s="36"/>
      <c r="NWD12" s="37"/>
      <c r="NWE12" s="36"/>
      <c r="NWF12" s="37"/>
      <c r="NWG12" s="36"/>
      <c r="NWH12" s="37"/>
      <c r="NWI12" s="36"/>
      <c r="NWJ12" s="37"/>
      <c r="NWK12" s="36"/>
      <c r="NWL12" s="36"/>
      <c r="NWM12" s="37"/>
      <c r="NWN12" s="37"/>
      <c r="NWP12" s="22"/>
      <c r="NWQ12" s="35"/>
      <c r="NWR12" s="36"/>
      <c r="NWS12" s="37"/>
      <c r="NWT12" s="36"/>
      <c r="NWU12" s="37"/>
      <c r="NWV12" s="36"/>
      <c r="NWW12" s="37"/>
      <c r="NWX12" s="36"/>
      <c r="NWY12" s="37"/>
      <c r="NWZ12" s="36"/>
      <c r="NXA12" s="37"/>
      <c r="NXB12" s="36"/>
      <c r="NXC12" s="37"/>
      <c r="NXD12" s="36"/>
      <c r="NXE12" s="37"/>
      <c r="NXF12" s="36"/>
      <c r="NXG12" s="37"/>
      <c r="NXH12" s="36"/>
      <c r="NXI12" s="37"/>
      <c r="NXJ12" s="36"/>
      <c r="NXK12" s="36"/>
      <c r="NXL12" s="37"/>
      <c r="NXM12" s="37"/>
      <c r="NXO12" s="22"/>
      <c r="NXP12" s="35"/>
      <c r="NXQ12" s="36"/>
      <c r="NXR12" s="37"/>
      <c r="NXS12" s="36"/>
      <c r="NXT12" s="37"/>
      <c r="NXU12" s="36"/>
      <c r="NXV12" s="37"/>
      <c r="NXW12" s="36"/>
      <c r="NXX12" s="37"/>
      <c r="NXY12" s="36"/>
      <c r="NXZ12" s="37"/>
      <c r="NYA12" s="36"/>
      <c r="NYB12" s="37"/>
      <c r="NYC12" s="36"/>
      <c r="NYD12" s="37"/>
      <c r="NYE12" s="36"/>
      <c r="NYF12" s="37"/>
      <c r="NYG12" s="36"/>
      <c r="NYH12" s="37"/>
      <c r="NYI12" s="36"/>
      <c r="NYJ12" s="36"/>
      <c r="NYK12" s="37"/>
      <c r="NYL12" s="37"/>
      <c r="NYN12" s="22"/>
      <c r="NYO12" s="35"/>
      <c r="NYP12" s="36"/>
      <c r="NYQ12" s="37"/>
      <c r="NYR12" s="36"/>
      <c r="NYS12" s="37"/>
      <c r="NYT12" s="36"/>
      <c r="NYU12" s="37"/>
      <c r="NYV12" s="36"/>
      <c r="NYW12" s="37"/>
      <c r="NYX12" s="36"/>
      <c r="NYY12" s="37"/>
      <c r="NYZ12" s="36"/>
      <c r="NZA12" s="37"/>
      <c r="NZB12" s="36"/>
      <c r="NZC12" s="37"/>
      <c r="NZD12" s="36"/>
      <c r="NZE12" s="37"/>
      <c r="NZF12" s="36"/>
      <c r="NZG12" s="37"/>
      <c r="NZH12" s="36"/>
      <c r="NZI12" s="36"/>
      <c r="NZJ12" s="37"/>
      <c r="NZK12" s="37"/>
      <c r="NZM12" s="22"/>
      <c r="NZN12" s="35"/>
      <c r="NZO12" s="36"/>
      <c r="NZP12" s="37"/>
      <c r="NZQ12" s="36"/>
      <c r="NZR12" s="37"/>
      <c r="NZS12" s="36"/>
      <c r="NZT12" s="37"/>
      <c r="NZU12" s="36"/>
      <c r="NZV12" s="37"/>
      <c r="NZW12" s="36"/>
      <c r="NZX12" s="37"/>
      <c r="NZY12" s="36"/>
      <c r="NZZ12" s="37"/>
      <c r="OAA12" s="36"/>
      <c r="OAB12" s="37"/>
      <c r="OAC12" s="36"/>
      <c r="OAD12" s="37"/>
      <c r="OAE12" s="36"/>
      <c r="OAF12" s="37"/>
      <c r="OAG12" s="36"/>
      <c r="OAH12" s="36"/>
      <c r="OAI12" s="37"/>
      <c r="OAJ12" s="37"/>
      <c r="OAL12" s="22"/>
      <c r="OAM12" s="35"/>
      <c r="OAN12" s="36"/>
      <c r="OAO12" s="37"/>
      <c r="OAP12" s="36"/>
      <c r="OAQ12" s="37"/>
      <c r="OAR12" s="36"/>
      <c r="OAS12" s="37"/>
      <c r="OAT12" s="36"/>
      <c r="OAU12" s="37"/>
      <c r="OAV12" s="36"/>
      <c r="OAW12" s="37"/>
      <c r="OAX12" s="36"/>
      <c r="OAY12" s="37"/>
      <c r="OAZ12" s="36"/>
      <c r="OBA12" s="37"/>
      <c r="OBB12" s="36"/>
      <c r="OBC12" s="37"/>
      <c r="OBD12" s="36"/>
      <c r="OBE12" s="37"/>
      <c r="OBF12" s="36"/>
      <c r="OBG12" s="36"/>
      <c r="OBH12" s="37"/>
      <c r="OBI12" s="37"/>
      <c r="OBK12" s="22"/>
      <c r="OBL12" s="35"/>
      <c r="OBM12" s="36"/>
      <c r="OBN12" s="37"/>
      <c r="OBO12" s="36"/>
      <c r="OBP12" s="37"/>
      <c r="OBQ12" s="36"/>
      <c r="OBR12" s="37"/>
      <c r="OBS12" s="36"/>
      <c r="OBT12" s="37"/>
      <c r="OBU12" s="36"/>
      <c r="OBV12" s="37"/>
      <c r="OBW12" s="36"/>
      <c r="OBX12" s="37"/>
      <c r="OBY12" s="36"/>
      <c r="OBZ12" s="37"/>
      <c r="OCA12" s="36"/>
      <c r="OCB12" s="37"/>
      <c r="OCC12" s="36"/>
      <c r="OCD12" s="37"/>
      <c r="OCE12" s="36"/>
      <c r="OCF12" s="36"/>
      <c r="OCG12" s="37"/>
      <c r="OCH12" s="37"/>
      <c r="OCJ12" s="22"/>
      <c r="OCK12" s="35"/>
      <c r="OCL12" s="36"/>
      <c r="OCM12" s="37"/>
      <c r="OCN12" s="36"/>
      <c r="OCO12" s="37"/>
      <c r="OCP12" s="36"/>
      <c r="OCQ12" s="37"/>
      <c r="OCR12" s="36"/>
      <c r="OCS12" s="37"/>
      <c r="OCT12" s="36"/>
      <c r="OCU12" s="37"/>
      <c r="OCV12" s="36"/>
      <c r="OCW12" s="37"/>
      <c r="OCX12" s="36"/>
      <c r="OCY12" s="37"/>
      <c r="OCZ12" s="36"/>
      <c r="ODA12" s="37"/>
      <c r="ODB12" s="36"/>
      <c r="ODC12" s="37"/>
      <c r="ODD12" s="36"/>
      <c r="ODE12" s="36"/>
      <c r="ODF12" s="37"/>
      <c r="ODG12" s="37"/>
      <c r="ODI12" s="22"/>
      <c r="ODJ12" s="35"/>
      <c r="ODK12" s="36"/>
      <c r="ODL12" s="37"/>
      <c r="ODM12" s="36"/>
      <c r="ODN12" s="37"/>
      <c r="ODO12" s="36"/>
      <c r="ODP12" s="37"/>
      <c r="ODQ12" s="36"/>
      <c r="ODR12" s="37"/>
      <c r="ODS12" s="36"/>
      <c r="ODT12" s="37"/>
      <c r="ODU12" s="36"/>
      <c r="ODV12" s="37"/>
      <c r="ODW12" s="36"/>
      <c r="ODX12" s="37"/>
      <c r="ODY12" s="36"/>
      <c r="ODZ12" s="37"/>
      <c r="OEA12" s="36"/>
      <c r="OEB12" s="37"/>
      <c r="OEC12" s="36"/>
      <c r="OED12" s="36"/>
      <c r="OEE12" s="37"/>
      <c r="OEF12" s="37"/>
      <c r="OEH12" s="22"/>
      <c r="OEI12" s="35"/>
      <c r="OEJ12" s="36"/>
      <c r="OEK12" s="37"/>
      <c r="OEL12" s="36"/>
      <c r="OEM12" s="37"/>
      <c r="OEN12" s="36"/>
      <c r="OEO12" s="37"/>
      <c r="OEP12" s="36"/>
      <c r="OEQ12" s="37"/>
      <c r="OER12" s="36"/>
      <c r="OES12" s="37"/>
      <c r="OET12" s="36"/>
      <c r="OEU12" s="37"/>
      <c r="OEV12" s="36"/>
      <c r="OEW12" s="37"/>
      <c r="OEX12" s="36"/>
      <c r="OEY12" s="37"/>
      <c r="OEZ12" s="36"/>
      <c r="OFA12" s="37"/>
      <c r="OFB12" s="36"/>
      <c r="OFC12" s="36"/>
      <c r="OFD12" s="37"/>
      <c r="OFE12" s="37"/>
      <c r="OFG12" s="22"/>
      <c r="OFH12" s="35"/>
      <c r="OFI12" s="36"/>
      <c r="OFJ12" s="37"/>
      <c r="OFK12" s="36"/>
      <c r="OFL12" s="37"/>
      <c r="OFM12" s="36"/>
      <c r="OFN12" s="37"/>
      <c r="OFO12" s="36"/>
      <c r="OFP12" s="37"/>
      <c r="OFQ12" s="36"/>
      <c r="OFR12" s="37"/>
      <c r="OFS12" s="36"/>
      <c r="OFT12" s="37"/>
      <c r="OFU12" s="36"/>
      <c r="OFV12" s="37"/>
      <c r="OFW12" s="36"/>
      <c r="OFX12" s="37"/>
      <c r="OFY12" s="36"/>
      <c r="OFZ12" s="37"/>
      <c r="OGA12" s="36"/>
      <c r="OGB12" s="36"/>
      <c r="OGC12" s="37"/>
      <c r="OGD12" s="37"/>
      <c r="OGF12" s="22"/>
      <c r="OGG12" s="35"/>
      <c r="OGH12" s="36"/>
      <c r="OGI12" s="37"/>
      <c r="OGJ12" s="36"/>
      <c r="OGK12" s="37"/>
      <c r="OGL12" s="36"/>
      <c r="OGM12" s="37"/>
      <c r="OGN12" s="36"/>
      <c r="OGO12" s="37"/>
      <c r="OGP12" s="36"/>
      <c r="OGQ12" s="37"/>
      <c r="OGR12" s="36"/>
      <c r="OGS12" s="37"/>
      <c r="OGT12" s="36"/>
      <c r="OGU12" s="37"/>
      <c r="OGV12" s="36"/>
      <c r="OGW12" s="37"/>
      <c r="OGX12" s="36"/>
      <c r="OGY12" s="37"/>
      <c r="OGZ12" s="36"/>
      <c r="OHA12" s="36"/>
      <c r="OHB12" s="37"/>
      <c r="OHC12" s="37"/>
      <c r="OHE12" s="22"/>
      <c r="OHF12" s="35"/>
      <c r="OHG12" s="36"/>
      <c r="OHH12" s="37"/>
      <c r="OHI12" s="36"/>
      <c r="OHJ12" s="37"/>
      <c r="OHK12" s="36"/>
      <c r="OHL12" s="37"/>
      <c r="OHM12" s="36"/>
      <c r="OHN12" s="37"/>
      <c r="OHO12" s="36"/>
      <c r="OHP12" s="37"/>
      <c r="OHQ12" s="36"/>
      <c r="OHR12" s="37"/>
      <c r="OHS12" s="36"/>
      <c r="OHT12" s="37"/>
      <c r="OHU12" s="36"/>
      <c r="OHV12" s="37"/>
      <c r="OHW12" s="36"/>
      <c r="OHX12" s="37"/>
      <c r="OHY12" s="36"/>
      <c r="OHZ12" s="36"/>
      <c r="OIA12" s="37"/>
      <c r="OIB12" s="37"/>
      <c r="OID12" s="22"/>
      <c r="OIE12" s="35"/>
      <c r="OIF12" s="36"/>
      <c r="OIG12" s="37"/>
      <c r="OIH12" s="36"/>
      <c r="OII12" s="37"/>
      <c r="OIJ12" s="36"/>
      <c r="OIK12" s="37"/>
      <c r="OIL12" s="36"/>
      <c r="OIM12" s="37"/>
      <c r="OIN12" s="36"/>
      <c r="OIO12" s="37"/>
      <c r="OIP12" s="36"/>
      <c r="OIQ12" s="37"/>
      <c r="OIR12" s="36"/>
      <c r="OIS12" s="37"/>
      <c r="OIT12" s="36"/>
      <c r="OIU12" s="37"/>
      <c r="OIV12" s="36"/>
      <c r="OIW12" s="37"/>
      <c r="OIX12" s="36"/>
      <c r="OIY12" s="36"/>
      <c r="OIZ12" s="37"/>
      <c r="OJA12" s="37"/>
      <c r="OJC12" s="22"/>
      <c r="OJD12" s="35"/>
      <c r="OJE12" s="36"/>
      <c r="OJF12" s="37"/>
      <c r="OJG12" s="36"/>
      <c r="OJH12" s="37"/>
      <c r="OJI12" s="36"/>
      <c r="OJJ12" s="37"/>
      <c r="OJK12" s="36"/>
      <c r="OJL12" s="37"/>
      <c r="OJM12" s="36"/>
      <c r="OJN12" s="37"/>
      <c r="OJO12" s="36"/>
      <c r="OJP12" s="37"/>
      <c r="OJQ12" s="36"/>
      <c r="OJR12" s="37"/>
      <c r="OJS12" s="36"/>
      <c r="OJT12" s="37"/>
      <c r="OJU12" s="36"/>
      <c r="OJV12" s="37"/>
      <c r="OJW12" s="36"/>
      <c r="OJX12" s="36"/>
      <c r="OJY12" s="37"/>
      <c r="OJZ12" s="37"/>
      <c r="OKB12" s="22"/>
      <c r="OKC12" s="35"/>
      <c r="OKD12" s="36"/>
      <c r="OKE12" s="37"/>
      <c r="OKF12" s="36"/>
      <c r="OKG12" s="37"/>
      <c r="OKH12" s="36"/>
      <c r="OKI12" s="37"/>
      <c r="OKJ12" s="36"/>
      <c r="OKK12" s="37"/>
      <c r="OKL12" s="36"/>
      <c r="OKM12" s="37"/>
      <c r="OKN12" s="36"/>
      <c r="OKO12" s="37"/>
      <c r="OKP12" s="36"/>
      <c r="OKQ12" s="37"/>
      <c r="OKR12" s="36"/>
      <c r="OKS12" s="37"/>
      <c r="OKT12" s="36"/>
      <c r="OKU12" s="37"/>
      <c r="OKV12" s="36"/>
      <c r="OKW12" s="36"/>
      <c r="OKX12" s="37"/>
      <c r="OKY12" s="37"/>
      <c r="OLA12" s="22"/>
      <c r="OLB12" s="35"/>
      <c r="OLC12" s="36"/>
      <c r="OLD12" s="37"/>
      <c r="OLE12" s="36"/>
      <c r="OLF12" s="37"/>
      <c r="OLG12" s="36"/>
      <c r="OLH12" s="37"/>
      <c r="OLI12" s="36"/>
      <c r="OLJ12" s="37"/>
      <c r="OLK12" s="36"/>
      <c r="OLL12" s="37"/>
      <c r="OLM12" s="36"/>
      <c r="OLN12" s="37"/>
      <c r="OLO12" s="36"/>
      <c r="OLP12" s="37"/>
      <c r="OLQ12" s="36"/>
      <c r="OLR12" s="37"/>
      <c r="OLS12" s="36"/>
      <c r="OLT12" s="37"/>
      <c r="OLU12" s="36"/>
      <c r="OLV12" s="36"/>
      <c r="OLW12" s="37"/>
      <c r="OLX12" s="37"/>
      <c r="OLZ12" s="22"/>
      <c r="OMA12" s="35"/>
      <c r="OMB12" s="36"/>
      <c r="OMC12" s="37"/>
      <c r="OMD12" s="36"/>
      <c r="OME12" s="37"/>
      <c r="OMF12" s="36"/>
      <c r="OMG12" s="37"/>
      <c r="OMH12" s="36"/>
      <c r="OMI12" s="37"/>
      <c r="OMJ12" s="36"/>
      <c r="OMK12" s="37"/>
      <c r="OML12" s="36"/>
      <c r="OMM12" s="37"/>
      <c r="OMN12" s="36"/>
      <c r="OMO12" s="37"/>
      <c r="OMP12" s="36"/>
      <c r="OMQ12" s="37"/>
      <c r="OMR12" s="36"/>
      <c r="OMS12" s="37"/>
      <c r="OMT12" s="36"/>
      <c r="OMU12" s="36"/>
      <c r="OMV12" s="37"/>
      <c r="OMW12" s="37"/>
      <c r="OMY12" s="22"/>
      <c r="OMZ12" s="35"/>
      <c r="ONA12" s="36"/>
      <c r="ONB12" s="37"/>
      <c r="ONC12" s="36"/>
      <c r="OND12" s="37"/>
      <c r="ONE12" s="36"/>
      <c r="ONF12" s="37"/>
      <c r="ONG12" s="36"/>
      <c r="ONH12" s="37"/>
      <c r="ONI12" s="36"/>
      <c r="ONJ12" s="37"/>
      <c r="ONK12" s="36"/>
      <c r="ONL12" s="37"/>
      <c r="ONM12" s="36"/>
      <c r="ONN12" s="37"/>
      <c r="ONO12" s="36"/>
      <c r="ONP12" s="37"/>
      <c r="ONQ12" s="36"/>
      <c r="ONR12" s="37"/>
      <c r="ONS12" s="36"/>
      <c r="ONT12" s="36"/>
      <c r="ONU12" s="37"/>
      <c r="ONV12" s="37"/>
      <c r="ONX12" s="22"/>
      <c r="ONY12" s="35"/>
      <c r="ONZ12" s="36"/>
      <c r="OOA12" s="37"/>
      <c r="OOB12" s="36"/>
      <c r="OOC12" s="37"/>
      <c r="OOD12" s="36"/>
      <c r="OOE12" s="37"/>
      <c r="OOF12" s="36"/>
      <c r="OOG12" s="37"/>
      <c r="OOH12" s="36"/>
      <c r="OOI12" s="37"/>
      <c r="OOJ12" s="36"/>
      <c r="OOK12" s="37"/>
      <c r="OOL12" s="36"/>
      <c r="OOM12" s="37"/>
      <c r="OON12" s="36"/>
      <c r="OOO12" s="37"/>
      <c r="OOP12" s="36"/>
      <c r="OOQ12" s="37"/>
      <c r="OOR12" s="36"/>
      <c r="OOS12" s="36"/>
      <c r="OOT12" s="37"/>
      <c r="OOU12" s="37"/>
      <c r="OOW12" s="22"/>
      <c r="OOX12" s="35"/>
      <c r="OOY12" s="36"/>
      <c r="OOZ12" s="37"/>
      <c r="OPA12" s="36"/>
      <c r="OPB12" s="37"/>
      <c r="OPC12" s="36"/>
      <c r="OPD12" s="37"/>
      <c r="OPE12" s="36"/>
      <c r="OPF12" s="37"/>
      <c r="OPG12" s="36"/>
      <c r="OPH12" s="37"/>
      <c r="OPI12" s="36"/>
      <c r="OPJ12" s="37"/>
      <c r="OPK12" s="36"/>
      <c r="OPL12" s="37"/>
      <c r="OPM12" s="36"/>
      <c r="OPN12" s="37"/>
      <c r="OPO12" s="36"/>
      <c r="OPP12" s="37"/>
      <c r="OPQ12" s="36"/>
      <c r="OPR12" s="36"/>
      <c r="OPS12" s="37"/>
      <c r="OPT12" s="37"/>
      <c r="OPV12" s="22"/>
      <c r="OPW12" s="35"/>
      <c r="OPX12" s="36"/>
      <c r="OPY12" s="37"/>
      <c r="OPZ12" s="36"/>
      <c r="OQA12" s="37"/>
      <c r="OQB12" s="36"/>
      <c r="OQC12" s="37"/>
      <c r="OQD12" s="36"/>
      <c r="OQE12" s="37"/>
      <c r="OQF12" s="36"/>
      <c r="OQG12" s="37"/>
      <c r="OQH12" s="36"/>
      <c r="OQI12" s="37"/>
      <c r="OQJ12" s="36"/>
      <c r="OQK12" s="37"/>
      <c r="OQL12" s="36"/>
      <c r="OQM12" s="37"/>
      <c r="OQN12" s="36"/>
      <c r="OQO12" s="37"/>
      <c r="OQP12" s="36"/>
      <c r="OQQ12" s="36"/>
      <c r="OQR12" s="37"/>
      <c r="OQS12" s="37"/>
      <c r="OQU12" s="22"/>
      <c r="OQV12" s="35"/>
      <c r="OQW12" s="36"/>
      <c r="OQX12" s="37"/>
      <c r="OQY12" s="36"/>
      <c r="OQZ12" s="37"/>
      <c r="ORA12" s="36"/>
      <c r="ORB12" s="37"/>
      <c r="ORC12" s="36"/>
      <c r="ORD12" s="37"/>
      <c r="ORE12" s="36"/>
      <c r="ORF12" s="37"/>
      <c r="ORG12" s="36"/>
      <c r="ORH12" s="37"/>
      <c r="ORI12" s="36"/>
      <c r="ORJ12" s="37"/>
      <c r="ORK12" s="36"/>
      <c r="ORL12" s="37"/>
      <c r="ORM12" s="36"/>
      <c r="ORN12" s="37"/>
      <c r="ORO12" s="36"/>
      <c r="ORP12" s="36"/>
      <c r="ORQ12" s="37"/>
      <c r="ORR12" s="37"/>
      <c r="ORT12" s="22"/>
      <c r="ORU12" s="35"/>
      <c r="ORV12" s="36"/>
      <c r="ORW12" s="37"/>
      <c r="ORX12" s="36"/>
      <c r="ORY12" s="37"/>
      <c r="ORZ12" s="36"/>
      <c r="OSA12" s="37"/>
      <c r="OSB12" s="36"/>
      <c r="OSC12" s="37"/>
      <c r="OSD12" s="36"/>
      <c r="OSE12" s="37"/>
      <c r="OSF12" s="36"/>
      <c r="OSG12" s="37"/>
      <c r="OSH12" s="36"/>
      <c r="OSI12" s="37"/>
      <c r="OSJ12" s="36"/>
      <c r="OSK12" s="37"/>
      <c r="OSL12" s="36"/>
      <c r="OSM12" s="37"/>
      <c r="OSN12" s="36"/>
      <c r="OSO12" s="36"/>
      <c r="OSP12" s="37"/>
      <c r="OSQ12" s="37"/>
      <c r="OSS12" s="22"/>
      <c r="OST12" s="35"/>
      <c r="OSU12" s="36"/>
      <c r="OSV12" s="37"/>
      <c r="OSW12" s="36"/>
      <c r="OSX12" s="37"/>
      <c r="OSY12" s="36"/>
      <c r="OSZ12" s="37"/>
      <c r="OTA12" s="36"/>
      <c r="OTB12" s="37"/>
      <c r="OTC12" s="36"/>
      <c r="OTD12" s="37"/>
      <c r="OTE12" s="36"/>
      <c r="OTF12" s="37"/>
      <c r="OTG12" s="36"/>
      <c r="OTH12" s="37"/>
      <c r="OTI12" s="36"/>
      <c r="OTJ12" s="37"/>
      <c r="OTK12" s="36"/>
      <c r="OTL12" s="37"/>
      <c r="OTM12" s="36"/>
      <c r="OTN12" s="36"/>
      <c r="OTO12" s="37"/>
      <c r="OTP12" s="37"/>
      <c r="OTR12" s="22"/>
      <c r="OTS12" s="35"/>
      <c r="OTT12" s="36"/>
      <c r="OTU12" s="37"/>
      <c r="OTV12" s="36"/>
      <c r="OTW12" s="37"/>
      <c r="OTX12" s="36"/>
      <c r="OTY12" s="37"/>
      <c r="OTZ12" s="36"/>
      <c r="OUA12" s="37"/>
      <c r="OUB12" s="36"/>
      <c r="OUC12" s="37"/>
      <c r="OUD12" s="36"/>
      <c r="OUE12" s="37"/>
      <c r="OUF12" s="36"/>
      <c r="OUG12" s="37"/>
      <c r="OUH12" s="36"/>
      <c r="OUI12" s="37"/>
      <c r="OUJ12" s="36"/>
      <c r="OUK12" s="37"/>
      <c r="OUL12" s="36"/>
      <c r="OUM12" s="36"/>
      <c r="OUN12" s="37"/>
      <c r="OUO12" s="37"/>
      <c r="OUQ12" s="22"/>
      <c r="OUR12" s="35"/>
      <c r="OUS12" s="36"/>
      <c r="OUT12" s="37"/>
      <c r="OUU12" s="36"/>
      <c r="OUV12" s="37"/>
      <c r="OUW12" s="36"/>
      <c r="OUX12" s="37"/>
      <c r="OUY12" s="36"/>
      <c r="OUZ12" s="37"/>
      <c r="OVA12" s="36"/>
      <c r="OVB12" s="37"/>
      <c r="OVC12" s="36"/>
      <c r="OVD12" s="37"/>
      <c r="OVE12" s="36"/>
      <c r="OVF12" s="37"/>
      <c r="OVG12" s="36"/>
      <c r="OVH12" s="37"/>
      <c r="OVI12" s="36"/>
      <c r="OVJ12" s="37"/>
      <c r="OVK12" s="36"/>
      <c r="OVL12" s="36"/>
      <c r="OVM12" s="37"/>
      <c r="OVN12" s="37"/>
      <c r="OVP12" s="22"/>
      <c r="OVQ12" s="35"/>
      <c r="OVR12" s="36"/>
      <c r="OVS12" s="37"/>
      <c r="OVT12" s="36"/>
      <c r="OVU12" s="37"/>
      <c r="OVV12" s="36"/>
      <c r="OVW12" s="37"/>
      <c r="OVX12" s="36"/>
      <c r="OVY12" s="37"/>
      <c r="OVZ12" s="36"/>
      <c r="OWA12" s="37"/>
      <c r="OWB12" s="36"/>
      <c r="OWC12" s="37"/>
      <c r="OWD12" s="36"/>
      <c r="OWE12" s="37"/>
      <c r="OWF12" s="36"/>
      <c r="OWG12" s="37"/>
      <c r="OWH12" s="36"/>
      <c r="OWI12" s="37"/>
      <c r="OWJ12" s="36"/>
      <c r="OWK12" s="36"/>
      <c r="OWL12" s="37"/>
      <c r="OWM12" s="37"/>
      <c r="OWO12" s="22"/>
      <c r="OWP12" s="35"/>
      <c r="OWQ12" s="36"/>
      <c r="OWR12" s="37"/>
      <c r="OWS12" s="36"/>
      <c r="OWT12" s="37"/>
      <c r="OWU12" s="36"/>
      <c r="OWV12" s="37"/>
      <c r="OWW12" s="36"/>
      <c r="OWX12" s="37"/>
      <c r="OWY12" s="36"/>
      <c r="OWZ12" s="37"/>
      <c r="OXA12" s="36"/>
      <c r="OXB12" s="37"/>
      <c r="OXC12" s="36"/>
      <c r="OXD12" s="37"/>
      <c r="OXE12" s="36"/>
      <c r="OXF12" s="37"/>
      <c r="OXG12" s="36"/>
      <c r="OXH12" s="37"/>
      <c r="OXI12" s="36"/>
      <c r="OXJ12" s="36"/>
      <c r="OXK12" s="37"/>
      <c r="OXL12" s="37"/>
      <c r="OXN12" s="22"/>
      <c r="OXO12" s="35"/>
      <c r="OXP12" s="36"/>
      <c r="OXQ12" s="37"/>
      <c r="OXR12" s="36"/>
      <c r="OXS12" s="37"/>
      <c r="OXT12" s="36"/>
      <c r="OXU12" s="37"/>
      <c r="OXV12" s="36"/>
      <c r="OXW12" s="37"/>
      <c r="OXX12" s="36"/>
      <c r="OXY12" s="37"/>
      <c r="OXZ12" s="36"/>
      <c r="OYA12" s="37"/>
      <c r="OYB12" s="36"/>
      <c r="OYC12" s="37"/>
      <c r="OYD12" s="36"/>
      <c r="OYE12" s="37"/>
      <c r="OYF12" s="36"/>
      <c r="OYG12" s="37"/>
      <c r="OYH12" s="36"/>
      <c r="OYI12" s="36"/>
      <c r="OYJ12" s="37"/>
      <c r="OYK12" s="37"/>
      <c r="OYM12" s="22"/>
      <c r="OYN12" s="35"/>
      <c r="OYO12" s="36"/>
      <c r="OYP12" s="37"/>
      <c r="OYQ12" s="36"/>
      <c r="OYR12" s="37"/>
      <c r="OYS12" s="36"/>
      <c r="OYT12" s="37"/>
      <c r="OYU12" s="36"/>
      <c r="OYV12" s="37"/>
      <c r="OYW12" s="36"/>
      <c r="OYX12" s="37"/>
      <c r="OYY12" s="36"/>
      <c r="OYZ12" s="37"/>
      <c r="OZA12" s="36"/>
      <c r="OZB12" s="37"/>
      <c r="OZC12" s="36"/>
      <c r="OZD12" s="37"/>
      <c r="OZE12" s="36"/>
      <c r="OZF12" s="37"/>
      <c r="OZG12" s="36"/>
      <c r="OZH12" s="36"/>
      <c r="OZI12" s="37"/>
      <c r="OZJ12" s="37"/>
      <c r="OZL12" s="22"/>
      <c r="OZM12" s="35"/>
      <c r="OZN12" s="36"/>
      <c r="OZO12" s="37"/>
      <c r="OZP12" s="36"/>
      <c r="OZQ12" s="37"/>
      <c r="OZR12" s="36"/>
      <c r="OZS12" s="37"/>
      <c r="OZT12" s="36"/>
      <c r="OZU12" s="37"/>
      <c r="OZV12" s="36"/>
      <c r="OZW12" s="37"/>
      <c r="OZX12" s="36"/>
      <c r="OZY12" s="37"/>
      <c r="OZZ12" s="36"/>
      <c r="PAA12" s="37"/>
      <c r="PAB12" s="36"/>
      <c r="PAC12" s="37"/>
      <c r="PAD12" s="36"/>
      <c r="PAE12" s="37"/>
      <c r="PAF12" s="36"/>
      <c r="PAG12" s="36"/>
      <c r="PAH12" s="37"/>
      <c r="PAI12" s="37"/>
      <c r="PAK12" s="22"/>
      <c r="PAL12" s="35"/>
      <c r="PAM12" s="36"/>
      <c r="PAN12" s="37"/>
      <c r="PAO12" s="36"/>
      <c r="PAP12" s="37"/>
      <c r="PAQ12" s="36"/>
      <c r="PAR12" s="37"/>
      <c r="PAS12" s="36"/>
      <c r="PAT12" s="37"/>
      <c r="PAU12" s="36"/>
      <c r="PAV12" s="37"/>
      <c r="PAW12" s="36"/>
      <c r="PAX12" s="37"/>
      <c r="PAY12" s="36"/>
      <c r="PAZ12" s="37"/>
      <c r="PBA12" s="36"/>
      <c r="PBB12" s="37"/>
      <c r="PBC12" s="36"/>
      <c r="PBD12" s="37"/>
      <c r="PBE12" s="36"/>
      <c r="PBF12" s="36"/>
      <c r="PBG12" s="37"/>
      <c r="PBH12" s="37"/>
      <c r="PBJ12" s="22"/>
      <c r="PBK12" s="35"/>
      <c r="PBL12" s="36"/>
      <c r="PBM12" s="37"/>
      <c r="PBN12" s="36"/>
      <c r="PBO12" s="37"/>
      <c r="PBP12" s="36"/>
      <c r="PBQ12" s="37"/>
      <c r="PBR12" s="36"/>
      <c r="PBS12" s="37"/>
      <c r="PBT12" s="36"/>
      <c r="PBU12" s="37"/>
      <c r="PBV12" s="36"/>
      <c r="PBW12" s="37"/>
      <c r="PBX12" s="36"/>
      <c r="PBY12" s="37"/>
      <c r="PBZ12" s="36"/>
      <c r="PCA12" s="37"/>
      <c r="PCB12" s="36"/>
      <c r="PCC12" s="37"/>
      <c r="PCD12" s="36"/>
      <c r="PCE12" s="36"/>
      <c r="PCF12" s="37"/>
      <c r="PCG12" s="37"/>
      <c r="PCI12" s="22"/>
      <c r="PCJ12" s="35"/>
      <c r="PCK12" s="36"/>
      <c r="PCL12" s="37"/>
      <c r="PCM12" s="36"/>
      <c r="PCN12" s="37"/>
      <c r="PCO12" s="36"/>
      <c r="PCP12" s="37"/>
      <c r="PCQ12" s="36"/>
      <c r="PCR12" s="37"/>
      <c r="PCS12" s="36"/>
      <c r="PCT12" s="37"/>
      <c r="PCU12" s="36"/>
      <c r="PCV12" s="37"/>
      <c r="PCW12" s="36"/>
      <c r="PCX12" s="37"/>
      <c r="PCY12" s="36"/>
      <c r="PCZ12" s="37"/>
      <c r="PDA12" s="36"/>
      <c r="PDB12" s="37"/>
      <c r="PDC12" s="36"/>
      <c r="PDD12" s="36"/>
      <c r="PDE12" s="37"/>
      <c r="PDF12" s="37"/>
      <c r="PDH12" s="22"/>
      <c r="PDI12" s="35"/>
      <c r="PDJ12" s="36"/>
      <c r="PDK12" s="37"/>
      <c r="PDL12" s="36"/>
      <c r="PDM12" s="37"/>
      <c r="PDN12" s="36"/>
      <c r="PDO12" s="37"/>
      <c r="PDP12" s="36"/>
      <c r="PDQ12" s="37"/>
      <c r="PDR12" s="36"/>
      <c r="PDS12" s="37"/>
      <c r="PDT12" s="36"/>
      <c r="PDU12" s="37"/>
      <c r="PDV12" s="36"/>
      <c r="PDW12" s="37"/>
      <c r="PDX12" s="36"/>
      <c r="PDY12" s="37"/>
      <c r="PDZ12" s="36"/>
      <c r="PEA12" s="37"/>
      <c r="PEB12" s="36"/>
      <c r="PEC12" s="36"/>
      <c r="PED12" s="37"/>
      <c r="PEE12" s="37"/>
      <c r="PEG12" s="22"/>
      <c r="PEH12" s="35"/>
      <c r="PEI12" s="36"/>
      <c r="PEJ12" s="37"/>
      <c r="PEK12" s="36"/>
      <c r="PEL12" s="37"/>
      <c r="PEM12" s="36"/>
      <c r="PEN12" s="37"/>
      <c r="PEO12" s="36"/>
      <c r="PEP12" s="37"/>
      <c r="PEQ12" s="36"/>
      <c r="PER12" s="37"/>
      <c r="PES12" s="36"/>
      <c r="PET12" s="37"/>
      <c r="PEU12" s="36"/>
      <c r="PEV12" s="37"/>
      <c r="PEW12" s="36"/>
      <c r="PEX12" s="37"/>
      <c r="PEY12" s="36"/>
      <c r="PEZ12" s="37"/>
      <c r="PFA12" s="36"/>
      <c r="PFB12" s="36"/>
      <c r="PFC12" s="37"/>
      <c r="PFD12" s="37"/>
      <c r="PFF12" s="22"/>
      <c r="PFG12" s="35"/>
      <c r="PFH12" s="36"/>
      <c r="PFI12" s="37"/>
      <c r="PFJ12" s="36"/>
      <c r="PFK12" s="37"/>
      <c r="PFL12" s="36"/>
      <c r="PFM12" s="37"/>
      <c r="PFN12" s="36"/>
      <c r="PFO12" s="37"/>
      <c r="PFP12" s="36"/>
      <c r="PFQ12" s="37"/>
      <c r="PFR12" s="36"/>
      <c r="PFS12" s="37"/>
      <c r="PFT12" s="36"/>
      <c r="PFU12" s="37"/>
      <c r="PFV12" s="36"/>
      <c r="PFW12" s="37"/>
      <c r="PFX12" s="36"/>
      <c r="PFY12" s="37"/>
      <c r="PFZ12" s="36"/>
      <c r="PGA12" s="36"/>
      <c r="PGB12" s="37"/>
      <c r="PGC12" s="37"/>
      <c r="PGE12" s="22"/>
      <c r="PGF12" s="35"/>
      <c r="PGG12" s="36"/>
      <c r="PGH12" s="37"/>
      <c r="PGI12" s="36"/>
      <c r="PGJ12" s="37"/>
      <c r="PGK12" s="36"/>
      <c r="PGL12" s="37"/>
      <c r="PGM12" s="36"/>
      <c r="PGN12" s="37"/>
      <c r="PGO12" s="36"/>
      <c r="PGP12" s="37"/>
      <c r="PGQ12" s="36"/>
      <c r="PGR12" s="37"/>
      <c r="PGS12" s="36"/>
      <c r="PGT12" s="37"/>
      <c r="PGU12" s="36"/>
      <c r="PGV12" s="37"/>
      <c r="PGW12" s="36"/>
      <c r="PGX12" s="37"/>
      <c r="PGY12" s="36"/>
      <c r="PGZ12" s="36"/>
      <c r="PHA12" s="37"/>
      <c r="PHB12" s="37"/>
      <c r="PHD12" s="22"/>
      <c r="PHE12" s="35"/>
      <c r="PHF12" s="36"/>
      <c r="PHG12" s="37"/>
      <c r="PHH12" s="36"/>
      <c r="PHI12" s="37"/>
      <c r="PHJ12" s="36"/>
      <c r="PHK12" s="37"/>
      <c r="PHL12" s="36"/>
      <c r="PHM12" s="37"/>
      <c r="PHN12" s="36"/>
      <c r="PHO12" s="37"/>
      <c r="PHP12" s="36"/>
      <c r="PHQ12" s="37"/>
      <c r="PHR12" s="36"/>
      <c r="PHS12" s="37"/>
      <c r="PHT12" s="36"/>
      <c r="PHU12" s="37"/>
      <c r="PHV12" s="36"/>
      <c r="PHW12" s="37"/>
      <c r="PHX12" s="36"/>
      <c r="PHY12" s="36"/>
      <c r="PHZ12" s="37"/>
      <c r="PIA12" s="37"/>
      <c r="PIC12" s="22"/>
      <c r="PID12" s="35"/>
      <c r="PIE12" s="36"/>
      <c r="PIF12" s="37"/>
      <c r="PIG12" s="36"/>
      <c r="PIH12" s="37"/>
      <c r="PII12" s="36"/>
      <c r="PIJ12" s="37"/>
      <c r="PIK12" s="36"/>
      <c r="PIL12" s="37"/>
      <c r="PIM12" s="36"/>
      <c r="PIN12" s="37"/>
      <c r="PIO12" s="36"/>
      <c r="PIP12" s="37"/>
      <c r="PIQ12" s="36"/>
      <c r="PIR12" s="37"/>
      <c r="PIS12" s="36"/>
      <c r="PIT12" s="37"/>
      <c r="PIU12" s="36"/>
      <c r="PIV12" s="37"/>
      <c r="PIW12" s="36"/>
      <c r="PIX12" s="36"/>
      <c r="PIY12" s="37"/>
      <c r="PIZ12" s="37"/>
      <c r="PJB12" s="22"/>
      <c r="PJC12" s="35"/>
      <c r="PJD12" s="36"/>
      <c r="PJE12" s="37"/>
      <c r="PJF12" s="36"/>
      <c r="PJG12" s="37"/>
      <c r="PJH12" s="36"/>
      <c r="PJI12" s="37"/>
      <c r="PJJ12" s="36"/>
      <c r="PJK12" s="37"/>
      <c r="PJL12" s="36"/>
      <c r="PJM12" s="37"/>
      <c r="PJN12" s="36"/>
      <c r="PJO12" s="37"/>
      <c r="PJP12" s="36"/>
      <c r="PJQ12" s="37"/>
      <c r="PJR12" s="36"/>
      <c r="PJS12" s="37"/>
      <c r="PJT12" s="36"/>
      <c r="PJU12" s="37"/>
      <c r="PJV12" s="36"/>
      <c r="PJW12" s="36"/>
      <c r="PJX12" s="37"/>
      <c r="PJY12" s="37"/>
      <c r="PKA12" s="22"/>
      <c r="PKB12" s="35"/>
      <c r="PKC12" s="36"/>
      <c r="PKD12" s="37"/>
      <c r="PKE12" s="36"/>
      <c r="PKF12" s="37"/>
      <c r="PKG12" s="36"/>
      <c r="PKH12" s="37"/>
      <c r="PKI12" s="36"/>
      <c r="PKJ12" s="37"/>
      <c r="PKK12" s="36"/>
      <c r="PKL12" s="37"/>
      <c r="PKM12" s="36"/>
      <c r="PKN12" s="37"/>
      <c r="PKO12" s="36"/>
      <c r="PKP12" s="37"/>
      <c r="PKQ12" s="36"/>
      <c r="PKR12" s="37"/>
      <c r="PKS12" s="36"/>
      <c r="PKT12" s="37"/>
      <c r="PKU12" s="36"/>
      <c r="PKV12" s="36"/>
      <c r="PKW12" s="37"/>
      <c r="PKX12" s="37"/>
      <c r="PKZ12" s="22"/>
      <c r="PLA12" s="35"/>
      <c r="PLB12" s="36"/>
      <c r="PLC12" s="37"/>
      <c r="PLD12" s="36"/>
      <c r="PLE12" s="37"/>
      <c r="PLF12" s="36"/>
      <c r="PLG12" s="37"/>
      <c r="PLH12" s="36"/>
      <c r="PLI12" s="37"/>
      <c r="PLJ12" s="36"/>
      <c r="PLK12" s="37"/>
      <c r="PLL12" s="36"/>
      <c r="PLM12" s="37"/>
      <c r="PLN12" s="36"/>
      <c r="PLO12" s="37"/>
      <c r="PLP12" s="36"/>
      <c r="PLQ12" s="37"/>
      <c r="PLR12" s="36"/>
      <c r="PLS12" s="37"/>
      <c r="PLT12" s="36"/>
      <c r="PLU12" s="36"/>
      <c r="PLV12" s="37"/>
      <c r="PLW12" s="37"/>
      <c r="PLY12" s="22"/>
      <c r="PLZ12" s="35"/>
      <c r="PMA12" s="36"/>
      <c r="PMB12" s="37"/>
      <c r="PMC12" s="36"/>
      <c r="PMD12" s="37"/>
      <c r="PME12" s="36"/>
      <c r="PMF12" s="37"/>
      <c r="PMG12" s="36"/>
      <c r="PMH12" s="37"/>
      <c r="PMI12" s="36"/>
      <c r="PMJ12" s="37"/>
      <c r="PMK12" s="36"/>
      <c r="PML12" s="37"/>
      <c r="PMM12" s="36"/>
      <c r="PMN12" s="37"/>
      <c r="PMO12" s="36"/>
      <c r="PMP12" s="37"/>
      <c r="PMQ12" s="36"/>
      <c r="PMR12" s="37"/>
      <c r="PMS12" s="36"/>
      <c r="PMT12" s="36"/>
      <c r="PMU12" s="37"/>
      <c r="PMV12" s="37"/>
      <c r="PMX12" s="22"/>
      <c r="PMY12" s="35"/>
      <c r="PMZ12" s="36"/>
      <c r="PNA12" s="37"/>
      <c r="PNB12" s="36"/>
      <c r="PNC12" s="37"/>
      <c r="PND12" s="36"/>
      <c r="PNE12" s="37"/>
      <c r="PNF12" s="36"/>
      <c r="PNG12" s="37"/>
      <c r="PNH12" s="36"/>
      <c r="PNI12" s="37"/>
      <c r="PNJ12" s="36"/>
      <c r="PNK12" s="37"/>
      <c r="PNL12" s="36"/>
      <c r="PNM12" s="37"/>
      <c r="PNN12" s="36"/>
      <c r="PNO12" s="37"/>
      <c r="PNP12" s="36"/>
      <c r="PNQ12" s="37"/>
      <c r="PNR12" s="36"/>
      <c r="PNS12" s="36"/>
      <c r="PNT12" s="37"/>
      <c r="PNU12" s="37"/>
      <c r="PNW12" s="22"/>
      <c r="PNX12" s="35"/>
      <c r="PNY12" s="36"/>
      <c r="PNZ12" s="37"/>
      <c r="POA12" s="36"/>
      <c r="POB12" s="37"/>
      <c r="POC12" s="36"/>
      <c r="POD12" s="37"/>
      <c r="POE12" s="36"/>
      <c r="POF12" s="37"/>
      <c r="POG12" s="36"/>
      <c r="POH12" s="37"/>
      <c r="POI12" s="36"/>
      <c r="POJ12" s="37"/>
      <c r="POK12" s="36"/>
      <c r="POL12" s="37"/>
      <c r="POM12" s="36"/>
      <c r="PON12" s="37"/>
      <c r="POO12" s="36"/>
      <c r="POP12" s="37"/>
      <c r="POQ12" s="36"/>
      <c r="POR12" s="36"/>
      <c r="POS12" s="37"/>
      <c r="POT12" s="37"/>
      <c r="POV12" s="22"/>
      <c r="POW12" s="35"/>
      <c r="POX12" s="36"/>
      <c r="POY12" s="37"/>
      <c r="POZ12" s="36"/>
      <c r="PPA12" s="37"/>
      <c r="PPB12" s="36"/>
      <c r="PPC12" s="37"/>
      <c r="PPD12" s="36"/>
      <c r="PPE12" s="37"/>
      <c r="PPF12" s="36"/>
      <c r="PPG12" s="37"/>
      <c r="PPH12" s="36"/>
      <c r="PPI12" s="37"/>
      <c r="PPJ12" s="36"/>
      <c r="PPK12" s="37"/>
      <c r="PPL12" s="36"/>
      <c r="PPM12" s="37"/>
      <c r="PPN12" s="36"/>
      <c r="PPO12" s="37"/>
      <c r="PPP12" s="36"/>
      <c r="PPQ12" s="36"/>
      <c r="PPR12" s="37"/>
      <c r="PPS12" s="37"/>
      <c r="PPU12" s="22"/>
      <c r="PPV12" s="35"/>
      <c r="PPW12" s="36"/>
      <c r="PPX12" s="37"/>
      <c r="PPY12" s="36"/>
      <c r="PPZ12" s="37"/>
      <c r="PQA12" s="36"/>
      <c r="PQB12" s="37"/>
      <c r="PQC12" s="36"/>
      <c r="PQD12" s="37"/>
      <c r="PQE12" s="36"/>
      <c r="PQF12" s="37"/>
      <c r="PQG12" s="36"/>
      <c r="PQH12" s="37"/>
      <c r="PQI12" s="36"/>
      <c r="PQJ12" s="37"/>
      <c r="PQK12" s="36"/>
      <c r="PQL12" s="37"/>
      <c r="PQM12" s="36"/>
      <c r="PQN12" s="37"/>
      <c r="PQO12" s="36"/>
      <c r="PQP12" s="36"/>
      <c r="PQQ12" s="37"/>
      <c r="PQR12" s="37"/>
      <c r="PQT12" s="22"/>
      <c r="PQU12" s="35"/>
      <c r="PQV12" s="36"/>
      <c r="PQW12" s="37"/>
      <c r="PQX12" s="36"/>
      <c r="PQY12" s="37"/>
      <c r="PQZ12" s="36"/>
      <c r="PRA12" s="37"/>
      <c r="PRB12" s="36"/>
      <c r="PRC12" s="37"/>
      <c r="PRD12" s="36"/>
      <c r="PRE12" s="37"/>
      <c r="PRF12" s="36"/>
      <c r="PRG12" s="37"/>
      <c r="PRH12" s="36"/>
      <c r="PRI12" s="37"/>
      <c r="PRJ12" s="36"/>
      <c r="PRK12" s="37"/>
      <c r="PRL12" s="36"/>
      <c r="PRM12" s="37"/>
      <c r="PRN12" s="36"/>
      <c r="PRO12" s="36"/>
      <c r="PRP12" s="37"/>
      <c r="PRQ12" s="37"/>
      <c r="PRS12" s="22"/>
      <c r="PRT12" s="35"/>
      <c r="PRU12" s="36"/>
      <c r="PRV12" s="37"/>
      <c r="PRW12" s="36"/>
      <c r="PRX12" s="37"/>
      <c r="PRY12" s="36"/>
      <c r="PRZ12" s="37"/>
      <c r="PSA12" s="36"/>
      <c r="PSB12" s="37"/>
      <c r="PSC12" s="36"/>
      <c r="PSD12" s="37"/>
      <c r="PSE12" s="36"/>
      <c r="PSF12" s="37"/>
      <c r="PSG12" s="36"/>
      <c r="PSH12" s="37"/>
      <c r="PSI12" s="36"/>
      <c r="PSJ12" s="37"/>
      <c r="PSK12" s="36"/>
      <c r="PSL12" s="37"/>
      <c r="PSM12" s="36"/>
      <c r="PSN12" s="36"/>
      <c r="PSO12" s="37"/>
      <c r="PSP12" s="37"/>
      <c r="PSR12" s="22"/>
      <c r="PSS12" s="35"/>
      <c r="PST12" s="36"/>
      <c r="PSU12" s="37"/>
      <c r="PSV12" s="36"/>
      <c r="PSW12" s="37"/>
      <c r="PSX12" s="36"/>
      <c r="PSY12" s="37"/>
      <c r="PSZ12" s="36"/>
      <c r="PTA12" s="37"/>
      <c r="PTB12" s="36"/>
      <c r="PTC12" s="37"/>
      <c r="PTD12" s="36"/>
      <c r="PTE12" s="37"/>
      <c r="PTF12" s="36"/>
      <c r="PTG12" s="37"/>
      <c r="PTH12" s="36"/>
      <c r="PTI12" s="37"/>
      <c r="PTJ12" s="36"/>
      <c r="PTK12" s="37"/>
      <c r="PTL12" s="36"/>
      <c r="PTM12" s="36"/>
      <c r="PTN12" s="37"/>
      <c r="PTO12" s="37"/>
      <c r="PTQ12" s="22"/>
      <c r="PTR12" s="35"/>
      <c r="PTS12" s="36"/>
      <c r="PTT12" s="37"/>
      <c r="PTU12" s="36"/>
      <c r="PTV12" s="37"/>
      <c r="PTW12" s="36"/>
      <c r="PTX12" s="37"/>
      <c r="PTY12" s="36"/>
      <c r="PTZ12" s="37"/>
      <c r="PUA12" s="36"/>
      <c r="PUB12" s="37"/>
      <c r="PUC12" s="36"/>
      <c r="PUD12" s="37"/>
      <c r="PUE12" s="36"/>
      <c r="PUF12" s="37"/>
      <c r="PUG12" s="36"/>
      <c r="PUH12" s="37"/>
      <c r="PUI12" s="36"/>
      <c r="PUJ12" s="37"/>
      <c r="PUK12" s="36"/>
      <c r="PUL12" s="36"/>
      <c r="PUM12" s="37"/>
      <c r="PUN12" s="37"/>
      <c r="PUP12" s="22"/>
      <c r="PUQ12" s="35"/>
      <c r="PUR12" s="36"/>
      <c r="PUS12" s="37"/>
      <c r="PUT12" s="36"/>
      <c r="PUU12" s="37"/>
      <c r="PUV12" s="36"/>
      <c r="PUW12" s="37"/>
      <c r="PUX12" s="36"/>
      <c r="PUY12" s="37"/>
      <c r="PUZ12" s="36"/>
      <c r="PVA12" s="37"/>
      <c r="PVB12" s="36"/>
      <c r="PVC12" s="37"/>
      <c r="PVD12" s="36"/>
      <c r="PVE12" s="37"/>
      <c r="PVF12" s="36"/>
      <c r="PVG12" s="37"/>
      <c r="PVH12" s="36"/>
      <c r="PVI12" s="37"/>
      <c r="PVJ12" s="36"/>
      <c r="PVK12" s="36"/>
      <c r="PVL12" s="37"/>
      <c r="PVM12" s="37"/>
      <c r="PVO12" s="22"/>
      <c r="PVP12" s="35"/>
      <c r="PVQ12" s="36"/>
      <c r="PVR12" s="37"/>
      <c r="PVS12" s="36"/>
      <c r="PVT12" s="37"/>
      <c r="PVU12" s="36"/>
      <c r="PVV12" s="37"/>
      <c r="PVW12" s="36"/>
      <c r="PVX12" s="37"/>
      <c r="PVY12" s="36"/>
      <c r="PVZ12" s="37"/>
      <c r="PWA12" s="36"/>
      <c r="PWB12" s="37"/>
      <c r="PWC12" s="36"/>
      <c r="PWD12" s="37"/>
      <c r="PWE12" s="36"/>
      <c r="PWF12" s="37"/>
      <c r="PWG12" s="36"/>
      <c r="PWH12" s="37"/>
      <c r="PWI12" s="36"/>
      <c r="PWJ12" s="36"/>
      <c r="PWK12" s="37"/>
      <c r="PWL12" s="37"/>
      <c r="PWN12" s="22"/>
      <c r="PWO12" s="35"/>
      <c r="PWP12" s="36"/>
      <c r="PWQ12" s="37"/>
      <c r="PWR12" s="36"/>
      <c r="PWS12" s="37"/>
      <c r="PWT12" s="36"/>
      <c r="PWU12" s="37"/>
      <c r="PWV12" s="36"/>
      <c r="PWW12" s="37"/>
      <c r="PWX12" s="36"/>
      <c r="PWY12" s="37"/>
      <c r="PWZ12" s="36"/>
      <c r="PXA12" s="37"/>
      <c r="PXB12" s="36"/>
      <c r="PXC12" s="37"/>
      <c r="PXD12" s="36"/>
      <c r="PXE12" s="37"/>
      <c r="PXF12" s="36"/>
      <c r="PXG12" s="37"/>
      <c r="PXH12" s="36"/>
      <c r="PXI12" s="36"/>
      <c r="PXJ12" s="37"/>
      <c r="PXK12" s="37"/>
      <c r="PXM12" s="22"/>
      <c r="PXN12" s="35"/>
      <c r="PXO12" s="36"/>
      <c r="PXP12" s="37"/>
      <c r="PXQ12" s="36"/>
      <c r="PXR12" s="37"/>
      <c r="PXS12" s="36"/>
      <c r="PXT12" s="37"/>
      <c r="PXU12" s="36"/>
      <c r="PXV12" s="37"/>
      <c r="PXW12" s="36"/>
      <c r="PXX12" s="37"/>
      <c r="PXY12" s="36"/>
      <c r="PXZ12" s="37"/>
      <c r="PYA12" s="36"/>
      <c r="PYB12" s="37"/>
      <c r="PYC12" s="36"/>
      <c r="PYD12" s="37"/>
      <c r="PYE12" s="36"/>
      <c r="PYF12" s="37"/>
      <c r="PYG12" s="36"/>
      <c r="PYH12" s="36"/>
      <c r="PYI12" s="37"/>
      <c r="PYJ12" s="37"/>
      <c r="PYL12" s="22"/>
      <c r="PYM12" s="35"/>
      <c r="PYN12" s="36"/>
      <c r="PYO12" s="37"/>
      <c r="PYP12" s="36"/>
      <c r="PYQ12" s="37"/>
      <c r="PYR12" s="36"/>
      <c r="PYS12" s="37"/>
      <c r="PYT12" s="36"/>
      <c r="PYU12" s="37"/>
      <c r="PYV12" s="36"/>
      <c r="PYW12" s="37"/>
      <c r="PYX12" s="36"/>
      <c r="PYY12" s="37"/>
      <c r="PYZ12" s="36"/>
      <c r="PZA12" s="37"/>
      <c r="PZB12" s="36"/>
      <c r="PZC12" s="37"/>
      <c r="PZD12" s="36"/>
      <c r="PZE12" s="37"/>
      <c r="PZF12" s="36"/>
      <c r="PZG12" s="36"/>
      <c r="PZH12" s="37"/>
      <c r="PZI12" s="37"/>
      <c r="PZK12" s="22"/>
      <c r="PZL12" s="35"/>
      <c r="PZM12" s="36"/>
      <c r="PZN12" s="37"/>
      <c r="PZO12" s="36"/>
      <c r="PZP12" s="37"/>
      <c r="PZQ12" s="36"/>
      <c r="PZR12" s="37"/>
      <c r="PZS12" s="36"/>
      <c r="PZT12" s="37"/>
      <c r="PZU12" s="36"/>
      <c r="PZV12" s="37"/>
      <c r="PZW12" s="36"/>
      <c r="PZX12" s="37"/>
      <c r="PZY12" s="36"/>
      <c r="PZZ12" s="37"/>
      <c r="QAA12" s="36"/>
      <c r="QAB12" s="37"/>
      <c r="QAC12" s="36"/>
      <c r="QAD12" s="37"/>
      <c r="QAE12" s="36"/>
      <c r="QAF12" s="36"/>
      <c r="QAG12" s="37"/>
      <c r="QAH12" s="37"/>
      <c r="QAJ12" s="22"/>
      <c r="QAK12" s="35"/>
      <c r="QAL12" s="36"/>
      <c r="QAM12" s="37"/>
      <c r="QAN12" s="36"/>
      <c r="QAO12" s="37"/>
      <c r="QAP12" s="36"/>
      <c r="QAQ12" s="37"/>
      <c r="QAR12" s="36"/>
      <c r="QAS12" s="37"/>
      <c r="QAT12" s="36"/>
      <c r="QAU12" s="37"/>
      <c r="QAV12" s="36"/>
      <c r="QAW12" s="37"/>
      <c r="QAX12" s="36"/>
      <c r="QAY12" s="37"/>
      <c r="QAZ12" s="36"/>
      <c r="QBA12" s="37"/>
      <c r="QBB12" s="36"/>
      <c r="QBC12" s="37"/>
      <c r="QBD12" s="36"/>
      <c r="QBE12" s="36"/>
      <c r="QBF12" s="37"/>
      <c r="QBG12" s="37"/>
      <c r="QBI12" s="22"/>
      <c r="QBJ12" s="35"/>
      <c r="QBK12" s="36"/>
      <c r="QBL12" s="37"/>
      <c r="QBM12" s="36"/>
      <c r="QBN12" s="37"/>
      <c r="QBO12" s="36"/>
      <c r="QBP12" s="37"/>
      <c r="QBQ12" s="36"/>
      <c r="QBR12" s="37"/>
      <c r="QBS12" s="36"/>
      <c r="QBT12" s="37"/>
      <c r="QBU12" s="36"/>
      <c r="QBV12" s="37"/>
      <c r="QBW12" s="36"/>
      <c r="QBX12" s="37"/>
      <c r="QBY12" s="36"/>
      <c r="QBZ12" s="37"/>
      <c r="QCA12" s="36"/>
      <c r="QCB12" s="37"/>
      <c r="QCC12" s="36"/>
      <c r="QCD12" s="36"/>
      <c r="QCE12" s="37"/>
      <c r="QCF12" s="37"/>
      <c r="QCH12" s="22"/>
      <c r="QCI12" s="35"/>
      <c r="QCJ12" s="36"/>
      <c r="QCK12" s="37"/>
      <c r="QCL12" s="36"/>
      <c r="QCM12" s="37"/>
      <c r="QCN12" s="36"/>
      <c r="QCO12" s="37"/>
      <c r="QCP12" s="36"/>
      <c r="QCQ12" s="37"/>
      <c r="QCR12" s="36"/>
      <c r="QCS12" s="37"/>
      <c r="QCT12" s="36"/>
      <c r="QCU12" s="37"/>
      <c r="QCV12" s="36"/>
      <c r="QCW12" s="37"/>
      <c r="QCX12" s="36"/>
      <c r="QCY12" s="37"/>
      <c r="QCZ12" s="36"/>
      <c r="QDA12" s="37"/>
      <c r="QDB12" s="36"/>
      <c r="QDC12" s="36"/>
      <c r="QDD12" s="37"/>
      <c r="QDE12" s="37"/>
      <c r="QDG12" s="22"/>
      <c r="QDH12" s="35"/>
      <c r="QDI12" s="36"/>
      <c r="QDJ12" s="37"/>
      <c r="QDK12" s="36"/>
      <c r="QDL12" s="37"/>
      <c r="QDM12" s="36"/>
      <c r="QDN12" s="37"/>
      <c r="QDO12" s="36"/>
      <c r="QDP12" s="37"/>
      <c r="QDQ12" s="36"/>
      <c r="QDR12" s="37"/>
      <c r="QDS12" s="36"/>
      <c r="QDT12" s="37"/>
      <c r="QDU12" s="36"/>
      <c r="QDV12" s="37"/>
      <c r="QDW12" s="36"/>
      <c r="QDX12" s="37"/>
      <c r="QDY12" s="36"/>
      <c r="QDZ12" s="37"/>
      <c r="QEA12" s="36"/>
      <c r="QEB12" s="36"/>
      <c r="QEC12" s="37"/>
      <c r="QED12" s="37"/>
      <c r="QEF12" s="22"/>
      <c r="QEG12" s="35"/>
      <c r="QEH12" s="36"/>
      <c r="QEI12" s="37"/>
      <c r="QEJ12" s="36"/>
      <c r="QEK12" s="37"/>
      <c r="QEL12" s="36"/>
      <c r="QEM12" s="37"/>
      <c r="QEN12" s="36"/>
      <c r="QEO12" s="37"/>
      <c r="QEP12" s="36"/>
      <c r="QEQ12" s="37"/>
      <c r="QER12" s="36"/>
      <c r="QES12" s="37"/>
      <c r="QET12" s="36"/>
      <c r="QEU12" s="37"/>
      <c r="QEV12" s="36"/>
      <c r="QEW12" s="37"/>
      <c r="QEX12" s="36"/>
      <c r="QEY12" s="37"/>
      <c r="QEZ12" s="36"/>
      <c r="QFA12" s="36"/>
      <c r="QFB12" s="37"/>
      <c r="QFC12" s="37"/>
      <c r="QFE12" s="22"/>
      <c r="QFF12" s="35"/>
      <c r="QFG12" s="36"/>
      <c r="QFH12" s="37"/>
      <c r="QFI12" s="36"/>
      <c r="QFJ12" s="37"/>
      <c r="QFK12" s="36"/>
      <c r="QFL12" s="37"/>
      <c r="QFM12" s="36"/>
      <c r="QFN12" s="37"/>
      <c r="QFO12" s="36"/>
      <c r="QFP12" s="37"/>
      <c r="QFQ12" s="36"/>
      <c r="QFR12" s="37"/>
      <c r="QFS12" s="36"/>
      <c r="QFT12" s="37"/>
      <c r="QFU12" s="36"/>
      <c r="QFV12" s="37"/>
      <c r="QFW12" s="36"/>
      <c r="QFX12" s="37"/>
      <c r="QFY12" s="36"/>
      <c r="QFZ12" s="36"/>
      <c r="QGA12" s="37"/>
      <c r="QGB12" s="37"/>
      <c r="QGD12" s="22"/>
      <c r="QGE12" s="35"/>
      <c r="QGF12" s="36"/>
      <c r="QGG12" s="37"/>
      <c r="QGH12" s="36"/>
      <c r="QGI12" s="37"/>
      <c r="QGJ12" s="36"/>
      <c r="QGK12" s="37"/>
      <c r="QGL12" s="36"/>
      <c r="QGM12" s="37"/>
      <c r="QGN12" s="36"/>
      <c r="QGO12" s="37"/>
      <c r="QGP12" s="36"/>
      <c r="QGQ12" s="37"/>
      <c r="QGR12" s="36"/>
      <c r="QGS12" s="37"/>
      <c r="QGT12" s="36"/>
      <c r="QGU12" s="37"/>
      <c r="QGV12" s="36"/>
      <c r="QGW12" s="37"/>
      <c r="QGX12" s="36"/>
      <c r="QGY12" s="36"/>
      <c r="QGZ12" s="37"/>
      <c r="QHA12" s="37"/>
      <c r="QHC12" s="22"/>
      <c r="QHD12" s="35"/>
      <c r="QHE12" s="36"/>
      <c r="QHF12" s="37"/>
      <c r="QHG12" s="36"/>
      <c r="QHH12" s="37"/>
      <c r="QHI12" s="36"/>
      <c r="QHJ12" s="37"/>
      <c r="QHK12" s="36"/>
      <c r="QHL12" s="37"/>
      <c r="QHM12" s="36"/>
      <c r="QHN12" s="37"/>
      <c r="QHO12" s="36"/>
      <c r="QHP12" s="37"/>
      <c r="QHQ12" s="36"/>
      <c r="QHR12" s="37"/>
      <c r="QHS12" s="36"/>
      <c r="QHT12" s="37"/>
      <c r="QHU12" s="36"/>
      <c r="QHV12" s="37"/>
      <c r="QHW12" s="36"/>
      <c r="QHX12" s="36"/>
      <c r="QHY12" s="37"/>
      <c r="QHZ12" s="37"/>
      <c r="QIB12" s="22"/>
      <c r="QIC12" s="35"/>
      <c r="QID12" s="36"/>
      <c r="QIE12" s="37"/>
      <c r="QIF12" s="36"/>
      <c r="QIG12" s="37"/>
      <c r="QIH12" s="36"/>
      <c r="QII12" s="37"/>
      <c r="QIJ12" s="36"/>
      <c r="QIK12" s="37"/>
      <c r="QIL12" s="36"/>
      <c r="QIM12" s="37"/>
      <c r="QIN12" s="36"/>
      <c r="QIO12" s="37"/>
      <c r="QIP12" s="36"/>
      <c r="QIQ12" s="37"/>
      <c r="QIR12" s="36"/>
      <c r="QIS12" s="37"/>
      <c r="QIT12" s="36"/>
      <c r="QIU12" s="37"/>
      <c r="QIV12" s="36"/>
      <c r="QIW12" s="36"/>
      <c r="QIX12" s="37"/>
      <c r="QIY12" s="37"/>
      <c r="QJA12" s="22"/>
      <c r="QJB12" s="35"/>
      <c r="QJC12" s="36"/>
      <c r="QJD12" s="37"/>
      <c r="QJE12" s="36"/>
      <c r="QJF12" s="37"/>
      <c r="QJG12" s="36"/>
      <c r="QJH12" s="37"/>
      <c r="QJI12" s="36"/>
      <c r="QJJ12" s="37"/>
      <c r="QJK12" s="36"/>
      <c r="QJL12" s="37"/>
      <c r="QJM12" s="36"/>
      <c r="QJN12" s="37"/>
      <c r="QJO12" s="36"/>
      <c r="QJP12" s="37"/>
      <c r="QJQ12" s="36"/>
      <c r="QJR12" s="37"/>
      <c r="QJS12" s="36"/>
      <c r="QJT12" s="37"/>
      <c r="QJU12" s="36"/>
      <c r="QJV12" s="36"/>
      <c r="QJW12" s="37"/>
      <c r="QJX12" s="37"/>
      <c r="QJZ12" s="22"/>
      <c r="QKA12" s="35"/>
      <c r="QKB12" s="36"/>
      <c r="QKC12" s="37"/>
      <c r="QKD12" s="36"/>
      <c r="QKE12" s="37"/>
      <c r="QKF12" s="36"/>
      <c r="QKG12" s="37"/>
      <c r="QKH12" s="36"/>
      <c r="QKI12" s="37"/>
      <c r="QKJ12" s="36"/>
      <c r="QKK12" s="37"/>
      <c r="QKL12" s="36"/>
      <c r="QKM12" s="37"/>
      <c r="QKN12" s="36"/>
      <c r="QKO12" s="37"/>
      <c r="QKP12" s="36"/>
      <c r="QKQ12" s="37"/>
      <c r="QKR12" s="36"/>
      <c r="QKS12" s="37"/>
      <c r="QKT12" s="36"/>
      <c r="QKU12" s="36"/>
      <c r="QKV12" s="37"/>
      <c r="QKW12" s="37"/>
      <c r="QKY12" s="22"/>
      <c r="QKZ12" s="35"/>
      <c r="QLA12" s="36"/>
      <c r="QLB12" s="37"/>
      <c r="QLC12" s="36"/>
      <c r="QLD12" s="37"/>
      <c r="QLE12" s="36"/>
      <c r="QLF12" s="37"/>
      <c r="QLG12" s="36"/>
      <c r="QLH12" s="37"/>
      <c r="QLI12" s="36"/>
      <c r="QLJ12" s="37"/>
      <c r="QLK12" s="36"/>
      <c r="QLL12" s="37"/>
      <c r="QLM12" s="36"/>
      <c r="QLN12" s="37"/>
      <c r="QLO12" s="36"/>
      <c r="QLP12" s="37"/>
      <c r="QLQ12" s="36"/>
      <c r="QLR12" s="37"/>
      <c r="QLS12" s="36"/>
      <c r="QLT12" s="36"/>
      <c r="QLU12" s="37"/>
      <c r="QLV12" s="37"/>
      <c r="QLX12" s="22"/>
      <c r="QLY12" s="35"/>
      <c r="QLZ12" s="36"/>
      <c r="QMA12" s="37"/>
      <c r="QMB12" s="36"/>
      <c r="QMC12" s="37"/>
      <c r="QMD12" s="36"/>
      <c r="QME12" s="37"/>
      <c r="QMF12" s="36"/>
      <c r="QMG12" s="37"/>
      <c r="QMH12" s="36"/>
      <c r="QMI12" s="37"/>
      <c r="QMJ12" s="36"/>
      <c r="QMK12" s="37"/>
      <c r="QML12" s="36"/>
      <c r="QMM12" s="37"/>
      <c r="QMN12" s="36"/>
      <c r="QMO12" s="37"/>
      <c r="QMP12" s="36"/>
      <c r="QMQ12" s="37"/>
      <c r="QMR12" s="36"/>
      <c r="QMS12" s="36"/>
      <c r="QMT12" s="37"/>
      <c r="QMU12" s="37"/>
      <c r="QMW12" s="22"/>
      <c r="QMX12" s="35"/>
      <c r="QMY12" s="36"/>
      <c r="QMZ12" s="37"/>
      <c r="QNA12" s="36"/>
      <c r="QNB12" s="37"/>
      <c r="QNC12" s="36"/>
      <c r="QND12" s="37"/>
      <c r="QNE12" s="36"/>
      <c r="QNF12" s="37"/>
      <c r="QNG12" s="36"/>
      <c r="QNH12" s="37"/>
      <c r="QNI12" s="36"/>
      <c r="QNJ12" s="37"/>
      <c r="QNK12" s="36"/>
      <c r="QNL12" s="37"/>
      <c r="QNM12" s="36"/>
      <c r="QNN12" s="37"/>
      <c r="QNO12" s="36"/>
      <c r="QNP12" s="37"/>
      <c r="QNQ12" s="36"/>
      <c r="QNR12" s="36"/>
      <c r="QNS12" s="37"/>
      <c r="QNT12" s="37"/>
      <c r="QNV12" s="22"/>
      <c r="QNW12" s="35"/>
      <c r="QNX12" s="36"/>
      <c r="QNY12" s="37"/>
      <c r="QNZ12" s="36"/>
      <c r="QOA12" s="37"/>
      <c r="QOB12" s="36"/>
      <c r="QOC12" s="37"/>
      <c r="QOD12" s="36"/>
      <c r="QOE12" s="37"/>
      <c r="QOF12" s="36"/>
      <c r="QOG12" s="37"/>
      <c r="QOH12" s="36"/>
      <c r="QOI12" s="37"/>
      <c r="QOJ12" s="36"/>
      <c r="QOK12" s="37"/>
      <c r="QOL12" s="36"/>
      <c r="QOM12" s="37"/>
      <c r="QON12" s="36"/>
      <c r="QOO12" s="37"/>
      <c r="QOP12" s="36"/>
      <c r="QOQ12" s="36"/>
      <c r="QOR12" s="37"/>
      <c r="QOS12" s="37"/>
      <c r="QOU12" s="22"/>
      <c r="QOV12" s="35"/>
      <c r="QOW12" s="36"/>
      <c r="QOX12" s="37"/>
      <c r="QOY12" s="36"/>
      <c r="QOZ12" s="37"/>
      <c r="QPA12" s="36"/>
      <c r="QPB12" s="37"/>
      <c r="QPC12" s="36"/>
      <c r="QPD12" s="37"/>
      <c r="QPE12" s="36"/>
      <c r="QPF12" s="37"/>
      <c r="QPG12" s="36"/>
      <c r="QPH12" s="37"/>
      <c r="QPI12" s="36"/>
      <c r="QPJ12" s="37"/>
      <c r="QPK12" s="36"/>
      <c r="QPL12" s="37"/>
      <c r="QPM12" s="36"/>
      <c r="QPN12" s="37"/>
      <c r="QPO12" s="36"/>
      <c r="QPP12" s="36"/>
      <c r="QPQ12" s="37"/>
      <c r="QPR12" s="37"/>
      <c r="QPT12" s="22"/>
      <c r="QPU12" s="35"/>
      <c r="QPV12" s="36"/>
      <c r="QPW12" s="37"/>
      <c r="QPX12" s="36"/>
      <c r="QPY12" s="37"/>
      <c r="QPZ12" s="36"/>
      <c r="QQA12" s="37"/>
      <c r="QQB12" s="36"/>
      <c r="QQC12" s="37"/>
      <c r="QQD12" s="36"/>
      <c r="QQE12" s="37"/>
      <c r="QQF12" s="36"/>
      <c r="QQG12" s="37"/>
      <c r="QQH12" s="36"/>
      <c r="QQI12" s="37"/>
      <c r="QQJ12" s="36"/>
      <c r="QQK12" s="37"/>
      <c r="QQL12" s="36"/>
      <c r="QQM12" s="37"/>
      <c r="QQN12" s="36"/>
      <c r="QQO12" s="36"/>
      <c r="QQP12" s="37"/>
      <c r="QQQ12" s="37"/>
      <c r="QQS12" s="22"/>
      <c r="QQT12" s="35"/>
      <c r="QQU12" s="36"/>
      <c r="QQV12" s="37"/>
      <c r="QQW12" s="36"/>
      <c r="QQX12" s="37"/>
      <c r="QQY12" s="36"/>
      <c r="QQZ12" s="37"/>
      <c r="QRA12" s="36"/>
      <c r="QRB12" s="37"/>
      <c r="QRC12" s="36"/>
      <c r="QRD12" s="37"/>
      <c r="QRE12" s="36"/>
      <c r="QRF12" s="37"/>
      <c r="QRG12" s="36"/>
      <c r="QRH12" s="37"/>
      <c r="QRI12" s="36"/>
      <c r="QRJ12" s="37"/>
      <c r="QRK12" s="36"/>
      <c r="QRL12" s="37"/>
      <c r="QRM12" s="36"/>
      <c r="QRN12" s="36"/>
      <c r="QRO12" s="37"/>
      <c r="QRP12" s="37"/>
      <c r="QRR12" s="22"/>
      <c r="QRS12" s="35"/>
      <c r="QRT12" s="36"/>
      <c r="QRU12" s="37"/>
      <c r="QRV12" s="36"/>
      <c r="QRW12" s="37"/>
      <c r="QRX12" s="36"/>
      <c r="QRY12" s="37"/>
      <c r="QRZ12" s="36"/>
      <c r="QSA12" s="37"/>
      <c r="QSB12" s="36"/>
      <c r="QSC12" s="37"/>
      <c r="QSD12" s="36"/>
      <c r="QSE12" s="37"/>
      <c r="QSF12" s="36"/>
      <c r="QSG12" s="37"/>
      <c r="QSH12" s="36"/>
      <c r="QSI12" s="37"/>
      <c r="QSJ12" s="36"/>
      <c r="QSK12" s="37"/>
      <c r="QSL12" s="36"/>
      <c r="QSM12" s="36"/>
      <c r="QSN12" s="37"/>
      <c r="QSO12" s="37"/>
      <c r="QSQ12" s="22"/>
      <c r="QSR12" s="35"/>
      <c r="QSS12" s="36"/>
      <c r="QST12" s="37"/>
      <c r="QSU12" s="36"/>
      <c r="QSV12" s="37"/>
      <c r="QSW12" s="36"/>
      <c r="QSX12" s="37"/>
      <c r="QSY12" s="36"/>
      <c r="QSZ12" s="37"/>
      <c r="QTA12" s="36"/>
      <c r="QTB12" s="37"/>
      <c r="QTC12" s="36"/>
      <c r="QTD12" s="37"/>
      <c r="QTE12" s="36"/>
      <c r="QTF12" s="37"/>
      <c r="QTG12" s="36"/>
      <c r="QTH12" s="37"/>
      <c r="QTI12" s="36"/>
      <c r="QTJ12" s="37"/>
      <c r="QTK12" s="36"/>
      <c r="QTL12" s="36"/>
      <c r="QTM12" s="37"/>
      <c r="QTN12" s="37"/>
      <c r="QTP12" s="22"/>
      <c r="QTQ12" s="35"/>
      <c r="QTR12" s="36"/>
      <c r="QTS12" s="37"/>
      <c r="QTT12" s="36"/>
      <c r="QTU12" s="37"/>
      <c r="QTV12" s="36"/>
      <c r="QTW12" s="37"/>
      <c r="QTX12" s="36"/>
      <c r="QTY12" s="37"/>
      <c r="QTZ12" s="36"/>
      <c r="QUA12" s="37"/>
      <c r="QUB12" s="36"/>
      <c r="QUC12" s="37"/>
      <c r="QUD12" s="36"/>
      <c r="QUE12" s="37"/>
      <c r="QUF12" s="36"/>
      <c r="QUG12" s="37"/>
      <c r="QUH12" s="36"/>
      <c r="QUI12" s="37"/>
      <c r="QUJ12" s="36"/>
      <c r="QUK12" s="36"/>
      <c r="QUL12" s="37"/>
      <c r="QUM12" s="37"/>
      <c r="QUO12" s="22"/>
      <c r="QUP12" s="35"/>
      <c r="QUQ12" s="36"/>
      <c r="QUR12" s="37"/>
      <c r="QUS12" s="36"/>
      <c r="QUT12" s="37"/>
      <c r="QUU12" s="36"/>
      <c r="QUV12" s="37"/>
      <c r="QUW12" s="36"/>
      <c r="QUX12" s="37"/>
      <c r="QUY12" s="36"/>
      <c r="QUZ12" s="37"/>
      <c r="QVA12" s="36"/>
      <c r="QVB12" s="37"/>
      <c r="QVC12" s="36"/>
      <c r="QVD12" s="37"/>
      <c r="QVE12" s="36"/>
      <c r="QVF12" s="37"/>
      <c r="QVG12" s="36"/>
      <c r="QVH12" s="37"/>
      <c r="QVI12" s="36"/>
      <c r="QVJ12" s="36"/>
      <c r="QVK12" s="37"/>
      <c r="QVL12" s="37"/>
      <c r="QVN12" s="22"/>
      <c r="QVO12" s="35"/>
      <c r="QVP12" s="36"/>
      <c r="QVQ12" s="37"/>
      <c r="QVR12" s="36"/>
      <c r="QVS12" s="37"/>
      <c r="QVT12" s="36"/>
      <c r="QVU12" s="37"/>
      <c r="QVV12" s="36"/>
      <c r="QVW12" s="37"/>
      <c r="QVX12" s="36"/>
      <c r="QVY12" s="37"/>
      <c r="QVZ12" s="36"/>
      <c r="QWA12" s="37"/>
      <c r="QWB12" s="36"/>
      <c r="QWC12" s="37"/>
      <c r="QWD12" s="36"/>
      <c r="QWE12" s="37"/>
      <c r="QWF12" s="36"/>
      <c r="QWG12" s="37"/>
      <c r="QWH12" s="36"/>
      <c r="QWI12" s="36"/>
      <c r="QWJ12" s="37"/>
      <c r="QWK12" s="37"/>
      <c r="QWM12" s="22"/>
      <c r="QWN12" s="35"/>
      <c r="QWO12" s="36"/>
      <c r="QWP12" s="37"/>
      <c r="QWQ12" s="36"/>
      <c r="QWR12" s="37"/>
      <c r="QWS12" s="36"/>
      <c r="QWT12" s="37"/>
      <c r="QWU12" s="36"/>
      <c r="QWV12" s="37"/>
      <c r="QWW12" s="36"/>
      <c r="QWX12" s="37"/>
      <c r="QWY12" s="36"/>
      <c r="QWZ12" s="37"/>
      <c r="QXA12" s="36"/>
      <c r="QXB12" s="37"/>
      <c r="QXC12" s="36"/>
      <c r="QXD12" s="37"/>
      <c r="QXE12" s="36"/>
      <c r="QXF12" s="37"/>
      <c r="QXG12" s="36"/>
      <c r="QXH12" s="36"/>
      <c r="QXI12" s="37"/>
      <c r="QXJ12" s="37"/>
      <c r="QXL12" s="22"/>
      <c r="QXM12" s="35"/>
      <c r="QXN12" s="36"/>
      <c r="QXO12" s="37"/>
      <c r="QXP12" s="36"/>
      <c r="QXQ12" s="37"/>
      <c r="QXR12" s="36"/>
      <c r="QXS12" s="37"/>
      <c r="QXT12" s="36"/>
      <c r="QXU12" s="37"/>
      <c r="QXV12" s="36"/>
      <c r="QXW12" s="37"/>
      <c r="QXX12" s="36"/>
      <c r="QXY12" s="37"/>
      <c r="QXZ12" s="36"/>
      <c r="QYA12" s="37"/>
      <c r="QYB12" s="36"/>
      <c r="QYC12" s="37"/>
      <c r="QYD12" s="36"/>
      <c r="QYE12" s="37"/>
      <c r="QYF12" s="36"/>
      <c r="QYG12" s="36"/>
      <c r="QYH12" s="37"/>
      <c r="QYI12" s="37"/>
      <c r="QYK12" s="22"/>
      <c r="QYL12" s="35"/>
      <c r="QYM12" s="36"/>
      <c r="QYN12" s="37"/>
      <c r="QYO12" s="36"/>
      <c r="QYP12" s="37"/>
      <c r="QYQ12" s="36"/>
      <c r="QYR12" s="37"/>
      <c r="QYS12" s="36"/>
      <c r="QYT12" s="37"/>
      <c r="QYU12" s="36"/>
      <c r="QYV12" s="37"/>
      <c r="QYW12" s="36"/>
      <c r="QYX12" s="37"/>
      <c r="QYY12" s="36"/>
      <c r="QYZ12" s="37"/>
      <c r="QZA12" s="36"/>
      <c r="QZB12" s="37"/>
      <c r="QZC12" s="36"/>
      <c r="QZD12" s="37"/>
      <c r="QZE12" s="36"/>
      <c r="QZF12" s="36"/>
      <c r="QZG12" s="37"/>
      <c r="QZH12" s="37"/>
      <c r="QZJ12" s="22"/>
      <c r="QZK12" s="35"/>
      <c r="QZL12" s="36"/>
      <c r="QZM12" s="37"/>
      <c r="QZN12" s="36"/>
      <c r="QZO12" s="37"/>
      <c r="QZP12" s="36"/>
      <c r="QZQ12" s="37"/>
      <c r="QZR12" s="36"/>
      <c r="QZS12" s="37"/>
      <c r="QZT12" s="36"/>
      <c r="QZU12" s="37"/>
      <c r="QZV12" s="36"/>
      <c r="QZW12" s="37"/>
      <c r="QZX12" s="36"/>
      <c r="QZY12" s="37"/>
      <c r="QZZ12" s="36"/>
      <c r="RAA12" s="37"/>
      <c r="RAB12" s="36"/>
      <c r="RAC12" s="37"/>
      <c r="RAD12" s="36"/>
      <c r="RAE12" s="36"/>
      <c r="RAF12" s="37"/>
      <c r="RAG12" s="37"/>
      <c r="RAI12" s="22"/>
      <c r="RAJ12" s="35"/>
      <c r="RAK12" s="36"/>
      <c r="RAL12" s="37"/>
      <c r="RAM12" s="36"/>
      <c r="RAN12" s="37"/>
      <c r="RAO12" s="36"/>
      <c r="RAP12" s="37"/>
      <c r="RAQ12" s="36"/>
      <c r="RAR12" s="37"/>
      <c r="RAS12" s="36"/>
      <c r="RAT12" s="37"/>
      <c r="RAU12" s="36"/>
      <c r="RAV12" s="37"/>
      <c r="RAW12" s="36"/>
      <c r="RAX12" s="37"/>
      <c r="RAY12" s="36"/>
      <c r="RAZ12" s="37"/>
      <c r="RBA12" s="36"/>
      <c r="RBB12" s="37"/>
      <c r="RBC12" s="36"/>
      <c r="RBD12" s="36"/>
      <c r="RBE12" s="37"/>
      <c r="RBF12" s="37"/>
      <c r="RBH12" s="22"/>
      <c r="RBI12" s="35"/>
      <c r="RBJ12" s="36"/>
      <c r="RBK12" s="37"/>
      <c r="RBL12" s="36"/>
      <c r="RBM12" s="37"/>
      <c r="RBN12" s="36"/>
      <c r="RBO12" s="37"/>
      <c r="RBP12" s="36"/>
      <c r="RBQ12" s="37"/>
      <c r="RBR12" s="36"/>
      <c r="RBS12" s="37"/>
      <c r="RBT12" s="36"/>
      <c r="RBU12" s="37"/>
      <c r="RBV12" s="36"/>
      <c r="RBW12" s="37"/>
      <c r="RBX12" s="36"/>
      <c r="RBY12" s="37"/>
      <c r="RBZ12" s="36"/>
      <c r="RCA12" s="37"/>
      <c r="RCB12" s="36"/>
      <c r="RCC12" s="36"/>
      <c r="RCD12" s="37"/>
      <c r="RCE12" s="37"/>
      <c r="RCG12" s="22"/>
      <c r="RCH12" s="35"/>
      <c r="RCI12" s="36"/>
      <c r="RCJ12" s="37"/>
      <c r="RCK12" s="36"/>
      <c r="RCL12" s="37"/>
      <c r="RCM12" s="36"/>
      <c r="RCN12" s="37"/>
      <c r="RCO12" s="36"/>
      <c r="RCP12" s="37"/>
      <c r="RCQ12" s="36"/>
      <c r="RCR12" s="37"/>
      <c r="RCS12" s="36"/>
      <c r="RCT12" s="37"/>
      <c r="RCU12" s="36"/>
      <c r="RCV12" s="37"/>
      <c r="RCW12" s="36"/>
      <c r="RCX12" s="37"/>
      <c r="RCY12" s="36"/>
      <c r="RCZ12" s="37"/>
      <c r="RDA12" s="36"/>
      <c r="RDB12" s="36"/>
      <c r="RDC12" s="37"/>
      <c r="RDD12" s="37"/>
      <c r="RDF12" s="22"/>
      <c r="RDG12" s="35"/>
      <c r="RDH12" s="36"/>
      <c r="RDI12" s="37"/>
      <c r="RDJ12" s="36"/>
      <c r="RDK12" s="37"/>
      <c r="RDL12" s="36"/>
      <c r="RDM12" s="37"/>
      <c r="RDN12" s="36"/>
      <c r="RDO12" s="37"/>
      <c r="RDP12" s="36"/>
      <c r="RDQ12" s="37"/>
      <c r="RDR12" s="36"/>
      <c r="RDS12" s="37"/>
      <c r="RDT12" s="36"/>
      <c r="RDU12" s="37"/>
      <c r="RDV12" s="36"/>
      <c r="RDW12" s="37"/>
      <c r="RDX12" s="36"/>
      <c r="RDY12" s="37"/>
      <c r="RDZ12" s="36"/>
      <c r="REA12" s="36"/>
      <c r="REB12" s="37"/>
      <c r="REC12" s="37"/>
      <c r="REE12" s="22"/>
      <c r="REF12" s="35"/>
      <c r="REG12" s="36"/>
      <c r="REH12" s="37"/>
      <c r="REI12" s="36"/>
      <c r="REJ12" s="37"/>
      <c r="REK12" s="36"/>
      <c r="REL12" s="37"/>
      <c r="REM12" s="36"/>
      <c r="REN12" s="37"/>
      <c r="REO12" s="36"/>
      <c r="REP12" s="37"/>
      <c r="REQ12" s="36"/>
      <c r="RER12" s="37"/>
      <c r="RES12" s="36"/>
      <c r="RET12" s="37"/>
      <c r="REU12" s="36"/>
      <c r="REV12" s="37"/>
      <c r="REW12" s="36"/>
      <c r="REX12" s="37"/>
      <c r="REY12" s="36"/>
      <c r="REZ12" s="36"/>
      <c r="RFA12" s="37"/>
      <c r="RFB12" s="37"/>
      <c r="RFD12" s="22"/>
      <c r="RFE12" s="35"/>
      <c r="RFF12" s="36"/>
      <c r="RFG12" s="37"/>
      <c r="RFH12" s="36"/>
      <c r="RFI12" s="37"/>
      <c r="RFJ12" s="36"/>
      <c r="RFK12" s="37"/>
      <c r="RFL12" s="36"/>
      <c r="RFM12" s="37"/>
      <c r="RFN12" s="36"/>
      <c r="RFO12" s="37"/>
      <c r="RFP12" s="36"/>
      <c r="RFQ12" s="37"/>
      <c r="RFR12" s="36"/>
      <c r="RFS12" s="37"/>
      <c r="RFT12" s="36"/>
      <c r="RFU12" s="37"/>
      <c r="RFV12" s="36"/>
      <c r="RFW12" s="37"/>
      <c r="RFX12" s="36"/>
      <c r="RFY12" s="36"/>
      <c r="RFZ12" s="37"/>
      <c r="RGA12" s="37"/>
      <c r="RGC12" s="22"/>
      <c r="RGD12" s="35"/>
      <c r="RGE12" s="36"/>
      <c r="RGF12" s="37"/>
      <c r="RGG12" s="36"/>
      <c r="RGH12" s="37"/>
      <c r="RGI12" s="36"/>
      <c r="RGJ12" s="37"/>
      <c r="RGK12" s="36"/>
      <c r="RGL12" s="37"/>
      <c r="RGM12" s="36"/>
      <c r="RGN12" s="37"/>
      <c r="RGO12" s="36"/>
      <c r="RGP12" s="37"/>
      <c r="RGQ12" s="36"/>
      <c r="RGR12" s="37"/>
      <c r="RGS12" s="36"/>
      <c r="RGT12" s="37"/>
      <c r="RGU12" s="36"/>
      <c r="RGV12" s="37"/>
      <c r="RGW12" s="36"/>
      <c r="RGX12" s="36"/>
      <c r="RGY12" s="37"/>
      <c r="RGZ12" s="37"/>
      <c r="RHB12" s="22"/>
      <c r="RHC12" s="35"/>
      <c r="RHD12" s="36"/>
      <c r="RHE12" s="37"/>
      <c r="RHF12" s="36"/>
      <c r="RHG12" s="37"/>
      <c r="RHH12" s="36"/>
      <c r="RHI12" s="37"/>
      <c r="RHJ12" s="36"/>
      <c r="RHK12" s="37"/>
      <c r="RHL12" s="36"/>
      <c r="RHM12" s="37"/>
      <c r="RHN12" s="36"/>
      <c r="RHO12" s="37"/>
      <c r="RHP12" s="36"/>
      <c r="RHQ12" s="37"/>
      <c r="RHR12" s="36"/>
      <c r="RHS12" s="37"/>
      <c r="RHT12" s="36"/>
      <c r="RHU12" s="37"/>
      <c r="RHV12" s="36"/>
      <c r="RHW12" s="36"/>
      <c r="RHX12" s="37"/>
      <c r="RHY12" s="37"/>
      <c r="RIA12" s="22"/>
      <c r="RIB12" s="35"/>
      <c r="RIC12" s="36"/>
      <c r="RID12" s="37"/>
      <c r="RIE12" s="36"/>
      <c r="RIF12" s="37"/>
      <c r="RIG12" s="36"/>
      <c r="RIH12" s="37"/>
      <c r="RII12" s="36"/>
      <c r="RIJ12" s="37"/>
      <c r="RIK12" s="36"/>
      <c r="RIL12" s="37"/>
      <c r="RIM12" s="36"/>
      <c r="RIN12" s="37"/>
      <c r="RIO12" s="36"/>
      <c r="RIP12" s="37"/>
      <c r="RIQ12" s="36"/>
      <c r="RIR12" s="37"/>
      <c r="RIS12" s="36"/>
      <c r="RIT12" s="37"/>
      <c r="RIU12" s="36"/>
      <c r="RIV12" s="36"/>
      <c r="RIW12" s="37"/>
      <c r="RIX12" s="37"/>
      <c r="RIZ12" s="22"/>
      <c r="RJA12" s="35"/>
      <c r="RJB12" s="36"/>
      <c r="RJC12" s="37"/>
      <c r="RJD12" s="36"/>
      <c r="RJE12" s="37"/>
      <c r="RJF12" s="36"/>
      <c r="RJG12" s="37"/>
      <c r="RJH12" s="36"/>
      <c r="RJI12" s="37"/>
      <c r="RJJ12" s="36"/>
      <c r="RJK12" s="37"/>
      <c r="RJL12" s="36"/>
      <c r="RJM12" s="37"/>
      <c r="RJN12" s="36"/>
      <c r="RJO12" s="37"/>
      <c r="RJP12" s="36"/>
      <c r="RJQ12" s="37"/>
      <c r="RJR12" s="36"/>
      <c r="RJS12" s="37"/>
      <c r="RJT12" s="36"/>
      <c r="RJU12" s="36"/>
      <c r="RJV12" s="37"/>
      <c r="RJW12" s="37"/>
      <c r="RJY12" s="22"/>
      <c r="RJZ12" s="35"/>
      <c r="RKA12" s="36"/>
      <c r="RKB12" s="37"/>
      <c r="RKC12" s="36"/>
      <c r="RKD12" s="37"/>
      <c r="RKE12" s="36"/>
      <c r="RKF12" s="37"/>
      <c r="RKG12" s="36"/>
      <c r="RKH12" s="37"/>
      <c r="RKI12" s="36"/>
      <c r="RKJ12" s="37"/>
      <c r="RKK12" s="36"/>
      <c r="RKL12" s="37"/>
      <c r="RKM12" s="36"/>
      <c r="RKN12" s="37"/>
      <c r="RKO12" s="36"/>
      <c r="RKP12" s="37"/>
      <c r="RKQ12" s="36"/>
      <c r="RKR12" s="37"/>
      <c r="RKS12" s="36"/>
      <c r="RKT12" s="36"/>
      <c r="RKU12" s="37"/>
      <c r="RKV12" s="37"/>
      <c r="RKX12" s="22"/>
      <c r="RKY12" s="35"/>
      <c r="RKZ12" s="36"/>
      <c r="RLA12" s="37"/>
      <c r="RLB12" s="36"/>
      <c r="RLC12" s="37"/>
      <c r="RLD12" s="36"/>
      <c r="RLE12" s="37"/>
      <c r="RLF12" s="36"/>
      <c r="RLG12" s="37"/>
      <c r="RLH12" s="36"/>
      <c r="RLI12" s="37"/>
      <c r="RLJ12" s="36"/>
      <c r="RLK12" s="37"/>
      <c r="RLL12" s="36"/>
      <c r="RLM12" s="37"/>
      <c r="RLN12" s="36"/>
      <c r="RLO12" s="37"/>
      <c r="RLP12" s="36"/>
      <c r="RLQ12" s="37"/>
      <c r="RLR12" s="36"/>
      <c r="RLS12" s="36"/>
      <c r="RLT12" s="37"/>
      <c r="RLU12" s="37"/>
      <c r="RLW12" s="22"/>
      <c r="RLX12" s="35"/>
      <c r="RLY12" s="36"/>
      <c r="RLZ12" s="37"/>
      <c r="RMA12" s="36"/>
      <c r="RMB12" s="37"/>
      <c r="RMC12" s="36"/>
      <c r="RMD12" s="37"/>
      <c r="RME12" s="36"/>
      <c r="RMF12" s="37"/>
      <c r="RMG12" s="36"/>
      <c r="RMH12" s="37"/>
      <c r="RMI12" s="36"/>
      <c r="RMJ12" s="37"/>
      <c r="RMK12" s="36"/>
      <c r="RML12" s="37"/>
      <c r="RMM12" s="36"/>
      <c r="RMN12" s="37"/>
      <c r="RMO12" s="36"/>
      <c r="RMP12" s="37"/>
      <c r="RMQ12" s="36"/>
      <c r="RMR12" s="36"/>
      <c r="RMS12" s="37"/>
      <c r="RMT12" s="37"/>
      <c r="RMV12" s="22"/>
      <c r="RMW12" s="35"/>
      <c r="RMX12" s="36"/>
      <c r="RMY12" s="37"/>
      <c r="RMZ12" s="36"/>
      <c r="RNA12" s="37"/>
      <c r="RNB12" s="36"/>
      <c r="RNC12" s="37"/>
      <c r="RND12" s="36"/>
      <c r="RNE12" s="37"/>
      <c r="RNF12" s="36"/>
      <c r="RNG12" s="37"/>
      <c r="RNH12" s="36"/>
      <c r="RNI12" s="37"/>
      <c r="RNJ12" s="36"/>
      <c r="RNK12" s="37"/>
      <c r="RNL12" s="36"/>
      <c r="RNM12" s="37"/>
      <c r="RNN12" s="36"/>
      <c r="RNO12" s="37"/>
      <c r="RNP12" s="36"/>
      <c r="RNQ12" s="36"/>
      <c r="RNR12" s="37"/>
      <c r="RNS12" s="37"/>
      <c r="RNU12" s="22"/>
      <c r="RNV12" s="35"/>
      <c r="RNW12" s="36"/>
      <c r="RNX12" s="37"/>
      <c r="RNY12" s="36"/>
      <c r="RNZ12" s="37"/>
      <c r="ROA12" s="36"/>
      <c r="ROB12" s="37"/>
      <c r="ROC12" s="36"/>
      <c r="ROD12" s="37"/>
      <c r="ROE12" s="36"/>
      <c r="ROF12" s="37"/>
      <c r="ROG12" s="36"/>
      <c r="ROH12" s="37"/>
      <c r="ROI12" s="36"/>
      <c r="ROJ12" s="37"/>
      <c r="ROK12" s="36"/>
      <c r="ROL12" s="37"/>
      <c r="ROM12" s="36"/>
      <c r="RON12" s="37"/>
      <c r="ROO12" s="36"/>
      <c r="ROP12" s="36"/>
      <c r="ROQ12" s="37"/>
      <c r="ROR12" s="37"/>
      <c r="ROT12" s="22"/>
      <c r="ROU12" s="35"/>
      <c r="ROV12" s="36"/>
      <c r="ROW12" s="37"/>
      <c r="ROX12" s="36"/>
      <c r="ROY12" s="37"/>
      <c r="ROZ12" s="36"/>
      <c r="RPA12" s="37"/>
      <c r="RPB12" s="36"/>
      <c r="RPC12" s="37"/>
      <c r="RPD12" s="36"/>
      <c r="RPE12" s="37"/>
      <c r="RPF12" s="36"/>
      <c r="RPG12" s="37"/>
      <c r="RPH12" s="36"/>
      <c r="RPI12" s="37"/>
      <c r="RPJ12" s="36"/>
      <c r="RPK12" s="37"/>
      <c r="RPL12" s="36"/>
      <c r="RPM12" s="37"/>
      <c r="RPN12" s="36"/>
      <c r="RPO12" s="36"/>
      <c r="RPP12" s="37"/>
      <c r="RPQ12" s="37"/>
      <c r="RPS12" s="22"/>
      <c r="RPT12" s="35"/>
      <c r="RPU12" s="36"/>
      <c r="RPV12" s="37"/>
      <c r="RPW12" s="36"/>
      <c r="RPX12" s="37"/>
      <c r="RPY12" s="36"/>
      <c r="RPZ12" s="37"/>
      <c r="RQA12" s="36"/>
      <c r="RQB12" s="37"/>
      <c r="RQC12" s="36"/>
      <c r="RQD12" s="37"/>
      <c r="RQE12" s="36"/>
      <c r="RQF12" s="37"/>
      <c r="RQG12" s="36"/>
      <c r="RQH12" s="37"/>
      <c r="RQI12" s="36"/>
      <c r="RQJ12" s="37"/>
      <c r="RQK12" s="36"/>
      <c r="RQL12" s="37"/>
      <c r="RQM12" s="36"/>
      <c r="RQN12" s="36"/>
      <c r="RQO12" s="37"/>
      <c r="RQP12" s="37"/>
      <c r="RQR12" s="22"/>
      <c r="RQS12" s="35"/>
      <c r="RQT12" s="36"/>
      <c r="RQU12" s="37"/>
      <c r="RQV12" s="36"/>
      <c r="RQW12" s="37"/>
      <c r="RQX12" s="36"/>
      <c r="RQY12" s="37"/>
      <c r="RQZ12" s="36"/>
      <c r="RRA12" s="37"/>
      <c r="RRB12" s="36"/>
      <c r="RRC12" s="37"/>
      <c r="RRD12" s="36"/>
      <c r="RRE12" s="37"/>
      <c r="RRF12" s="36"/>
      <c r="RRG12" s="37"/>
      <c r="RRH12" s="36"/>
      <c r="RRI12" s="37"/>
      <c r="RRJ12" s="36"/>
      <c r="RRK12" s="37"/>
      <c r="RRL12" s="36"/>
      <c r="RRM12" s="36"/>
      <c r="RRN12" s="37"/>
      <c r="RRO12" s="37"/>
      <c r="RRQ12" s="22"/>
      <c r="RRR12" s="35"/>
      <c r="RRS12" s="36"/>
      <c r="RRT12" s="37"/>
      <c r="RRU12" s="36"/>
      <c r="RRV12" s="37"/>
      <c r="RRW12" s="36"/>
      <c r="RRX12" s="37"/>
      <c r="RRY12" s="36"/>
      <c r="RRZ12" s="37"/>
      <c r="RSA12" s="36"/>
      <c r="RSB12" s="37"/>
      <c r="RSC12" s="36"/>
      <c r="RSD12" s="37"/>
      <c r="RSE12" s="36"/>
      <c r="RSF12" s="37"/>
      <c r="RSG12" s="36"/>
      <c r="RSH12" s="37"/>
      <c r="RSI12" s="36"/>
      <c r="RSJ12" s="37"/>
      <c r="RSK12" s="36"/>
      <c r="RSL12" s="36"/>
      <c r="RSM12" s="37"/>
      <c r="RSN12" s="37"/>
      <c r="RSP12" s="22"/>
      <c r="RSQ12" s="35"/>
      <c r="RSR12" s="36"/>
      <c r="RSS12" s="37"/>
      <c r="RST12" s="36"/>
      <c r="RSU12" s="37"/>
      <c r="RSV12" s="36"/>
      <c r="RSW12" s="37"/>
      <c r="RSX12" s="36"/>
      <c r="RSY12" s="37"/>
      <c r="RSZ12" s="36"/>
      <c r="RTA12" s="37"/>
      <c r="RTB12" s="36"/>
      <c r="RTC12" s="37"/>
      <c r="RTD12" s="36"/>
      <c r="RTE12" s="37"/>
      <c r="RTF12" s="36"/>
      <c r="RTG12" s="37"/>
      <c r="RTH12" s="36"/>
      <c r="RTI12" s="37"/>
      <c r="RTJ12" s="36"/>
      <c r="RTK12" s="36"/>
      <c r="RTL12" s="37"/>
      <c r="RTM12" s="37"/>
      <c r="RTO12" s="22"/>
      <c r="RTP12" s="35"/>
      <c r="RTQ12" s="36"/>
      <c r="RTR12" s="37"/>
      <c r="RTS12" s="36"/>
      <c r="RTT12" s="37"/>
      <c r="RTU12" s="36"/>
      <c r="RTV12" s="37"/>
      <c r="RTW12" s="36"/>
      <c r="RTX12" s="37"/>
      <c r="RTY12" s="36"/>
      <c r="RTZ12" s="37"/>
      <c r="RUA12" s="36"/>
      <c r="RUB12" s="37"/>
      <c r="RUC12" s="36"/>
      <c r="RUD12" s="37"/>
      <c r="RUE12" s="36"/>
      <c r="RUF12" s="37"/>
      <c r="RUG12" s="36"/>
      <c r="RUH12" s="37"/>
      <c r="RUI12" s="36"/>
      <c r="RUJ12" s="36"/>
      <c r="RUK12" s="37"/>
      <c r="RUL12" s="37"/>
      <c r="RUN12" s="22"/>
      <c r="RUO12" s="35"/>
      <c r="RUP12" s="36"/>
      <c r="RUQ12" s="37"/>
      <c r="RUR12" s="36"/>
      <c r="RUS12" s="37"/>
      <c r="RUT12" s="36"/>
      <c r="RUU12" s="37"/>
      <c r="RUV12" s="36"/>
      <c r="RUW12" s="37"/>
      <c r="RUX12" s="36"/>
      <c r="RUY12" s="37"/>
      <c r="RUZ12" s="36"/>
      <c r="RVA12" s="37"/>
      <c r="RVB12" s="36"/>
      <c r="RVC12" s="37"/>
      <c r="RVD12" s="36"/>
      <c r="RVE12" s="37"/>
      <c r="RVF12" s="36"/>
      <c r="RVG12" s="37"/>
      <c r="RVH12" s="36"/>
      <c r="RVI12" s="36"/>
      <c r="RVJ12" s="37"/>
      <c r="RVK12" s="37"/>
      <c r="RVM12" s="22"/>
      <c r="RVN12" s="35"/>
      <c r="RVO12" s="36"/>
      <c r="RVP12" s="37"/>
      <c r="RVQ12" s="36"/>
      <c r="RVR12" s="37"/>
      <c r="RVS12" s="36"/>
      <c r="RVT12" s="37"/>
      <c r="RVU12" s="36"/>
      <c r="RVV12" s="37"/>
      <c r="RVW12" s="36"/>
      <c r="RVX12" s="37"/>
      <c r="RVY12" s="36"/>
      <c r="RVZ12" s="37"/>
      <c r="RWA12" s="36"/>
      <c r="RWB12" s="37"/>
      <c r="RWC12" s="36"/>
      <c r="RWD12" s="37"/>
      <c r="RWE12" s="36"/>
      <c r="RWF12" s="37"/>
      <c r="RWG12" s="36"/>
      <c r="RWH12" s="36"/>
      <c r="RWI12" s="37"/>
      <c r="RWJ12" s="37"/>
      <c r="RWL12" s="22"/>
      <c r="RWM12" s="35"/>
      <c r="RWN12" s="36"/>
      <c r="RWO12" s="37"/>
      <c r="RWP12" s="36"/>
      <c r="RWQ12" s="37"/>
      <c r="RWR12" s="36"/>
      <c r="RWS12" s="37"/>
      <c r="RWT12" s="36"/>
      <c r="RWU12" s="37"/>
      <c r="RWV12" s="36"/>
      <c r="RWW12" s="37"/>
      <c r="RWX12" s="36"/>
      <c r="RWY12" s="37"/>
      <c r="RWZ12" s="36"/>
      <c r="RXA12" s="37"/>
      <c r="RXB12" s="36"/>
      <c r="RXC12" s="37"/>
      <c r="RXD12" s="36"/>
      <c r="RXE12" s="37"/>
      <c r="RXF12" s="36"/>
      <c r="RXG12" s="36"/>
      <c r="RXH12" s="37"/>
      <c r="RXI12" s="37"/>
      <c r="RXK12" s="22"/>
      <c r="RXL12" s="35"/>
      <c r="RXM12" s="36"/>
      <c r="RXN12" s="37"/>
      <c r="RXO12" s="36"/>
      <c r="RXP12" s="37"/>
      <c r="RXQ12" s="36"/>
      <c r="RXR12" s="37"/>
      <c r="RXS12" s="36"/>
      <c r="RXT12" s="37"/>
      <c r="RXU12" s="36"/>
      <c r="RXV12" s="37"/>
      <c r="RXW12" s="36"/>
      <c r="RXX12" s="37"/>
      <c r="RXY12" s="36"/>
      <c r="RXZ12" s="37"/>
      <c r="RYA12" s="36"/>
      <c r="RYB12" s="37"/>
      <c r="RYC12" s="36"/>
      <c r="RYD12" s="37"/>
      <c r="RYE12" s="36"/>
      <c r="RYF12" s="36"/>
      <c r="RYG12" s="37"/>
      <c r="RYH12" s="37"/>
      <c r="RYJ12" s="22"/>
      <c r="RYK12" s="35"/>
      <c r="RYL12" s="36"/>
      <c r="RYM12" s="37"/>
      <c r="RYN12" s="36"/>
      <c r="RYO12" s="37"/>
      <c r="RYP12" s="36"/>
      <c r="RYQ12" s="37"/>
      <c r="RYR12" s="36"/>
      <c r="RYS12" s="37"/>
      <c r="RYT12" s="36"/>
      <c r="RYU12" s="37"/>
      <c r="RYV12" s="36"/>
      <c r="RYW12" s="37"/>
      <c r="RYX12" s="36"/>
      <c r="RYY12" s="37"/>
      <c r="RYZ12" s="36"/>
      <c r="RZA12" s="37"/>
      <c r="RZB12" s="36"/>
      <c r="RZC12" s="37"/>
      <c r="RZD12" s="36"/>
      <c r="RZE12" s="36"/>
      <c r="RZF12" s="37"/>
      <c r="RZG12" s="37"/>
      <c r="RZI12" s="22"/>
      <c r="RZJ12" s="35"/>
      <c r="RZK12" s="36"/>
      <c r="RZL12" s="37"/>
      <c r="RZM12" s="36"/>
      <c r="RZN12" s="37"/>
      <c r="RZO12" s="36"/>
      <c r="RZP12" s="37"/>
      <c r="RZQ12" s="36"/>
      <c r="RZR12" s="37"/>
      <c r="RZS12" s="36"/>
      <c r="RZT12" s="37"/>
      <c r="RZU12" s="36"/>
      <c r="RZV12" s="37"/>
      <c r="RZW12" s="36"/>
      <c r="RZX12" s="37"/>
      <c r="RZY12" s="36"/>
      <c r="RZZ12" s="37"/>
      <c r="SAA12" s="36"/>
      <c r="SAB12" s="37"/>
      <c r="SAC12" s="36"/>
      <c r="SAD12" s="36"/>
      <c r="SAE12" s="37"/>
      <c r="SAF12" s="37"/>
      <c r="SAH12" s="22"/>
      <c r="SAI12" s="35"/>
      <c r="SAJ12" s="36"/>
      <c r="SAK12" s="37"/>
      <c r="SAL12" s="36"/>
      <c r="SAM12" s="37"/>
      <c r="SAN12" s="36"/>
      <c r="SAO12" s="37"/>
      <c r="SAP12" s="36"/>
      <c r="SAQ12" s="37"/>
      <c r="SAR12" s="36"/>
      <c r="SAS12" s="37"/>
      <c r="SAT12" s="36"/>
      <c r="SAU12" s="37"/>
      <c r="SAV12" s="36"/>
      <c r="SAW12" s="37"/>
      <c r="SAX12" s="36"/>
      <c r="SAY12" s="37"/>
      <c r="SAZ12" s="36"/>
      <c r="SBA12" s="37"/>
      <c r="SBB12" s="36"/>
      <c r="SBC12" s="36"/>
      <c r="SBD12" s="37"/>
      <c r="SBE12" s="37"/>
      <c r="SBG12" s="22"/>
      <c r="SBH12" s="35"/>
      <c r="SBI12" s="36"/>
      <c r="SBJ12" s="37"/>
      <c r="SBK12" s="36"/>
      <c r="SBL12" s="37"/>
      <c r="SBM12" s="36"/>
      <c r="SBN12" s="37"/>
      <c r="SBO12" s="36"/>
      <c r="SBP12" s="37"/>
      <c r="SBQ12" s="36"/>
      <c r="SBR12" s="37"/>
      <c r="SBS12" s="36"/>
      <c r="SBT12" s="37"/>
      <c r="SBU12" s="36"/>
      <c r="SBV12" s="37"/>
      <c r="SBW12" s="36"/>
      <c r="SBX12" s="37"/>
      <c r="SBY12" s="36"/>
      <c r="SBZ12" s="37"/>
      <c r="SCA12" s="36"/>
      <c r="SCB12" s="36"/>
      <c r="SCC12" s="37"/>
      <c r="SCD12" s="37"/>
      <c r="SCF12" s="22"/>
      <c r="SCG12" s="35"/>
      <c r="SCH12" s="36"/>
      <c r="SCI12" s="37"/>
      <c r="SCJ12" s="36"/>
      <c r="SCK12" s="37"/>
      <c r="SCL12" s="36"/>
      <c r="SCM12" s="37"/>
      <c r="SCN12" s="36"/>
      <c r="SCO12" s="37"/>
      <c r="SCP12" s="36"/>
      <c r="SCQ12" s="37"/>
      <c r="SCR12" s="36"/>
      <c r="SCS12" s="37"/>
      <c r="SCT12" s="36"/>
      <c r="SCU12" s="37"/>
      <c r="SCV12" s="36"/>
      <c r="SCW12" s="37"/>
      <c r="SCX12" s="36"/>
      <c r="SCY12" s="37"/>
      <c r="SCZ12" s="36"/>
      <c r="SDA12" s="36"/>
      <c r="SDB12" s="37"/>
      <c r="SDC12" s="37"/>
      <c r="SDE12" s="22"/>
      <c r="SDF12" s="35"/>
      <c r="SDG12" s="36"/>
      <c r="SDH12" s="37"/>
      <c r="SDI12" s="36"/>
      <c r="SDJ12" s="37"/>
      <c r="SDK12" s="36"/>
      <c r="SDL12" s="37"/>
      <c r="SDM12" s="36"/>
      <c r="SDN12" s="37"/>
      <c r="SDO12" s="36"/>
      <c r="SDP12" s="37"/>
      <c r="SDQ12" s="36"/>
      <c r="SDR12" s="37"/>
      <c r="SDS12" s="36"/>
      <c r="SDT12" s="37"/>
      <c r="SDU12" s="36"/>
      <c r="SDV12" s="37"/>
      <c r="SDW12" s="36"/>
      <c r="SDX12" s="37"/>
      <c r="SDY12" s="36"/>
      <c r="SDZ12" s="36"/>
      <c r="SEA12" s="37"/>
      <c r="SEB12" s="37"/>
      <c r="SED12" s="22"/>
      <c r="SEE12" s="35"/>
      <c r="SEF12" s="36"/>
      <c r="SEG12" s="37"/>
      <c r="SEH12" s="36"/>
      <c r="SEI12" s="37"/>
      <c r="SEJ12" s="36"/>
      <c r="SEK12" s="37"/>
      <c r="SEL12" s="36"/>
      <c r="SEM12" s="37"/>
      <c r="SEN12" s="36"/>
      <c r="SEO12" s="37"/>
      <c r="SEP12" s="36"/>
      <c r="SEQ12" s="37"/>
      <c r="SER12" s="36"/>
      <c r="SES12" s="37"/>
      <c r="SET12" s="36"/>
      <c r="SEU12" s="37"/>
      <c r="SEV12" s="36"/>
      <c r="SEW12" s="37"/>
      <c r="SEX12" s="36"/>
      <c r="SEY12" s="36"/>
      <c r="SEZ12" s="37"/>
      <c r="SFA12" s="37"/>
      <c r="SFC12" s="22"/>
      <c r="SFD12" s="35"/>
      <c r="SFE12" s="36"/>
      <c r="SFF12" s="37"/>
      <c r="SFG12" s="36"/>
      <c r="SFH12" s="37"/>
      <c r="SFI12" s="36"/>
      <c r="SFJ12" s="37"/>
      <c r="SFK12" s="36"/>
      <c r="SFL12" s="37"/>
      <c r="SFM12" s="36"/>
      <c r="SFN12" s="37"/>
      <c r="SFO12" s="36"/>
      <c r="SFP12" s="37"/>
      <c r="SFQ12" s="36"/>
      <c r="SFR12" s="37"/>
      <c r="SFS12" s="36"/>
      <c r="SFT12" s="37"/>
      <c r="SFU12" s="36"/>
      <c r="SFV12" s="37"/>
      <c r="SFW12" s="36"/>
      <c r="SFX12" s="36"/>
      <c r="SFY12" s="37"/>
      <c r="SFZ12" s="37"/>
      <c r="SGB12" s="22"/>
      <c r="SGC12" s="35"/>
      <c r="SGD12" s="36"/>
      <c r="SGE12" s="37"/>
      <c r="SGF12" s="36"/>
      <c r="SGG12" s="37"/>
      <c r="SGH12" s="36"/>
      <c r="SGI12" s="37"/>
      <c r="SGJ12" s="36"/>
      <c r="SGK12" s="37"/>
      <c r="SGL12" s="36"/>
      <c r="SGM12" s="37"/>
      <c r="SGN12" s="36"/>
      <c r="SGO12" s="37"/>
      <c r="SGP12" s="36"/>
      <c r="SGQ12" s="37"/>
      <c r="SGR12" s="36"/>
      <c r="SGS12" s="37"/>
      <c r="SGT12" s="36"/>
      <c r="SGU12" s="37"/>
      <c r="SGV12" s="36"/>
      <c r="SGW12" s="36"/>
      <c r="SGX12" s="37"/>
      <c r="SGY12" s="37"/>
      <c r="SHA12" s="22"/>
      <c r="SHB12" s="35"/>
      <c r="SHC12" s="36"/>
      <c r="SHD12" s="37"/>
      <c r="SHE12" s="36"/>
      <c r="SHF12" s="37"/>
      <c r="SHG12" s="36"/>
      <c r="SHH12" s="37"/>
      <c r="SHI12" s="36"/>
      <c r="SHJ12" s="37"/>
      <c r="SHK12" s="36"/>
      <c r="SHL12" s="37"/>
      <c r="SHM12" s="36"/>
      <c r="SHN12" s="37"/>
      <c r="SHO12" s="36"/>
      <c r="SHP12" s="37"/>
      <c r="SHQ12" s="36"/>
      <c r="SHR12" s="37"/>
      <c r="SHS12" s="36"/>
      <c r="SHT12" s="37"/>
      <c r="SHU12" s="36"/>
      <c r="SHV12" s="36"/>
      <c r="SHW12" s="37"/>
      <c r="SHX12" s="37"/>
      <c r="SHZ12" s="22"/>
      <c r="SIA12" s="35"/>
      <c r="SIB12" s="36"/>
      <c r="SIC12" s="37"/>
      <c r="SID12" s="36"/>
      <c r="SIE12" s="37"/>
      <c r="SIF12" s="36"/>
      <c r="SIG12" s="37"/>
      <c r="SIH12" s="36"/>
      <c r="SII12" s="37"/>
      <c r="SIJ12" s="36"/>
      <c r="SIK12" s="37"/>
      <c r="SIL12" s="36"/>
      <c r="SIM12" s="37"/>
      <c r="SIN12" s="36"/>
      <c r="SIO12" s="37"/>
      <c r="SIP12" s="36"/>
      <c r="SIQ12" s="37"/>
      <c r="SIR12" s="36"/>
      <c r="SIS12" s="37"/>
      <c r="SIT12" s="36"/>
      <c r="SIU12" s="36"/>
      <c r="SIV12" s="37"/>
      <c r="SIW12" s="37"/>
      <c r="SIY12" s="22"/>
      <c r="SIZ12" s="35"/>
      <c r="SJA12" s="36"/>
      <c r="SJB12" s="37"/>
      <c r="SJC12" s="36"/>
      <c r="SJD12" s="37"/>
      <c r="SJE12" s="36"/>
      <c r="SJF12" s="37"/>
      <c r="SJG12" s="36"/>
      <c r="SJH12" s="37"/>
      <c r="SJI12" s="36"/>
      <c r="SJJ12" s="37"/>
      <c r="SJK12" s="36"/>
      <c r="SJL12" s="37"/>
      <c r="SJM12" s="36"/>
      <c r="SJN12" s="37"/>
      <c r="SJO12" s="36"/>
      <c r="SJP12" s="37"/>
      <c r="SJQ12" s="36"/>
      <c r="SJR12" s="37"/>
      <c r="SJS12" s="36"/>
      <c r="SJT12" s="36"/>
      <c r="SJU12" s="37"/>
      <c r="SJV12" s="37"/>
      <c r="SJX12" s="22"/>
      <c r="SJY12" s="35"/>
      <c r="SJZ12" s="36"/>
      <c r="SKA12" s="37"/>
      <c r="SKB12" s="36"/>
      <c r="SKC12" s="37"/>
      <c r="SKD12" s="36"/>
      <c r="SKE12" s="37"/>
      <c r="SKF12" s="36"/>
      <c r="SKG12" s="37"/>
      <c r="SKH12" s="36"/>
      <c r="SKI12" s="37"/>
      <c r="SKJ12" s="36"/>
      <c r="SKK12" s="37"/>
      <c r="SKL12" s="36"/>
      <c r="SKM12" s="37"/>
      <c r="SKN12" s="36"/>
      <c r="SKO12" s="37"/>
      <c r="SKP12" s="36"/>
      <c r="SKQ12" s="37"/>
      <c r="SKR12" s="36"/>
      <c r="SKS12" s="36"/>
      <c r="SKT12" s="37"/>
      <c r="SKU12" s="37"/>
      <c r="SKW12" s="22"/>
      <c r="SKX12" s="35"/>
      <c r="SKY12" s="36"/>
      <c r="SKZ12" s="37"/>
      <c r="SLA12" s="36"/>
      <c r="SLB12" s="37"/>
      <c r="SLC12" s="36"/>
      <c r="SLD12" s="37"/>
      <c r="SLE12" s="36"/>
      <c r="SLF12" s="37"/>
      <c r="SLG12" s="36"/>
      <c r="SLH12" s="37"/>
      <c r="SLI12" s="36"/>
      <c r="SLJ12" s="37"/>
      <c r="SLK12" s="36"/>
      <c r="SLL12" s="37"/>
      <c r="SLM12" s="36"/>
      <c r="SLN12" s="37"/>
      <c r="SLO12" s="36"/>
      <c r="SLP12" s="37"/>
      <c r="SLQ12" s="36"/>
      <c r="SLR12" s="36"/>
      <c r="SLS12" s="37"/>
      <c r="SLT12" s="37"/>
      <c r="SLV12" s="22"/>
      <c r="SLW12" s="35"/>
      <c r="SLX12" s="36"/>
      <c r="SLY12" s="37"/>
      <c r="SLZ12" s="36"/>
      <c r="SMA12" s="37"/>
      <c r="SMB12" s="36"/>
      <c r="SMC12" s="37"/>
      <c r="SMD12" s="36"/>
      <c r="SME12" s="37"/>
      <c r="SMF12" s="36"/>
      <c r="SMG12" s="37"/>
      <c r="SMH12" s="36"/>
      <c r="SMI12" s="37"/>
      <c r="SMJ12" s="36"/>
      <c r="SMK12" s="37"/>
      <c r="SML12" s="36"/>
      <c r="SMM12" s="37"/>
      <c r="SMN12" s="36"/>
      <c r="SMO12" s="37"/>
      <c r="SMP12" s="36"/>
      <c r="SMQ12" s="36"/>
      <c r="SMR12" s="37"/>
      <c r="SMS12" s="37"/>
      <c r="SMU12" s="22"/>
      <c r="SMV12" s="35"/>
      <c r="SMW12" s="36"/>
      <c r="SMX12" s="37"/>
      <c r="SMY12" s="36"/>
      <c r="SMZ12" s="37"/>
      <c r="SNA12" s="36"/>
      <c r="SNB12" s="37"/>
      <c r="SNC12" s="36"/>
      <c r="SND12" s="37"/>
      <c r="SNE12" s="36"/>
      <c r="SNF12" s="37"/>
      <c r="SNG12" s="36"/>
      <c r="SNH12" s="37"/>
      <c r="SNI12" s="36"/>
      <c r="SNJ12" s="37"/>
      <c r="SNK12" s="36"/>
      <c r="SNL12" s="37"/>
      <c r="SNM12" s="36"/>
      <c r="SNN12" s="37"/>
      <c r="SNO12" s="36"/>
      <c r="SNP12" s="36"/>
      <c r="SNQ12" s="37"/>
      <c r="SNR12" s="37"/>
      <c r="SNT12" s="22"/>
      <c r="SNU12" s="35"/>
      <c r="SNV12" s="36"/>
      <c r="SNW12" s="37"/>
      <c r="SNX12" s="36"/>
      <c r="SNY12" s="37"/>
      <c r="SNZ12" s="36"/>
      <c r="SOA12" s="37"/>
      <c r="SOB12" s="36"/>
      <c r="SOC12" s="37"/>
      <c r="SOD12" s="36"/>
      <c r="SOE12" s="37"/>
      <c r="SOF12" s="36"/>
      <c r="SOG12" s="37"/>
      <c r="SOH12" s="36"/>
      <c r="SOI12" s="37"/>
      <c r="SOJ12" s="36"/>
      <c r="SOK12" s="37"/>
      <c r="SOL12" s="36"/>
      <c r="SOM12" s="37"/>
      <c r="SON12" s="36"/>
      <c r="SOO12" s="36"/>
      <c r="SOP12" s="37"/>
      <c r="SOQ12" s="37"/>
      <c r="SOS12" s="22"/>
      <c r="SOT12" s="35"/>
      <c r="SOU12" s="36"/>
      <c r="SOV12" s="37"/>
      <c r="SOW12" s="36"/>
      <c r="SOX12" s="37"/>
      <c r="SOY12" s="36"/>
      <c r="SOZ12" s="37"/>
      <c r="SPA12" s="36"/>
      <c r="SPB12" s="37"/>
      <c r="SPC12" s="36"/>
      <c r="SPD12" s="37"/>
      <c r="SPE12" s="36"/>
      <c r="SPF12" s="37"/>
      <c r="SPG12" s="36"/>
      <c r="SPH12" s="37"/>
      <c r="SPI12" s="36"/>
      <c r="SPJ12" s="37"/>
      <c r="SPK12" s="36"/>
      <c r="SPL12" s="37"/>
      <c r="SPM12" s="36"/>
      <c r="SPN12" s="36"/>
      <c r="SPO12" s="37"/>
      <c r="SPP12" s="37"/>
      <c r="SPR12" s="22"/>
      <c r="SPS12" s="35"/>
      <c r="SPT12" s="36"/>
      <c r="SPU12" s="37"/>
      <c r="SPV12" s="36"/>
      <c r="SPW12" s="37"/>
      <c r="SPX12" s="36"/>
      <c r="SPY12" s="37"/>
      <c r="SPZ12" s="36"/>
      <c r="SQA12" s="37"/>
      <c r="SQB12" s="36"/>
      <c r="SQC12" s="37"/>
      <c r="SQD12" s="36"/>
      <c r="SQE12" s="37"/>
      <c r="SQF12" s="36"/>
      <c r="SQG12" s="37"/>
      <c r="SQH12" s="36"/>
      <c r="SQI12" s="37"/>
      <c r="SQJ12" s="36"/>
      <c r="SQK12" s="37"/>
      <c r="SQL12" s="36"/>
      <c r="SQM12" s="36"/>
      <c r="SQN12" s="37"/>
      <c r="SQO12" s="37"/>
      <c r="SQQ12" s="22"/>
      <c r="SQR12" s="35"/>
      <c r="SQS12" s="36"/>
      <c r="SQT12" s="37"/>
      <c r="SQU12" s="36"/>
      <c r="SQV12" s="37"/>
      <c r="SQW12" s="36"/>
      <c r="SQX12" s="37"/>
      <c r="SQY12" s="36"/>
      <c r="SQZ12" s="37"/>
      <c r="SRA12" s="36"/>
      <c r="SRB12" s="37"/>
      <c r="SRC12" s="36"/>
      <c r="SRD12" s="37"/>
      <c r="SRE12" s="36"/>
      <c r="SRF12" s="37"/>
      <c r="SRG12" s="36"/>
      <c r="SRH12" s="37"/>
      <c r="SRI12" s="36"/>
      <c r="SRJ12" s="37"/>
      <c r="SRK12" s="36"/>
      <c r="SRL12" s="36"/>
      <c r="SRM12" s="37"/>
      <c r="SRN12" s="37"/>
      <c r="SRP12" s="22"/>
      <c r="SRQ12" s="35"/>
      <c r="SRR12" s="36"/>
      <c r="SRS12" s="37"/>
      <c r="SRT12" s="36"/>
      <c r="SRU12" s="37"/>
      <c r="SRV12" s="36"/>
      <c r="SRW12" s="37"/>
      <c r="SRX12" s="36"/>
      <c r="SRY12" s="37"/>
      <c r="SRZ12" s="36"/>
      <c r="SSA12" s="37"/>
      <c r="SSB12" s="36"/>
      <c r="SSC12" s="37"/>
      <c r="SSD12" s="36"/>
      <c r="SSE12" s="37"/>
      <c r="SSF12" s="36"/>
      <c r="SSG12" s="37"/>
      <c r="SSH12" s="36"/>
      <c r="SSI12" s="37"/>
      <c r="SSJ12" s="36"/>
      <c r="SSK12" s="36"/>
      <c r="SSL12" s="37"/>
      <c r="SSM12" s="37"/>
      <c r="SSO12" s="22"/>
      <c r="SSP12" s="35"/>
      <c r="SSQ12" s="36"/>
      <c r="SSR12" s="37"/>
      <c r="SSS12" s="36"/>
      <c r="SST12" s="37"/>
      <c r="SSU12" s="36"/>
      <c r="SSV12" s="37"/>
      <c r="SSW12" s="36"/>
      <c r="SSX12" s="37"/>
      <c r="SSY12" s="36"/>
      <c r="SSZ12" s="37"/>
      <c r="STA12" s="36"/>
      <c r="STB12" s="37"/>
      <c r="STC12" s="36"/>
      <c r="STD12" s="37"/>
      <c r="STE12" s="36"/>
      <c r="STF12" s="37"/>
      <c r="STG12" s="36"/>
      <c r="STH12" s="37"/>
      <c r="STI12" s="36"/>
      <c r="STJ12" s="36"/>
      <c r="STK12" s="37"/>
      <c r="STL12" s="37"/>
      <c r="STN12" s="22"/>
      <c r="STO12" s="35"/>
      <c r="STP12" s="36"/>
      <c r="STQ12" s="37"/>
      <c r="STR12" s="36"/>
      <c r="STS12" s="37"/>
      <c r="STT12" s="36"/>
      <c r="STU12" s="37"/>
      <c r="STV12" s="36"/>
      <c r="STW12" s="37"/>
      <c r="STX12" s="36"/>
      <c r="STY12" s="37"/>
      <c r="STZ12" s="36"/>
      <c r="SUA12" s="37"/>
      <c r="SUB12" s="36"/>
      <c r="SUC12" s="37"/>
      <c r="SUD12" s="36"/>
      <c r="SUE12" s="37"/>
      <c r="SUF12" s="36"/>
      <c r="SUG12" s="37"/>
      <c r="SUH12" s="36"/>
      <c r="SUI12" s="36"/>
      <c r="SUJ12" s="37"/>
      <c r="SUK12" s="37"/>
      <c r="SUM12" s="22"/>
      <c r="SUN12" s="35"/>
      <c r="SUO12" s="36"/>
      <c r="SUP12" s="37"/>
      <c r="SUQ12" s="36"/>
      <c r="SUR12" s="37"/>
      <c r="SUS12" s="36"/>
      <c r="SUT12" s="37"/>
      <c r="SUU12" s="36"/>
      <c r="SUV12" s="37"/>
      <c r="SUW12" s="36"/>
      <c r="SUX12" s="37"/>
      <c r="SUY12" s="36"/>
      <c r="SUZ12" s="37"/>
      <c r="SVA12" s="36"/>
      <c r="SVB12" s="37"/>
      <c r="SVC12" s="36"/>
      <c r="SVD12" s="37"/>
      <c r="SVE12" s="36"/>
      <c r="SVF12" s="37"/>
      <c r="SVG12" s="36"/>
      <c r="SVH12" s="36"/>
      <c r="SVI12" s="37"/>
      <c r="SVJ12" s="37"/>
      <c r="SVL12" s="22"/>
      <c r="SVM12" s="35"/>
      <c r="SVN12" s="36"/>
      <c r="SVO12" s="37"/>
      <c r="SVP12" s="36"/>
      <c r="SVQ12" s="37"/>
      <c r="SVR12" s="36"/>
      <c r="SVS12" s="37"/>
      <c r="SVT12" s="36"/>
      <c r="SVU12" s="37"/>
      <c r="SVV12" s="36"/>
      <c r="SVW12" s="37"/>
      <c r="SVX12" s="36"/>
      <c r="SVY12" s="37"/>
      <c r="SVZ12" s="36"/>
      <c r="SWA12" s="37"/>
      <c r="SWB12" s="36"/>
      <c r="SWC12" s="37"/>
      <c r="SWD12" s="36"/>
      <c r="SWE12" s="37"/>
      <c r="SWF12" s="36"/>
      <c r="SWG12" s="36"/>
      <c r="SWH12" s="37"/>
      <c r="SWI12" s="37"/>
      <c r="SWK12" s="22"/>
      <c r="SWL12" s="35"/>
      <c r="SWM12" s="36"/>
      <c r="SWN12" s="37"/>
      <c r="SWO12" s="36"/>
      <c r="SWP12" s="37"/>
      <c r="SWQ12" s="36"/>
      <c r="SWR12" s="37"/>
      <c r="SWS12" s="36"/>
      <c r="SWT12" s="37"/>
      <c r="SWU12" s="36"/>
      <c r="SWV12" s="37"/>
      <c r="SWW12" s="36"/>
      <c r="SWX12" s="37"/>
      <c r="SWY12" s="36"/>
      <c r="SWZ12" s="37"/>
      <c r="SXA12" s="36"/>
      <c r="SXB12" s="37"/>
      <c r="SXC12" s="36"/>
      <c r="SXD12" s="37"/>
      <c r="SXE12" s="36"/>
      <c r="SXF12" s="36"/>
      <c r="SXG12" s="37"/>
      <c r="SXH12" s="37"/>
      <c r="SXJ12" s="22"/>
      <c r="SXK12" s="35"/>
      <c r="SXL12" s="36"/>
      <c r="SXM12" s="37"/>
      <c r="SXN12" s="36"/>
      <c r="SXO12" s="37"/>
      <c r="SXP12" s="36"/>
      <c r="SXQ12" s="37"/>
      <c r="SXR12" s="36"/>
      <c r="SXS12" s="37"/>
      <c r="SXT12" s="36"/>
      <c r="SXU12" s="37"/>
      <c r="SXV12" s="36"/>
      <c r="SXW12" s="37"/>
      <c r="SXX12" s="36"/>
      <c r="SXY12" s="37"/>
      <c r="SXZ12" s="36"/>
      <c r="SYA12" s="37"/>
      <c r="SYB12" s="36"/>
      <c r="SYC12" s="37"/>
      <c r="SYD12" s="36"/>
      <c r="SYE12" s="36"/>
      <c r="SYF12" s="37"/>
      <c r="SYG12" s="37"/>
      <c r="SYI12" s="22"/>
      <c r="SYJ12" s="35"/>
      <c r="SYK12" s="36"/>
      <c r="SYL12" s="37"/>
      <c r="SYM12" s="36"/>
      <c r="SYN12" s="37"/>
      <c r="SYO12" s="36"/>
      <c r="SYP12" s="37"/>
      <c r="SYQ12" s="36"/>
      <c r="SYR12" s="37"/>
      <c r="SYS12" s="36"/>
      <c r="SYT12" s="37"/>
      <c r="SYU12" s="36"/>
      <c r="SYV12" s="37"/>
      <c r="SYW12" s="36"/>
      <c r="SYX12" s="37"/>
      <c r="SYY12" s="36"/>
      <c r="SYZ12" s="37"/>
      <c r="SZA12" s="36"/>
      <c r="SZB12" s="37"/>
      <c r="SZC12" s="36"/>
      <c r="SZD12" s="36"/>
      <c r="SZE12" s="37"/>
      <c r="SZF12" s="37"/>
      <c r="SZH12" s="22"/>
      <c r="SZI12" s="35"/>
      <c r="SZJ12" s="36"/>
      <c r="SZK12" s="37"/>
      <c r="SZL12" s="36"/>
      <c r="SZM12" s="37"/>
      <c r="SZN12" s="36"/>
      <c r="SZO12" s="37"/>
      <c r="SZP12" s="36"/>
      <c r="SZQ12" s="37"/>
      <c r="SZR12" s="36"/>
      <c r="SZS12" s="37"/>
      <c r="SZT12" s="36"/>
      <c r="SZU12" s="37"/>
      <c r="SZV12" s="36"/>
      <c r="SZW12" s="37"/>
      <c r="SZX12" s="36"/>
      <c r="SZY12" s="37"/>
      <c r="SZZ12" s="36"/>
      <c r="TAA12" s="37"/>
      <c r="TAB12" s="36"/>
      <c r="TAC12" s="36"/>
      <c r="TAD12" s="37"/>
      <c r="TAE12" s="37"/>
      <c r="TAG12" s="22"/>
      <c r="TAH12" s="35"/>
      <c r="TAI12" s="36"/>
      <c r="TAJ12" s="37"/>
      <c r="TAK12" s="36"/>
      <c r="TAL12" s="37"/>
      <c r="TAM12" s="36"/>
      <c r="TAN12" s="37"/>
      <c r="TAO12" s="36"/>
      <c r="TAP12" s="37"/>
      <c r="TAQ12" s="36"/>
      <c r="TAR12" s="37"/>
      <c r="TAS12" s="36"/>
      <c r="TAT12" s="37"/>
      <c r="TAU12" s="36"/>
      <c r="TAV12" s="37"/>
      <c r="TAW12" s="36"/>
      <c r="TAX12" s="37"/>
      <c r="TAY12" s="36"/>
      <c r="TAZ12" s="37"/>
      <c r="TBA12" s="36"/>
      <c r="TBB12" s="36"/>
      <c r="TBC12" s="37"/>
      <c r="TBD12" s="37"/>
      <c r="TBF12" s="22"/>
      <c r="TBG12" s="35"/>
      <c r="TBH12" s="36"/>
      <c r="TBI12" s="37"/>
      <c r="TBJ12" s="36"/>
      <c r="TBK12" s="37"/>
      <c r="TBL12" s="36"/>
      <c r="TBM12" s="37"/>
      <c r="TBN12" s="36"/>
      <c r="TBO12" s="37"/>
      <c r="TBP12" s="36"/>
      <c r="TBQ12" s="37"/>
      <c r="TBR12" s="36"/>
      <c r="TBS12" s="37"/>
      <c r="TBT12" s="36"/>
      <c r="TBU12" s="37"/>
      <c r="TBV12" s="36"/>
      <c r="TBW12" s="37"/>
      <c r="TBX12" s="36"/>
      <c r="TBY12" s="37"/>
      <c r="TBZ12" s="36"/>
      <c r="TCA12" s="36"/>
      <c r="TCB12" s="37"/>
      <c r="TCC12" s="37"/>
      <c r="TCE12" s="22"/>
      <c r="TCF12" s="35"/>
      <c r="TCG12" s="36"/>
      <c r="TCH12" s="37"/>
      <c r="TCI12" s="36"/>
      <c r="TCJ12" s="37"/>
      <c r="TCK12" s="36"/>
      <c r="TCL12" s="37"/>
      <c r="TCM12" s="36"/>
      <c r="TCN12" s="37"/>
      <c r="TCO12" s="36"/>
      <c r="TCP12" s="37"/>
      <c r="TCQ12" s="36"/>
      <c r="TCR12" s="37"/>
      <c r="TCS12" s="36"/>
      <c r="TCT12" s="37"/>
      <c r="TCU12" s="36"/>
      <c r="TCV12" s="37"/>
      <c r="TCW12" s="36"/>
      <c r="TCX12" s="37"/>
      <c r="TCY12" s="36"/>
      <c r="TCZ12" s="36"/>
      <c r="TDA12" s="37"/>
      <c r="TDB12" s="37"/>
      <c r="TDD12" s="22"/>
      <c r="TDE12" s="35"/>
      <c r="TDF12" s="36"/>
      <c r="TDG12" s="37"/>
      <c r="TDH12" s="36"/>
      <c r="TDI12" s="37"/>
      <c r="TDJ12" s="36"/>
      <c r="TDK12" s="37"/>
      <c r="TDL12" s="36"/>
      <c r="TDM12" s="37"/>
      <c r="TDN12" s="36"/>
      <c r="TDO12" s="37"/>
      <c r="TDP12" s="36"/>
      <c r="TDQ12" s="37"/>
      <c r="TDR12" s="36"/>
      <c r="TDS12" s="37"/>
      <c r="TDT12" s="36"/>
      <c r="TDU12" s="37"/>
      <c r="TDV12" s="36"/>
      <c r="TDW12" s="37"/>
      <c r="TDX12" s="36"/>
      <c r="TDY12" s="36"/>
      <c r="TDZ12" s="37"/>
      <c r="TEA12" s="37"/>
      <c r="TEC12" s="22"/>
      <c r="TED12" s="35"/>
      <c r="TEE12" s="36"/>
      <c r="TEF12" s="37"/>
      <c r="TEG12" s="36"/>
      <c r="TEH12" s="37"/>
      <c r="TEI12" s="36"/>
      <c r="TEJ12" s="37"/>
      <c r="TEK12" s="36"/>
      <c r="TEL12" s="37"/>
      <c r="TEM12" s="36"/>
      <c r="TEN12" s="37"/>
      <c r="TEO12" s="36"/>
      <c r="TEP12" s="37"/>
      <c r="TEQ12" s="36"/>
      <c r="TER12" s="37"/>
      <c r="TES12" s="36"/>
      <c r="TET12" s="37"/>
      <c r="TEU12" s="36"/>
      <c r="TEV12" s="37"/>
      <c r="TEW12" s="36"/>
      <c r="TEX12" s="36"/>
      <c r="TEY12" s="37"/>
      <c r="TEZ12" s="37"/>
      <c r="TFB12" s="22"/>
      <c r="TFC12" s="35"/>
      <c r="TFD12" s="36"/>
      <c r="TFE12" s="37"/>
      <c r="TFF12" s="36"/>
      <c r="TFG12" s="37"/>
      <c r="TFH12" s="36"/>
      <c r="TFI12" s="37"/>
      <c r="TFJ12" s="36"/>
      <c r="TFK12" s="37"/>
      <c r="TFL12" s="36"/>
      <c r="TFM12" s="37"/>
      <c r="TFN12" s="36"/>
      <c r="TFO12" s="37"/>
      <c r="TFP12" s="36"/>
      <c r="TFQ12" s="37"/>
      <c r="TFR12" s="36"/>
      <c r="TFS12" s="37"/>
      <c r="TFT12" s="36"/>
      <c r="TFU12" s="37"/>
      <c r="TFV12" s="36"/>
      <c r="TFW12" s="36"/>
      <c r="TFX12" s="37"/>
      <c r="TFY12" s="37"/>
      <c r="TGA12" s="22"/>
      <c r="TGB12" s="35"/>
      <c r="TGC12" s="36"/>
      <c r="TGD12" s="37"/>
      <c r="TGE12" s="36"/>
      <c r="TGF12" s="37"/>
      <c r="TGG12" s="36"/>
      <c r="TGH12" s="37"/>
      <c r="TGI12" s="36"/>
      <c r="TGJ12" s="37"/>
      <c r="TGK12" s="36"/>
      <c r="TGL12" s="37"/>
      <c r="TGM12" s="36"/>
      <c r="TGN12" s="37"/>
      <c r="TGO12" s="36"/>
      <c r="TGP12" s="37"/>
      <c r="TGQ12" s="36"/>
      <c r="TGR12" s="37"/>
      <c r="TGS12" s="36"/>
      <c r="TGT12" s="37"/>
      <c r="TGU12" s="36"/>
      <c r="TGV12" s="36"/>
      <c r="TGW12" s="37"/>
      <c r="TGX12" s="37"/>
      <c r="TGZ12" s="22"/>
      <c r="THA12" s="35"/>
      <c r="THB12" s="36"/>
      <c r="THC12" s="37"/>
      <c r="THD12" s="36"/>
      <c r="THE12" s="37"/>
      <c r="THF12" s="36"/>
      <c r="THG12" s="37"/>
      <c r="THH12" s="36"/>
      <c r="THI12" s="37"/>
      <c r="THJ12" s="36"/>
      <c r="THK12" s="37"/>
      <c r="THL12" s="36"/>
      <c r="THM12" s="37"/>
      <c r="THN12" s="36"/>
      <c r="THO12" s="37"/>
      <c r="THP12" s="36"/>
      <c r="THQ12" s="37"/>
      <c r="THR12" s="36"/>
      <c r="THS12" s="37"/>
      <c r="THT12" s="36"/>
      <c r="THU12" s="36"/>
      <c r="THV12" s="37"/>
      <c r="THW12" s="37"/>
      <c r="THY12" s="22"/>
      <c r="THZ12" s="35"/>
      <c r="TIA12" s="36"/>
      <c r="TIB12" s="37"/>
      <c r="TIC12" s="36"/>
      <c r="TID12" s="37"/>
      <c r="TIE12" s="36"/>
      <c r="TIF12" s="37"/>
      <c r="TIG12" s="36"/>
      <c r="TIH12" s="37"/>
      <c r="TII12" s="36"/>
      <c r="TIJ12" s="37"/>
      <c r="TIK12" s="36"/>
      <c r="TIL12" s="37"/>
      <c r="TIM12" s="36"/>
      <c r="TIN12" s="37"/>
      <c r="TIO12" s="36"/>
      <c r="TIP12" s="37"/>
      <c r="TIQ12" s="36"/>
      <c r="TIR12" s="37"/>
      <c r="TIS12" s="36"/>
      <c r="TIT12" s="36"/>
      <c r="TIU12" s="37"/>
      <c r="TIV12" s="37"/>
      <c r="TIX12" s="22"/>
      <c r="TIY12" s="35"/>
      <c r="TIZ12" s="36"/>
      <c r="TJA12" s="37"/>
      <c r="TJB12" s="36"/>
      <c r="TJC12" s="37"/>
      <c r="TJD12" s="36"/>
      <c r="TJE12" s="37"/>
      <c r="TJF12" s="36"/>
      <c r="TJG12" s="37"/>
      <c r="TJH12" s="36"/>
      <c r="TJI12" s="37"/>
      <c r="TJJ12" s="36"/>
      <c r="TJK12" s="37"/>
      <c r="TJL12" s="36"/>
      <c r="TJM12" s="37"/>
      <c r="TJN12" s="36"/>
      <c r="TJO12" s="37"/>
      <c r="TJP12" s="36"/>
      <c r="TJQ12" s="37"/>
      <c r="TJR12" s="36"/>
      <c r="TJS12" s="36"/>
      <c r="TJT12" s="37"/>
      <c r="TJU12" s="37"/>
      <c r="TJW12" s="22"/>
      <c r="TJX12" s="35"/>
      <c r="TJY12" s="36"/>
      <c r="TJZ12" s="37"/>
      <c r="TKA12" s="36"/>
      <c r="TKB12" s="37"/>
      <c r="TKC12" s="36"/>
      <c r="TKD12" s="37"/>
      <c r="TKE12" s="36"/>
      <c r="TKF12" s="37"/>
      <c r="TKG12" s="36"/>
      <c r="TKH12" s="37"/>
      <c r="TKI12" s="36"/>
      <c r="TKJ12" s="37"/>
      <c r="TKK12" s="36"/>
      <c r="TKL12" s="37"/>
      <c r="TKM12" s="36"/>
      <c r="TKN12" s="37"/>
      <c r="TKO12" s="36"/>
      <c r="TKP12" s="37"/>
      <c r="TKQ12" s="36"/>
      <c r="TKR12" s="36"/>
      <c r="TKS12" s="37"/>
      <c r="TKT12" s="37"/>
      <c r="TKV12" s="22"/>
      <c r="TKW12" s="35"/>
      <c r="TKX12" s="36"/>
      <c r="TKY12" s="37"/>
      <c r="TKZ12" s="36"/>
      <c r="TLA12" s="37"/>
      <c r="TLB12" s="36"/>
      <c r="TLC12" s="37"/>
      <c r="TLD12" s="36"/>
      <c r="TLE12" s="37"/>
      <c r="TLF12" s="36"/>
      <c r="TLG12" s="37"/>
      <c r="TLH12" s="36"/>
      <c r="TLI12" s="37"/>
      <c r="TLJ12" s="36"/>
      <c r="TLK12" s="37"/>
      <c r="TLL12" s="36"/>
      <c r="TLM12" s="37"/>
      <c r="TLN12" s="36"/>
      <c r="TLO12" s="37"/>
      <c r="TLP12" s="36"/>
      <c r="TLQ12" s="36"/>
      <c r="TLR12" s="37"/>
      <c r="TLS12" s="37"/>
      <c r="TLU12" s="22"/>
      <c r="TLV12" s="35"/>
      <c r="TLW12" s="36"/>
      <c r="TLX12" s="37"/>
      <c r="TLY12" s="36"/>
      <c r="TLZ12" s="37"/>
      <c r="TMA12" s="36"/>
      <c r="TMB12" s="37"/>
      <c r="TMC12" s="36"/>
      <c r="TMD12" s="37"/>
      <c r="TME12" s="36"/>
      <c r="TMF12" s="37"/>
      <c r="TMG12" s="36"/>
      <c r="TMH12" s="37"/>
      <c r="TMI12" s="36"/>
      <c r="TMJ12" s="37"/>
      <c r="TMK12" s="36"/>
      <c r="TML12" s="37"/>
      <c r="TMM12" s="36"/>
      <c r="TMN12" s="37"/>
      <c r="TMO12" s="36"/>
      <c r="TMP12" s="36"/>
      <c r="TMQ12" s="37"/>
      <c r="TMR12" s="37"/>
      <c r="TMT12" s="22"/>
      <c r="TMU12" s="35"/>
      <c r="TMV12" s="36"/>
      <c r="TMW12" s="37"/>
      <c r="TMX12" s="36"/>
      <c r="TMY12" s="37"/>
      <c r="TMZ12" s="36"/>
      <c r="TNA12" s="37"/>
      <c r="TNB12" s="36"/>
      <c r="TNC12" s="37"/>
      <c r="TND12" s="36"/>
      <c r="TNE12" s="37"/>
      <c r="TNF12" s="36"/>
      <c r="TNG12" s="37"/>
      <c r="TNH12" s="36"/>
      <c r="TNI12" s="37"/>
      <c r="TNJ12" s="36"/>
      <c r="TNK12" s="37"/>
      <c r="TNL12" s="36"/>
      <c r="TNM12" s="37"/>
      <c r="TNN12" s="36"/>
      <c r="TNO12" s="36"/>
      <c r="TNP12" s="37"/>
      <c r="TNQ12" s="37"/>
      <c r="TNS12" s="22"/>
      <c r="TNT12" s="35"/>
      <c r="TNU12" s="36"/>
      <c r="TNV12" s="37"/>
      <c r="TNW12" s="36"/>
      <c r="TNX12" s="37"/>
      <c r="TNY12" s="36"/>
      <c r="TNZ12" s="37"/>
      <c r="TOA12" s="36"/>
      <c r="TOB12" s="37"/>
      <c r="TOC12" s="36"/>
      <c r="TOD12" s="37"/>
      <c r="TOE12" s="36"/>
      <c r="TOF12" s="37"/>
      <c r="TOG12" s="36"/>
      <c r="TOH12" s="37"/>
      <c r="TOI12" s="36"/>
      <c r="TOJ12" s="37"/>
      <c r="TOK12" s="36"/>
      <c r="TOL12" s="37"/>
      <c r="TOM12" s="36"/>
      <c r="TON12" s="36"/>
      <c r="TOO12" s="37"/>
      <c r="TOP12" s="37"/>
      <c r="TOR12" s="22"/>
      <c r="TOS12" s="35"/>
      <c r="TOT12" s="36"/>
      <c r="TOU12" s="37"/>
      <c r="TOV12" s="36"/>
      <c r="TOW12" s="37"/>
      <c r="TOX12" s="36"/>
      <c r="TOY12" s="37"/>
      <c r="TOZ12" s="36"/>
      <c r="TPA12" s="37"/>
      <c r="TPB12" s="36"/>
      <c r="TPC12" s="37"/>
      <c r="TPD12" s="36"/>
      <c r="TPE12" s="37"/>
      <c r="TPF12" s="36"/>
      <c r="TPG12" s="37"/>
      <c r="TPH12" s="36"/>
      <c r="TPI12" s="37"/>
      <c r="TPJ12" s="36"/>
      <c r="TPK12" s="37"/>
      <c r="TPL12" s="36"/>
      <c r="TPM12" s="36"/>
      <c r="TPN12" s="37"/>
      <c r="TPO12" s="37"/>
      <c r="TPQ12" s="22"/>
      <c r="TPR12" s="35"/>
      <c r="TPS12" s="36"/>
      <c r="TPT12" s="37"/>
      <c r="TPU12" s="36"/>
      <c r="TPV12" s="37"/>
      <c r="TPW12" s="36"/>
      <c r="TPX12" s="37"/>
      <c r="TPY12" s="36"/>
      <c r="TPZ12" s="37"/>
      <c r="TQA12" s="36"/>
      <c r="TQB12" s="37"/>
      <c r="TQC12" s="36"/>
      <c r="TQD12" s="37"/>
      <c r="TQE12" s="36"/>
      <c r="TQF12" s="37"/>
      <c r="TQG12" s="36"/>
      <c r="TQH12" s="37"/>
      <c r="TQI12" s="36"/>
      <c r="TQJ12" s="37"/>
      <c r="TQK12" s="36"/>
      <c r="TQL12" s="36"/>
      <c r="TQM12" s="37"/>
      <c r="TQN12" s="37"/>
      <c r="TQP12" s="22"/>
      <c r="TQQ12" s="35"/>
      <c r="TQR12" s="36"/>
      <c r="TQS12" s="37"/>
      <c r="TQT12" s="36"/>
      <c r="TQU12" s="37"/>
      <c r="TQV12" s="36"/>
      <c r="TQW12" s="37"/>
      <c r="TQX12" s="36"/>
      <c r="TQY12" s="37"/>
      <c r="TQZ12" s="36"/>
      <c r="TRA12" s="37"/>
      <c r="TRB12" s="36"/>
      <c r="TRC12" s="37"/>
      <c r="TRD12" s="36"/>
      <c r="TRE12" s="37"/>
      <c r="TRF12" s="36"/>
      <c r="TRG12" s="37"/>
      <c r="TRH12" s="36"/>
      <c r="TRI12" s="37"/>
      <c r="TRJ12" s="36"/>
      <c r="TRK12" s="36"/>
      <c r="TRL12" s="37"/>
      <c r="TRM12" s="37"/>
      <c r="TRO12" s="22"/>
      <c r="TRP12" s="35"/>
      <c r="TRQ12" s="36"/>
      <c r="TRR12" s="37"/>
      <c r="TRS12" s="36"/>
      <c r="TRT12" s="37"/>
      <c r="TRU12" s="36"/>
      <c r="TRV12" s="37"/>
      <c r="TRW12" s="36"/>
      <c r="TRX12" s="37"/>
      <c r="TRY12" s="36"/>
      <c r="TRZ12" s="37"/>
      <c r="TSA12" s="36"/>
      <c r="TSB12" s="37"/>
      <c r="TSC12" s="36"/>
      <c r="TSD12" s="37"/>
      <c r="TSE12" s="36"/>
      <c r="TSF12" s="37"/>
      <c r="TSG12" s="36"/>
      <c r="TSH12" s="37"/>
      <c r="TSI12" s="36"/>
      <c r="TSJ12" s="36"/>
      <c r="TSK12" s="37"/>
      <c r="TSL12" s="37"/>
      <c r="TSN12" s="22"/>
      <c r="TSO12" s="35"/>
      <c r="TSP12" s="36"/>
      <c r="TSQ12" s="37"/>
      <c r="TSR12" s="36"/>
      <c r="TSS12" s="37"/>
      <c r="TST12" s="36"/>
      <c r="TSU12" s="37"/>
      <c r="TSV12" s="36"/>
      <c r="TSW12" s="37"/>
      <c r="TSX12" s="36"/>
      <c r="TSY12" s="37"/>
      <c r="TSZ12" s="36"/>
      <c r="TTA12" s="37"/>
      <c r="TTB12" s="36"/>
      <c r="TTC12" s="37"/>
      <c r="TTD12" s="36"/>
      <c r="TTE12" s="37"/>
      <c r="TTF12" s="36"/>
      <c r="TTG12" s="37"/>
      <c r="TTH12" s="36"/>
      <c r="TTI12" s="36"/>
      <c r="TTJ12" s="37"/>
      <c r="TTK12" s="37"/>
      <c r="TTM12" s="22"/>
      <c r="TTN12" s="35"/>
      <c r="TTO12" s="36"/>
      <c r="TTP12" s="37"/>
      <c r="TTQ12" s="36"/>
      <c r="TTR12" s="37"/>
      <c r="TTS12" s="36"/>
      <c r="TTT12" s="37"/>
      <c r="TTU12" s="36"/>
      <c r="TTV12" s="37"/>
      <c r="TTW12" s="36"/>
      <c r="TTX12" s="37"/>
      <c r="TTY12" s="36"/>
      <c r="TTZ12" s="37"/>
      <c r="TUA12" s="36"/>
      <c r="TUB12" s="37"/>
      <c r="TUC12" s="36"/>
      <c r="TUD12" s="37"/>
      <c r="TUE12" s="36"/>
      <c r="TUF12" s="37"/>
      <c r="TUG12" s="36"/>
      <c r="TUH12" s="36"/>
      <c r="TUI12" s="37"/>
      <c r="TUJ12" s="37"/>
      <c r="TUL12" s="22"/>
      <c r="TUM12" s="35"/>
      <c r="TUN12" s="36"/>
      <c r="TUO12" s="37"/>
      <c r="TUP12" s="36"/>
      <c r="TUQ12" s="37"/>
      <c r="TUR12" s="36"/>
      <c r="TUS12" s="37"/>
      <c r="TUT12" s="36"/>
      <c r="TUU12" s="37"/>
      <c r="TUV12" s="36"/>
      <c r="TUW12" s="37"/>
      <c r="TUX12" s="36"/>
      <c r="TUY12" s="37"/>
      <c r="TUZ12" s="36"/>
      <c r="TVA12" s="37"/>
      <c r="TVB12" s="36"/>
      <c r="TVC12" s="37"/>
      <c r="TVD12" s="36"/>
      <c r="TVE12" s="37"/>
      <c r="TVF12" s="36"/>
      <c r="TVG12" s="36"/>
      <c r="TVH12" s="37"/>
      <c r="TVI12" s="37"/>
      <c r="TVK12" s="22"/>
      <c r="TVL12" s="35"/>
      <c r="TVM12" s="36"/>
      <c r="TVN12" s="37"/>
      <c r="TVO12" s="36"/>
      <c r="TVP12" s="37"/>
      <c r="TVQ12" s="36"/>
      <c r="TVR12" s="37"/>
      <c r="TVS12" s="36"/>
      <c r="TVT12" s="37"/>
      <c r="TVU12" s="36"/>
      <c r="TVV12" s="37"/>
      <c r="TVW12" s="36"/>
      <c r="TVX12" s="37"/>
      <c r="TVY12" s="36"/>
      <c r="TVZ12" s="37"/>
      <c r="TWA12" s="36"/>
      <c r="TWB12" s="37"/>
      <c r="TWC12" s="36"/>
      <c r="TWD12" s="37"/>
      <c r="TWE12" s="36"/>
      <c r="TWF12" s="36"/>
      <c r="TWG12" s="37"/>
      <c r="TWH12" s="37"/>
      <c r="TWJ12" s="22"/>
      <c r="TWK12" s="35"/>
      <c r="TWL12" s="36"/>
      <c r="TWM12" s="37"/>
      <c r="TWN12" s="36"/>
      <c r="TWO12" s="37"/>
      <c r="TWP12" s="36"/>
      <c r="TWQ12" s="37"/>
      <c r="TWR12" s="36"/>
      <c r="TWS12" s="37"/>
      <c r="TWT12" s="36"/>
      <c r="TWU12" s="37"/>
      <c r="TWV12" s="36"/>
      <c r="TWW12" s="37"/>
      <c r="TWX12" s="36"/>
      <c r="TWY12" s="37"/>
      <c r="TWZ12" s="36"/>
      <c r="TXA12" s="37"/>
      <c r="TXB12" s="36"/>
      <c r="TXC12" s="37"/>
      <c r="TXD12" s="36"/>
      <c r="TXE12" s="36"/>
      <c r="TXF12" s="37"/>
      <c r="TXG12" s="37"/>
      <c r="TXI12" s="22"/>
      <c r="TXJ12" s="35"/>
      <c r="TXK12" s="36"/>
      <c r="TXL12" s="37"/>
      <c r="TXM12" s="36"/>
      <c r="TXN12" s="37"/>
      <c r="TXO12" s="36"/>
      <c r="TXP12" s="37"/>
      <c r="TXQ12" s="36"/>
      <c r="TXR12" s="37"/>
      <c r="TXS12" s="36"/>
      <c r="TXT12" s="37"/>
      <c r="TXU12" s="36"/>
      <c r="TXV12" s="37"/>
      <c r="TXW12" s="36"/>
      <c r="TXX12" s="37"/>
      <c r="TXY12" s="36"/>
      <c r="TXZ12" s="37"/>
      <c r="TYA12" s="36"/>
      <c r="TYB12" s="37"/>
      <c r="TYC12" s="36"/>
      <c r="TYD12" s="36"/>
      <c r="TYE12" s="37"/>
      <c r="TYF12" s="37"/>
      <c r="TYH12" s="22"/>
      <c r="TYI12" s="35"/>
      <c r="TYJ12" s="36"/>
      <c r="TYK12" s="37"/>
      <c r="TYL12" s="36"/>
      <c r="TYM12" s="37"/>
      <c r="TYN12" s="36"/>
      <c r="TYO12" s="37"/>
      <c r="TYP12" s="36"/>
      <c r="TYQ12" s="37"/>
      <c r="TYR12" s="36"/>
      <c r="TYS12" s="37"/>
      <c r="TYT12" s="36"/>
      <c r="TYU12" s="37"/>
      <c r="TYV12" s="36"/>
      <c r="TYW12" s="37"/>
      <c r="TYX12" s="36"/>
      <c r="TYY12" s="37"/>
      <c r="TYZ12" s="36"/>
      <c r="TZA12" s="37"/>
      <c r="TZB12" s="36"/>
      <c r="TZC12" s="36"/>
      <c r="TZD12" s="37"/>
      <c r="TZE12" s="37"/>
      <c r="TZG12" s="22"/>
      <c r="TZH12" s="35"/>
      <c r="TZI12" s="36"/>
      <c r="TZJ12" s="37"/>
      <c r="TZK12" s="36"/>
      <c r="TZL12" s="37"/>
      <c r="TZM12" s="36"/>
      <c r="TZN12" s="37"/>
      <c r="TZO12" s="36"/>
      <c r="TZP12" s="37"/>
      <c r="TZQ12" s="36"/>
      <c r="TZR12" s="37"/>
      <c r="TZS12" s="36"/>
      <c r="TZT12" s="37"/>
      <c r="TZU12" s="36"/>
      <c r="TZV12" s="37"/>
      <c r="TZW12" s="36"/>
      <c r="TZX12" s="37"/>
      <c r="TZY12" s="36"/>
      <c r="TZZ12" s="37"/>
      <c r="UAA12" s="36"/>
      <c r="UAB12" s="36"/>
      <c r="UAC12" s="37"/>
      <c r="UAD12" s="37"/>
      <c r="UAF12" s="22"/>
      <c r="UAG12" s="35"/>
      <c r="UAH12" s="36"/>
      <c r="UAI12" s="37"/>
      <c r="UAJ12" s="36"/>
      <c r="UAK12" s="37"/>
      <c r="UAL12" s="36"/>
      <c r="UAM12" s="37"/>
      <c r="UAN12" s="36"/>
      <c r="UAO12" s="37"/>
      <c r="UAP12" s="36"/>
      <c r="UAQ12" s="37"/>
      <c r="UAR12" s="36"/>
      <c r="UAS12" s="37"/>
      <c r="UAT12" s="36"/>
      <c r="UAU12" s="37"/>
      <c r="UAV12" s="36"/>
      <c r="UAW12" s="37"/>
      <c r="UAX12" s="36"/>
      <c r="UAY12" s="37"/>
      <c r="UAZ12" s="36"/>
      <c r="UBA12" s="36"/>
      <c r="UBB12" s="37"/>
      <c r="UBC12" s="37"/>
      <c r="UBE12" s="22"/>
      <c r="UBF12" s="35"/>
      <c r="UBG12" s="36"/>
      <c r="UBH12" s="37"/>
      <c r="UBI12" s="36"/>
      <c r="UBJ12" s="37"/>
      <c r="UBK12" s="36"/>
      <c r="UBL12" s="37"/>
      <c r="UBM12" s="36"/>
      <c r="UBN12" s="37"/>
      <c r="UBO12" s="36"/>
      <c r="UBP12" s="37"/>
      <c r="UBQ12" s="36"/>
      <c r="UBR12" s="37"/>
      <c r="UBS12" s="36"/>
      <c r="UBT12" s="37"/>
      <c r="UBU12" s="36"/>
      <c r="UBV12" s="37"/>
      <c r="UBW12" s="36"/>
      <c r="UBX12" s="37"/>
      <c r="UBY12" s="36"/>
      <c r="UBZ12" s="36"/>
      <c r="UCA12" s="37"/>
      <c r="UCB12" s="37"/>
      <c r="UCD12" s="22"/>
      <c r="UCE12" s="35"/>
      <c r="UCF12" s="36"/>
      <c r="UCG12" s="37"/>
      <c r="UCH12" s="36"/>
      <c r="UCI12" s="37"/>
      <c r="UCJ12" s="36"/>
      <c r="UCK12" s="37"/>
      <c r="UCL12" s="36"/>
      <c r="UCM12" s="37"/>
      <c r="UCN12" s="36"/>
      <c r="UCO12" s="37"/>
      <c r="UCP12" s="36"/>
      <c r="UCQ12" s="37"/>
      <c r="UCR12" s="36"/>
      <c r="UCS12" s="37"/>
      <c r="UCT12" s="36"/>
      <c r="UCU12" s="37"/>
      <c r="UCV12" s="36"/>
      <c r="UCW12" s="37"/>
      <c r="UCX12" s="36"/>
      <c r="UCY12" s="36"/>
      <c r="UCZ12" s="37"/>
      <c r="UDA12" s="37"/>
      <c r="UDC12" s="22"/>
      <c r="UDD12" s="35"/>
      <c r="UDE12" s="36"/>
      <c r="UDF12" s="37"/>
      <c r="UDG12" s="36"/>
      <c r="UDH12" s="37"/>
      <c r="UDI12" s="36"/>
      <c r="UDJ12" s="37"/>
      <c r="UDK12" s="36"/>
      <c r="UDL12" s="37"/>
      <c r="UDM12" s="36"/>
      <c r="UDN12" s="37"/>
      <c r="UDO12" s="36"/>
      <c r="UDP12" s="37"/>
      <c r="UDQ12" s="36"/>
      <c r="UDR12" s="37"/>
      <c r="UDS12" s="36"/>
      <c r="UDT12" s="37"/>
      <c r="UDU12" s="36"/>
      <c r="UDV12" s="37"/>
      <c r="UDW12" s="36"/>
      <c r="UDX12" s="36"/>
      <c r="UDY12" s="37"/>
      <c r="UDZ12" s="37"/>
      <c r="UEB12" s="22"/>
      <c r="UEC12" s="35"/>
      <c r="UED12" s="36"/>
      <c r="UEE12" s="37"/>
      <c r="UEF12" s="36"/>
      <c r="UEG12" s="37"/>
      <c r="UEH12" s="36"/>
      <c r="UEI12" s="37"/>
      <c r="UEJ12" s="36"/>
      <c r="UEK12" s="37"/>
      <c r="UEL12" s="36"/>
      <c r="UEM12" s="37"/>
      <c r="UEN12" s="36"/>
      <c r="UEO12" s="37"/>
      <c r="UEP12" s="36"/>
      <c r="UEQ12" s="37"/>
      <c r="UER12" s="36"/>
      <c r="UES12" s="37"/>
      <c r="UET12" s="36"/>
      <c r="UEU12" s="37"/>
      <c r="UEV12" s="36"/>
      <c r="UEW12" s="36"/>
      <c r="UEX12" s="37"/>
      <c r="UEY12" s="37"/>
      <c r="UFA12" s="22"/>
      <c r="UFB12" s="35"/>
      <c r="UFC12" s="36"/>
      <c r="UFD12" s="37"/>
      <c r="UFE12" s="36"/>
      <c r="UFF12" s="37"/>
      <c r="UFG12" s="36"/>
      <c r="UFH12" s="37"/>
      <c r="UFI12" s="36"/>
      <c r="UFJ12" s="37"/>
      <c r="UFK12" s="36"/>
      <c r="UFL12" s="37"/>
      <c r="UFM12" s="36"/>
      <c r="UFN12" s="37"/>
      <c r="UFO12" s="36"/>
      <c r="UFP12" s="37"/>
      <c r="UFQ12" s="36"/>
      <c r="UFR12" s="37"/>
      <c r="UFS12" s="36"/>
      <c r="UFT12" s="37"/>
      <c r="UFU12" s="36"/>
      <c r="UFV12" s="36"/>
      <c r="UFW12" s="37"/>
      <c r="UFX12" s="37"/>
      <c r="UFZ12" s="22"/>
      <c r="UGA12" s="35"/>
      <c r="UGB12" s="36"/>
      <c r="UGC12" s="37"/>
      <c r="UGD12" s="36"/>
      <c r="UGE12" s="37"/>
      <c r="UGF12" s="36"/>
      <c r="UGG12" s="37"/>
      <c r="UGH12" s="36"/>
      <c r="UGI12" s="37"/>
      <c r="UGJ12" s="36"/>
      <c r="UGK12" s="37"/>
      <c r="UGL12" s="36"/>
      <c r="UGM12" s="37"/>
      <c r="UGN12" s="36"/>
      <c r="UGO12" s="37"/>
      <c r="UGP12" s="36"/>
      <c r="UGQ12" s="37"/>
      <c r="UGR12" s="36"/>
      <c r="UGS12" s="37"/>
      <c r="UGT12" s="36"/>
      <c r="UGU12" s="36"/>
      <c r="UGV12" s="37"/>
      <c r="UGW12" s="37"/>
      <c r="UGY12" s="22"/>
      <c r="UGZ12" s="35"/>
      <c r="UHA12" s="36"/>
      <c r="UHB12" s="37"/>
      <c r="UHC12" s="36"/>
      <c r="UHD12" s="37"/>
      <c r="UHE12" s="36"/>
      <c r="UHF12" s="37"/>
      <c r="UHG12" s="36"/>
      <c r="UHH12" s="37"/>
      <c r="UHI12" s="36"/>
      <c r="UHJ12" s="37"/>
      <c r="UHK12" s="36"/>
      <c r="UHL12" s="37"/>
      <c r="UHM12" s="36"/>
      <c r="UHN12" s="37"/>
      <c r="UHO12" s="36"/>
      <c r="UHP12" s="37"/>
      <c r="UHQ12" s="36"/>
      <c r="UHR12" s="37"/>
      <c r="UHS12" s="36"/>
      <c r="UHT12" s="36"/>
      <c r="UHU12" s="37"/>
      <c r="UHV12" s="37"/>
      <c r="UHX12" s="22"/>
      <c r="UHY12" s="35"/>
      <c r="UHZ12" s="36"/>
      <c r="UIA12" s="37"/>
      <c r="UIB12" s="36"/>
      <c r="UIC12" s="37"/>
      <c r="UID12" s="36"/>
      <c r="UIE12" s="37"/>
      <c r="UIF12" s="36"/>
      <c r="UIG12" s="37"/>
      <c r="UIH12" s="36"/>
      <c r="UII12" s="37"/>
      <c r="UIJ12" s="36"/>
      <c r="UIK12" s="37"/>
      <c r="UIL12" s="36"/>
      <c r="UIM12" s="37"/>
      <c r="UIN12" s="36"/>
      <c r="UIO12" s="37"/>
      <c r="UIP12" s="36"/>
      <c r="UIQ12" s="37"/>
      <c r="UIR12" s="36"/>
      <c r="UIS12" s="36"/>
      <c r="UIT12" s="37"/>
      <c r="UIU12" s="37"/>
      <c r="UIW12" s="22"/>
      <c r="UIX12" s="35"/>
      <c r="UIY12" s="36"/>
      <c r="UIZ12" s="37"/>
      <c r="UJA12" s="36"/>
      <c r="UJB12" s="37"/>
      <c r="UJC12" s="36"/>
      <c r="UJD12" s="37"/>
      <c r="UJE12" s="36"/>
      <c r="UJF12" s="37"/>
      <c r="UJG12" s="36"/>
      <c r="UJH12" s="37"/>
      <c r="UJI12" s="36"/>
      <c r="UJJ12" s="37"/>
      <c r="UJK12" s="36"/>
      <c r="UJL12" s="37"/>
      <c r="UJM12" s="36"/>
      <c r="UJN12" s="37"/>
      <c r="UJO12" s="36"/>
      <c r="UJP12" s="37"/>
      <c r="UJQ12" s="36"/>
      <c r="UJR12" s="36"/>
      <c r="UJS12" s="37"/>
      <c r="UJT12" s="37"/>
      <c r="UJV12" s="22"/>
      <c r="UJW12" s="35"/>
      <c r="UJX12" s="36"/>
      <c r="UJY12" s="37"/>
      <c r="UJZ12" s="36"/>
      <c r="UKA12" s="37"/>
      <c r="UKB12" s="36"/>
      <c r="UKC12" s="37"/>
      <c r="UKD12" s="36"/>
      <c r="UKE12" s="37"/>
      <c r="UKF12" s="36"/>
      <c r="UKG12" s="37"/>
      <c r="UKH12" s="36"/>
      <c r="UKI12" s="37"/>
      <c r="UKJ12" s="36"/>
      <c r="UKK12" s="37"/>
      <c r="UKL12" s="36"/>
      <c r="UKM12" s="37"/>
      <c r="UKN12" s="36"/>
      <c r="UKO12" s="37"/>
      <c r="UKP12" s="36"/>
      <c r="UKQ12" s="36"/>
      <c r="UKR12" s="37"/>
      <c r="UKS12" s="37"/>
      <c r="UKU12" s="22"/>
      <c r="UKV12" s="35"/>
      <c r="UKW12" s="36"/>
      <c r="UKX12" s="37"/>
      <c r="UKY12" s="36"/>
      <c r="UKZ12" s="37"/>
      <c r="ULA12" s="36"/>
      <c r="ULB12" s="37"/>
      <c r="ULC12" s="36"/>
      <c r="ULD12" s="37"/>
      <c r="ULE12" s="36"/>
      <c r="ULF12" s="37"/>
      <c r="ULG12" s="36"/>
      <c r="ULH12" s="37"/>
      <c r="ULI12" s="36"/>
      <c r="ULJ12" s="37"/>
      <c r="ULK12" s="36"/>
      <c r="ULL12" s="37"/>
      <c r="ULM12" s="36"/>
      <c r="ULN12" s="37"/>
      <c r="ULO12" s="36"/>
      <c r="ULP12" s="36"/>
      <c r="ULQ12" s="37"/>
      <c r="ULR12" s="37"/>
      <c r="ULT12" s="22"/>
      <c r="ULU12" s="35"/>
      <c r="ULV12" s="36"/>
      <c r="ULW12" s="37"/>
      <c r="ULX12" s="36"/>
      <c r="ULY12" s="37"/>
      <c r="ULZ12" s="36"/>
      <c r="UMA12" s="37"/>
      <c r="UMB12" s="36"/>
      <c r="UMC12" s="37"/>
      <c r="UMD12" s="36"/>
      <c r="UME12" s="37"/>
      <c r="UMF12" s="36"/>
      <c r="UMG12" s="37"/>
      <c r="UMH12" s="36"/>
      <c r="UMI12" s="37"/>
      <c r="UMJ12" s="36"/>
      <c r="UMK12" s="37"/>
      <c r="UML12" s="36"/>
      <c r="UMM12" s="37"/>
      <c r="UMN12" s="36"/>
      <c r="UMO12" s="36"/>
      <c r="UMP12" s="37"/>
      <c r="UMQ12" s="37"/>
      <c r="UMS12" s="22"/>
      <c r="UMT12" s="35"/>
      <c r="UMU12" s="36"/>
      <c r="UMV12" s="37"/>
      <c r="UMW12" s="36"/>
      <c r="UMX12" s="37"/>
      <c r="UMY12" s="36"/>
      <c r="UMZ12" s="37"/>
      <c r="UNA12" s="36"/>
      <c r="UNB12" s="37"/>
      <c r="UNC12" s="36"/>
      <c r="UND12" s="37"/>
      <c r="UNE12" s="36"/>
      <c r="UNF12" s="37"/>
      <c r="UNG12" s="36"/>
      <c r="UNH12" s="37"/>
      <c r="UNI12" s="36"/>
      <c r="UNJ12" s="37"/>
      <c r="UNK12" s="36"/>
      <c r="UNL12" s="37"/>
      <c r="UNM12" s="36"/>
      <c r="UNN12" s="36"/>
      <c r="UNO12" s="37"/>
      <c r="UNP12" s="37"/>
      <c r="UNR12" s="22"/>
      <c r="UNS12" s="35"/>
      <c r="UNT12" s="36"/>
      <c r="UNU12" s="37"/>
      <c r="UNV12" s="36"/>
      <c r="UNW12" s="37"/>
      <c r="UNX12" s="36"/>
      <c r="UNY12" s="37"/>
      <c r="UNZ12" s="36"/>
      <c r="UOA12" s="37"/>
      <c r="UOB12" s="36"/>
      <c r="UOC12" s="37"/>
      <c r="UOD12" s="36"/>
      <c r="UOE12" s="37"/>
      <c r="UOF12" s="36"/>
      <c r="UOG12" s="37"/>
      <c r="UOH12" s="36"/>
      <c r="UOI12" s="37"/>
      <c r="UOJ12" s="36"/>
      <c r="UOK12" s="37"/>
      <c r="UOL12" s="36"/>
      <c r="UOM12" s="36"/>
      <c r="UON12" s="37"/>
      <c r="UOO12" s="37"/>
      <c r="UOQ12" s="22"/>
      <c r="UOR12" s="35"/>
      <c r="UOS12" s="36"/>
      <c r="UOT12" s="37"/>
      <c r="UOU12" s="36"/>
      <c r="UOV12" s="37"/>
      <c r="UOW12" s="36"/>
      <c r="UOX12" s="37"/>
      <c r="UOY12" s="36"/>
      <c r="UOZ12" s="37"/>
      <c r="UPA12" s="36"/>
      <c r="UPB12" s="37"/>
      <c r="UPC12" s="36"/>
      <c r="UPD12" s="37"/>
      <c r="UPE12" s="36"/>
      <c r="UPF12" s="37"/>
      <c r="UPG12" s="36"/>
      <c r="UPH12" s="37"/>
      <c r="UPI12" s="36"/>
      <c r="UPJ12" s="37"/>
      <c r="UPK12" s="36"/>
      <c r="UPL12" s="36"/>
      <c r="UPM12" s="37"/>
      <c r="UPN12" s="37"/>
      <c r="UPP12" s="22"/>
      <c r="UPQ12" s="35"/>
      <c r="UPR12" s="36"/>
      <c r="UPS12" s="37"/>
      <c r="UPT12" s="36"/>
      <c r="UPU12" s="37"/>
      <c r="UPV12" s="36"/>
      <c r="UPW12" s="37"/>
      <c r="UPX12" s="36"/>
      <c r="UPY12" s="37"/>
      <c r="UPZ12" s="36"/>
      <c r="UQA12" s="37"/>
      <c r="UQB12" s="36"/>
      <c r="UQC12" s="37"/>
      <c r="UQD12" s="36"/>
      <c r="UQE12" s="37"/>
      <c r="UQF12" s="36"/>
      <c r="UQG12" s="37"/>
      <c r="UQH12" s="36"/>
      <c r="UQI12" s="37"/>
      <c r="UQJ12" s="36"/>
      <c r="UQK12" s="36"/>
      <c r="UQL12" s="37"/>
      <c r="UQM12" s="37"/>
      <c r="UQO12" s="22"/>
      <c r="UQP12" s="35"/>
      <c r="UQQ12" s="36"/>
      <c r="UQR12" s="37"/>
      <c r="UQS12" s="36"/>
      <c r="UQT12" s="37"/>
      <c r="UQU12" s="36"/>
      <c r="UQV12" s="37"/>
      <c r="UQW12" s="36"/>
      <c r="UQX12" s="37"/>
      <c r="UQY12" s="36"/>
      <c r="UQZ12" s="37"/>
      <c r="URA12" s="36"/>
      <c r="URB12" s="37"/>
      <c r="URC12" s="36"/>
      <c r="URD12" s="37"/>
      <c r="URE12" s="36"/>
      <c r="URF12" s="37"/>
      <c r="URG12" s="36"/>
      <c r="URH12" s="37"/>
      <c r="URI12" s="36"/>
      <c r="URJ12" s="36"/>
      <c r="URK12" s="37"/>
      <c r="URL12" s="37"/>
      <c r="URN12" s="22"/>
      <c r="URO12" s="35"/>
      <c r="URP12" s="36"/>
      <c r="URQ12" s="37"/>
      <c r="URR12" s="36"/>
      <c r="URS12" s="37"/>
      <c r="URT12" s="36"/>
      <c r="URU12" s="37"/>
      <c r="URV12" s="36"/>
      <c r="URW12" s="37"/>
      <c r="URX12" s="36"/>
      <c r="URY12" s="37"/>
      <c r="URZ12" s="36"/>
      <c r="USA12" s="37"/>
      <c r="USB12" s="36"/>
      <c r="USC12" s="37"/>
      <c r="USD12" s="36"/>
      <c r="USE12" s="37"/>
      <c r="USF12" s="36"/>
      <c r="USG12" s="37"/>
      <c r="USH12" s="36"/>
      <c r="USI12" s="36"/>
      <c r="USJ12" s="37"/>
      <c r="USK12" s="37"/>
      <c r="USM12" s="22"/>
      <c r="USN12" s="35"/>
      <c r="USO12" s="36"/>
      <c r="USP12" s="37"/>
      <c r="USQ12" s="36"/>
      <c r="USR12" s="37"/>
      <c r="USS12" s="36"/>
      <c r="UST12" s="37"/>
      <c r="USU12" s="36"/>
      <c r="USV12" s="37"/>
      <c r="USW12" s="36"/>
      <c r="USX12" s="37"/>
      <c r="USY12" s="36"/>
      <c r="USZ12" s="37"/>
      <c r="UTA12" s="36"/>
      <c r="UTB12" s="37"/>
      <c r="UTC12" s="36"/>
      <c r="UTD12" s="37"/>
      <c r="UTE12" s="36"/>
      <c r="UTF12" s="37"/>
      <c r="UTG12" s="36"/>
      <c r="UTH12" s="36"/>
      <c r="UTI12" s="37"/>
      <c r="UTJ12" s="37"/>
      <c r="UTL12" s="22"/>
      <c r="UTM12" s="35"/>
      <c r="UTN12" s="36"/>
      <c r="UTO12" s="37"/>
      <c r="UTP12" s="36"/>
      <c r="UTQ12" s="37"/>
      <c r="UTR12" s="36"/>
      <c r="UTS12" s="37"/>
      <c r="UTT12" s="36"/>
      <c r="UTU12" s="37"/>
      <c r="UTV12" s="36"/>
      <c r="UTW12" s="37"/>
      <c r="UTX12" s="36"/>
      <c r="UTY12" s="37"/>
      <c r="UTZ12" s="36"/>
      <c r="UUA12" s="37"/>
      <c r="UUB12" s="36"/>
      <c r="UUC12" s="37"/>
      <c r="UUD12" s="36"/>
      <c r="UUE12" s="37"/>
      <c r="UUF12" s="36"/>
      <c r="UUG12" s="36"/>
      <c r="UUH12" s="37"/>
      <c r="UUI12" s="37"/>
      <c r="UUK12" s="22"/>
      <c r="UUL12" s="35"/>
      <c r="UUM12" s="36"/>
      <c r="UUN12" s="37"/>
      <c r="UUO12" s="36"/>
      <c r="UUP12" s="37"/>
      <c r="UUQ12" s="36"/>
      <c r="UUR12" s="37"/>
      <c r="UUS12" s="36"/>
      <c r="UUT12" s="37"/>
      <c r="UUU12" s="36"/>
      <c r="UUV12" s="37"/>
      <c r="UUW12" s="36"/>
      <c r="UUX12" s="37"/>
      <c r="UUY12" s="36"/>
      <c r="UUZ12" s="37"/>
      <c r="UVA12" s="36"/>
      <c r="UVB12" s="37"/>
      <c r="UVC12" s="36"/>
      <c r="UVD12" s="37"/>
      <c r="UVE12" s="36"/>
      <c r="UVF12" s="36"/>
      <c r="UVG12" s="37"/>
      <c r="UVH12" s="37"/>
      <c r="UVJ12" s="22"/>
      <c r="UVK12" s="35"/>
      <c r="UVL12" s="36"/>
      <c r="UVM12" s="37"/>
      <c r="UVN12" s="36"/>
      <c r="UVO12" s="37"/>
      <c r="UVP12" s="36"/>
      <c r="UVQ12" s="37"/>
      <c r="UVR12" s="36"/>
      <c r="UVS12" s="37"/>
      <c r="UVT12" s="36"/>
      <c r="UVU12" s="37"/>
      <c r="UVV12" s="36"/>
      <c r="UVW12" s="37"/>
      <c r="UVX12" s="36"/>
      <c r="UVY12" s="37"/>
      <c r="UVZ12" s="36"/>
      <c r="UWA12" s="37"/>
      <c r="UWB12" s="36"/>
      <c r="UWC12" s="37"/>
      <c r="UWD12" s="36"/>
      <c r="UWE12" s="36"/>
      <c r="UWF12" s="37"/>
      <c r="UWG12" s="37"/>
      <c r="UWI12" s="22"/>
      <c r="UWJ12" s="35"/>
      <c r="UWK12" s="36"/>
      <c r="UWL12" s="37"/>
      <c r="UWM12" s="36"/>
      <c r="UWN12" s="37"/>
      <c r="UWO12" s="36"/>
      <c r="UWP12" s="37"/>
      <c r="UWQ12" s="36"/>
      <c r="UWR12" s="37"/>
      <c r="UWS12" s="36"/>
      <c r="UWT12" s="37"/>
      <c r="UWU12" s="36"/>
      <c r="UWV12" s="37"/>
      <c r="UWW12" s="36"/>
      <c r="UWX12" s="37"/>
      <c r="UWY12" s="36"/>
      <c r="UWZ12" s="37"/>
      <c r="UXA12" s="36"/>
      <c r="UXB12" s="37"/>
      <c r="UXC12" s="36"/>
      <c r="UXD12" s="36"/>
      <c r="UXE12" s="37"/>
      <c r="UXF12" s="37"/>
      <c r="UXH12" s="22"/>
      <c r="UXI12" s="35"/>
      <c r="UXJ12" s="36"/>
      <c r="UXK12" s="37"/>
      <c r="UXL12" s="36"/>
      <c r="UXM12" s="37"/>
      <c r="UXN12" s="36"/>
      <c r="UXO12" s="37"/>
      <c r="UXP12" s="36"/>
      <c r="UXQ12" s="37"/>
      <c r="UXR12" s="36"/>
      <c r="UXS12" s="37"/>
      <c r="UXT12" s="36"/>
      <c r="UXU12" s="37"/>
      <c r="UXV12" s="36"/>
      <c r="UXW12" s="37"/>
      <c r="UXX12" s="36"/>
      <c r="UXY12" s="37"/>
      <c r="UXZ12" s="36"/>
      <c r="UYA12" s="37"/>
      <c r="UYB12" s="36"/>
      <c r="UYC12" s="36"/>
      <c r="UYD12" s="37"/>
      <c r="UYE12" s="37"/>
      <c r="UYG12" s="22"/>
      <c r="UYH12" s="35"/>
      <c r="UYI12" s="36"/>
      <c r="UYJ12" s="37"/>
      <c r="UYK12" s="36"/>
      <c r="UYL12" s="37"/>
      <c r="UYM12" s="36"/>
      <c r="UYN12" s="37"/>
      <c r="UYO12" s="36"/>
      <c r="UYP12" s="37"/>
      <c r="UYQ12" s="36"/>
      <c r="UYR12" s="37"/>
      <c r="UYS12" s="36"/>
      <c r="UYT12" s="37"/>
      <c r="UYU12" s="36"/>
      <c r="UYV12" s="37"/>
      <c r="UYW12" s="36"/>
      <c r="UYX12" s="37"/>
      <c r="UYY12" s="36"/>
      <c r="UYZ12" s="37"/>
      <c r="UZA12" s="36"/>
      <c r="UZB12" s="36"/>
      <c r="UZC12" s="37"/>
      <c r="UZD12" s="37"/>
      <c r="UZF12" s="22"/>
      <c r="UZG12" s="35"/>
      <c r="UZH12" s="36"/>
      <c r="UZI12" s="37"/>
      <c r="UZJ12" s="36"/>
      <c r="UZK12" s="37"/>
      <c r="UZL12" s="36"/>
      <c r="UZM12" s="37"/>
      <c r="UZN12" s="36"/>
      <c r="UZO12" s="37"/>
      <c r="UZP12" s="36"/>
      <c r="UZQ12" s="37"/>
      <c r="UZR12" s="36"/>
      <c r="UZS12" s="37"/>
      <c r="UZT12" s="36"/>
      <c r="UZU12" s="37"/>
      <c r="UZV12" s="36"/>
      <c r="UZW12" s="37"/>
      <c r="UZX12" s="36"/>
      <c r="UZY12" s="37"/>
      <c r="UZZ12" s="36"/>
      <c r="VAA12" s="36"/>
      <c r="VAB12" s="37"/>
      <c r="VAC12" s="37"/>
      <c r="VAE12" s="22"/>
      <c r="VAF12" s="35"/>
      <c r="VAG12" s="36"/>
      <c r="VAH12" s="37"/>
      <c r="VAI12" s="36"/>
      <c r="VAJ12" s="37"/>
      <c r="VAK12" s="36"/>
      <c r="VAL12" s="37"/>
      <c r="VAM12" s="36"/>
      <c r="VAN12" s="37"/>
      <c r="VAO12" s="36"/>
      <c r="VAP12" s="37"/>
      <c r="VAQ12" s="36"/>
      <c r="VAR12" s="37"/>
      <c r="VAS12" s="36"/>
      <c r="VAT12" s="37"/>
      <c r="VAU12" s="36"/>
      <c r="VAV12" s="37"/>
      <c r="VAW12" s="36"/>
      <c r="VAX12" s="37"/>
      <c r="VAY12" s="36"/>
      <c r="VAZ12" s="36"/>
      <c r="VBA12" s="37"/>
      <c r="VBB12" s="37"/>
      <c r="VBD12" s="22"/>
      <c r="VBE12" s="35"/>
      <c r="VBF12" s="36"/>
      <c r="VBG12" s="37"/>
      <c r="VBH12" s="36"/>
      <c r="VBI12" s="37"/>
      <c r="VBJ12" s="36"/>
      <c r="VBK12" s="37"/>
      <c r="VBL12" s="36"/>
      <c r="VBM12" s="37"/>
      <c r="VBN12" s="36"/>
      <c r="VBO12" s="37"/>
      <c r="VBP12" s="36"/>
      <c r="VBQ12" s="37"/>
      <c r="VBR12" s="36"/>
      <c r="VBS12" s="37"/>
      <c r="VBT12" s="36"/>
      <c r="VBU12" s="37"/>
      <c r="VBV12" s="36"/>
      <c r="VBW12" s="37"/>
      <c r="VBX12" s="36"/>
      <c r="VBY12" s="36"/>
      <c r="VBZ12" s="37"/>
      <c r="VCA12" s="37"/>
      <c r="VCC12" s="22"/>
      <c r="VCD12" s="35"/>
      <c r="VCE12" s="36"/>
      <c r="VCF12" s="37"/>
      <c r="VCG12" s="36"/>
      <c r="VCH12" s="37"/>
      <c r="VCI12" s="36"/>
      <c r="VCJ12" s="37"/>
      <c r="VCK12" s="36"/>
      <c r="VCL12" s="37"/>
      <c r="VCM12" s="36"/>
      <c r="VCN12" s="37"/>
      <c r="VCO12" s="36"/>
      <c r="VCP12" s="37"/>
      <c r="VCQ12" s="36"/>
      <c r="VCR12" s="37"/>
      <c r="VCS12" s="36"/>
      <c r="VCT12" s="37"/>
      <c r="VCU12" s="36"/>
      <c r="VCV12" s="37"/>
      <c r="VCW12" s="36"/>
      <c r="VCX12" s="36"/>
      <c r="VCY12" s="37"/>
      <c r="VCZ12" s="37"/>
      <c r="VDB12" s="22"/>
      <c r="VDC12" s="35"/>
      <c r="VDD12" s="36"/>
      <c r="VDE12" s="37"/>
      <c r="VDF12" s="36"/>
      <c r="VDG12" s="37"/>
      <c r="VDH12" s="36"/>
      <c r="VDI12" s="37"/>
      <c r="VDJ12" s="36"/>
      <c r="VDK12" s="37"/>
      <c r="VDL12" s="36"/>
      <c r="VDM12" s="37"/>
      <c r="VDN12" s="36"/>
      <c r="VDO12" s="37"/>
      <c r="VDP12" s="36"/>
      <c r="VDQ12" s="37"/>
      <c r="VDR12" s="36"/>
      <c r="VDS12" s="37"/>
      <c r="VDT12" s="36"/>
      <c r="VDU12" s="37"/>
      <c r="VDV12" s="36"/>
      <c r="VDW12" s="36"/>
      <c r="VDX12" s="37"/>
      <c r="VDY12" s="37"/>
      <c r="VEA12" s="22"/>
      <c r="VEB12" s="35"/>
      <c r="VEC12" s="36"/>
      <c r="VED12" s="37"/>
      <c r="VEE12" s="36"/>
      <c r="VEF12" s="37"/>
      <c r="VEG12" s="36"/>
      <c r="VEH12" s="37"/>
      <c r="VEI12" s="36"/>
      <c r="VEJ12" s="37"/>
      <c r="VEK12" s="36"/>
      <c r="VEL12" s="37"/>
      <c r="VEM12" s="36"/>
      <c r="VEN12" s="37"/>
      <c r="VEO12" s="36"/>
      <c r="VEP12" s="37"/>
      <c r="VEQ12" s="36"/>
      <c r="VER12" s="37"/>
      <c r="VES12" s="36"/>
      <c r="VET12" s="37"/>
      <c r="VEU12" s="36"/>
      <c r="VEV12" s="36"/>
      <c r="VEW12" s="37"/>
      <c r="VEX12" s="37"/>
      <c r="VEZ12" s="22"/>
      <c r="VFA12" s="35"/>
      <c r="VFB12" s="36"/>
      <c r="VFC12" s="37"/>
      <c r="VFD12" s="36"/>
      <c r="VFE12" s="37"/>
      <c r="VFF12" s="36"/>
      <c r="VFG12" s="37"/>
      <c r="VFH12" s="36"/>
      <c r="VFI12" s="37"/>
      <c r="VFJ12" s="36"/>
      <c r="VFK12" s="37"/>
      <c r="VFL12" s="36"/>
      <c r="VFM12" s="37"/>
      <c r="VFN12" s="36"/>
      <c r="VFO12" s="37"/>
      <c r="VFP12" s="36"/>
      <c r="VFQ12" s="37"/>
      <c r="VFR12" s="36"/>
      <c r="VFS12" s="37"/>
      <c r="VFT12" s="36"/>
      <c r="VFU12" s="36"/>
      <c r="VFV12" s="37"/>
      <c r="VFW12" s="37"/>
      <c r="VFY12" s="22"/>
      <c r="VFZ12" s="35"/>
      <c r="VGA12" s="36"/>
      <c r="VGB12" s="37"/>
      <c r="VGC12" s="36"/>
      <c r="VGD12" s="37"/>
      <c r="VGE12" s="36"/>
      <c r="VGF12" s="37"/>
      <c r="VGG12" s="36"/>
      <c r="VGH12" s="37"/>
      <c r="VGI12" s="36"/>
      <c r="VGJ12" s="37"/>
      <c r="VGK12" s="36"/>
      <c r="VGL12" s="37"/>
      <c r="VGM12" s="36"/>
      <c r="VGN12" s="37"/>
      <c r="VGO12" s="36"/>
      <c r="VGP12" s="37"/>
      <c r="VGQ12" s="36"/>
      <c r="VGR12" s="37"/>
      <c r="VGS12" s="36"/>
      <c r="VGT12" s="36"/>
      <c r="VGU12" s="37"/>
      <c r="VGV12" s="37"/>
      <c r="VGX12" s="22"/>
      <c r="VGY12" s="35"/>
      <c r="VGZ12" s="36"/>
      <c r="VHA12" s="37"/>
      <c r="VHB12" s="36"/>
      <c r="VHC12" s="37"/>
      <c r="VHD12" s="36"/>
      <c r="VHE12" s="37"/>
      <c r="VHF12" s="36"/>
      <c r="VHG12" s="37"/>
      <c r="VHH12" s="36"/>
      <c r="VHI12" s="37"/>
      <c r="VHJ12" s="36"/>
      <c r="VHK12" s="37"/>
      <c r="VHL12" s="36"/>
      <c r="VHM12" s="37"/>
      <c r="VHN12" s="36"/>
      <c r="VHO12" s="37"/>
      <c r="VHP12" s="36"/>
      <c r="VHQ12" s="37"/>
      <c r="VHR12" s="36"/>
      <c r="VHS12" s="36"/>
      <c r="VHT12" s="37"/>
      <c r="VHU12" s="37"/>
      <c r="VHW12" s="22"/>
      <c r="VHX12" s="35"/>
      <c r="VHY12" s="36"/>
      <c r="VHZ12" s="37"/>
      <c r="VIA12" s="36"/>
      <c r="VIB12" s="37"/>
      <c r="VIC12" s="36"/>
      <c r="VID12" s="37"/>
      <c r="VIE12" s="36"/>
      <c r="VIF12" s="37"/>
      <c r="VIG12" s="36"/>
      <c r="VIH12" s="37"/>
      <c r="VII12" s="36"/>
      <c r="VIJ12" s="37"/>
      <c r="VIK12" s="36"/>
      <c r="VIL12" s="37"/>
      <c r="VIM12" s="36"/>
      <c r="VIN12" s="37"/>
      <c r="VIO12" s="36"/>
      <c r="VIP12" s="37"/>
      <c r="VIQ12" s="36"/>
      <c r="VIR12" s="36"/>
      <c r="VIS12" s="37"/>
      <c r="VIT12" s="37"/>
      <c r="VIV12" s="22"/>
      <c r="VIW12" s="35"/>
      <c r="VIX12" s="36"/>
      <c r="VIY12" s="37"/>
      <c r="VIZ12" s="36"/>
      <c r="VJA12" s="37"/>
      <c r="VJB12" s="36"/>
      <c r="VJC12" s="37"/>
      <c r="VJD12" s="36"/>
      <c r="VJE12" s="37"/>
      <c r="VJF12" s="36"/>
      <c r="VJG12" s="37"/>
      <c r="VJH12" s="36"/>
      <c r="VJI12" s="37"/>
      <c r="VJJ12" s="36"/>
      <c r="VJK12" s="37"/>
      <c r="VJL12" s="36"/>
      <c r="VJM12" s="37"/>
      <c r="VJN12" s="36"/>
      <c r="VJO12" s="37"/>
      <c r="VJP12" s="36"/>
      <c r="VJQ12" s="36"/>
      <c r="VJR12" s="37"/>
      <c r="VJS12" s="37"/>
      <c r="VJU12" s="22"/>
      <c r="VJV12" s="35"/>
      <c r="VJW12" s="36"/>
      <c r="VJX12" s="37"/>
      <c r="VJY12" s="36"/>
      <c r="VJZ12" s="37"/>
      <c r="VKA12" s="36"/>
      <c r="VKB12" s="37"/>
      <c r="VKC12" s="36"/>
      <c r="VKD12" s="37"/>
      <c r="VKE12" s="36"/>
      <c r="VKF12" s="37"/>
      <c r="VKG12" s="36"/>
      <c r="VKH12" s="37"/>
      <c r="VKI12" s="36"/>
      <c r="VKJ12" s="37"/>
      <c r="VKK12" s="36"/>
      <c r="VKL12" s="37"/>
      <c r="VKM12" s="36"/>
      <c r="VKN12" s="37"/>
      <c r="VKO12" s="36"/>
      <c r="VKP12" s="36"/>
      <c r="VKQ12" s="37"/>
      <c r="VKR12" s="37"/>
      <c r="VKT12" s="22"/>
      <c r="VKU12" s="35"/>
      <c r="VKV12" s="36"/>
      <c r="VKW12" s="37"/>
      <c r="VKX12" s="36"/>
      <c r="VKY12" s="37"/>
      <c r="VKZ12" s="36"/>
      <c r="VLA12" s="37"/>
      <c r="VLB12" s="36"/>
      <c r="VLC12" s="37"/>
      <c r="VLD12" s="36"/>
      <c r="VLE12" s="37"/>
      <c r="VLF12" s="36"/>
      <c r="VLG12" s="37"/>
      <c r="VLH12" s="36"/>
      <c r="VLI12" s="37"/>
      <c r="VLJ12" s="36"/>
      <c r="VLK12" s="37"/>
      <c r="VLL12" s="36"/>
      <c r="VLM12" s="37"/>
      <c r="VLN12" s="36"/>
      <c r="VLO12" s="36"/>
      <c r="VLP12" s="37"/>
      <c r="VLQ12" s="37"/>
      <c r="VLS12" s="22"/>
      <c r="VLT12" s="35"/>
      <c r="VLU12" s="36"/>
      <c r="VLV12" s="37"/>
      <c r="VLW12" s="36"/>
      <c r="VLX12" s="37"/>
      <c r="VLY12" s="36"/>
      <c r="VLZ12" s="37"/>
      <c r="VMA12" s="36"/>
      <c r="VMB12" s="37"/>
      <c r="VMC12" s="36"/>
      <c r="VMD12" s="37"/>
      <c r="VME12" s="36"/>
      <c r="VMF12" s="37"/>
      <c r="VMG12" s="36"/>
      <c r="VMH12" s="37"/>
      <c r="VMI12" s="36"/>
      <c r="VMJ12" s="37"/>
      <c r="VMK12" s="36"/>
      <c r="VML12" s="37"/>
      <c r="VMM12" s="36"/>
      <c r="VMN12" s="36"/>
      <c r="VMO12" s="37"/>
      <c r="VMP12" s="37"/>
      <c r="VMR12" s="22"/>
      <c r="VMS12" s="35"/>
      <c r="VMT12" s="36"/>
      <c r="VMU12" s="37"/>
      <c r="VMV12" s="36"/>
      <c r="VMW12" s="37"/>
      <c r="VMX12" s="36"/>
      <c r="VMY12" s="37"/>
      <c r="VMZ12" s="36"/>
      <c r="VNA12" s="37"/>
      <c r="VNB12" s="36"/>
      <c r="VNC12" s="37"/>
      <c r="VND12" s="36"/>
      <c r="VNE12" s="37"/>
      <c r="VNF12" s="36"/>
      <c r="VNG12" s="37"/>
      <c r="VNH12" s="36"/>
      <c r="VNI12" s="37"/>
      <c r="VNJ12" s="36"/>
      <c r="VNK12" s="37"/>
      <c r="VNL12" s="36"/>
      <c r="VNM12" s="36"/>
      <c r="VNN12" s="37"/>
      <c r="VNO12" s="37"/>
      <c r="VNQ12" s="22"/>
      <c r="VNR12" s="35"/>
      <c r="VNS12" s="36"/>
      <c r="VNT12" s="37"/>
      <c r="VNU12" s="36"/>
      <c r="VNV12" s="37"/>
      <c r="VNW12" s="36"/>
      <c r="VNX12" s="37"/>
      <c r="VNY12" s="36"/>
      <c r="VNZ12" s="37"/>
      <c r="VOA12" s="36"/>
      <c r="VOB12" s="37"/>
      <c r="VOC12" s="36"/>
      <c r="VOD12" s="37"/>
      <c r="VOE12" s="36"/>
      <c r="VOF12" s="37"/>
      <c r="VOG12" s="36"/>
      <c r="VOH12" s="37"/>
      <c r="VOI12" s="36"/>
      <c r="VOJ12" s="37"/>
      <c r="VOK12" s="36"/>
      <c r="VOL12" s="36"/>
      <c r="VOM12" s="37"/>
      <c r="VON12" s="37"/>
      <c r="VOP12" s="22"/>
      <c r="VOQ12" s="35"/>
      <c r="VOR12" s="36"/>
      <c r="VOS12" s="37"/>
      <c r="VOT12" s="36"/>
      <c r="VOU12" s="37"/>
      <c r="VOV12" s="36"/>
      <c r="VOW12" s="37"/>
      <c r="VOX12" s="36"/>
      <c r="VOY12" s="37"/>
      <c r="VOZ12" s="36"/>
      <c r="VPA12" s="37"/>
      <c r="VPB12" s="36"/>
      <c r="VPC12" s="37"/>
      <c r="VPD12" s="36"/>
      <c r="VPE12" s="37"/>
      <c r="VPF12" s="36"/>
      <c r="VPG12" s="37"/>
      <c r="VPH12" s="36"/>
      <c r="VPI12" s="37"/>
      <c r="VPJ12" s="36"/>
      <c r="VPK12" s="36"/>
      <c r="VPL12" s="37"/>
      <c r="VPM12" s="37"/>
      <c r="VPO12" s="22"/>
      <c r="VPP12" s="35"/>
      <c r="VPQ12" s="36"/>
      <c r="VPR12" s="37"/>
      <c r="VPS12" s="36"/>
      <c r="VPT12" s="37"/>
      <c r="VPU12" s="36"/>
      <c r="VPV12" s="37"/>
      <c r="VPW12" s="36"/>
      <c r="VPX12" s="37"/>
      <c r="VPY12" s="36"/>
      <c r="VPZ12" s="37"/>
      <c r="VQA12" s="36"/>
      <c r="VQB12" s="37"/>
      <c r="VQC12" s="36"/>
      <c r="VQD12" s="37"/>
      <c r="VQE12" s="36"/>
      <c r="VQF12" s="37"/>
      <c r="VQG12" s="36"/>
      <c r="VQH12" s="37"/>
      <c r="VQI12" s="36"/>
      <c r="VQJ12" s="36"/>
      <c r="VQK12" s="37"/>
      <c r="VQL12" s="37"/>
      <c r="VQN12" s="22"/>
      <c r="VQO12" s="35"/>
      <c r="VQP12" s="36"/>
      <c r="VQQ12" s="37"/>
      <c r="VQR12" s="36"/>
      <c r="VQS12" s="37"/>
      <c r="VQT12" s="36"/>
      <c r="VQU12" s="37"/>
      <c r="VQV12" s="36"/>
      <c r="VQW12" s="37"/>
      <c r="VQX12" s="36"/>
      <c r="VQY12" s="37"/>
      <c r="VQZ12" s="36"/>
      <c r="VRA12" s="37"/>
      <c r="VRB12" s="36"/>
      <c r="VRC12" s="37"/>
      <c r="VRD12" s="36"/>
      <c r="VRE12" s="37"/>
      <c r="VRF12" s="36"/>
      <c r="VRG12" s="37"/>
      <c r="VRH12" s="36"/>
      <c r="VRI12" s="36"/>
      <c r="VRJ12" s="37"/>
      <c r="VRK12" s="37"/>
      <c r="VRM12" s="22"/>
      <c r="VRN12" s="35"/>
      <c r="VRO12" s="36"/>
      <c r="VRP12" s="37"/>
      <c r="VRQ12" s="36"/>
      <c r="VRR12" s="37"/>
      <c r="VRS12" s="36"/>
      <c r="VRT12" s="37"/>
      <c r="VRU12" s="36"/>
      <c r="VRV12" s="37"/>
      <c r="VRW12" s="36"/>
      <c r="VRX12" s="37"/>
      <c r="VRY12" s="36"/>
      <c r="VRZ12" s="37"/>
      <c r="VSA12" s="36"/>
      <c r="VSB12" s="37"/>
      <c r="VSC12" s="36"/>
      <c r="VSD12" s="37"/>
      <c r="VSE12" s="36"/>
      <c r="VSF12" s="37"/>
      <c r="VSG12" s="36"/>
      <c r="VSH12" s="36"/>
      <c r="VSI12" s="37"/>
      <c r="VSJ12" s="37"/>
      <c r="VSL12" s="22"/>
      <c r="VSM12" s="35"/>
      <c r="VSN12" s="36"/>
      <c r="VSO12" s="37"/>
      <c r="VSP12" s="36"/>
      <c r="VSQ12" s="37"/>
      <c r="VSR12" s="36"/>
      <c r="VSS12" s="37"/>
      <c r="VST12" s="36"/>
      <c r="VSU12" s="37"/>
      <c r="VSV12" s="36"/>
      <c r="VSW12" s="37"/>
      <c r="VSX12" s="36"/>
      <c r="VSY12" s="37"/>
      <c r="VSZ12" s="36"/>
      <c r="VTA12" s="37"/>
      <c r="VTB12" s="36"/>
      <c r="VTC12" s="37"/>
      <c r="VTD12" s="36"/>
      <c r="VTE12" s="37"/>
      <c r="VTF12" s="36"/>
      <c r="VTG12" s="36"/>
      <c r="VTH12" s="37"/>
      <c r="VTI12" s="37"/>
      <c r="VTK12" s="22"/>
      <c r="VTL12" s="35"/>
      <c r="VTM12" s="36"/>
      <c r="VTN12" s="37"/>
      <c r="VTO12" s="36"/>
      <c r="VTP12" s="37"/>
      <c r="VTQ12" s="36"/>
      <c r="VTR12" s="37"/>
      <c r="VTS12" s="36"/>
      <c r="VTT12" s="37"/>
      <c r="VTU12" s="36"/>
      <c r="VTV12" s="37"/>
      <c r="VTW12" s="36"/>
      <c r="VTX12" s="37"/>
      <c r="VTY12" s="36"/>
      <c r="VTZ12" s="37"/>
      <c r="VUA12" s="36"/>
      <c r="VUB12" s="37"/>
      <c r="VUC12" s="36"/>
      <c r="VUD12" s="37"/>
      <c r="VUE12" s="36"/>
      <c r="VUF12" s="36"/>
      <c r="VUG12" s="37"/>
      <c r="VUH12" s="37"/>
      <c r="VUJ12" s="22"/>
      <c r="VUK12" s="35"/>
      <c r="VUL12" s="36"/>
      <c r="VUM12" s="37"/>
      <c r="VUN12" s="36"/>
      <c r="VUO12" s="37"/>
      <c r="VUP12" s="36"/>
      <c r="VUQ12" s="37"/>
      <c r="VUR12" s="36"/>
      <c r="VUS12" s="37"/>
      <c r="VUT12" s="36"/>
      <c r="VUU12" s="37"/>
      <c r="VUV12" s="36"/>
      <c r="VUW12" s="37"/>
      <c r="VUX12" s="36"/>
      <c r="VUY12" s="37"/>
      <c r="VUZ12" s="36"/>
      <c r="VVA12" s="37"/>
      <c r="VVB12" s="36"/>
      <c r="VVC12" s="37"/>
      <c r="VVD12" s="36"/>
      <c r="VVE12" s="36"/>
      <c r="VVF12" s="37"/>
      <c r="VVG12" s="37"/>
      <c r="VVI12" s="22"/>
      <c r="VVJ12" s="35"/>
      <c r="VVK12" s="36"/>
      <c r="VVL12" s="37"/>
      <c r="VVM12" s="36"/>
      <c r="VVN12" s="37"/>
      <c r="VVO12" s="36"/>
      <c r="VVP12" s="37"/>
      <c r="VVQ12" s="36"/>
      <c r="VVR12" s="37"/>
      <c r="VVS12" s="36"/>
      <c r="VVT12" s="37"/>
      <c r="VVU12" s="36"/>
      <c r="VVV12" s="37"/>
      <c r="VVW12" s="36"/>
      <c r="VVX12" s="37"/>
      <c r="VVY12" s="36"/>
      <c r="VVZ12" s="37"/>
      <c r="VWA12" s="36"/>
      <c r="VWB12" s="37"/>
      <c r="VWC12" s="36"/>
      <c r="VWD12" s="36"/>
      <c r="VWE12" s="37"/>
      <c r="VWF12" s="37"/>
      <c r="VWH12" s="22"/>
      <c r="VWI12" s="35"/>
      <c r="VWJ12" s="36"/>
      <c r="VWK12" s="37"/>
      <c r="VWL12" s="36"/>
      <c r="VWM12" s="37"/>
      <c r="VWN12" s="36"/>
      <c r="VWO12" s="37"/>
      <c r="VWP12" s="36"/>
      <c r="VWQ12" s="37"/>
      <c r="VWR12" s="36"/>
      <c r="VWS12" s="37"/>
      <c r="VWT12" s="36"/>
      <c r="VWU12" s="37"/>
      <c r="VWV12" s="36"/>
      <c r="VWW12" s="37"/>
      <c r="VWX12" s="36"/>
      <c r="VWY12" s="37"/>
      <c r="VWZ12" s="36"/>
      <c r="VXA12" s="37"/>
      <c r="VXB12" s="36"/>
      <c r="VXC12" s="36"/>
      <c r="VXD12" s="37"/>
      <c r="VXE12" s="37"/>
      <c r="VXG12" s="22"/>
      <c r="VXH12" s="35"/>
      <c r="VXI12" s="36"/>
      <c r="VXJ12" s="37"/>
      <c r="VXK12" s="36"/>
      <c r="VXL12" s="37"/>
      <c r="VXM12" s="36"/>
      <c r="VXN12" s="37"/>
      <c r="VXO12" s="36"/>
      <c r="VXP12" s="37"/>
      <c r="VXQ12" s="36"/>
      <c r="VXR12" s="37"/>
      <c r="VXS12" s="36"/>
      <c r="VXT12" s="37"/>
      <c r="VXU12" s="36"/>
      <c r="VXV12" s="37"/>
      <c r="VXW12" s="36"/>
      <c r="VXX12" s="37"/>
      <c r="VXY12" s="36"/>
      <c r="VXZ12" s="37"/>
      <c r="VYA12" s="36"/>
      <c r="VYB12" s="36"/>
      <c r="VYC12" s="37"/>
      <c r="VYD12" s="37"/>
      <c r="VYF12" s="22"/>
      <c r="VYG12" s="35"/>
      <c r="VYH12" s="36"/>
      <c r="VYI12" s="37"/>
      <c r="VYJ12" s="36"/>
      <c r="VYK12" s="37"/>
      <c r="VYL12" s="36"/>
      <c r="VYM12" s="37"/>
      <c r="VYN12" s="36"/>
      <c r="VYO12" s="37"/>
      <c r="VYP12" s="36"/>
      <c r="VYQ12" s="37"/>
      <c r="VYR12" s="36"/>
      <c r="VYS12" s="37"/>
      <c r="VYT12" s="36"/>
      <c r="VYU12" s="37"/>
      <c r="VYV12" s="36"/>
      <c r="VYW12" s="37"/>
      <c r="VYX12" s="36"/>
      <c r="VYY12" s="37"/>
      <c r="VYZ12" s="36"/>
      <c r="VZA12" s="36"/>
      <c r="VZB12" s="37"/>
      <c r="VZC12" s="37"/>
      <c r="VZE12" s="22"/>
      <c r="VZF12" s="35"/>
      <c r="VZG12" s="36"/>
      <c r="VZH12" s="37"/>
      <c r="VZI12" s="36"/>
      <c r="VZJ12" s="37"/>
      <c r="VZK12" s="36"/>
      <c r="VZL12" s="37"/>
      <c r="VZM12" s="36"/>
      <c r="VZN12" s="37"/>
      <c r="VZO12" s="36"/>
      <c r="VZP12" s="37"/>
      <c r="VZQ12" s="36"/>
      <c r="VZR12" s="37"/>
      <c r="VZS12" s="36"/>
      <c r="VZT12" s="37"/>
      <c r="VZU12" s="36"/>
      <c r="VZV12" s="37"/>
      <c r="VZW12" s="36"/>
      <c r="VZX12" s="37"/>
      <c r="VZY12" s="36"/>
      <c r="VZZ12" s="36"/>
      <c r="WAA12" s="37"/>
      <c r="WAB12" s="37"/>
      <c r="WAD12" s="22"/>
      <c r="WAE12" s="35"/>
      <c r="WAF12" s="36"/>
      <c r="WAG12" s="37"/>
      <c r="WAH12" s="36"/>
      <c r="WAI12" s="37"/>
      <c r="WAJ12" s="36"/>
      <c r="WAK12" s="37"/>
      <c r="WAL12" s="36"/>
      <c r="WAM12" s="37"/>
      <c r="WAN12" s="36"/>
      <c r="WAO12" s="37"/>
      <c r="WAP12" s="36"/>
      <c r="WAQ12" s="37"/>
      <c r="WAR12" s="36"/>
      <c r="WAS12" s="37"/>
      <c r="WAT12" s="36"/>
      <c r="WAU12" s="37"/>
      <c r="WAV12" s="36"/>
      <c r="WAW12" s="37"/>
      <c r="WAX12" s="36"/>
      <c r="WAY12" s="36"/>
      <c r="WAZ12" s="37"/>
      <c r="WBA12" s="37"/>
      <c r="WBC12" s="22"/>
      <c r="WBD12" s="35"/>
      <c r="WBE12" s="36"/>
      <c r="WBF12" s="37"/>
      <c r="WBG12" s="36"/>
      <c r="WBH12" s="37"/>
      <c r="WBI12" s="36"/>
      <c r="WBJ12" s="37"/>
      <c r="WBK12" s="36"/>
      <c r="WBL12" s="37"/>
      <c r="WBM12" s="36"/>
      <c r="WBN12" s="37"/>
      <c r="WBO12" s="36"/>
      <c r="WBP12" s="37"/>
      <c r="WBQ12" s="36"/>
      <c r="WBR12" s="37"/>
      <c r="WBS12" s="36"/>
      <c r="WBT12" s="37"/>
      <c r="WBU12" s="36"/>
      <c r="WBV12" s="37"/>
      <c r="WBW12" s="36"/>
      <c r="WBX12" s="36"/>
      <c r="WBY12" s="37"/>
      <c r="WBZ12" s="37"/>
      <c r="WCB12" s="22"/>
      <c r="WCC12" s="35"/>
      <c r="WCD12" s="36"/>
      <c r="WCE12" s="37"/>
      <c r="WCF12" s="36"/>
      <c r="WCG12" s="37"/>
      <c r="WCH12" s="36"/>
      <c r="WCI12" s="37"/>
      <c r="WCJ12" s="36"/>
      <c r="WCK12" s="37"/>
      <c r="WCL12" s="36"/>
      <c r="WCM12" s="37"/>
      <c r="WCN12" s="36"/>
      <c r="WCO12" s="37"/>
      <c r="WCP12" s="36"/>
      <c r="WCQ12" s="37"/>
      <c r="WCR12" s="36"/>
      <c r="WCS12" s="37"/>
      <c r="WCT12" s="36"/>
      <c r="WCU12" s="37"/>
      <c r="WCV12" s="36"/>
      <c r="WCW12" s="36"/>
      <c r="WCX12" s="37"/>
      <c r="WCY12" s="37"/>
      <c r="WDA12" s="22"/>
      <c r="WDB12" s="35"/>
      <c r="WDC12" s="36"/>
      <c r="WDD12" s="37"/>
      <c r="WDE12" s="36"/>
      <c r="WDF12" s="37"/>
      <c r="WDG12" s="36"/>
      <c r="WDH12" s="37"/>
      <c r="WDI12" s="36"/>
      <c r="WDJ12" s="37"/>
      <c r="WDK12" s="36"/>
      <c r="WDL12" s="37"/>
      <c r="WDM12" s="36"/>
      <c r="WDN12" s="37"/>
      <c r="WDO12" s="36"/>
      <c r="WDP12" s="37"/>
      <c r="WDQ12" s="36"/>
      <c r="WDR12" s="37"/>
      <c r="WDS12" s="36"/>
      <c r="WDT12" s="37"/>
      <c r="WDU12" s="36"/>
      <c r="WDV12" s="36"/>
      <c r="WDW12" s="37"/>
      <c r="WDX12" s="37"/>
      <c r="WDZ12" s="22"/>
      <c r="WEA12" s="35"/>
      <c r="WEB12" s="36"/>
      <c r="WEC12" s="37"/>
      <c r="WED12" s="36"/>
      <c r="WEE12" s="37"/>
      <c r="WEF12" s="36"/>
      <c r="WEG12" s="37"/>
      <c r="WEH12" s="36"/>
      <c r="WEI12" s="37"/>
      <c r="WEJ12" s="36"/>
      <c r="WEK12" s="37"/>
      <c r="WEL12" s="36"/>
      <c r="WEM12" s="37"/>
      <c r="WEN12" s="36"/>
      <c r="WEO12" s="37"/>
      <c r="WEP12" s="36"/>
      <c r="WEQ12" s="37"/>
      <c r="WER12" s="36"/>
      <c r="WES12" s="37"/>
      <c r="WET12" s="36"/>
      <c r="WEU12" s="36"/>
      <c r="WEV12" s="37"/>
      <c r="WEW12" s="37"/>
      <c r="WEY12" s="22"/>
      <c r="WEZ12" s="35"/>
      <c r="WFA12" s="36"/>
      <c r="WFB12" s="37"/>
      <c r="WFC12" s="36"/>
      <c r="WFD12" s="37"/>
      <c r="WFE12" s="36"/>
      <c r="WFF12" s="37"/>
      <c r="WFG12" s="36"/>
      <c r="WFH12" s="37"/>
      <c r="WFI12" s="36"/>
      <c r="WFJ12" s="37"/>
      <c r="WFK12" s="36"/>
      <c r="WFL12" s="37"/>
      <c r="WFM12" s="36"/>
      <c r="WFN12" s="37"/>
      <c r="WFO12" s="36"/>
      <c r="WFP12" s="37"/>
      <c r="WFQ12" s="36"/>
      <c r="WFR12" s="37"/>
      <c r="WFS12" s="36"/>
      <c r="WFT12" s="36"/>
      <c r="WFU12" s="37"/>
      <c r="WFV12" s="37"/>
      <c r="WFX12" s="22"/>
      <c r="WFY12" s="35"/>
      <c r="WFZ12" s="36"/>
      <c r="WGA12" s="37"/>
      <c r="WGB12" s="36"/>
      <c r="WGC12" s="37"/>
      <c r="WGD12" s="36"/>
      <c r="WGE12" s="37"/>
      <c r="WGF12" s="36"/>
      <c r="WGG12" s="37"/>
      <c r="WGH12" s="36"/>
      <c r="WGI12" s="37"/>
      <c r="WGJ12" s="36"/>
      <c r="WGK12" s="37"/>
      <c r="WGL12" s="36"/>
      <c r="WGM12" s="37"/>
      <c r="WGN12" s="36"/>
      <c r="WGO12" s="37"/>
      <c r="WGP12" s="36"/>
      <c r="WGQ12" s="37"/>
      <c r="WGR12" s="36"/>
      <c r="WGS12" s="36"/>
      <c r="WGT12" s="37"/>
      <c r="WGU12" s="37"/>
      <c r="WGW12" s="22"/>
      <c r="WGX12" s="35"/>
      <c r="WGY12" s="36"/>
      <c r="WGZ12" s="37"/>
      <c r="WHA12" s="36"/>
      <c r="WHB12" s="37"/>
      <c r="WHC12" s="36"/>
      <c r="WHD12" s="37"/>
      <c r="WHE12" s="36"/>
      <c r="WHF12" s="37"/>
      <c r="WHG12" s="36"/>
      <c r="WHH12" s="37"/>
      <c r="WHI12" s="36"/>
      <c r="WHJ12" s="37"/>
      <c r="WHK12" s="36"/>
      <c r="WHL12" s="37"/>
      <c r="WHM12" s="36"/>
      <c r="WHN12" s="37"/>
      <c r="WHO12" s="36"/>
      <c r="WHP12" s="37"/>
      <c r="WHQ12" s="36"/>
      <c r="WHR12" s="36"/>
      <c r="WHS12" s="37"/>
      <c r="WHT12" s="37"/>
      <c r="WHV12" s="22"/>
      <c r="WHW12" s="35"/>
      <c r="WHX12" s="36"/>
      <c r="WHY12" s="37"/>
      <c r="WHZ12" s="36"/>
      <c r="WIA12" s="37"/>
      <c r="WIB12" s="36"/>
      <c r="WIC12" s="37"/>
      <c r="WID12" s="36"/>
      <c r="WIE12" s="37"/>
      <c r="WIF12" s="36"/>
      <c r="WIG12" s="37"/>
      <c r="WIH12" s="36"/>
      <c r="WII12" s="37"/>
      <c r="WIJ12" s="36"/>
      <c r="WIK12" s="37"/>
      <c r="WIL12" s="36"/>
      <c r="WIM12" s="37"/>
      <c r="WIN12" s="36"/>
      <c r="WIO12" s="37"/>
      <c r="WIP12" s="36"/>
      <c r="WIQ12" s="36"/>
      <c r="WIR12" s="37"/>
      <c r="WIS12" s="37"/>
      <c r="WIU12" s="22"/>
      <c r="WIV12" s="35"/>
      <c r="WIW12" s="36"/>
      <c r="WIX12" s="37"/>
      <c r="WIY12" s="36"/>
      <c r="WIZ12" s="37"/>
      <c r="WJA12" s="36"/>
      <c r="WJB12" s="37"/>
      <c r="WJC12" s="36"/>
      <c r="WJD12" s="37"/>
      <c r="WJE12" s="36"/>
      <c r="WJF12" s="37"/>
      <c r="WJG12" s="36"/>
      <c r="WJH12" s="37"/>
      <c r="WJI12" s="36"/>
      <c r="WJJ12" s="37"/>
      <c r="WJK12" s="36"/>
      <c r="WJL12" s="37"/>
      <c r="WJM12" s="36"/>
      <c r="WJN12" s="37"/>
      <c r="WJO12" s="36"/>
      <c r="WJP12" s="36"/>
      <c r="WJQ12" s="37"/>
      <c r="WJR12" s="37"/>
      <c r="WJT12" s="22"/>
      <c r="WJU12" s="35"/>
      <c r="WJV12" s="36"/>
      <c r="WJW12" s="37"/>
      <c r="WJX12" s="36"/>
      <c r="WJY12" s="37"/>
      <c r="WJZ12" s="36"/>
      <c r="WKA12" s="37"/>
      <c r="WKB12" s="36"/>
      <c r="WKC12" s="37"/>
      <c r="WKD12" s="36"/>
      <c r="WKE12" s="37"/>
      <c r="WKF12" s="36"/>
      <c r="WKG12" s="37"/>
      <c r="WKH12" s="36"/>
      <c r="WKI12" s="37"/>
      <c r="WKJ12" s="36"/>
      <c r="WKK12" s="37"/>
      <c r="WKL12" s="36"/>
      <c r="WKM12" s="37"/>
      <c r="WKN12" s="36"/>
      <c r="WKO12" s="36"/>
      <c r="WKP12" s="37"/>
      <c r="WKQ12" s="37"/>
      <c r="WKS12" s="22"/>
      <c r="WKT12" s="35"/>
      <c r="WKU12" s="36"/>
      <c r="WKV12" s="37"/>
      <c r="WKW12" s="36"/>
      <c r="WKX12" s="37"/>
      <c r="WKY12" s="36"/>
      <c r="WKZ12" s="37"/>
      <c r="WLA12" s="36"/>
      <c r="WLB12" s="37"/>
      <c r="WLC12" s="36"/>
      <c r="WLD12" s="37"/>
      <c r="WLE12" s="36"/>
      <c r="WLF12" s="37"/>
      <c r="WLG12" s="36"/>
      <c r="WLH12" s="37"/>
      <c r="WLI12" s="36"/>
      <c r="WLJ12" s="37"/>
      <c r="WLK12" s="36"/>
      <c r="WLL12" s="37"/>
      <c r="WLM12" s="36"/>
      <c r="WLN12" s="36"/>
      <c r="WLO12" s="37"/>
      <c r="WLP12" s="37"/>
      <c r="WLR12" s="22"/>
      <c r="WLS12" s="35"/>
      <c r="WLT12" s="36"/>
      <c r="WLU12" s="37"/>
      <c r="WLV12" s="36"/>
      <c r="WLW12" s="37"/>
      <c r="WLX12" s="36"/>
      <c r="WLY12" s="37"/>
      <c r="WLZ12" s="36"/>
      <c r="WMA12" s="37"/>
      <c r="WMB12" s="36"/>
      <c r="WMC12" s="37"/>
      <c r="WMD12" s="36"/>
      <c r="WME12" s="37"/>
      <c r="WMF12" s="36"/>
      <c r="WMG12" s="37"/>
      <c r="WMH12" s="36"/>
      <c r="WMI12" s="37"/>
      <c r="WMJ12" s="36"/>
      <c r="WMK12" s="37"/>
      <c r="WML12" s="36"/>
      <c r="WMM12" s="36"/>
      <c r="WMN12" s="37"/>
      <c r="WMO12" s="37"/>
      <c r="WMQ12" s="22"/>
      <c r="WMR12" s="35"/>
      <c r="WMS12" s="36"/>
      <c r="WMT12" s="37"/>
      <c r="WMU12" s="36"/>
      <c r="WMV12" s="37"/>
      <c r="WMW12" s="36"/>
      <c r="WMX12" s="37"/>
      <c r="WMY12" s="36"/>
      <c r="WMZ12" s="37"/>
      <c r="WNA12" s="36"/>
      <c r="WNB12" s="37"/>
      <c r="WNC12" s="36"/>
      <c r="WND12" s="37"/>
      <c r="WNE12" s="36"/>
      <c r="WNF12" s="37"/>
      <c r="WNG12" s="36"/>
      <c r="WNH12" s="37"/>
      <c r="WNI12" s="36"/>
      <c r="WNJ12" s="37"/>
      <c r="WNK12" s="36"/>
      <c r="WNL12" s="36"/>
      <c r="WNM12" s="37"/>
      <c r="WNN12" s="37"/>
      <c r="WNP12" s="22"/>
      <c r="WNQ12" s="35"/>
      <c r="WNR12" s="36"/>
      <c r="WNS12" s="37"/>
      <c r="WNT12" s="36"/>
      <c r="WNU12" s="37"/>
      <c r="WNV12" s="36"/>
      <c r="WNW12" s="37"/>
      <c r="WNX12" s="36"/>
      <c r="WNY12" s="37"/>
      <c r="WNZ12" s="36"/>
      <c r="WOA12" s="37"/>
      <c r="WOB12" s="36"/>
      <c r="WOC12" s="37"/>
      <c r="WOD12" s="36"/>
      <c r="WOE12" s="37"/>
      <c r="WOF12" s="36"/>
      <c r="WOG12" s="37"/>
      <c r="WOH12" s="36"/>
      <c r="WOI12" s="37"/>
      <c r="WOJ12" s="36"/>
      <c r="WOK12" s="36"/>
      <c r="WOL12" s="37"/>
      <c r="WOM12" s="37"/>
      <c r="WOO12" s="22"/>
      <c r="WOP12" s="35"/>
      <c r="WOQ12" s="36"/>
      <c r="WOR12" s="37"/>
      <c r="WOS12" s="36"/>
      <c r="WOT12" s="37"/>
      <c r="WOU12" s="36"/>
      <c r="WOV12" s="37"/>
      <c r="WOW12" s="36"/>
      <c r="WOX12" s="37"/>
      <c r="WOY12" s="36"/>
      <c r="WOZ12" s="37"/>
      <c r="WPA12" s="36"/>
      <c r="WPB12" s="37"/>
      <c r="WPC12" s="36"/>
      <c r="WPD12" s="37"/>
      <c r="WPE12" s="36"/>
      <c r="WPF12" s="37"/>
      <c r="WPG12" s="36"/>
      <c r="WPH12" s="37"/>
      <c r="WPI12" s="36"/>
      <c r="WPJ12" s="36"/>
      <c r="WPK12" s="37"/>
      <c r="WPL12" s="37"/>
      <c r="WPN12" s="22"/>
      <c r="WPO12" s="35"/>
      <c r="WPP12" s="36"/>
      <c r="WPQ12" s="37"/>
      <c r="WPR12" s="36"/>
      <c r="WPS12" s="37"/>
      <c r="WPT12" s="36"/>
      <c r="WPU12" s="37"/>
      <c r="WPV12" s="36"/>
      <c r="WPW12" s="37"/>
      <c r="WPX12" s="36"/>
      <c r="WPY12" s="37"/>
      <c r="WPZ12" s="36"/>
      <c r="WQA12" s="37"/>
      <c r="WQB12" s="36"/>
      <c r="WQC12" s="37"/>
      <c r="WQD12" s="36"/>
      <c r="WQE12" s="37"/>
      <c r="WQF12" s="36"/>
      <c r="WQG12" s="37"/>
      <c r="WQH12" s="36"/>
      <c r="WQI12" s="36"/>
      <c r="WQJ12" s="37"/>
      <c r="WQK12" s="37"/>
      <c r="WQM12" s="22"/>
      <c r="WQN12" s="35"/>
      <c r="WQO12" s="36"/>
      <c r="WQP12" s="37"/>
      <c r="WQQ12" s="36"/>
      <c r="WQR12" s="37"/>
      <c r="WQS12" s="36"/>
      <c r="WQT12" s="37"/>
      <c r="WQU12" s="36"/>
      <c r="WQV12" s="37"/>
      <c r="WQW12" s="36"/>
      <c r="WQX12" s="37"/>
      <c r="WQY12" s="36"/>
      <c r="WQZ12" s="37"/>
      <c r="WRA12" s="36"/>
      <c r="WRB12" s="37"/>
      <c r="WRC12" s="36"/>
      <c r="WRD12" s="37"/>
      <c r="WRE12" s="36"/>
      <c r="WRF12" s="37"/>
      <c r="WRG12" s="36"/>
      <c r="WRH12" s="36"/>
      <c r="WRI12" s="37"/>
      <c r="WRJ12" s="37"/>
      <c r="WRL12" s="22"/>
      <c r="WRM12" s="35"/>
      <c r="WRN12" s="36"/>
      <c r="WRO12" s="37"/>
      <c r="WRP12" s="36"/>
      <c r="WRQ12" s="37"/>
      <c r="WRR12" s="36"/>
      <c r="WRS12" s="37"/>
      <c r="WRT12" s="36"/>
      <c r="WRU12" s="37"/>
      <c r="WRV12" s="36"/>
      <c r="WRW12" s="37"/>
      <c r="WRX12" s="36"/>
      <c r="WRY12" s="37"/>
      <c r="WRZ12" s="36"/>
      <c r="WSA12" s="37"/>
      <c r="WSB12" s="36"/>
      <c r="WSC12" s="37"/>
      <c r="WSD12" s="36"/>
      <c r="WSE12" s="37"/>
      <c r="WSF12" s="36"/>
      <c r="WSG12" s="36"/>
      <c r="WSH12" s="37"/>
      <c r="WSI12" s="37"/>
      <c r="WSK12" s="22"/>
      <c r="WSL12" s="35"/>
      <c r="WSM12" s="36"/>
      <c r="WSN12" s="37"/>
      <c r="WSO12" s="36"/>
      <c r="WSP12" s="37"/>
      <c r="WSQ12" s="36"/>
      <c r="WSR12" s="37"/>
      <c r="WSS12" s="36"/>
      <c r="WST12" s="37"/>
      <c r="WSU12" s="36"/>
      <c r="WSV12" s="37"/>
      <c r="WSW12" s="36"/>
      <c r="WSX12" s="37"/>
      <c r="WSY12" s="36"/>
      <c r="WSZ12" s="37"/>
      <c r="WTA12" s="36"/>
      <c r="WTB12" s="37"/>
      <c r="WTC12" s="36"/>
      <c r="WTD12" s="37"/>
      <c r="WTE12" s="36"/>
      <c r="WTF12" s="36"/>
      <c r="WTG12" s="37"/>
      <c r="WTH12" s="37"/>
      <c r="WTJ12" s="22"/>
      <c r="WTK12" s="35"/>
      <c r="WTL12" s="36"/>
      <c r="WTM12" s="37"/>
      <c r="WTN12" s="36"/>
      <c r="WTO12" s="37"/>
      <c r="WTP12" s="36"/>
      <c r="WTQ12" s="37"/>
      <c r="WTR12" s="36"/>
      <c r="WTS12" s="37"/>
      <c r="WTT12" s="36"/>
      <c r="WTU12" s="37"/>
      <c r="WTV12" s="36"/>
      <c r="WTW12" s="37"/>
      <c r="WTX12" s="36"/>
      <c r="WTY12" s="37"/>
      <c r="WTZ12" s="36"/>
      <c r="WUA12" s="37"/>
      <c r="WUB12" s="36"/>
      <c r="WUC12" s="37"/>
      <c r="WUD12" s="36"/>
      <c r="WUE12" s="36"/>
      <c r="WUF12" s="37"/>
      <c r="WUG12" s="37"/>
      <c r="WUI12" s="22"/>
      <c r="WUJ12" s="35"/>
      <c r="WUK12" s="36"/>
      <c r="WUL12" s="37"/>
      <c r="WUM12" s="36"/>
      <c r="WUN12" s="37"/>
      <c r="WUO12" s="36"/>
      <c r="WUP12" s="37"/>
      <c r="WUQ12" s="36"/>
      <c r="WUR12" s="37"/>
      <c r="WUS12" s="36"/>
      <c r="WUT12" s="37"/>
      <c r="WUU12" s="36"/>
      <c r="WUV12" s="37"/>
      <c r="WUW12" s="36"/>
      <c r="WUX12" s="37"/>
      <c r="WUY12" s="36"/>
      <c r="WUZ12" s="37"/>
      <c r="WVA12" s="36"/>
      <c r="WVB12" s="37"/>
      <c r="WVC12" s="36"/>
      <c r="WVD12" s="36"/>
      <c r="WVE12" s="37"/>
      <c r="WVF12" s="37"/>
      <c r="WVH12" s="22"/>
      <c r="WVI12" s="35"/>
      <c r="WVJ12" s="36"/>
      <c r="WVK12" s="37"/>
      <c r="WVL12" s="36"/>
      <c r="WVM12" s="37"/>
      <c r="WVN12" s="36"/>
      <c r="WVO12" s="37"/>
      <c r="WVP12" s="36"/>
      <c r="WVQ12" s="37"/>
      <c r="WVR12" s="36"/>
      <c r="WVS12" s="37"/>
      <c r="WVT12" s="36"/>
      <c r="WVU12" s="37"/>
      <c r="WVV12" s="36"/>
      <c r="WVW12" s="37"/>
      <c r="WVX12" s="36"/>
      <c r="WVY12" s="37"/>
      <c r="WVZ12" s="36"/>
      <c r="WWA12" s="37"/>
      <c r="WWB12" s="36"/>
      <c r="WWC12" s="36"/>
      <c r="WWD12" s="37"/>
      <c r="WWE12" s="37"/>
      <c r="WWG12" s="22"/>
      <c r="WWH12" s="35"/>
      <c r="WWI12" s="36"/>
      <c r="WWJ12" s="37"/>
      <c r="WWK12" s="36"/>
      <c r="WWL12" s="37"/>
      <c r="WWM12" s="36"/>
      <c r="WWN12" s="37"/>
      <c r="WWO12" s="36"/>
      <c r="WWP12" s="37"/>
      <c r="WWQ12" s="36"/>
      <c r="WWR12" s="37"/>
      <c r="WWS12" s="36"/>
      <c r="WWT12" s="37"/>
      <c r="WWU12" s="36"/>
      <c r="WWV12" s="37"/>
      <c r="WWW12" s="36"/>
      <c r="WWX12" s="37"/>
      <c r="WWY12" s="36"/>
      <c r="WWZ12" s="37"/>
      <c r="WXA12" s="36"/>
      <c r="WXB12" s="36"/>
      <c r="WXC12" s="37"/>
      <c r="WXD12" s="37"/>
      <c r="WXF12" s="22"/>
      <c r="WXG12" s="35"/>
      <c r="WXH12" s="36"/>
      <c r="WXI12" s="37"/>
      <c r="WXJ12" s="36"/>
      <c r="WXK12" s="37"/>
      <c r="WXL12" s="36"/>
      <c r="WXM12" s="37"/>
      <c r="WXN12" s="36"/>
      <c r="WXO12" s="37"/>
      <c r="WXP12" s="36"/>
      <c r="WXQ12" s="37"/>
      <c r="WXR12" s="36"/>
      <c r="WXS12" s="37"/>
      <c r="WXT12" s="36"/>
      <c r="WXU12" s="37"/>
      <c r="WXV12" s="36"/>
      <c r="WXW12" s="37"/>
      <c r="WXX12" s="36"/>
      <c r="WXY12" s="37"/>
      <c r="WXZ12" s="36"/>
      <c r="WYA12" s="36"/>
      <c r="WYB12" s="37"/>
      <c r="WYC12" s="37"/>
      <c r="WYE12" s="22"/>
      <c r="WYF12" s="35"/>
      <c r="WYG12" s="36"/>
      <c r="WYH12" s="37"/>
      <c r="WYI12" s="36"/>
      <c r="WYJ12" s="37"/>
      <c r="WYK12" s="36"/>
      <c r="WYL12" s="37"/>
      <c r="WYM12" s="36"/>
      <c r="WYN12" s="37"/>
      <c r="WYO12" s="36"/>
      <c r="WYP12" s="37"/>
      <c r="WYQ12" s="36"/>
      <c r="WYR12" s="37"/>
      <c r="WYS12" s="36"/>
      <c r="WYT12" s="37"/>
      <c r="WYU12" s="36"/>
      <c r="WYV12" s="37"/>
      <c r="WYW12" s="36"/>
      <c r="WYX12" s="37"/>
      <c r="WYY12" s="36"/>
      <c r="WYZ12" s="36"/>
      <c r="WZA12" s="37"/>
      <c r="WZB12" s="37"/>
      <c r="WZD12" s="22"/>
      <c r="WZE12" s="35"/>
      <c r="WZF12" s="36"/>
      <c r="WZG12" s="37"/>
      <c r="WZH12" s="36"/>
      <c r="WZI12" s="37"/>
      <c r="WZJ12" s="36"/>
      <c r="WZK12" s="37"/>
      <c r="WZL12" s="36"/>
      <c r="WZM12" s="37"/>
      <c r="WZN12" s="36"/>
      <c r="WZO12" s="37"/>
      <c r="WZP12" s="36"/>
      <c r="WZQ12" s="37"/>
      <c r="WZR12" s="36"/>
      <c r="WZS12" s="37"/>
      <c r="WZT12" s="36"/>
      <c r="WZU12" s="37"/>
      <c r="WZV12" s="36"/>
      <c r="WZW12" s="37"/>
      <c r="WZX12" s="36"/>
      <c r="WZY12" s="36"/>
      <c r="WZZ12" s="37"/>
      <c r="XAA12" s="37"/>
      <c r="XAC12" s="22"/>
      <c r="XAD12" s="35"/>
      <c r="XAE12" s="36"/>
      <c r="XAF12" s="37"/>
      <c r="XAG12" s="36"/>
      <c r="XAH12" s="37"/>
      <c r="XAI12" s="36"/>
      <c r="XAJ12" s="37"/>
      <c r="XAK12" s="36"/>
      <c r="XAL12" s="37"/>
      <c r="XAM12" s="36"/>
      <c r="XAN12" s="37"/>
      <c r="XAO12" s="36"/>
      <c r="XAP12" s="37"/>
      <c r="XAQ12" s="36"/>
      <c r="XAR12" s="37"/>
      <c r="XAS12" s="36"/>
      <c r="XAT12" s="37"/>
      <c r="XAU12" s="36"/>
      <c r="XAV12" s="37"/>
      <c r="XAW12" s="36"/>
      <c r="XAX12" s="36"/>
      <c r="XAY12" s="37"/>
      <c r="XAZ12" s="37"/>
      <c r="XBB12" s="22"/>
      <c r="XBC12" s="35"/>
      <c r="XBD12" s="36"/>
      <c r="XBE12" s="37"/>
      <c r="XBF12" s="36"/>
      <c r="XBG12" s="37"/>
      <c r="XBH12" s="36"/>
      <c r="XBI12" s="37"/>
      <c r="XBJ12" s="36"/>
      <c r="XBK12" s="37"/>
      <c r="XBL12" s="36"/>
      <c r="XBM12" s="37"/>
      <c r="XBN12" s="36"/>
      <c r="XBO12" s="37"/>
      <c r="XBP12" s="36"/>
      <c r="XBQ12" s="37"/>
      <c r="XBR12" s="36"/>
      <c r="XBS12" s="37"/>
      <c r="XBT12" s="36"/>
      <c r="XBU12" s="37"/>
      <c r="XBV12" s="36"/>
      <c r="XBW12" s="36"/>
      <c r="XBX12" s="37"/>
      <c r="XBY12" s="37"/>
      <c r="XCA12" s="22"/>
      <c r="XCB12" s="35"/>
      <c r="XCC12" s="36"/>
      <c r="XCD12" s="37"/>
      <c r="XCE12" s="36"/>
      <c r="XCF12" s="37"/>
      <c r="XCG12" s="36"/>
      <c r="XCH12" s="37"/>
      <c r="XCI12" s="36"/>
      <c r="XCJ12" s="37"/>
      <c r="XCK12" s="36"/>
      <c r="XCL12" s="37"/>
      <c r="XCM12" s="36"/>
      <c r="XCN12" s="37"/>
      <c r="XCO12" s="36"/>
      <c r="XCP12" s="37"/>
      <c r="XCQ12" s="36"/>
      <c r="XCR12" s="37"/>
      <c r="XCS12" s="36"/>
      <c r="XCT12" s="37"/>
      <c r="XCU12" s="36"/>
      <c r="XCV12" s="36"/>
      <c r="XCW12" s="37"/>
      <c r="XCX12" s="37"/>
      <c r="XCZ12" s="22"/>
      <c r="XDA12" s="35"/>
      <c r="XDB12" s="36"/>
      <c r="XDC12" s="37"/>
      <c r="XDD12" s="36"/>
      <c r="XDE12" s="37"/>
      <c r="XDF12" s="36"/>
      <c r="XDG12" s="37"/>
      <c r="XDH12" s="36"/>
      <c r="XDI12" s="37"/>
      <c r="XDJ12" s="36"/>
      <c r="XDK12" s="37"/>
      <c r="XDL12" s="36"/>
      <c r="XDM12" s="37"/>
      <c r="XDN12" s="36"/>
      <c r="XDO12" s="37"/>
      <c r="XDP12" s="36"/>
      <c r="XDQ12" s="37"/>
      <c r="XDR12" s="36"/>
      <c r="XDS12" s="37"/>
      <c r="XDT12" s="36"/>
      <c r="XDU12" s="36"/>
      <c r="XDV12" s="37"/>
      <c r="XDW12" s="37"/>
      <c r="XDY12" s="22"/>
      <c r="XDZ12" s="35"/>
      <c r="XEA12" s="36"/>
      <c r="XEB12" s="37"/>
      <c r="XEC12" s="36"/>
      <c r="XED12" s="37"/>
      <c r="XEE12" s="36"/>
      <c r="XEF12" s="37"/>
      <c r="XEG12" s="36"/>
      <c r="XEH12" s="37"/>
      <c r="XEI12" s="36"/>
      <c r="XEJ12" s="37"/>
      <c r="XEK12" s="36"/>
      <c r="XEL12" s="37"/>
      <c r="XEM12" s="36"/>
      <c r="XEN12" s="37"/>
      <c r="XEO12" s="36"/>
      <c r="XEP12" s="37"/>
      <c r="XEQ12" s="36"/>
      <c r="XER12" s="37"/>
      <c r="XES12" s="36"/>
      <c r="XET12" s="36"/>
      <c r="XEU12" s="37"/>
      <c r="XEV12" s="37"/>
      <c r="XEX12" s="22"/>
      <c r="XEY12" s="35"/>
      <c r="XEZ12" s="36"/>
      <c r="XFA12" s="37"/>
      <c r="XFB12" s="36"/>
      <c r="XFC12" s="37"/>
      <c r="XFD12" s="36"/>
    </row>
    <row r="13" spans="1:16384" s="129" customFormat="1" ht="12" thickBot="1" x14ac:dyDescent="0.25">
      <c r="A13" s="9"/>
      <c r="B13" s="9"/>
      <c r="C13" s="9"/>
      <c r="D13" s="22"/>
      <c r="E13" s="2"/>
      <c r="F13" s="230"/>
      <c r="G13" s="230"/>
      <c r="H13" s="230"/>
      <c r="I13" s="230"/>
      <c r="J13" s="230"/>
      <c r="K13" s="230"/>
      <c r="L13" s="230"/>
      <c r="M13" s="230"/>
      <c r="N13" s="230"/>
      <c r="O13" s="230"/>
      <c r="P13" s="230"/>
      <c r="Q13" s="230"/>
      <c r="R13" s="230"/>
      <c r="S13" s="230"/>
      <c r="T13" s="230"/>
      <c r="U13" s="230"/>
      <c r="V13" s="230"/>
      <c r="W13" s="230"/>
      <c r="X13" s="230"/>
      <c r="Y13" s="230"/>
      <c r="Z13" s="230"/>
      <c r="AA13" s="230"/>
    </row>
    <row r="14" spans="1:16384" s="129" customFormat="1" ht="12" customHeight="1" thickBot="1" x14ac:dyDescent="0.25">
      <c r="A14" s="9"/>
      <c r="B14" s="9"/>
      <c r="C14" s="9"/>
      <c r="D14" s="18" t="s">
        <v>107</v>
      </c>
      <c r="E14" s="19" t="s">
        <v>404</v>
      </c>
      <c r="F14" s="228"/>
      <c r="G14" s="228"/>
      <c r="H14" s="228"/>
      <c r="I14" s="228"/>
      <c r="J14" s="228"/>
      <c r="K14" s="228"/>
      <c r="L14" s="228"/>
      <c r="M14" s="228"/>
      <c r="N14" s="228"/>
      <c r="O14" s="228"/>
      <c r="P14" s="228"/>
      <c r="Q14" s="228"/>
      <c r="R14" s="228"/>
      <c r="S14" s="228"/>
      <c r="T14" s="228"/>
      <c r="U14" s="228"/>
      <c r="V14" s="228"/>
      <c r="W14" s="228"/>
      <c r="X14" s="228"/>
      <c r="Y14" s="228"/>
      <c r="Z14" s="228"/>
      <c r="AA14" s="228"/>
    </row>
    <row r="15" spans="1:16384" s="129" customFormat="1" ht="16.5" customHeight="1" thickBot="1" x14ac:dyDescent="0.25">
      <c r="A15" s="131" t="s">
        <v>262</v>
      </c>
      <c r="B15" s="221" t="s">
        <v>301</v>
      </c>
      <c r="C15" s="221" t="s">
        <v>405</v>
      </c>
      <c r="D15" s="35">
        <f t="shared" ref="D15:D30" si="2">IF(OR(AA15&gt;-1,AA15&lt;1),1,0)</f>
        <v>1</v>
      </c>
      <c r="E15" s="224" t="s">
        <v>406</v>
      </c>
      <c r="F15" s="231"/>
      <c r="G15" s="229">
        <f>SUMIFS('INPUT Growth'!AD$64:AD$111,'INPUT Growth'!$F$64:$F$111,Checks!$A15,'INPUT Growth'!$E$64:$E$111,Checks!$C15,'INPUT Growth'!$D$64:$D$111,Checks!$B15)-SW!H90-GW!H90</f>
        <v>0</v>
      </c>
      <c r="H15" s="229">
        <f>SUMIFS('INPUT Growth'!AE$64:AE$111,'INPUT Growth'!$F$64:$F$111,Checks!$A15,'INPUT Growth'!$E$64:$E$111,Checks!$C15,'INPUT Growth'!$D$64:$D$111,Checks!$B15)-SW!I90-GW!I90</f>
        <v>0</v>
      </c>
      <c r="I15" s="229">
        <f>SUMIFS('INPUT Growth'!AF$64:AF$111,'INPUT Growth'!$F$64:$F$111,Checks!$A15,'INPUT Growth'!$E$64:$E$111,Checks!$C15,'INPUT Growth'!$D$64:$D$111,Checks!$B15)-SW!J90-GW!J90</f>
        <v>0</v>
      </c>
      <c r="J15" s="229">
        <f>SUMIFS('INPUT Growth'!AG$64:AG$111,'INPUT Growth'!$F$64:$F$111,Checks!$A15,'INPUT Growth'!$E$64:$E$111,Checks!$C15,'INPUT Growth'!$D$64:$D$111,Checks!$B15)-SW!K90-GW!K90</f>
        <v>0</v>
      </c>
      <c r="K15" s="229">
        <f>SUMIFS('INPUT Growth'!AH$64:AH$111,'INPUT Growth'!$F$64:$F$111,Checks!$A15,'INPUT Growth'!$E$64:$E$111,Checks!$C15,'INPUT Growth'!$D$64:$D$111,Checks!$B15)-SW!L90-GW!L90</f>
        <v>0</v>
      </c>
      <c r="L15" s="229">
        <f>SUMIFS('INPUT Growth'!AI$64:AI$111,'INPUT Growth'!$F$64:$F$111,Checks!$A15,'INPUT Growth'!$E$64:$E$111,Checks!$C15,'INPUT Growth'!$D$64:$D$111,Checks!$B15)-SW!M90-GW!M90</f>
        <v>0</v>
      </c>
      <c r="M15" s="229">
        <f>SUMIFS('INPUT Growth'!AJ$64:AJ$111,'INPUT Growth'!$F$64:$F$111,Checks!$A15,'INPUT Growth'!$E$64:$E$111,Checks!$C15,'INPUT Growth'!$D$64:$D$111,Checks!$B15)-SW!N90-GW!N90</f>
        <v>0</v>
      </c>
      <c r="N15" s="229">
        <f>SUMIFS('INPUT Growth'!AK$64:AK$111,'INPUT Growth'!$F$64:$F$111,Checks!$A15,'INPUT Growth'!$E$64:$E$111,Checks!$C15,'INPUT Growth'!$D$64:$D$111,Checks!$B15)-SW!O90-GW!O90</f>
        <v>0</v>
      </c>
      <c r="O15" s="229">
        <f>SUMIFS('INPUT Growth'!AL$64:AL$111,'INPUT Growth'!$F$64:$F$111,Checks!$A15,'INPUT Growth'!$E$64:$E$111,Checks!$C15,'INPUT Growth'!$D$64:$D$111,Checks!$B15)-SW!P90-GW!P90</f>
        <v>0</v>
      </c>
      <c r="P15" s="229">
        <f>SUMIFS('INPUT Growth'!AM$64:AM$111,'INPUT Growth'!$F$64:$F$111,Checks!$A15,'INPUT Growth'!$E$64:$E$111,Checks!$C15,'INPUT Growth'!$D$64:$D$111,Checks!$B15)-SW!Q90-GW!Q90</f>
        <v>0</v>
      </c>
      <c r="Q15" s="229">
        <f>SUMIFS('INPUT Growth'!AN$64:AN$111,'INPUT Growth'!$F$64:$F$111,Checks!$A15,'INPUT Growth'!$E$64:$E$111,Checks!$C15,'INPUT Growth'!$D$64:$D$111,Checks!$B15)-SW!R90-GW!R90</f>
        <v>0</v>
      </c>
      <c r="R15" s="229">
        <f>SUMIFS('INPUT Growth'!AO$64:AO$111,'INPUT Growth'!$F$64:$F$111,Checks!$A15,'INPUT Growth'!$E$64:$E$111,Checks!$C15,'INPUT Growth'!$D$64:$D$111,Checks!$B15)-SW!S90-GW!S90</f>
        <v>0</v>
      </c>
      <c r="S15" s="229">
        <f>SUMIFS('INPUT Growth'!AP$64:AP$111,'INPUT Growth'!$F$64:$F$111,Checks!$A15,'INPUT Growth'!$E$64:$E$111,Checks!$C15,'INPUT Growth'!$D$64:$D$111,Checks!$B15)-SW!T90-GW!T90</f>
        <v>0</v>
      </c>
      <c r="T15" s="229">
        <f>SUMIFS('INPUT Growth'!AQ$64:AQ$111,'INPUT Growth'!$F$64:$F$111,Checks!$A15,'INPUT Growth'!$E$64:$E$111,Checks!$C15,'INPUT Growth'!$D$64:$D$111,Checks!$B15)-SW!U90-GW!U90</f>
        <v>0</v>
      </c>
      <c r="U15" s="229">
        <f>SUMIFS('INPUT Growth'!AR$64:AR$111,'INPUT Growth'!$F$64:$F$111,Checks!$A15,'INPUT Growth'!$E$64:$E$111,Checks!$C15,'INPUT Growth'!$D$64:$D$111,Checks!$B15)-SW!V90-GW!V90</f>
        <v>0</v>
      </c>
      <c r="V15" s="229">
        <f>SUMIFS('INPUT Growth'!AS$64:AS$111,'INPUT Growth'!$F$64:$F$111,Checks!$A15,'INPUT Growth'!$E$64:$E$111,Checks!$C15,'INPUT Growth'!$D$64:$D$111,Checks!$B15)-SW!W90-GW!W90</f>
        <v>0</v>
      </c>
      <c r="W15" s="229">
        <f>SUMIFS('INPUT Growth'!AT$64:AT$111,'INPUT Growth'!$F$64:$F$111,Checks!$A15,'INPUT Growth'!$E$64:$E$111,Checks!$C15,'INPUT Growth'!$D$64:$D$111,Checks!$B15)-SW!X90-GW!X90</f>
        <v>0</v>
      </c>
      <c r="X15" s="229">
        <f>SUMIFS('INPUT Growth'!AU$64:AU$111,'INPUT Growth'!$F$64:$F$111,Checks!$A15,'INPUT Growth'!$E$64:$E$111,Checks!$C15,'INPUT Growth'!$D$64:$D$111,Checks!$B15)-SW!Y90-GW!Y90</f>
        <v>0</v>
      </c>
      <c r="Y15" s="229">
        <f>SUMIFS('INPUT Growth'!AV$64:AV$111,'INPUT Growth'!$F$64:$F$111,Checks!$A15,'INPUT Growth'!$E$64:$E$111,Checks!$C15,'INPUT Growth'!$D$64:$D$111,Checks!$B15)-SW!Z90-GW!Z90</f>
        <v>0</v>
      </c>
      <c r="Z15" s="229">
        <f>SUMIFS('INPUT Growth'!AW$64:AW$111,'INPUT Growth'!$F$64:$F$111,Checks!$A15,'INPUT Growth'!$E$64:$E$111,Checks!$C15,'INPUT Growth'!$D$64:$D$111,Checks!$B15)-SW!AA90-GW!AA90</f>
        <v>0</v>
      </c>
      <c r="AA15" s="229">
        <f>SUM(F15:Z15)</f>
        <v>0</v>
      </c>
    </row>
    <row r="16" spans="1:16384" s="129" customFormat="1" ht="16.5" customHeight="1" thickBot="1" x14ac:dyDescent="0.25">
      <c r="A16" s="131" t="s">
        <v>262</v>
      </c>
      <c r="B16" s="221" t="s">
        <v>301</v>
      </c>
      <c r="C16" s="221" t="s">
        <v>407</v>
      </c>
      <c r="D16" s="35">
        <f t="shared" si="2"/>
        <v>1</v>
      </c>
      <c r="E16" s="224" t="s">
        <v>408</v>
      </c>
      <c r="F16" s="231"/>
      <c r="G16" s="229">
        <f>SUMIFS('INPUT Growth'!AD$64:AD$111,'INPUT Growth'!$F$64:$F$111,Checks!$A16,'INPUT Growth'!$E$64:$E$111,Checks!$C16,'INPUT Growth'!$D$64:$D$111,Checks!$B16)-SW!H111-GW!H111</f>
        <v>0</v>
      </c>
      <c r="H16" s="229">
        <f>SUMIFS('INPUT Growth'!AE$64:AE$111,'INPUT Growth'!$F$64:$F$111,Checks!$A16,'INPUT Growth'!$E$64:$E$111,Checks!$C16,'INPUT Growth'!$D$64:$D$111,Checks!$B16)-SW!I111-GW!I111</f>
        <v>0</v>
      </c>
      <c r="I16" s="229">
        <f>SUMIFS('INPUT Growth'!AF$64:AF$111,'INPUT Growth'!$F$64:$F$111,Checks!$A16,'INPUT Growth'!$E$64:$E$111,Checks!$C16,'INPUT Growth'!$D$64:$D$111,Checks!$B16)-SW!J111-GW!J111</f>
        <v>0</v>
      </c>
      <c r="J16" s="229">
        <f>SUMIFS('INPUT Growth'!AG$64:AG$111,'INPUT Growth'!$F$64:$F$111,Checks!$A16,'INPUT Growth'!$E$64:$E$111,Checks!$C16,'INPUT Growth'!$D$64:$D$111,Checks!$B16)-SW!K111-GW!K111</f>
        <v>0</v>
      </c>
      <c r="K16" s="229">
        <f>SUMIFS('INPUT Growth'!AH$64:AH$111,'INPUT Growth'!$F$64:$F$111,Checks!$A16,'INPUT Growth'!$E$64:$E$111,Checks!$C16,'INPUT Growth'!$D$64:$D$111,Checks!$B16)-SW!L111-GW!L111</f>
        <v>0</v>
      </c>
      <c r="L16" s="229">
        <f>SUMIFS('INPUT Growth'!AI$64:AI$111,'INPUT Growth'!$F$64:$F$111,Checks!$A16,'INPUT Growth'!$E$64:$E$111,Checks!$C16,'INPUT Growth'!$D$64:$D$111,Checks!$B16)-SW!M111-GW!M111</f>
        <v>0</v>
      </c>
      <c r="M16" s="229">
        <f>SUMIFS('INPUT Growth'!AJ$64:AJ$111,'INPUT Growth'!$F$64:$F$111,Checks!$A16,'INPUT Growth'!$E$64:$E$111,Checks!$C16,'INPUT Growth'!$D$64:$D$111,Checks!$B16)-SW!N111-GW!N111</f>
        <v>0</v>
      </c>
      <c r="N16" s="229">
        <f>SUMIFS('INPUT Growth'!AK$64:AK$111,'INPUT Growth'!$F$64:$F$111,Checks!$A16,'INPUT Growth'!$E$64:$E$111,Checks!$C16,'INPUT Growth'!$D$64:$D$111,Checks!$B16)-SW!O111-GW!O111</f>
        <v>0</v>
      </c>
      <c r="O16" s="229">
        <f>SUMIFS('INPUT Growth'!AL$64:AL$111,'INPUT Growth'!$F$64:$F$111,Checks!$A16,'INPUT Growth'!$E$64:$E$111,Checks!$C16,'INPUT Growth'!$D$64:$D$111,Checks!$B16)-SW!P111-GW!P111</f>
        <v>0</v>
      </c>
      <c r="P16" s="229">
        <f>SUMIFS('INPUT Growth'!AM$64:AM$111,'INPUT Growth'!$F$64:$F$111,Checks!$A16,'INPUT Growth'!$E$64:$E$111,Checks!$C16,'INPUT Growth'!$D$64:$D$111,Checks!$B16)-SW!Q111-GW!Q111</f>
        <v>0</v>
      </c>
      <c r="Q16" s="229">
        <f>SUMIFS('INPUT Growth'!AN$64:AN$111,'INPUT Growth'!$F$64:$F$111,Checks!$A16,'INPUT Growth'!$E$64:$E$111,Checks!$C16,'INPUT Growth'!$D$64:$D$111,Checks!$B16)-SW!R111-GW!R111</f>
        <v>0</v>
      </c>
      <c r="R16" s="229">
        <f>SUMIFS('INPUT Growth'!AO$64:AO$111,'INPUT Growth'!$F$64:$F$111,Checks!$A16,'INPUT Growth'!$E$64:$E$111,Checks!$C16,'INPUT Growth'!$D$64:$D$111,Checks!$B16)-SW!S111-GW!S111</f>
        <v>0</v>
      </c>
      <c r="S16" s="229">
        <f>SUMIFS('INPUT Growth'!AP$64:AP$111,'INPUT Growth'!$F$64:$F$111,Checks!$A16,'INPUT Growth'!$E$64:$E$111,Checks!$C16,'INPUT Growth'!$D$64:$D$111,Checks!$B16)-SW!T111-GW!T111</f>
        <v>0</v>
      </c>
      <c r="T16" s="229">
        <f>SUMIFS('INPUT Growth'!AQ$64:AQ$111,'INPUT Growth'!$F$64:$F$111,Checks!$A16,'INPUT Growth'!$E$64:$E$111,Checks!$C16,'INPUT Growth'!$D$64:$D$111,Checks!$B16)-SW!U111-GW!U111</f>
        <v>0</v>
      </c>
      <c r="U16" s="229">
        <f>SUMIFS('INPUT Growth'!AR$64:AR$111,'INPUT Growth'!$F$64:$F$111,Checks!$A16,'INPUT Growth'!$E$64:$E$111,Checks!$C16,'INPUT Growth'!$D$64:$D$111,Checks!$B16)-SW!V111-GW!V111</f>
        <v>0</v>
      </c>
      <c r="V16" s="229">
        <f>SUMIFS('INPUT Growth'!AS$64:AS$111,'INPUT Growth'!$F$64:$F$111,Checks!$A16,'INPUT Growth'!$E$64:$E$111,Checks!$C16,'INPUT Growth'!$D$64:$D$111,Checks!$B16)-SW!W111-GW!W111</f>
        <v>0</v>
      </c>
      <c r="W16" s="229">
        <f>SUMIFS('INPUT Growth'!AT$64:AT$111,'INPUT Growth'!$F$64:$F$111,Checks!$A16,'INPUT Growth'!$E$64:$E$111,Checks!$C16,'INPUT Growth'!$D$64:$D$111,Checks!$B16)-SW!X111-GW!X111</f>
        <v>0</v>
      </c>
      <c r="X16" s="229">
        <f>SUMIFS('INPUT Growth'!AU$64:AU$111,'INPUT Growth'!$F$64:$F$111,Checks!$A16,'INPUT Growth'!$E$64:$E$111,Checks!$C16,'INPUT Growth'!$D$64:$D$111,Checks!$B16)-SW!Y111-GW!Y111</f>
        <v>0</v>
      </c>
      <c r="Y16" s="229">
        <f>SUMIFS('INPUT Growth'!AV$64:AV$111,'INPUT Growth'!$F$64:$F$111,Checks!$A16,'INPUT Growth'!$E$64:$E$111,Checks!$C16,'INPUT Growth'!$D$64:$D$111,Checks!$B16)-SW!Z111-GW!Z111</f>
        <v>0</v>
      </c>
      <c r="Z16" s="229">
        <f>SUMIFS('INPUT Growth'!AW$64:AW$111,'INPUT Growth'!$F$64:$F$111,Checks!$A16,'INPUT Growth'!$E$64:$E$111,Checks!$C16,'INPUT Growth'!$D$64:$D$111,Checks!$B16)-SW!AA111-GW!AA111</f>
        <v>0</v>
      </c>
      <c r="AA16" s="229">
        <f t="shared" ref="AA16:AA26" si="3">SUM(F16:Z16)</f>
        <v>0</v>
      </c>
    </row>
    <row r="17" spans="1:27" s="129" customFormat="1" ht="16.5" customHeight="1" thickBot="1" x14ac:dyDescent="0.25">
      <c r="A17" s="131" t="s">
        <v>262</v>
      </c>
      <c r="B17" s="221" t="s">
        <v>303</v>
      </c>
      <c r="C17" s="221" t="s">
        <v>405</v>
      </c>
      <c r="D17" s="35">
        <f t="shared" si="2"/>
        <v>1</v>
      </c>
      <c r="E17" s="224" t="s">
        <v>409</v>
      </c>
      <c r="F17" s="231"/>
      <c r="G17" s="229">
        <f>SUMIFS('INPUT Growth'!AD$64:AD$111,'INPUT Growth'!$F$64:$F$111,Checks!$A17,'INPUT Growth'!$E$64:$E$111,Checks!$C17,'INPUT Growth'!$D$64:$D$111,Checks!$B17)-SS!H90-GS!H90</f>
        <v>0</v>
      </c>
      <c r="H17" s="229">
        <f>SUMIFS('INPUT Growth'!AE$64:AE$111,'INPUT Growth'!$F$64:$F$111,Checks!$A17,'INPUT Growth'!$E$64:$E$111,Checks!$C17,'INPUT Growth'!$D$64:$D$111,Checks!$B17)-SS!I90-GS!I90</f>
        <v>0</v>
      </c>
      <c r="I17" s="229">
        <f>SUMIFS('INPUT Growth'!AF$64:AF$111,'INPUT Growth'!$F$64:$F$111,Checks!$A17,'INPUT Growth'!$E$64:$E$111,Checks!$C17,'INPUT Growth'!$D$64:$D$111,Checks!$B17)-SS!J90-GS!J90</f>
        <v>0</v>
      </c>
      <c r="J17" s="229">
        <f>SUMIFS('INPUT Growth'!AG$64:AG$111,'INPUT Growth'!$F$64:$F$111,Checks!$A17,'INPUT Growth'!$E$64:$E$111,Checks!$C17,'INPUT Growth'!$D$64:$D$111,Checks!$B17)-SS!K90-GS!K90</f>
        <v>0</v>
      </c>
      <c r="K17" s="229">
        <f>SUMIFS('INPUT Growth'!AH$64:AH$111,'INPUT Growth'!$F$64:$F$111,Checks!$A17,'INPUT Growth'!$E$64:$E$111,Checks!$C17,'INPUT Growth'!$D$64:$D$111,Checks!$B17)-SS!L90-GS!L90</f>
        <v>0</v>
      </c>
      <c r="L17" s="229">
        <f>SUMIFS('INPUT Growth'!AI$64:AI$111,'INPUT Growth'!$F$64:$F$111,Checks!$A17,'INPUT Growth'!$E$64:$E$111,Checks!$C17,'INPUT Growth'!$D$64:$D$111,Checks!$B17)-SS!M90-GS!M90</f>
        <v>0</v>
      </c>
      <c r="M17" s="229">
        <f>SUMIFS('INPUT Growth'!AJ$64:AJ$111,'INPUT Growth'!$F$64:$F$111,Checks!$A17,'INPUT Growth'!$E$64:$E$111,Checks!$C17,'INPUT Growth'!$D$64:$D$111,Checks!$B17)-SS!N90-GS!N90</f>
        <v>0</v>
      </c>
      <c r="N17" s="229">
        <f>SUMIFS('INPUT Growth'!AK$64:AK$111,'INPUT Growth'!$F$64:$F$111,Checks!$A17,'INPUT Growth'!$E$64:$E$111,Checks!$C17,'INPUT Growth'!$D$64:$D$111,Checks!$B17)-SS!O90-GS!O90</f>
        <v>0</v>
      </c>
      <c r="O17" s="229">
        <f>SUMIFS('INPUT Growth'!AL$64:AL$111,'INPUT Growth'!$F$64:$F$111,Checks!$A17,'INPUT Growth'!$E$64:$E$111,Checks!$C17,'INPUT Growth'!$D$64:$D$111,Checks!$B17)-SS!P90-GS!P90</f>
        <v>0</v>
      </c>
      <c r="P17" s="229">
        <f>SUMIFS('INPUT Growth'!AM$64:AM$111,'INPUT Growth'!$F$64:$F$111,Checks!$A17,'INPUT Growth'!$E$64:$E$111,Checks!$C17,'INPUT Growth'!$D$64:$D$111,Checks!$B17)-SS!Q90-GS!Q90</f>
        <v>0</v>
      </c>
      <c r="Q17" s="229">
        <f>SUMIFS('INPUT Growth'!AN$64:AN$111,'INPUT Growth'!$F$64:$F$111,Checks!$A17,'INPUT Growth'!$E$64:$E$111,Checks!$C17,'INPUT Growth'!$D$64:$D$111,Checks!$B17)-SS!R90-GS!R90</f>
        <v>0</v>
      </c>
      <c r="R17" s="229">
        <f>SUMIFS('INPUT Growth'!AO$64:AO$111,'INPUT Growth'!$F$64:$F$111,Checks!$A17,'INPUT Growth'!$E$64:$E$111,Checks!$C17,'INPUT Growth'!$D$64:$D$111,Checks!$B17)-SS!S90-GS!S90</f>
        <v>0</v>
      </c>
      <c r="S17" s="229">
        <f>SUMIFS('INPUT Growth'!AP$64:AP$111,'INPUT Growth'!$F$64:$F$111,Checks!$A17,'INPUT Growth'!$E$64:$E$111,Checks!$C17,'INPUT Growth'!$D$64:$D$111,Checks!$B17)-SS!T90-GS!T90</f>
        <v>0</v>
      </c>
      <c r="T17" s="229">
        <f>SUMIFS('INPUT Growth'!AQ$64:AQ$111,'INPUT Growth'!$F$64:$F$111,Checks!$A17,'INPUT Growth'!$E$64:$E$111,Checks!$C17,'INPUT Growth'!$D$64:$D$111,Checks!$B17)-SS!U90-GS!U90</f>
        <v>0</v>
      </c>
      <c r="U17" s="229">
        <f>SUMIFS('INPUT Growth'!AR$64:AR$111,'INPUT Growth'!$F$64:$F$111,Checks!$A17,'INPUT Growth'!$E$64:$E$111,Checks!$C17,'INPUT Growth'!$D$64:$D$111,Checks!$B17)-SS!V90-GS!V90</f>
        <v>0</v>
      </c>
      <c r="V17" s="229">
        <f>SUMIFS('INPUT Growth'!AS$64:AS$111,'INPUT Growth'!$F$64:$F$111,Checks!$A17,'INPUT Growth'!$E$64:$E$111,Checks!$C17,'INPUT Growth'!$D$64:$D$111,Checks!$B17)-SS!W90-GS!W90</f>
        <v>0</v>
      </c>
      <c r="W17" s="229">
        <f>SUMIFS('INPUT Growth'!AT$64:AT$111,'INPUT Growth'!$F$64:$F$111,Checks!$A17,'INPUT Growth'!$E$64:$E$111,Checks!$C17,'INPUT Growth'!$D$64:$D$111,Checks!$B17)-SS!X90-GS!X90</f>
        <v>0</v>
      </c>
      <c r="X17" s="229">
        <f>SUMIFS('INPUT Growth'!AU$64:AU$111,'INPUT Growth'!$F$64:$F$111,Checks!$A17,'INPUT Growth'!$E$64:$E$111,Checks!$C17,'INPUT Growth'!$D$64:$D$111,Checks!$B17)-SS!Y90-GS!Y90</f>
        <v>0</v>
      </c>
      <c r="Y17" s="229">
        <f>SUMIFS('INPUT Growth'!AV$64:AV$111,'INPUT Growth'!$F$64:$F$111,Checks!$A17,'INPUT Growth'!$E$64:$E$111,Checks!$C17,'INPUT Growth'!$D$64:$D$111,Checks!$B17)-SS!Z90-GS!Z90</f>
        <v>0</v>
      </c>
      <c r="Z17" s="229">
        <f>SUMIFS('INPUT Growth'!AW$64:AW$111,'INPUT Growth'!$F$64:$F$111,Checks!$A17,'INPUT Growth'!$E$64:$E$111,Checks!$C17,'INPUT Growth'!$D$64:$D$111,Checks!$B17)-SS!AA90-GS!AA90</f>
        <v>0</v>
      </c>
      <c r="AA17" s="229">
        <f t="shared" si="3"/>
        <v>0</v>
      </c>
    </row>
    <row r="18" spans="1:27" s="129" customFormat="1" ht="16.5" customHeight="1" thickBot="1" x14ac:dyDescent="0.25">
      <c r="A18" s="131" t="s">
        <v>262</v>
      </c>
      <c r="B18" s="221" t="s">
        <v>303</v>
      </c>
      <c r="C18" s="221" t="s">
        <v>407</v>
      </c>
      <c r="D18" s="35">
        <f t="shared" si="2"/>
        <v>1</v>
      </c>
      <c r="E18" s="224" t="s">
        <v>410</v>
      </c>
      <c r="F18" s="232"/>
      <c r="G18" s="229">
        <f>SUMIFS('INPUT Growth'!AD$64:AD$111,'INPUT Growth'!$F$64:$F$111,Checks!$A18,'INPUT Growth'!$E$64:$E$111,Checks!$C18,'INPUT Growth'!$D$64:$D$111,Checks!$B18)-SS!H111-GS!H111</f>
        <v>0</v>
      </c>
      <c r="H18" s="229">
        <f>SUMIFS('INPUT Growth'!AE$64:AE$111,'INPUT Growth'!$F$64:$F$111,Checks!$A18,'INPUT Growth'!$E$64:$E$111,Checks!$C18,'INPUT Growth'!$D$64:$D$111,Checks!$B18)-SS!I111-GS!I111</f>
        <v>0</v>
      </c>
      <c r="I18" s="229">
        <f>SUMIFS('INPUT Growth'!AF$64:AF$111,'INPUT Growth'!$F$64:$F$111,Checks!$A18,'INPUT Growth'!$E$64:$E$111,Checks!$C18,'INPUT Growth'!$D$64:$D$111,Checks!$B18)-SS!J111-GS!J111</f>
        <v>0</v>
      </c>
      <c r="J18" s="229">
        <f>SUMIFS('INPUT Growth'!AG$64:AG$111,'INPUT Growth'!$F$64:$F$111,Checks!$A18,'INPUT Growth'!$E$64:$E$111,Checks!$C18,'INPUT Growth'!$D$64:$D$111,Checks!$B18)-SS!K111-GS!K111</f>
        <v>0</v>
      </c>
      <c r="K18" s="229">
        <f>SUMIFS('INPUT Growth'!AH$64:AH$111,'INPUT Growth'!$F$64:$F$111,Checks!$A18,'INPUT Growth'!$E$64:$E$111,Checks!$C18,'INPUT Growth'!$D$64:$D$111,Checks!$B18)-SS!L111-GS!L111</f>
        <v>0</v>
      </c>
      <c r="L18" s="229">
        <f>SUMIFS('INPUT Growth'!AI$64:AI$111,'INPUT Growth'!$F$64:$F$111,Checks!$A18,'INPUT Growth'!$E$64:$E$111,Checks!$C18,'INPUT Growth'!$D$64:$D$111,Checks!$B18)-SS!M111-GS!M111</f>
        <v>0</v>
      </c>
      <c r="M18" s="229">
        <f>SUMIFS('INPUT Growth'!AJ$64:AJ$111,'INPUT Growth'!$F$64:$F$111,Checks!$A18,'INPUT Growth'!$E$64:$E$111,Checks!$C18,'INPUT Growth'!$D$64:$D$111,Checks!$B18)-SS!N111-GS!N111</f>
        <v>0</v>
      </c>
      <c r="N18" s="229">
        <f>SUMIFS('INPUT Growth'!AK$64:AK$111,'INPUT Growth'!$F$64:$F$111,Checks!$A18,'INPUT Growth'!$E$64:$E$111,Checks!$C18,'INPUT Growth'!$D$64:$D$111,Checks!$B18)-SS!O111-GS!O111</f>
        <v>0</v>
      </c>
      <c r="O18" s="229">
        <f>SUMIFS('INPUT Growth'!AL$64:AL$111,'INPUT Growth'!$F$64:$F$111,Checks!$A18,'INPUT Growth'!$E$64:$E$111,Checks!$C18,'INPUT Growth'!$D$64:$D$111,Checks!$B18)-SS!P111-GS!P111</f>
        <v>0</v>
      </c>
      <c r="P18" s="229">
        <f>SUMIFS('INPUT Growth'!AM$64:AM$111,'INPUT Growth'!$F$64:$F$111,Checks!$A18,'INPUT Growth'!$E$64:$E$111,Checks!$C18,'INPUT Growth'!$D$64:$D$111,Checks!$B18)-SS!Q111-GS!Q111</f>
        <v>0</v>
      </c>
      <c r="Q18" s="229">
        <f>SUMIFS('INPUT Growth'!AN$64:AN$111,'INPUT Growth'!$F$64:$F$111,Checks!$A18,'INPUT Growth'!$E$64:$E$111,Checks!$C18,'INPUT Growth'!$D$64:$D$111,Checks!$B18)-SS!R111-GS!R111</f>
        <v>0</v>
      </c>
      <c r="R18" s="229">
        <f>SUMIFS('INPUT Growth'!AO$64:AO$111,'INPUT Growth'!$F$64:$F$111,Checks!$A18,'INPUT Growth'!$E$64:$E$111,Checks!$C18,'INPUT Growth'!$D$64:$D$111,Checks!$B18)-SS!S111-GS!S111</f>
        <v>0</v>
      </c>
      <c r="S18" s="229">
        <f>SUMIFS('INPUT Growth'!AP$64:AP$111,'INPUT Growth'!$F$64:$F$111,Checks!$A18,'INPUT Growth'!$E$64:$E$111,Checks!$C18,'INPUT Growth'!$D$64:$D$111,Checks!$B18)-SS!T111-GS!T111</f>
        <v>0</v>
      </c>
      <c r="T18" s="229">
        <f>SUMIFS('INPUT Growth'!AQ$64:AQ$111,'INPUT Growth'!$F$64:$F$111,Checks!$A18,'INPUT Growth'!$E$64:$E$111,Checks!$C18,'INPUT Growth'!$D$64:$D$111,Checks!$B18)-SS!U111-GS!U111</f>
        <v>0</v>
      </c>
      <c r="U18" s="229">
        <f>SUMIFS('INPUT Growth'!AR$64:AR$111,'INPUT Growth'!$F$64:$F$111,Checks!$A18,'INPUT Growth'!$E$64:$E$111,Checks!$C18,'INPUT Growth'!$D$64:$D$111,Checks!$B18)-SS!V111-GS!V111</f>
        <v>0</v>
      </c>
      <c r="V18" s="229">
        <f>SUMIFS('INPUT Growth'!AS$64:AS$111,'INPUT Growth'!$F$64:$F$111,Checks!$A18,'INPUT Growth'!$E$64:$E$111,Checks!$C18,'INPUT Growth'!$D$64:$D$111,Checks!$B18)-SS!W111-GS!W111</f>
        <v>0</v>
      </c>
      <c r="W18" s="229">
        <f>SUMIFS('INPUT Growth'!AT$64:AT$111,'INPUT Growth'!$F$64:$F$111,Checks!$A18,'INPUT Growth'!$E$64:$E$111,Checks!$C18,'INPUT Growth'!$D$64:$D$111,Checks!$B18)-SS!X111-GS!X111</f>
        <v>0</v>
      </c>
      <c r="X18" s="229">
        <f>SUMIFS('INPUT Growth'!AU$64:AU$111,'INPUT Growth'!$F$64:$F$111,Checks!$A18,'INPUT Growth'!$E$64:$E$111,Checks!$C18,'INPUT Growth'!$D$64:$D$111,Checks!$B18)-SS!Y111-GS!Y111</f>
        <v>0</v>
      </c>
      <c r="Y18" s="229">
        <f>SUMIFS('INPUT Growth'!AV$64:AV$111,'INPUT Growth'!$F$64:$F$111,Checks!$A18,'INPUT Growth'!$E$64:$E$111,Checks!$C18,'INPUT Growth'!$D$64:$D$111,Checks!$B18)-SS!Z111-GS!Z111</f>
        <v>0</v>
      </c>
      <c r="Z18" s="229">
        <f>SUMIFS('INPUT Growth'!AW$64:AW$111,'INPUT Growth'!$F$64:$F$111,Checks!$A18,'INPUT Growth'!$E$64:$E$111,Checks!$C18,'INPUT Growth'!$D$64:$D$111,Checks!$B18)-SS!AA111-GS!AA111</f>
        <v>0</v>
      </c>
      <c r="AA18" s="229">
        <f t="shared" si="3"/>
        <v>0</v>
      </c>
    </row>
    <row r="19" spans="1:27" s="129" customFormat="1" ht="16.5" customHeight="1" thickBot="1" x14ac:dyDescent="0.25">
      <c r="A19" s="131" t="s">
        <v>262</v>
      </c>
      <c r="B19" s="221" t="s">
        <v>310</v>
      </c>
      <c r="C19" s="221" t="s">
        <v>405</v>
      </c>
      <c r="D19" s="35">
        <f t="shared" si="2"/>
        <v>1</v>
      </c>
      <c r="E19" s="224" t="s">
        <v>411</v>
      </c>
      <c r="F19" s="231"/>
      <c r="G19" s="229">
        <f>SUMIFS('INPUT Growth'!AD$64:AD$111,'INPUT Growth'!$F$64:$F$111,Checks!$A19,'INPUT Growth'!$E$64:$E$111,Checks!$C19,'INPUT Growth'!$D$64:$D$111,Checks!$B19)-WR!H90-GR!H90</f>
        <v>0</v>
      </c>
      <c r="H19" s="229">
        <f>SUMIFS('INPUT Growth'!AE$64:AE$111,'INPUT Growth'!$F$64:$F$111,Checks!$A19,'INPUT Growth'!$E$64:$E$111,Checks!$C19,'INPUT Growth'!$D$64:$D$111,Checks!$B19)-WR!I90-GR!I90</f>
        <v>0</v>
      </c>
      <c r="I19" s="229">
        <f>SUMIFS('INPUT Growth'!AF$64:AF$111,'INPUT Growth'!$F$64:$F$111,Checks!$A19,'INPUT Growth'!$E$64:$E$111,Checks!$C19,'INPUT Growth'!$D$64:$D$111,Checks!$B19)-WR!J90-GR!J90</f>
        <v>0</v>
      </c>
      <c r="J19" s="229">
        <f>SUMIFS('INPUT Growth'!AG$64:AG$111,'INPUT Growth'!$F$64:$F$111,Checks!$A19,'INPUT Growth'!$E$64:$E$111,Checks!$C19,'INPUT Growth'!$D$64:$D$111,Checks!$B19)-WR!K90-GR!K90</f>
        <v>0</v>
      </c>
      <c r="K19" s="229">
        <f>SUMIFS('INPUT Growth'!AH$64:AH$111,'INPUT Growth'!$F$64:$F$111,Checks!$A19,'INPUT Growth'!$E$64:$E$111,Checks!$C19,'INPUT Growth'!$D$64:$D$111,Checks!$B19)-WR!L90-GR!L90</f>
        <v>0</v>
      </c>
      <c r="L19" s="229">
        <f>SUMIFS('INPUT Growth'!AI$64:AI$111,'INPUT Growth'!$F$64:$F$111,Checks!$A19,'INPUT Growth'!$E$64:$E$111,Checks!$C19,'INPUT Growth'!$D$64:$D$111,Checks!$B19)-WR!M90-GR!M90</f>
        <v>0</v>
      </c>
      <c r="M19" s="229">
        <f>SUMIFS('INPUT Growth'!AJ$64:AJ$111,'INPUT Growth'!$F$64:$F$111,Checks!$A19,'INPUT Growth'!$E$64:$E$111,Checks!$C19,'INPUT Growth'!$D$64:$D$111,Checks!$B19)-WR!N90-GR!N90</f>
        <v>0</v>
      </c>
      <c r="N19" s="229">
        <f>SUMIFS('INPUT Growth'!AK$64:AK$111,'INPUT Growth'!$F$64:$F$111,Checks!$A19,'INPUT Growth'!$E$64:$E$111,Checks!$C19,'INPUT Growth'!$D$64:$D$111,Checks!$B19)-WR!O90-GR!O90</f>
        <v>0</v>
      </c>
      <c r="O19" s="229">
        <f>SUMIFS('INPUT Growth'!AL$64:AL$111,'INPUT Growth'!$F$64:$F$111,Checks!$A19,'INPUT Growth'!$E$64:$E$111,Checks!$C19,'INPUT Growth'!$D$64:$D$111,Checks!$B19)-WR!P90-GR!P90</f>
        <v>0</v>
      </c>
      <c r="P19" s="229">
        <f>SUMIFS('INPUT Growth'!AM$64:AM$111,'INPUT Growth'!$F$64:$F$111,Checks!$A19,'INPUT Growth'!$E$64:$E$111,Checks!$C19,'INPUT Growth'!$D$64:$D$111,Checks!$B19)-WR!Q90-GR!Q90</f>
        <v>0</v>
      </c>
      <c r="Q19" s="229">
        <f>SUMIFS('INPUT Growth'!AN$64:AN$111,'INPUT Growth'!$F$64:$F$111,Checks!$A19,'INPUT Growth'!$E$64:$E$111,Checks!$C19,'INPUT Growth'!$D$64:$D$111,Checks!$B19)-WR!R90-GR!R90</f>
        <v>0</v>
      </c>
      <c r="R19" s="229">
        <f>SUMIFS('INPUT Growth'!AO$64:AO$111,'INPUT Growth'!$F$64:$F$111,Checks!$A19,'INPUT Growth'!$E$64:$E$111,Checks!$C19,'INPUT Growth'!$D$64:$D$111,Checks!$B19)-WR!S90-GR!S90</f>
        <v>0</v>
      </c>
      <c r="S19" s="229">
        <f>SUMIFS('INPUT Growth'!AP$64:AP$111,'INPUT Growth'!$F$64:$F$111,Checks!$A19,'INPUT Growth'!$E$64:$E$111,Checks!$C19,'INPUT Growth'!$D$64:$D$111,Checks!$B19)-WR!T90-GR!T90</f>
        <v>0</v>
      </c>
      <c r="T19" s="229">
        <f>SUMIFS('INPUT Growth'!AQ$64:AQ$111,'INPUT Growth'!$F$64:$F$111,Checks!$A19,'INPUT Growth'!$E$64:$E$111,Checks!$C19,'INPUT Growth'!$D$64:$D$111,Checks!$B19)-WR!U90-GR!U90</f>
        <v>0</v>
      </c>
      <c r="U19" s="229">
        <f>SUMIFS('INPUT Growth'!AR$64:AR$111,'INPUT Growth'!$F$64:$F$111,Checks!$A19,'INPUT Growth'!$E$64:$E$111,Checks!$C19,'INPUT Growth'!$D$64:$D$111,Checks!$B19)-WR!V90-GR!V90</f>
        <v>0</v>
      </c>
      <c r="V19" s="229">
        <f>SUMIFS('INPUT Growth'!AS$64:AS$111,'INPUT Growth'!$F$64:$F$111,Checks!$A19,'INPUT Growth'!$E$64:$E$111,Checks!$C19,'INPUT Growth'!$D$64:$D$111,Checks!$B19)-WR!W90-GR!W90</f>
        <v>0</v>
      </c>
      <c r="W19" s="229">
        <f>SUMIFS('INPUT Growth'!AT$64:AT$111,'INPUT Growth'!$F$64:$F$111,Checks!$A19,'INPUT Growth'!$E$64:$E$111,Checks!$C19,'INPUT Growth'!$D$64:$D$111,Checks!$B19)-WR!X90-GR!X90</f>
        <v>0</v>
      </c>
      <c r="X19" s="229">
        <f>SUMIFS('INPUT Growth'!AU$64:AU$111,'INPUT Growth'!$F$64:$F$111,Checks!$A19,'INPUT Growth'!$E$64:$E$111,Checks!$C19,'INPUT Growth'!$D$64:$D$111,Checks!$B19)-WR!Y90-GR!Y90</f>
        <v>0</v>
      </c>
      <c r="Y19" s="229">
        <f>SUMIFS('INPUT Growth'!AV$64:AV$111,'INPUT Growth'!$F$64:$F$111,Checks!$A19,'INPUT Growth'!$E$64:$E$111,Checks!$C19,'INPUT Growth'!$D$64:$D$111,Checks!$B19)-WR!Z90-GR!Z90</f>
        <v>0</v>
      </c>
      <c r="Z19" s="229">
        <f>SUMIFS('INPUT Growth'!AW$64:AW$111,'INPUT Growth'!$F$64:$F$111,Checks!$A19,'INPUT Growth'!$E$64:$E$111,Checks!$C19,'INPUT Growth'!$D$64:$D$111,Checks!$B19)-WR!AA90-GR!AA90</f>
        <v>0</v>
      </c>
      <c r="AA19" s="229">
        <f t="shared" si="3"/>
        <v>0</v>
      </c>
    </row>
    <row r="20" spans="1:27" s="129" customFormat="1" ht="16.5" customHeight="1" thickBot="1" x14ac:dyDescent="0.25">
      <c r="A20" s="131" t="s">
        <v>262</v>
      </c>
      <c r="B20" s="221" t="s">
        <v>310</v>
      </c>
      <c r="C20" s="221" t="s">
        <v>407</v>
      </c>
      <c r="D20" s="35">
        <f t="shared" si="2"/>
        <v>1</v>
      </c>
      <c r="E20" s="224" t="s">
        <v>412</v>
      </c>
      <c r="F20" s="232"/>
      <c r="G20" s="229">
        <f>SUMIFS('INPUT Growth'!AD$64:AD$111,'INPUT Growth'!$F$64:$F$111,Checks!$A20,'INPUT Growth'!$E$64:$E$111,Checks!$C20,'INPUT Growth'!$D$64:$D$111,Checks!$B20)-WR!H111-GR!H111</f>
        <v>0</v>
      </c>
      <c r="H20" s="229">
        <f>SUMIFS('INPUT Growth'!AE$64:AE$111,'INPUT Growth'!$F$64:$F$111,Checks!$A20,'INPUT Growth'!$E$64:$E$111,Checks!$C20,'INPUT Growth'!$D$64:$D$111,Checks!$B20)-WR!I111-GR!I111</f>
        <v>0</v>
      </c>
      <c r="I20" s="229">
        <f>SUMIFS('INPUT Growth'!AF$64:AF$111,'INPUT Growth'!$F$64:$F$111,Checks!$A20,'INPUT Growth'!$E$64:$E$111,Checks!$C20,'INPUT Growth'!$D$64:$D$111,Checks!$B20)-WR!J111-GR!J111</f>
        <v>0</v>
      </c>
      <c r="J20" s="229">
        <f>SUMIFS('INPUT Growth'!AG$64:AG$111,'INPUT Growth'!$F$64:$F$111,Checks!$A20,'INPUT Growth'!$E$64:$E$111,Checks!$C20,'INPUT Growth'!$D$64:$D$111,Checks!$B20)-WR!K111-GR!K111</f>
        <v>0</v>
      </c>
      <c r="K20" s="229">
        <f>SUMIFS('INPUT Growth'!AH$64:AH$111,'INPUT Growth'!$F$64:$F$111,Checks!$A20,'INPUT Growth'!$E$64:$E$111,Checks!$C20,'INPUT Growth'!$D$64:$D$111,Checks!$B20)-WR!L111-GR!L111</f>
        <v>0</v>
      </c>
      <c r="L20" s="229">
        <f>SUMIFS('INPUT Growth'!AI$64:AI$111,'INPUT Growth'!$F$64:$F$111,Checks!$A20,'INPUT Growth'!$E$64:$E$111,Checks!$C20,'INPUT Growth'!$D$64:$D$111,Checks!$B20)-WR!M111-GR!M111</f>
        <v>0</v>
      </c>
      <c r="M20" s="229">
        <f>SUMIFS('INPUT Growth'!AJ$64:AJ$111,'INPUT Growth'!$F$64:$F$111,Checks!$A20,'INPUT Growth'!$E$64:$E$111,Checks!$C20,'INPUT Growth'!$D$64:$D$111,Checks!$B20)-WR!N111-GR!N111</f>
        <v>0</v>
      </c>
      <c r="N20" s="229">
        <f>SUMIFS('INPUT Growth'!AK$64:AK$111,'INPUT Growth'!$F$64:$F$111,Checks!$A20,'INPUT Growth'!$E$64:$E$111,Checks!$C20,'INPUT Growth'!$D$64:$D$111,Checks!$B20)-WR!O111-GR!O111</f>
        <v>0</v>
      </c>
      <c r="O20" s="229">
        <f>SUMIFS('INPUT Growth'!AL$64:AL$111,'INPUT Growth'!$F$64:$F$111,Checks!$A20,'INPUT Growth'!$E$64:$E$111,Checks!$C20,'INPUT Growth'!$D$64:$D$111,Checks!$B20)-WR!P111-GR!P111</f>
        <v>0</v>
      </c>
      <c r="P20" s="229">
        <f>SUMIFS('INPUT Growth'!AM$64:AM$111,'INPUT Growth'!$F$64:$F$111,Checks!$A20,'INPUT Growth'!$E$64:$E$111,Checks!$C20,'INPUT Growth'!$D$64:$D$111,Checks!$B20)-WR!Q111-GR!Q111</f>
        <v>0</v>
      </c>
      <c r="Q20" s="229">
        <f>SUMIFS('INPUT Growth'!AN$64:AN$111,'INPUT Growth'!$F$64:$F$111,Checks!$A20,'INPUT Growth'!$E$64:$E$111,Checks!$C20,'INPUT Growth'!$D$64:$D$111,Checks!$B20)-WR!R111-GR!R111</f>
        <v>0</v>
      </c>
      <c r="R20" s="229">
        <f>SUMIFS('INPUT Growth'!AO$64:AO$111,'INPUT Growth'!$F$64:$F$111,Checks!$A20,'INPUT Growth'!$E$64:$E$111,Checks!$C20,'INPUT Growth'!$D$64:$D$111,Checks!$B20)-WR!S111-GR!S111</f>
        <v>0</v>
      </c>
      <c r="S20" s="229">
        <f>SUMIFS('INPUT Growth'!AP$64:AP$111,'INPUT Growth'!$F$64:$F$111,Checks!$A20,'INPUT Growth'!$E$64:$E$111,Checks!$C20,'INPUT Growth'!$D$64:$D$111,Checks!$B20)-WR!T111-GR!T111</f>
        <v>0</v>
      </c>
      <c r="T20" s="229">
        <f>SUMIFS('INPUT Growth'!AQ$64:AQ$111,'INPUT Growth'!$F$64:$F$111,Checks!$A20,'INPUT Growth'!$E$64:$E$111,Checks!$C20,'INPUT Growth'!$D$64:$D$111,Checks!$B20)-WR!U111-GR!U111</f>
        <v>0</v>
      </c>
      <c r="U20" s="229">
        <f>SUMIFS('INPUT Growth'!AR$64:AR$111,'INPUT Growth'!$F$64:$F$111,Checks!$A20,'INPUT Growth'!$E$64:$E$111,Checks!$C20,'INPUT Growth'!$D$64:$D$111,Checks!$B20)-WR!V111-GR!V111</f>
        <v>0</v>
      </c>
      <c r="V20" s="229">
        <f>SUMIFS('INPUT Growth'!AS$64:AS$111,'INPUT Growth'!$F$64:$F$111,Checks!$A20,'INPUT Growth'!$E$64:$E$111,Checks!$C20,'INPUT Growth'!$D$64:$D$111,Checks!$B20)-WR!W111-GR!W111</f>
        <v>0</v>
      </c>
      <c r="W20" s="229">
        <f>SUMIFS('INPUT Growth'!AT$64:AT$111,'INPUT Growth'!$F$64:$F$111,Checks!$A20,'INPUT Growth'!$E$64:$E$111,Checks!$C20,'INPUT Growth'!$D$64:$D$111,Checks!$B20)-WR!X111-GR!X111</f>
        <v>0</v>
      </c>
      <c r="X20" s="229">
        <f>SUMIFS('INPUT Growth'!AU$64:AU$111,'INPUT Growth'!$F$64:$F$111,Checks!$A20,'INPUT Growth'!$E$64:$E$111,Checks!$C20,'INPUT Growth'!$D$64:$D$111,Checks!$B20)-WR!Y111-GR!Y111</f>
        <v>0</v>
      </c>
      <c r="Y20" s="229">
        <f>SUMIFS('INPUT Growth'!AV$64:AV$111,'INPUT Growth'!$F$64:$F$111,Checks!$A20,'INPUT Growth'!$E$64:$E$111,Checks!$C20,'INPUT Growth'!$D$64:$D$111,Checks!$B20)-WR!Z111-GR!Z111</f>
        <v>0</v>
      </c>
      <c r="Z20" s="229">
        <f>SUMIFS('INPUT Growth'!AW$64:AW$111,'INPUT Growth'!$F$64:$F$111,Checks!$A20,'INPUT Growth'!$E$64:$E$111,Checks!$C20,'INPUT Growth'!$D$64:$D$111,Checks!$B20)-WR!AA111-GR!AA111</f>
        <v>0</v>
      </c>
      <c r="AA20" s="229">
        <f t="shared" si="3"/>
        <v>0</v>
      </c>
    </row>
    <row r="21" spans="1:27" s="129" customFormat="1" ht="16.5" customHeight="1" thickBot="1" x14ac:dyDescent="0.25">
      <c r="A21" s="131" t="s">
        <v>265</v>
      </c>
      <c r="B21" s="221" t="s">
        <v>301</v>
      </c>
      <c r="C21" s="221" t="s">
        <v>405</v>
      </c>
      <c r="D21" s="35">
        <f t="shared" si="2"/>
        <v>1</v>
      </c>
      <c r="E21" s="224" t="s">
        <v>413</v>
      </c>
      <c r="F21" s="231"/>
      <c r="G21" s="229">
        <f>SUMIFS('INPUT Growth'!AD$64:AD$111,'INPUT Growth'!$F$64:$F$111,Checks!$A21,'INPUT Growth'!$E$64:$E$111,Checks!$C21,'INPUT Growth'!$D$64:$D$111,Checks!$B21)-SW!H132-GW!H132</f>
        <v>0</v>
      </c>
      <c r="H21" s="229">
        <f>SUMIFS('INPUT Growth'!AE$64:AE$111,'INPUT Growth'!$F$64:$F$111,Checks!$A21,'INPUT Growth'!$E$64:$E$111,Checks!$C21,'INPUT Growth'!$D$64:$D$111,Checks!$B21)-SW!I132-GW!I132</f>
        <v>0</v>
      </c>
      <c r="I21" s="229">
        <f>SUMIFS('INPUT Growth'!AF$64:AF$111,'INPUT Growth'!$F$64:$F$111,Checks!$A21,'INPUT Growth'!$E$64:$E$111,Checks!$C21,'INPUT Growth'!$D$64:$D$111,Checks!$B21)-SW!J132-GW!J132</f>
        <v>0</v>
      </c>
      <c r="J21" s="229">
        <f>SUMIFS('INPUT Growth'!AG$64:AG$111,'INPUT Growth'!$F$64:$F$111,Checks!$A21,'INPUT Growth'!$E$64:$E$111,Checks!$C21,'INPUT Growth'!$D$64:$D$111,Checks!$B21)-SW!K132-GW!K132</f>
        <v>0</v>
      </c>
      <c r="K21" s="229">
        <f>SUMIFS('INPUT Growth'!AH$64:AH$111,'INPUT Growth'!$F$64:$F$111,Checks!$A21,'INPUT Growth'!$E$64:$E$111,Checks!$C21,'INPUT Growth'!$D$64:$D$111,Checks!$B21)-SW!L132-GW!L132</f>
        <v>0</v>
      </c>
      <c r="L21" s="229">
        <f>SUMIFS('INPUT Growth'!AI$64:AI$111,'INPUT Growth'!$F$64:$F$111,Checks!$A21,'INPUT Growth'!$E$64:$E$111,Checks!$C21,'INPUT Growth'!$D$64:$D$111,Checks!$B21)-SW!M132-GW!M132</f>
        <v>0</v>
      </c>
      <c r="M21" s="229">
        <f>SUMIFS('INPUT Growth'!AJ$64:AJ$111,'INPUT Growth'!$F$64:$F$111,Checks!$A21,'INPUT Growth'!$E$64:$E$111,Checks!$C21,'INPUT Growth'!$D$64:$D$111,Checks!$B21)-SW!N132-GW!N132</f>
        <v>0</v>
      </c>
      <c r="N21" s="229">
        <f>SUMIFS('INPUT Growth'!AK$64:AK$111,'INPUT Growth'!$F$64:$F$111,Checks!$A21,'INPUT Growth'!$E$64:$E$111,Checks!$C21,'INPUT Growth'!$D$64:$D$111,Checks!$B21)-SW!O132-GW!O132</f>
        <v>0</v>
      </c>
      <c r="O21" s="229">
        <f>SUMIFS('INPUT Growth'!AL$64:AL$111,'INPUT Growth'!$F$64:$F$111,Checks!$A21,'INPUT Growth'!$E$64:$E$111,Checks!$C21,'INPUT Growth'!$D$64:$D$111,Checks!$B21)-SW!P132-GW!P132</f>
        <v>0</v>
      </c>
      <c r="P21" s="229">
        <f>SUMIFS('INPUT Growth'!AM$64:AM$111,'INPUT Growth'!$F$64:$F$111,Checks!$A21,'INPUT Growth'!$E$64:$E$111,Checks!$C21,'INPUT Growth'!$D$64:$D$111,Checks!$B21)-SW!Q132-GW!Q132</f>
        <v>0</v>
      </c>
      <c r="Q21" s="229">
        <f>SUMIFS('INPUT Growth'!AN$64:AN$111,'INPUT Growth'!$F$64:$F$111,Checks!$A21,'INPUT Growth'!$E$64:$E$111,Checks!$C21,'INPUT Growth'!$D$64:$D$111,Checks!$B21)-SW!R132-GW!R132</f>
        <v>0</v>
      </c>
      <c r="R21" s="229">
        <f>SUMIFS('INPUT Growth'!AO$64:AO$111,'INPUT Growth'!$F$64:$F$111,Checks!$A21,'INPUT Growth'!$E$64:$E$111,Checks!$C21,'INPUT Growth'!$D$64:$D$111,Checks!$B21)-SW!S132-GW!S132</f>
        <v>0</v>
      </c>
      <c r="S21" s="229">
        <f>SUMIFS('INPUT Growth'!AP$64:AP$111,'INPUT Growth'!$F$64:$F$111,Checks!$A21,'INPUT Growth'!$E$64:$E$111,Checks!$C21,'INPUT Growth'!$D$64:$D$111,Checks!$B21)-SW!T132-GW!T132</f>
        <v>0</v>
      </c>
      <c r="T21" s="229">
        <f>SUMIFS('INPUT Growth'!AQ$64:AQ$111,'INPUT Growth'!$F$64:$F$111,Checks!$A21,'INPUT Growth'!$E$64:$E$111,Checks!$C21,'INPUT Growth'!$D$64:$D$111,Checks!$B21)-SW!U132-GW!U132</f>
        <v>0</v>
      </c>
      <c r="U21" s="229">
        <f>SUMIFS('INPUT Growth'!AR$64:AR$111,'INPUT Growth'!$F$64:$F$111,Checks!$A21,'INPUT Growth'!$E$64:$E$111,Checks!$C21,'INPUT Growth'!$D$64:$D$111,Checks!$B21)-SW!V132-GW!V132</f>
        <v>0</v>
      </c>
      <c r="V21" s="229">
        <f>SUMIFS('INPUT Growth'!AS$64:AS$111,'INPUT Growth'!$F$64:$F$111,Checks!$A21,'INPUT Growth'!$E$64:$E$111,Checks!$C21,'INPUT Growth'!$D$64:$D$111,Checks!$B21)-SW!W132-GW!W132</f>
        <v>0</v>
      </c>
      <c r="W21" s="229">
        <f>SUMIFS('INPUT Growth'!AT$64:AT$111,'INPUT Growth'!$F$64:$F$111,Checks!$A21,'INPUT Growth'!$E$64:$E$111,Checks!$C21,'INPUT Growth'!$D$64:$D$111,Checks!$B21)-SW!X132-GW!X132</f>
        <v>0</v>
      </c>
      <c r="X21" s="229">
        <f>SUMIFS('INPUT Growth'!AU$64:AU$111,'INPUT Growth'!$F$64:$F$111,Checks!$A21,'INPUT Growth'!$E$64:$E$111,Checks!$C21,'INPUT Growth'!$D$64:$D$111,Checks!$B21)-SW!Y132-GW!Y132</f>
        <v>0</v>
      </c>
      <c r="Y21" s="229">
        <f>SUMIFS('INPUT Growth'!AV$64:AV$111,'INPUT Growth'!$F$64:$F$111,Checks!$A21,'INPUT Growth'!$E$64:$E$111,Checks!$C21,'INPUT Growth'!$D$64:$D$111,Checks!$B21)-SW!Z132-GW!Z132</f>
        <v>0</v>
      </c>
      <c r="Z21" s="229">
        <f>SUMIFS('INPUT Growth'!AW$64:AW$111,'INPUT Growth'!$F$64:$F$111,Checks!$A21,'INPUT Growth'!$E$64:$E$111,Checks!$C21,'INPUT Growth'!$D$64:$D$111,Checks!$B21)-SW!AA132-GW!AA132</f>
        <v>0</v>
      </c>
      <c r="AA21" s="229">
        <f t="shared" si="3"/>
        <v>0</v>
      </c>
    </row>
    <row r="22" spans="1:27" s="129" customFormat="1" ht="16.5" customHeight="1" thickBot="1" x14ac:dyDescent="0.25">
      <c r="A22" s="131" t="s">
        <v>265</v>
      </c>
      <c r="B22" s="221" t="s">
        <v>301</v>
      </c>
      <c r="C22" s="221" t="s">
        <v>407</v>
      </c>
      <c r="D22" s="35">
        <f t="shared" si="2"/>
        <v>1</v>
      </c>
      <c r="E22" s="224" t="s">
        <v>414</v>
      </c>
      <c r="F22" s="233"/>
      <c r="G22" s="229">
        <f>SUMIFS('INPUT Growth'!AD$64:AD$111,'INPUT Growth'!$F$64:$F$111,Checks!$A22,'INPUT Growth'!$E$64:$E$111,Checks!$C22,'INPUT Growth'!$D$64:$D$111,Checks!$B22)-SW!H153-GW!H153</f>
        <v>0</v>
      </c>
      <c r="H22" s="229">
        <f>SUMIFS('INPUT Growth'!AE$64:AE$111,'INPUT Growth'!$F$64:$F$111,Checks!$A22,'INPUT Growth'!$E$64:$E$111,Checks!$C22,'INPUT Growth'!$D$64:$D$111,Checks!$B22)-SW!I153-GW!I153</f>
        <v>0</v>
      </c>
      <c r="I22" s="229">
        <f>SUMIFS('INPUT Growth'!AF$64:AF$111,'INPUT Growth'!$F$64:$F$111,Checks!$A22,'INPUT Growth'!$E$64:$E$111,Checks!$C22,'INPUT Growth'!$D$64:$D$111,Checks!$B22)-SW!J153-GW!J153</f>
        <v>0</v>
      </c>
      <c r="J22" s="229">
        <f>SUMIFS('INPUT Growth'!AG$64:AG$111,'INPUT Growth'!$F$64:$F$111,Checks!$A22,'INPUT Growth'!$E$64:$E$111,Checks!$C22,'INPUT Growth'!$D$64:$D$111,Checks!$B22)-SW!K153-GW!K153</f>
        <v>0</v>
      </c>
      <c r="K22" s="229">
        <f>SUMIFS('INPUT Growth'!AH$64:AH$111,'INPUT Growth'!$F$64:$F$111,Checks!$A22,'INPUT Growth'!$E$64:$E$111,Checks!$C22,'INPUT Growth'!$D$64:$D$111,Checks!$B22)-SW!L153-GW!L153</f>
        <v>0</v>
      </c>
      <c r="L22" s="229">
        <f>SUMIFS('INPUT Growth'!AI$64:AI$111,'INPUT Growth'!$F$64:$F$111,Checks!$A22,'INPUT Growth'!$E$64:$E$111,Checks!$C22,'INPUT Growth'!$D$64:$D$111,Checks!$B22)-SW!M153-GW!M153</f>
        <v>0</v>
      </c>
      <c r="M22" s="229">
        <f>SUMIFS('INPUT Growth'!AJ$64:AJ$111,'INPUT Growth'!$F$64:$F$111,Checks!$A22,'INPUT Growth'!$E$64:$E$111,Checks!$C22,'INPUT Growth'!$D$64:$D$111,Checks!$B22)-SW!N153-GW!N153</f>
        <v>0</v>
      </c>
      <c r="N22" s="229">
        <f>SUMIFS('INPUT Growth'!AK$64:AK$111,'INPUT Growth'!$F$64:$F$111,Checks!$A22,'INPUT Growth'!$E$64:$E$111,Checks!$C22,'INPUT Growth'!$D$64:$D$111,Checks!$B22)-SW!O153-GW!O153</f>
        <v>0</v>
      </c>
      <c r="O22" s="229">
        <f>SUMIFS('INPUT Growth'!AL$64:AL$111,'INPUT Growth'!$F$64:$F$111,Checks!$A22,'INPUT Growth'!$E$64:$E$111,Checks!$C22,'INPUT Growth'!$D$64:$D$111,Checks!$B22)-SW!P153-GW!P153</f>
        <v>0</v>
      </c>
      <c r="P22" s="229">
        <f>SUMIFS('INPUT Growth'!AM$64:AM$111,'INPUT Growth'!$F$64:$F$111,Checks!$A22,'INPUT Growth'!$E$64:$E$111,Checks!$C22,'INPUT Growth'!$D$64:$D$111,Checks!$B22)-SW!Q153-GW!Q153</f>
        <v>0</v>
      </c>
      <c r="Q22" s="229">
        <f>SUMIFS('INPUT Growth'!AN$64:AN$111,'INPUT Growth'!$F$64:$F$111,Checks!$A22,'INPUT Growth'!$E$64:$E$111,Checks!$C22,'INPUT Growth'!$D$64:$D$111,Checks!$B22)-SW!R153-GW!R153</f>
        <v>0</v>
      </c>
      <c r="R22" s="229">
        <f>SUMIFS('INPUT Growth'!AO$64:AO$111,'INPUT Growth'!$F$64:$F$111,Checks!$A22,'INPUT Growth'!$E$64:$E$111,Checks!$C22,'INPUT Growth'!$D$64:$D$111,Checks!$B22)-SW!S153-GW!S153</f>
        <v>0</v>
      </c>
      <c r="S22" s="229">
        <f>SUMIFS('INPUT Growth'!AP$64:AP$111,'INPUT Growth'!$F$64:$F$111,Checks!$A22,'INPUT Growth'!$E$64:$E$111,Checks!$C22,'INPUT Growth'!$D$64:$D$111,Checks!$B22)-SW!T153-GW!T153</f>
        <v>0</v>
      </c>
      <c r="T22" s="229">
        <f>SUMIFS('INPUT Growth'!AQ$64:AQ$111,'INPUT Growth'!$F$64:$F$111,Checks!$A22,'INPUT Growth'!$E$64:$E$111,Checks!$C22,'INPUT Growth'!$D$64:$D$111,Checks!$B22)-SW!U153-GW!U153</f>
        <v>0</v>
      </c>
      <c r="U22" s="229">
        <f>SUMIFS('INPUT Growth'!AR$64:AR$111,'INPUT Growth'!$F$64:$F$111,Checks!$A22,'INPUT Growth'!$E$64:$E$111,Checks!$C22,'INPUT Growth'!$D$64:$D$111,Checks!$B22)-SW!V153-GW!V153</f>
        <v>0</v>
      </c>
      <c r="V22" s="229">
        <f>SUMIFS('INPUT Growth'!AS$64:AS$111,'INPUT Growth'!$F$64:$F$111,Checks!$A22,'INPUT Growth'!$E$64:$E$111,Checks!$C22,'INPUT Growth'!$D$64:$D$111,Checks!$B22)-SW!W153-GW!W153</f>
        <v>0</v>
      </c>
      <c r="W22" s="229">
        <f>SUMIFS('INPUT Growth'!AT$64:AT$111,'INPUT Growth'!$F$64:$F$111,Checks!$A22,'INPUT Growth'!$E$64:$E$111,Checks!$C22,'INPUT Growth'!$D$64:$D$111,Checks!$B22)-SW!X153-GW!X153</f>
        <v>0</v>
      </c>
      <c r="X22" s="229">
        <f>SUMIFS('INPUT Growth'!AU$64:AU$111,'INPUT Growth'!$F$64:$F$111,Checks!$A22,'INPUT Growth'!$E$64:$E$111,Checks!$C22,'INPUT Growth'!$D$64:$D$111,Checks!$B22)-SW!Y153-GW!Y153</f>
        <v>0</v>
      </c>
      <c r="Y22" s="229">
        <f>SUMIFS('INPUT Growth'!AV$64:AV$111,'INPUT Growth'!$F$64:$F$111,Checks!$A22,'INPUT Growth'!$E$64:$E$111,Checks!$C22,'INPUT Growth'!$D$64:$D$111,Checks!$B22)-SW!Z153-GW!Z153</f>
        <v>0</v>
      </c>
      <c r="Z22" s="229">
        <f>SUMIFS('INPUT Growth'!AW$64:AW$111,'INPUT Growth'!$F$64:$F$111,Checks!$A22,'INPUT Growth'!$E$64:$E$111,Checks!$C22,'INPUT Growth'!$D$64:$D$111,Checks!$B22)-SW!AA153-GW!AA153</f>
        <v>0</v>
      </c>
      <c r="AA22" s="229">
        <f t="shared" si="3"/>
        <v>0</v>
      </c>
    </row>
    <row r="23" spans="1:27" s="129" customFormat="1" ht="16.5" customHeight="1" thickBot="1" x14ac:dyDescent="0.25">
      <c r="A23" s="131" t="s">
        <v>265</v>
      </c>
      <c r="B23" s="221" t="s">
        <v>303</v>
      </c>
      <c r="C23" s="221" t="s">
        <v>405</v>
      </c>
      <c r="D23" s="35">
        <f t="shared" si="2"/>
        <v>1</v>
      </c>
      <c r="E23" s="225" t="s">
        <v>415</v>
      </c>
      <c r="F23" s="233"/>
      <c r="G23" s="229">
        <f>SUMIFS('INPUT Growth'!AD$64:AD$111,'INPUT Growth'!$F$64:$F$111,Checks!$A23,'INPUT Growth'!$E$64:$E$111,Checks!$C23,'INPUT Growth'!$D$64:$D$111,Checks!$B23)-SS!H132-GS!H132</f>
        <v>0</v>
      </c>
      <c r="H23" s="229">
        <f>SUMIFS('INPUT Growth'!AE$64:AE$111,'INPUT Growth'!$F$64:$F$111,Checks!$A23,'INPUT Growth'!$E$64:$E$111,Checks!$C23,'INPUT Growth'!$D$64:$D$111,Checks!$B23)-SS!I132-GS!I132</f>
        <v>0</v>
      </c>
      <c r="I23" s="229">
        <f>SUMIFS('INPUT Growth'!AF$64:AF$111,'INPUT Growth'!$F$64:$F$111,Checks!$A23,'INPUT Growth'!$E$64:$E$111,Checks!$C23,'INPUT Growth'!$D$64:$D$111,Checks!$B23)-SS!J132-GS!J132</f>
        <v>0</v>
      </c>
      <c r="J23" s="229">
        <f>SUMIFS('INPUT Growth'!AG$64:AG$111,'INPUT Growth'!$F$64:$F$111,Checks!$A23,'INPUT Growth'!$E$64:$E$111,Checks!$C23,'INPUT Growth'!$D$64:$D$111,Checks!$B23)-SS!K132-GS!K132</f>
        <v>0</v>
      </c>
      <c r="K23" s="229">
        <f>SUMIFS('INPUT Growth'!AH$64:AH$111,'INPUT Growth'!$F$64:$F$111,Checks!$A23,'INPUT Growth'!$E$64:$E$111,Checks!$C23,'INPUT Growth'!$D$64:$D$111,Checks!$B23)-SS!L132-GS!L132</f>
        <v>0</v>
      </c>
      <c r="L23" s="229">
        <f>SUMIFS('INPUT Growth'!AI$64:AI$111,'INPUT Growth'!$F$64:$F$111,Checks!$A23,'INPUT Growth'!$E$64:$E$111,Checks!$C23,'INPUT Growth'!$D$64:$D$111,Checks!$B23)-SS!M132-GS!M132</f>
        <v>0</v>
      </c>
      <c r="M23" s="229">
        <f>SUMIFS('INPUT Growth'!AJ$64:AJ$111,'INPUT Growth'!$F$64:$F$111,Checks!$A23,'INPUT Growth'!$E$64:$E$111,Checks!$C23,'INPUT Growth'!$D$64:$D$111,Checks!$B23)-SS!N132-GS!N132</f>
        <v>0</v>
      </c>
      <c r="N23" s="229">
        <f>SUMIFS('INPUT Growth'!AK$64:AK$111,'INPUT Growth'!$F$64:$F$111,Checks!$A23,'INPUT Growth'!$E$64:$E$111,Checks!$C23,'INPUT Growth'!$D$64:$D$111,Checks!$B23)-SS!O132-GS!O132</f>
        <v>0</v>
      </c>
      <c r="O23" s="229">
        <f>SUMIFS('INPUT Growth'!AL$64:AL$111,'INPUT Growth'!$F$64:$F$111,Checks!$A23,'INPUT Growth'!$E$64:$E$111,Checks!$C23,'INPUT Growth'!$D$64:$D$111,Checks!$B23)-SS!P132-GS!P132</f>
        <v>0</v>
      </c>
      <c r="P23" s="229">
        <f>SUMIFS('INPUT Growth'!AM$64:AM$111,'INPUT Growth'!$F$64:$F$111,Checks!$A23,'INPUT Growth'!$E$64:$E$111,Checks!$C23,'INPUT Growth'!$D$64:$D$111,Checks!$B23)-SS!Q132-GS!Q132</f>
        <v>0</v>
      </c>
      <c r="Q23" s="229">
        <f>SUMIFS('INPUT Growth'!AN$64:AN$111,'INPUT Growth'!$F$64:$F$111,Checks!$A23,'INPUT Growth'!$E$64:$E$111,Checks!$C23,'INPUT Growth'!$D$64:$D$111,Checks!$B23)-SS!R132-GS!R132</f>
        <v>0</v>
      </c>
      <c r="R23" s="229">
        <f>SUMIFS('INPUT Growth'!AO$64:AO$111,'INPUT Growth'!$F$64:$F$111,Checks!$A23,'INPUT Growth'!$E$64:$E$111,Checks!$C23,'INPUT Growth'!$D$64:$D$111,Checks!$B23)-SS!S132-GS!S132</f>
        <v>0</v>
      </c>
      <c r="S23" s="229">
        <f>SUMIFS('INPUT Growth'!AP$64:AP$111,'INPUT Growth'!$F$64:$F$111,Checks!$A23,'INPUT Growth'!$E$64:$E$111,Checks!$C23,'INPUT Growth'!$D$64:$D$111,Checks!$B23)-SS!T132-GS!T132</f>
        <v>0</v>
      </c>
      <c r="T23" s="229">
        <f>SUMIFS('INPUT Growth'!AQ$64:AQ$111,'INPUT Growth'!$F$64:$F$111,Checks!$A23,'INPUT Growth'!$E$64:$E$111,Checks!$C23,'INPUT Growth'!$D$64:$D$111,Checks!$B23)-SS!U132-GS!U132</f>
        <v>0</v>
      </c>
      <c r="U23" s="229">
        <f>SUMIFS('INPUT Growth'!AR$64:AR$111,'INPUT Growth'!$F$64:$F$111,Checks!$A23,'INPUT Growth'!$E$64:$E$111,Checks!$C23,'INPUT Growth'!$D$64:$D$111,Checks!$B23)-SS!V132-GS!V132</f>
        <v>0</v>
      </c>
      <c r="V23" s="229">
        <f>SUMIFS('INPUT Growth'!AS$64:AS$111,'INPUT Growth'!$F$64:$F$111,Checks!$A23,'INPUT Growth'!$E$64:$E$111,Checks!$C23,'INPUT Growth'!$D$64:$D$111,Checks!$B23)-SS!W132-GS!W132</f>
        <v>0</v>
      </c>
      <c r="W23" s="229">
        <f>SUMIFS('INPUT Growth'!AT$64:AT$111,'INPUT Growth'!$F$64:$F$111,Checks!$A23,'INPUT Growth'!$E$64:$E$111,Checks!$C23,'INPUT Growth'!$D$64:$D$111,Checks!$B23)-SS!X132-GS!X132</f>
        <v>0</v>
      </c>
      <c r="X23" s="229">
        <f>SUMIFS('INPUT Growth'!AU$64:AU$111,'INPUT Growth'!$F$64:$F$111,Checks!$A23,'INPUT Growth'!$E$64:$E$111,Checks!$C23,'INPUT Growth'!$D$64:$D$111,Checks!$B23)-SS!Y132-GS!Y132</f>
        <v>0</v>
      </c>
      <c r="Y23" s="229">
        <f>SUMIFS('INPUT Growth'!AV$64:AV$111,'INPUT Growth'!$F$64:$F$111,Checks!$A23,'INPUT Growth'!$E$64:$E$111,Checks!$C23,'INPUT Growth'!$D$64:$D$111,Checks!$B23)-SS!Z132-GS!Z132</f>
        <v>0</v>
      </c>
      <c r="Z23" s="229">
        <f>SUMIFS('INPUT Growth'!AW$64:AW$111,'INPUT Growth'!$F$64:$F$111,Checks!$A23,'INPUT Growth'!$E$64:$E$111,Checks!$C23,'INPUT Growth'!$D$64:$D$111,Checks!$B23)-SS!AA132-GS!AA132</f>
        <v>0</v>
      </c>
      <c r="AA23" s="229">
        <f t="shared" si="3"/>
        <v>0</v>
      </c>
    </row>
    <row r="24" spans="1:27" s="129" customFormat="1" ht="16.5" customHeight="1" thickBot="1" x14ac:dyDescent="0.25">
      <c r="A24" s="131" t="s">
        <v>265</v>
      </c>
      <c r="B24" s="221" t="s">
        <v>303</v>
      </c>
      <c r="C24" s="221" t="s">
        <v>407</v>
      </c>
      <c r="D24" s="35">
        <f t="shared" si="2"/>
        <v>1</v>
      </c>
      <c r="E24" s="224" t="s">
        <v>416</v>
      </c>
      <c r="F24" s="233"/>
      <c r="G24" s="229">
        <f>SUMIFS('INPUT Growth'!AD$64:AD$111,'INPUT Growth'!$F$64:$F$111,Checks!$A24,'INPUT Growth'!$E$64:$E$111,Checks!$C24,'INPUT Growth'!$D$64:$D$111,Checks!$B24)-SS!H153-GS!H153</f>
        <v>0</v>
      </c>
      <c r="H24" s="229">
        <f>SUMIFS('INPUT Growth'!AE$64:AE$111,'INPUT Growth'!$F$64:$F$111,Checks!$A24,'INPUT Growth'!$E$64:$E$111,Checks!$C24,'INPUT Growth'!$D$64:$D$111,Checks!$B24)-SS!I153-GS!I153</f>
        <v>0</v>
      </c>
      <c r="I24" s="229">
        <f>SUMIFS('INPUT Growth'!AF$64:AF$111,'INPUT Growth'!$F$64:$F$111,Checks!$A24,'INPUT Growth'!$E$64:$E$111,Checks!$C24,'INPUT Growth'!$D$64:$D$111,Checks!$B24)-SS!J153-GS!J153</f>
        <v>0</v>
      </c>
      <c r="J24" s="229">
        <f>SUMIFS('INPUT Growth'!AG$64:AG$111,'INPUT Growth'!$F$64:$F$111,Checks!$A24,'INPUT Growth'!$E$64:$E$111,Checks!$C24,'INPUT Growth'!$D$64:$D$111,Checks!$B24)-SS!K153-GS!K153</f>
        <v>0</v>
      </c>
      <c r="K24" s="229">
        <f>SUMIFS('INPUT Growth'!AH$64:AH$111,'INPUT Growth'!$F$64:$F$111,Checks!$A24,'INPUT Growth'!$E$64:$E$111,Checks!$C24,'INPUT Growth'!$D$64:$D$111,Checks!$B24)-SS!L153-GS!L153</f>
        <v>0</v>
      </c>
      <c r="L24" s="229">
        <f>SUMIFS('INPUT Growth'!AI$64:AI$111,'INPUT Growth'!$F$64:$F$111,Checks!$A24,'INPUT Growth'!$E$64:$E$111,Checks!$C24,'INPUT Growth'!$D$64:$D$111,Checks!$B24)-SS!M153-GS!M153</f>
        <v>0</v>
      </c>
      <c r="M24" s="229">
        <f>SUMIFS('INPUT Growth'!AJ$64:AJ$111,'INPUT Growth'!$F$64:$F$111,Checks!$A24,'INPUT Growth'!$E$64:$E$111,Checks!$C24,'INPUT Growth'!$D$64:$D$111,Checks!$B24)-SS!N153-GS!N153</f>
        <v>0</v>
      </c>
      <c r="N24" s="229">
        <f>SUMIFS('INPUT Growth'!AK$64:AK$111,'INPUT Growth'!$F$64:$F$111,Checks!$A24,'INPUT Growth'!$E$64:$E$111,Checks!$C24,'INPUT Growth'!$D$64:$D$111,Checks!$B24)-SS!O153-GS!O153</f>
        <v>0</v>
      </c>
      <c r="O24" s="229">
        <f>SUMIFS('INPUT Growth'!AL$64:AL$111,'INPUT Growth'!$F$64:$F$111,Checks!$A24,'INPUT Growth'!$E$64:$E$111,Checks!$C24,'INPUT Growth'!$D$64:$D$111,Checks!$B24)-SS!P153-GS!P153</f>
        <v>0</v>
      </c>
      <c r="P24" s="229">
        <f>SUMIFS('INPUT Growth'!AM$64:AM$111,'INPUT Growth'!$F$64:$F$111,Checks!$A24,'INPUT Growth'!$E$64:$E$111,Checks!$C24,'INPUT Growth'!$D$64:$D$111,Checks!$B24)-SS!Q153-GS!Q153</f>
        <v>0</v>
      </c>
      <c r="Q24" s="229">
        <f>SUMIFS('INPUT Growth'!AN$64:AN$111,'INPUT Growth'!$F$64:$F$111,Checks!$A24,'INPUT Growth'!$E$64:$E$111,Checks!$C24,'INPUT Growth'!$D$64:$D$111,Checks!$B24)-SS!R153-GS!R153</f>
        <v>0</v>
      </c>
      <c r="R24" s="229">
        <f>SUMIFS('INPUT Growth'!AO$64:AO$111,'INPUT Growth'!$F$64:$F$111,Checks!$A24,'INPUT Growth'!$E$64:$E$111,Checks!$C24,'INPUT Growth'!$D$64:$D$111,Checks!$B24)-SS!S153-GS!S153</f>
        <v>0</v>
      </c>
      <c r="S24" s="229">
        <f>SUMIFS('INPUT Growth'!AP$64:AP$111,'INPUT Growth'!$F$64:$F$111,Checks!$A24,'INPUT Growth'!$E$64:$E$111,Checks!$C24,'INPUT Growth'!$D$64:$D$111,Checks!$B24)-SS!T153-GS!T153</f>
        <v>0</v>
      </c>
      <c r="T24" s="229">
        <f>SUMIFS('INPUT Growth'!AQ$64:AQ$111,'INPUT Growth'!$F$64:$F$111,Checks!$A24,'INPUT Growth'!$E$64:$E$111,Checks!$C24,'INPUT Growth'!$D$64:$D$111,Checks!$B24)-SS!U153-GS!U153</f>
        <v>0</v>
      </c>
      <c r="U24" s="229">
        <f>SUMIFS('INPUT Growth'!AR$64:AR$111,'INPUT Growth'!$F$64:$F$111,Checks!$A24,'INPUT Growth'!$E$64:$E$111,Checks!$C24,'INPUT Growth'!$D$64:$D$111,Checks!$B24)-SS!V153-GS!V153</f>
        <v>0</v>
      </c>
      <c r="V24" s="229">
        <f>SUMIFS('INPUT Growth'!AS$64:AS$111,'INPUT Growth'!$F$64:$F$111,Checks!$A24,'INPUT Growth'!$E$64:$E$111,Checks!$C24,'INPUT Growth'!$D$64:$D$111,Checks!$B24)-SS!W153-GS!W153</f>
        <v>0</v>
      </c>
      <c r="W24" s="229">
        <f>SUMIFS('INPUT Growth'!AT$64:AT$111,'INPUT Growth'!$F$64:$F$111,Checks!$A24,'INPUT Growth'!$E$64:$E$111,Checks!$C24,'INPUT Growth'!$D$64:$D$111,Checks!$B24)-SS!X153-GS!X153</f>
        <v>0</v>
      </c>
      <c r="X24" s="229">
        <f>SUMIFS('INPUT Growth'!AU$64:AU$111,'INPUT Growth'!$F$64:$F$111,Checks!$A24,'INPUT Growth'!$E$64:$E$111,Checks!$C24,'INPUT Growth'!$D$64:$D$111,Checks!$B24)-SS!Y153-GS!Y153</f>
        <v>0</v>
      </c>
      <c r="Y24" s="229">
        <f>SUMIFS('INPUT Growth'!AV$64:AV$111,'INPUT Growth'!$F$64:$F$111,Checks!$A24,'INPUT Growth'!$E$64:$E$111,Checks!$C24,'INPUT Growth'!$D$64:$D$111,Checks!$B24)-SS!Z153-GS!Z153</f>
        <v>0</v>
      </c>
      <c r="Z24" s="229">
        <f>SUMIFS('INPUT Growth'!AW$64:AW$111,'INPUT Growth'!$F$64:$F$111,Checks!$A24,'INPUT Growth'!$E$64:$E$111,Checks!$C24,'INPUT Growth'!$D$64:$D$111,Checks!$B24)-SS!AA153-GS!AA153</f>
        <v>0</v>
      </c>
      <c r="AA24" s="229">
        <f t="shared" si="3"/>
        <v>0</v>
      </c>
    </row>
    <row r="25" spans="1:27" s="129" customFormat="1" ht="16.5" customHeight="1" thickBot="1" x14ac:dyDescent="0.25">
      <c r="A25" s="131" t="s">
        <v>265</v>
      </c>
      <c r="B25" s="221" t="s">
        <v>310</v>
      </c>
      <c r="C25" s="221" t="s">
        <v>405</v>
      </c>
      <c r="D25" s="35">
        <f t="shared" si="2"/>
        <v>1</v>
      </c>
      <c r="E25" s="225" t="s">
        <v>417</v>
      </c>
      <c r="F25" s="233"/>
      <c r="G25" s="229">
        <f>SUMIFS('INPUT Growth'!AD$64:AD$111,'INPUT Growth'!$F$64:$F$111,Checks!$A25,'INPUT Growth'!$E$64:$E$111,Checks!$C25,'INPUT Growth'!$D$64:$D$111,Checks!$B25)-WR!H132-GR!H132</f>
        <v>0</v>
      </c>
      <c r="H25" s="229">
        <f>SUMIFS('INPUT Growth'!AE$64:AE$111,'INPUT Growth'!$F$64:$F$111,Checks!$A25,'INPUT Growth'!$E$64:$E$111,Checks!$C25,'INPUT Growth'!$D$64:$D$111,Checks!$B25)-WR!I132-GR!I132</f>
        <v>0</v>
      </c>
      <c r="I25" s="229">
        <f>SUMIFS('INPUT Growth'!AF$64:AF$111,'INPUT Growth'!$F$64:$F$111,Checks!$A25,'INPUT Growth'!$E$64:$E$111,Checks!$C25,'INPUT Growth'!$D$64:$D$111,Checks!$B25)-WR!J132-GR!J132</f>
        <v>0</v>
      </c>
      <c r="J25" s="229">
        <f>SUMIFS('INPUT Growth'!AG$64:AG$111,'INPUT Growth'!$F$64:$F$111,Checks!$A25,'INPUT Growth'!$E$64:$E$111,Checks!$C25,'INPUT Growth'!$D$64:$D$111,Checks!$B25)-WR!K132-GR!K132</f>
        <v>0</v>
      </c>
      <c r="K25" s="229">
        <f>SUMIFS('INPUT Growth'!AH$64:AH$111,'INPUT Growth'!$F$64:$F$111,Checks!$A25,'INPUT Growth'!$E$64:$E$111,Checks!$C25,'INPUT Growth'!$D$64:$D$111,Checks!$B25)-WR!L132-GR!L132</f>
        <v>0</v>
      </c>
      <c r="L25" s="229">
        <f>SUMIFS('INPUT Growth'!AI$64:AI$111,'INPUT Growth'!$F$64:$F$111,Checks!$A25,'INPUT Growth'!$E$64:$E$111,Checks!$C25,'INPUT Growth'!$D$64:$D$111,Checks!$B25)-WR!M132-GR!M132</f>
        <v>0</v>
      </c>
      <c r="M25" s="229">
        <f>SUMIFS('INPUT Growth'!AJ$64:AJ$111,'INPUT Growth'!$F$64:$F$111,Checks!$A25,'INPUT Growth'!$E$64:$E$111,Checks!$C25,'INPUT Growth'!$D$64:$D$111,Checks!$B25)-WR!N132-GR!N132</f>
        <v>0</v>
      </c>
      <c r="N25" s="229">
        <f>SUMIFS('INPUT Growth'!AK$64:AK$111,'INPUT Growth'!$F$64:$F$111,Checks!$A25,'INPUT Growth'!$E$64:$E$111,Checks!$C25,'INPUT Growth'!$D$64:$D$111,Checks!$B25)-WR!O132-GR!O132</f>
        <v>0</v>
      </c>
      <c r="O25" s="229">
        <f>SUMIFS('INPUT Growth'!AL$64:AL$111,'INPUT Growth'!$F$64:$F$111,Checks!$A25,'INPUT Growth'!$E$64:$E$111,Checks!$C25,'INPUT Growth'!$D$64:$D$111,Checks!$B25)-WR!P132-GR!P132</f>
        <v>0</v>
      </c>
      <c r="P25" s="229">
        <f>SUMIFS('INPUT Growth'!AM$64:AM$111,'INPUT Growth'!$F$64:$F$111,Checks!$A25,'INPUT Growth'!$E$64:$E$111,Checks!$C25,'INPUT Growth'!$D$64:$D$111,Checks!$B25)-WR!Q132-GR!Q132</f>
        <v>0</v>
      </c>
      <c r="Q25" s="229">
        <f>SUMIFS('INPUT Growth'!AN$64:AN$111,'INPUT Growth'!$F$64:$F$111,Checks!$A25,'INPUT Growth'!$E$64:$E$111,Checks!$C25,'INPUT Growth'!$D$64:$D$111,Checks!$B25)-WR!R132-GR!R132</f>
        <v>0</v>
      </c>
      <c r="R25" s="229">
        <f>SUMIFS('INPUT Growth'!AO$64:AO$111,'INPUT Growth'!$F$64:$F$111,Checks!$A25,'INPUT Growth'!$E$64:$E$111,Checks!$C25,'INPUT Growth'!$D$64:$D$111,Checks!$B25)-WR!S132-GR!S132</f>
        <v>0</v>
      </c>
      <c r="S25" s="229">
        <f>SUMIFS('INPUT Growth'!AP$64:AP$111,'INPUT Growth'!$F$64:$F$111,Checks!$A25,'INPUT Growth'!$E$64:$E$111,Checks!$C25,'INPUT Growth'!$D$64:$D$111,Checks!$B25)-WR!T132-GR!T132</f>
        <v>0</v>
      </c>
      <c r="T25" s="229">
        <f>SUMIFS('INPUT Growth'!AQ$64:AQ$111,'INPUT Growth'!$F$64:$F$111,Checks!$A25,'INPUT Growth'!$E$64:$E$111,Checks!$C25,'INPUT Growth'!$D$64:$D$111,Checks!$B25)-WR!U132-GR!U132</f>
        <v>0</v>
      </c>
      <c r="U25" s="229">
        <f>SUMIFS('INPUT Growth'!AR$64:AR$111,'INPUT Growth'!$F$64:$F$111,Checks!$A25,'INPUT Growth'!$E$64:$E$111,Checks!$C25,'INPUT Growth'!$D$64:$D$111,Checks!$B25)-WR!V132-GR!V132</f>
        <v>0</v>
      </c>
      <c r="V25" s="229">
        <f>SUMIFS('INPUT Growth'!AS$64:AS$111,'INPUT Growth'!$F$64:$F$111,Checks!$A25,'INPUT Growth'!$E$64:$E$111,Checks!$C25,'INPUT Growth'!$D$64:$D$111,Checks!$B25)-WR!W132-GR!W132</f>
        <v>0</v>
      </c>
      <c r="W25" s="229">
        <f>SUMIFS('INPUT Growth'!AT$64:AT$111,'INPUT Growth'!$F$64:$F$111,Checks!$A25,'INPUT Growth'!$E$64:$E$111,Checks!$C25,'INPUT Growth'!$D$64:$D$111,Checks!$B25)-WR!X132-GR!X132</f>
        <v>0</v>
      </c>
      <c r="X25" s="229">
        <f>SUMIFS('INPUT Growth'!AU$64:AU$111,'INPUT Growth'!$F$64:$F$111,Checks!$A25,'INPUT Growth'!$E$64:$E$111,Checks!$C25,'INPUT Growth'!$D$64:$D$111,Checks!$B25)-WR!Y132-GR!Y132</f>
        <v>0</v>
      </c>
      <c r="Y25" s="229">
        <f>SUMIFS('INPUT Growth'!AV$64:AV$111,'INPUT Growth'!$F$64:$F$111,Checks!$A25,'INPUT Growth'!$E$64:$E$111,Checks!$C25,'INPUT Growth'!$D$64:$D$111,Checks!$B25)-WR!Z132-GR!Z132</f>
        <v>0</v>
      </c>
      <c r="Z25" s="229">
        <f>SUMIFS('INPUT Growth'!AW$64:AW$111,'INPUT Growth'!$F$64:$F$111,Checks!$A25,'INPUT Growth'!$E$64:$E$111,Checks!$C25,'INPUT Growth'!$D$64:$D$111,Checks!$B25)-WR!AA132-GR!AA132</f>
        <v>0</v>
      </c>
      <c r="AA25" s="229">
        <f t="shared" si="3"/>
        <v>0</v>
      </c>
    </row>
    <row r="26" spans="1:27" s="129" customFormat="1" ht="16.5" customHeight="1" thickBot="1" x14ac:dyDescent="0.25">
      <c r="A26" s="131" t="s">
        <v>265</v>
      </c>
      <c r="B26" s="221" t="s">
        <v>310</v>
      </c>
      <c r="C26" s="221" t="s">
        <v>407</v>
      </c>
      <c r="D26" s="35">
        <f t="shared" si="2"/>
        <v>1</v>
      </c>
      <c r="E26" s="224" t="s">
        <v>418</v>
      </c>
      <c r="F26" s="233"/>
      <c r="G26" s="229">
        <f>SUMIFS('INPUT Growth'!AD$64:AD$111,'INPUT Growth'!$F$64:$F$111,Checks!$A26,'INPUT Growth'!$E$64:$E$111,Checks!$C26,'INPUT Growth'!$D$64:$D$111,Checks!$B26)-WR!H153-GR!H153</f>
        <v>0</v>
      </c>
      <c r="H26" s="229">
        <f>SUMIFS('INPUT Growth'!AE$64:AE$111,'INPUT Growth'!$F$64:$F$111,Checks!$A26,'INPUT Growth'!$E$64:$E$111,Checks!$C26,'INPUT Growth'!$D$64:$D$111,Checks!$B26)-WR!I153-GR!I153</f>
        <v>0</v>
      </c>
      <c r="I26" s="229">
        <f>SUMIFS('INPUT Growth'!AF$64:AF$111,'INPUT Growth'!$F$64:$F$111,Checks!$A26,'INPUT Growth'!$E$64:$E$111,Checks!$C26,'INPUT Growth'!$D$64:$D$111,Checks!$B26)-WR!J153-GR!J153</f>
        <v>0</v>
      </c>
      <c r="J26" s="229">
        <f>SUMIFS('INPUT Growth'!AG$64:AG$111,'INPUT Growth'!$F$64:$F$111,Checks!$A26,'INPUT Growth'!$E$64:$E$111,Checks!$C26,'INPUT Growth'!$D$64:$D$111,Checks!$B26)-WR!K153-GR!K153</f>
        <v>0</v>
      </c>
      <c r="K26" s="229">
        <f>SUMIFS('INPUT Growth'!AH$64:AH$111,'INPUT Growth'!$F$64:$F$111,Checks!$A26,'INPUT Growth'!$E$64:$E$111,Checks!$C26,'INPUT Growth'!$D$64:$D$111,Checks!$B26)-WR!L153-GR!L153</f>
        <v>0</v>
      </c>
      <c r="L26" s="229">
        <f>SUMIFS('INPUT Growth'!AI$64:AI$111,'INPUT Growth'!$F$64:$F$111,Checks!$A26,'INPUT Growth'!$E$64:$E$111,Checks!$C26,'INPUT Growth'!$D$64:$D$111,Checks!$B26)-WR!M153-GR!M153</f>
        <v>0</v>
      </c>
      <c r="M26" s="229">
        <f>SUMIFS('INPUT Growth'!AJ$64:AJ$111,'INPUT Growth'!$F$64:$F$111,Checks!$A26,'INPUT Growth'!$E$64:$E$111,Checks!$C26,'INPUT Growth'!$D$64:$D$111,Checks!$B26)-WR!N153-GR!N153</f>
        <v>0</v>
      </c>
      <c r="N26" s="229">
        <f>SUMIFS('INPUT Growth'!AK$64:AK$111,'INPUT Growth'!$F$64:$F$111,Checks!$A26,'INPUT Growth'!$E$64:$E$111,Checks!$C26,'INPUT Growth'!$D$64:$D$111,Checks!$B26)-WR!O153-GR!O153</f>
        <v>0</v>
      </c>
      <c r="O26" s="229">
        <f>SUMIFS('INPUT Growth'!AL$64:AL$111,'INPUT Growth'!$F$64:$F$111,Checks!$A26,'INPUT Growth'!$E$64:$E$111,Checks!$C26,'INPUT Growth'!$D$64:$D$111,Checks!$B26)-WR!P153-GR!P153</f>
        <v>0</v>
      </c>
      <c r="P26" s="229">
        <f>SUMIFS('INPUT Growth'!AM$64:AM$111,'INPUT Growth'!$F$64:$F$111,Checks!$A26,'INPUT Growth'!$E$64:$E$111,Checks!$C26,'INPUT Growth'!$D$64:$D$111,Checks!$B26)-WR!Q153-GR!Q153</f>
        <v>0</v>
      </c>
      <c r="Q26" s="229">
        <f>SUMIFS('INPUT Growth'!AN$64:AN$111,'INPUT Growth'!$F$64:$F$111,Checks!$A26,'INPUT Growth'!$E$64:$E$111,Checks!$C26,'INPUT Growth'!$D$64:$D$111,Checks!$B26)-WR!R153-GR!R153</f>
        <v>0</v>
      </c>
      <c r="R26" s="229">
        <f>SUMIFS('INPUT Growth'!AO$64:AO$111,'INPUT Growth'!$F$64:$F$111,Checks!$A26,'INPUT Growth'!$E$64:$E$111,Checks!$C26,'INPUT Growth'!$D$64:$D$111,Checks!$B26)-WR!S153-GR!S153</f>
        <v>0</v>
      </c>
      <c r="S26" s="229">
        <f>SUMIFS('INPUT Growth'!AP$64:AP$111,'INPUT Growth'!$F$64:$F$111,Checks!$A26,'INPUT Growth'!$E$64:$E$111,Checks!$C26,'INPUT Growth'!$D$64:$D$111,Checks!$B26)-WR!T153-GR!T153</f>
        <v>0</v>
      </c>
      <c r="T26" s="229">
        <f>SUMIFS('INPUT Growth'!AQ$64:AQ$111,'INPUT Growth'!$F$64:$F$111,Checks!$A26,'INPUT Growth'!$E$64:$E$111,Checks!$C26,'INPUT Growth'!$D$64:$D$111,Checks!$B26)-WR!U153-GR!U153</f>
        <v>0</v>
      </c>
      <c r="U26" s="229">
        <f>SUMIFS('INPUT Growth'!AR$64:AR$111,'INPUT Growth'!$F$64:$F$111,Checks!$A26,'INPUT Growth'!$E$64:$E$111,Checks!$C26,'INPUT Growth'!$D$64:$D$111,Checks!$B26)-WR!V153-GR!V153</f>
        <v>0</v>
      </c>
      <c r="V26" s="229">
        <f>SUMIFS('INPUT Growth'!AS$64:AS$111,'INPUT Growth'!$F$64:$F$111,Checks!$A26,'INPUT Growth'!$E$64:$E$111,Checks!$C26,'INPUT Growth'!$D$64:$D$111,Checks!$B26)-WR!W153-GR!W153</f>
        <v>0</v>
      </c>
      <c r="W26" s="229">
        <f>SUMIFS('INPUT Growth'!AT$64:AT$111,'INPUT Growth'!$F$64:$F$111,Checks!$A26,'INPUT Growth'!$E$64:$E$111,Checks!$C26,'INPUT Growth'!$D$64:$D$111,Checks!$B26)-WR!X153-GR!X153</f>
        <v>0</v>
      </c>
      <c r="X26" s="229">
        <f>SUMIFS('INPUT Growth'!AU$64:AU$111,'INPUT Growth'!$F$64:$F$111,Checks!$A26,'INPUT Growth'!$E$64:$E$111,Checks!$C26,'INPUT Growth'!$D$64:$D$111,Checks!$B26)-WR!Y153-GR!Y153</f>
        <v>0</v>
      </c>
      <c r="Y26" s="229">
        <f>SUMIFS('INPUT Growth'!AV$64:AV$111,'INPUT Growth'!$F$64:$F$111,Checks!$A26,'INPUT Growth'!$E$64:$E$111,Checks!$C26,'INPUT Growth'!$D$64:$D$111,Checks!$B26)-WR!Z153-GR!Z153</f>
        <v>0</v>
      </c>
      <c r="Z26" s="229">
        <f>SUMIFS('INPUT Growth'!AW$64:AW$111,'INPUT Growth'!$F$64:$F$111,Checks!$A26,'INPUT Growth'!$E$64:$E$111,Checks!$C26,'INPUT Growth'!$D$64:$D$111,Checks!$B26)-WR!AA153-GR!AA153</f>
        <v>0</v>
      </c>
      <c r="AA26" s="229">
        <f t="shared" si="3"/>
        <v>0</v>
      </c>
    </row>
    <row r="27" spans="1:27" s="129" customFormat="1" ht="16.5" customHeight="1" thickBot="1" x14ac:dyDescent="0.25">
      <c r="A27" s="131" t="s">
        <v>262</v>
      </c>
      <c r="B27" s="221" t="s">
        <v>301</v>
      </c>
      <c r="C27" s="221" t="s">
        <v>405</v>
      </c>
      <c r="D27" s="35">
        <f t="shared" si="2"/>
        <v>1</v>
      </c>
      <c r="E27" s="224" t="s">
        <v>419</v>
      </c>
      <c r="F27" s="231"/>
      <c r="G27" s="229">
        <f>SUMIFS('INPUT Growth'!AD$64:AD$111,'INPUT Growth'!$F$64:$F$111,Checks!$A27,'INPUT Growth'!$E$64:$E$111,Checks!$C27,'INPUT Growth'!$D$64:$D$111,Checks!$B27)-SA!H90-GA!H90</f>
        <v>0</v>
      </c>
      <c r="H27" s="229">
        <f>SUMIFS('INPUT Growth'!AE$64:AE$111,'INPUT Growth'!$F$64:$F$111,Checks!$A27,'INPUT Growth'!$E$64:$E$111,Checks!$C27,'INPUT Growth'!$D$64:$D$111,Checks!$B27)-SA!I90-GA!I90</f>
        <v>0</v>
      </c>
      <c r="I27" s="229">
        <f>SUMIFS('INPUT Growth'!AF$64:AF$111,'INPUT Growth'!$F$64:$F$111,Checks!$A27,'INPUT Growth'!$E$64:$E$111,Checks!$C27,'INPUT Growth'!$D$64:$D$111,Checks!$B27)-SA!J90-GA!J90</f>
        <v>0</v>
      </c>
      <c r="J27" s="229">
        <f>SUMIFS('INPUT Growth'!AG$64:AG$111,'INPUT Growth'!$F$64:$F$111,Checks!$A27,'INPUT Growth'!$E$64:$E$111,Checks!$C27,'INPUT Growth'!$D$64:$D$111,Checks!$B27)-SA!K90-GA!K90</f>
        <v>0</v>
      </c>
      <c r="K27" s="229">
        <f>SUMIFS('INPUT Growth'!AH$64:AH$111,'INPUT Growth'!$F$64:$F$111,Checks!$A27,'INPUT Growth'!$E$64:$E$111,Checks!$C27,'INPUT Growth'!$D$64:$D$111,Checks!$B27)-SA!L90-GA!L90</f>
        <v>0</v>
      </c>
      <c r="L27" s="229">
        <f>SUMIFS('INPUT Growth'!AI$64:AI$111,'INPUT Growth'!$F$64:$F$111,Checks!$A27,'INPUT Growth'!$E$64:$E$111,Checks!$C27,'INPUT Growth'!$D$64:$D$111,Checks!$B27)-SA!M90-GA!M90</f>
        <v>0</v>
      </c>
      <c r="M27" s="229">
        <f>SUMIFS('INPUT Growth'!AJ$64:AJ$111,'INPUT Growth'!$F$64:$F$111,Checks!$A27,'INPUT Growth'!$E$64:$E$111,Checks!$C27,'INPUT Growth'!$D$64:$D$111,Checks!$B27)-SA!N90-GA!N90</f>
        <v>0</v>
      </c>
      <c r="N27" s="229">
        <f>SUMIFS('INPUT Growth'!AK$64:AK$111,'INPUT Growth'!$F$64:$F$111,Checks!$A27,'INPUT Growth'!$E$64:$E$111,Checks!$C27,'INPUT Growth'!$D$64:$D$111,Checks!$B27)-SA!O90-GA!O90</f>
        <v>0</v>
      </c>
      <c r="O27" s="229">
        <f>SUMIFS('INPUT Growth'!AL$64:AL$111,'INPUT Growth'!$F$64:$F$111,Checks!$A27,'INPUT Growth'!$E$64:$E$111,Checks!$C27,'INPUT Growth'!$D$64:$D$111,Checks!$B27)-SA!P90-GA!P90</f>
        <v>0</v>
      </c>
      <c r="P27" s="229">
        <f>SUMIFS('INPUT Growth'!AM$64:AM$111,'INPUT Growth'!$F$64:$F$111,Checks!$A27,'INPUT Growth'!$E$64:$E$111,Checks!$C27,'INPUT Growth'!$D$64:$D$111,Checks!$B27)-SA!Q90-GA!Q90</f>
        <v>0</v>
      </c>
      <c r="Q27" s="229">
        <f>SUMIFS('INPUT Growth'!AN$64:AN$111,'INPUT Growth'!$F$64:$F$111,Checks!$A27,'INPUT Growth'!$E$64:$E$111,Checks!$C27,'INPUT Growth'!$D$64:$D$111,Checks!$B27)-SA!R90-GA!R90</f>
        <v>0</v>
      </c>
      <c r="R27" s="229">
        <f>SUMIFS('INPUT Growth'!AO$64:AO$111,'INPUT Growth'!$F$64:$F$111,Checks!$A27,'INPUT Growth'!$E$64:$E$111,Checks!$C27,'INPUT Growth'!$D$64:$D$111,Checks!$B27)-SA!S90-GA!S90</f>
        <v>0</v>
      </c>
      <c r="S27" s="229">
        <f>SUMIFS('INPUT Growth'!AP$64:AP$111,'INPUT Growth'!$F$64:$F$111,Checks!$A27,'INPUT Growth'!$E$64:$E$111,Checks!$C27,'INPUT Growth'!$D$64:$D$111,Checks!$B27)-SA!T90-GA!T90</f>
        <v>0</v>
      </c>
      <c r="T27" s="229">
        <f>SUMIFS('INPUT Growth'!AQ$64:AQ$111,'INPUT Growth'!$F$64:$F$111,Checks!$A27,'INPUT Growth'!$E$64:$E$111,Checks!$C27,'INPUT Growth'!$D$64:$D$111,Checks!$B27)-SA!U90-GA!U90</f>
        <v>0</v>
      </c>
      <c r="U27" s="229">
        <f>SUMIFS('INPUT Growth'!AR$64:AR$111,'INPUT Growth'!$F$64:$F$111,Checks!$A27,'INPUT Growth'!$E$64:$E$111,Checks!$C27,'INPUT Growth'!$D$64:$D$111,Checks!$B27)-SA!V90-GA!V90</f>
        <v>0</v>
      </c>
      <c r="V27" s="229">
        <f>SUMIFS('INPUT Growth'!AS$64:AS$111,'INPUT Growth'!$F$64:$F$111,Checks!$A27,'INPUT Growth'!$E$64:$E$111,Checks!$C27,'INPUT Growth'!$D$64:$D$111,Checks!$B27)-SA!W90-GA!W90</f>
        <v>0</v>
      </c>
      <c r="W27" s="229">
        <f>SUMIFS('INPUT Growth'!AT$64:AT$111,'INPUT Growth'!$F$64:$F$111,Checks!$A27,'INPUT Growth'!$E$64:$E$111,Checks!$C27,'INPUT Growth'!$D$64:$D$111,Checks!$B27)-SA!X90-GA!X90</f>
        <v>0</v>
      </c>
      <c r="X27" s="229">
        <f>SUMIFS('INPUT Growth'!AU$64:AU$111,'INPUT Growth'!$F$64:$F$111,Checks!$A27,'INPUT Growth'!$E$64:$E$111,Checks!$C27,'INPUT Growth'!$D$64:$D$111,Checks!$B27)-SA!Y90-GA!Y90</f>
        <v>0</v>
      </c>
      <c r="Y27" s="229">
        <f>SUMIFS('INPUT Growth'!AV$64:AV$111,'INPUT Growth'!$F$64:$F$111,Checks!$A27,'INPUT Growth'!$E$64:$E$111,Checks!$C27,'INPUT Growth'!$D$64:$D$111,Checks!$B27)-SA!Z90-GA!Z90</f>
        <v>0</v>
      </c>
      <c r="Z27" s="229">
        <f>SUMIFS('INPUT Growth'!AW$64:AW$111,'INPUT Growth'!$F$64:$F$111,Checks!$A27,'INPUT Growth'!$E$64:$E$111,Checks!$C27,'INPUT Growth'!$D$64:$D$111,Checks!$B27)-SA!AA90-GA!AA90</f>
        <v>0</v>
      </c>
      <c r="AA27" s="229">
        <f>SUM(F27:Z27)</f>
        <v>0</v>
      </c>
    </row>
    <row r="28" spans="1:27" s="129" customFormat="1" ht="16.5" customHeight="1" thickBot="1" x14ac:dyDescent="0.25">
      <c r="A28" s="131" t="s">
        <v>262</v>
      </c>
      <c r="B28" s="221" t="s">
        <v>301</v>
      </c>
      <c r="C28" s="221" t="s">
        <v>407</v>
      </c>
      <c r="D28" s="35">
        <f t="shared" si="2"/>
        <v>1</v>
      </c>
      <c r="E28" s="224" t="s">
        <v>420</v>
      </c>
      <c r="F28" s="231"/>
      <c r="G28" s="229">
        <f>SUMIFS('INPUT Growth'!AD$64:AD$111,'INPUT Growth'!$F$64:$F$111,Checks!$A28,'INPUT Growth'!$E$64:$E$111,Checks!$C28,'INPUT Growth'!$D$64:$D$111,Checks!$B28)-SA!H111-GA!H111</f>
        <v>0</v>
      </c>
      <c r="H28" s="229">
        <f>SUMIFS('INPUT Growth'!AE$64:AE$111,'INPUT Growth'!$F$64:$F$111,Checks!$A28,'INPUT Growth'!$E$64:$E$111,Checks!$C28,'INPUT Growth'!$D$64:$D$111,Checks!$B28)-SA!I111-GA!I111</f>
        <v>0</v>
      </c>
      <c r="I28" s="229">
        <f>SUMIFS('INPUT Growth'!AF$64:AF$111,'INPUT Growth'!$F$64:$F$111,Checks!$A28,'INPUT Growth'!$E$64:$E$111,Checks!$C28,'INPUT Growth'!$D$64:$D$111,Checks!$B28)-SA!J111-GA!J111</f>
        <v>0</v>
      </c>
      <c r="J28" s="229">
        <f>SUMIFS('INPUT Growth'!AG$64:AG$111,'INPUT Growth'!$F$64:$F$111,Checks!$A28,'INPUT Growth'!$E$64:$E$111,Checks!$C28,'INPUT Growth'!$D$64:$D$111,Checks!$B28)-SA!K111-GA!K111</f>
        <v>0</v>
      </c>
      <c r="K28" s="229">
        <f>SUMIFS('INPUT Growth'!AH$64:AH$111,'INPUT Growth'!$F$64:$F$111,Checks!$A28,'INPUT Growth'!$E$64:$E$111,Checks!$C28,'INPUT Growth'!$D$64:$D$111,Checks!$B28)-SA!L111-GA!L111</f>
        <v>0</v>
      </c>
      <c r="L28" s="229">
        <f>SUMIFS('INPUT Growth'!AI$64:AI$111,'INPUT Growth'!$F$64:$F$111,Checks!$A28,'INPUT Growth'!$E$64:$E$111,Checks!$C28,'INPUT Growth'!$D$64:$D$111,Checks!$B28)-SA!M111-GA!M111</f>
        <v>0</v>
      </c>
      <c r="M28" s="229">
        <f>SUMIFS('INPUT Growth'!AJ$64:AJ$111,'INPUT Growth'!$F$64:$F$111,Checks!$A28,'INPUT Growth'!$E$64:$E$111,Checks!$C28,'INPUT Growth'!$D$64:$D$111,Checks!$B28)-SA!N111-GA!N111</f>
        <v>0</v>
      </c>
      <c r="N28" s="229">
        <f>SUMIFS('INPUT Growth'!AK$64:AK$111,'INPUT Growth'!$F$64:$F$111,Checks!$A28,'INPUT Growth'!$E$64:$E$111,Checks!$C28,'INPUT Growth'!$D$64:$D$111,Checks!$B28)-SA!O111-GA!O111</f>
        <v>0</v>
      </c>
      <c r="O28" s="229">
        <f>SUMIFS('INPUT Growth'!AL$64:AL$111,'INPUT Growth'!$F$64:$F$111,Checks!$A28,'INPUT Growth'!$E$64:$E$111,Checks!$C28,'INPUT Growth'!$D$64:$D$111,Checks!$B28)-SA!P111-GA!P111</f>
        <v>0</v>
      </c>
      <c r="P28" s="229">
        <f>SUMIFS('INPUT Growth'!AM$64:AM$111,'INPUT Growth'!$F$64:$F$111,Checks!$A28,'INPUT Growth'!$E$64:$E$111,Checks!$C28,'INPUT Growth'!$D$64:$D$111,Checks!$B28)-SA!Q111-GA!Q111</f>
        <v>0</v>
      </c>
      <c r="Q28" s="229">
        <f>SUMIFS('INPUT Growth'!AN$64:AN$111,'INPUT Growth'!$F$64:$F$111,Checks!$A28,'INPUT Growth'!$E$64:$E$111,Checks!$C28,'INPUT Growth'!$D$64:$D$111,Checks!$B28)-SA!R111-GA!R111</f>
        <v>0</v>
      </c>
      <c r="R28" s="229">
        <f>SUMIFS('INPUT Growth'!AO$64:AO$111,'INPUT Growth'!$F$64:$F$111,Checks!$A28,'INPUT Growth'!$E$64:$E$111,Checks!$C28,'INPUT Growth'!$D$64:$D$111,Checks!$B28)-SA!S111-GA!S111</f>
        <v>0</v>
      </c>
      <c r="S28" s="229">
        <f>SUMIFS('INPUT Growth'!AP$64:AP$111,'INPUT Growth'!$F$64:$F$111,Checks!$A28,'INPUT Growth'!$E$64:$E$111,Checks!$C28,'INPUT Growth'!$D$64:$D$111,Checks!$B28)-SA!T111-GA!T111</f>
        <v>0</v>
      </c>
      <c r="T28" s="229">
        <f>SUMIFS('INPUT Growth'!AQ$64:AQ$111,'INPUT Growth'!$F$64:$F$111,Checks!$A28,'INPUT Growth'!$E$64:$E$111,Checks!$C28,'INPUT Growth'!$D$64:$D$111,Checks!$B28)-SA!U111-GA!U111</f>
        <v>0</v>
      </c>
      <c r="U28" s="229">
        <f>SUMIFS('INPUT Growth'!AR$64:AR$111,'INPUT Growth'!$F$64:$F$111,Checks!$A28,'INPUT Growth'!$E$64:$E$111,Checks!$C28,'INPUT Growth'!$D$64:$D$111,Checks!$B28)-SA!V111-GA!V111</f>
        <v>0</v>
      </c>
      <c r="V28" s="229">
        <f>SUMIFS('INPUT Growth'!AS$64:AS$111,'INPUT Growth'!$F$64:$F$111,Checks!$A28,'INPUT Growth'!$E$64:$E$111,Checks!$C28,'INPUT Growth'!$D$64:$D$111,Checks!$B28)-SA!W111-GA!W111</f>
        <v>0</v>
      </c>
      <c r="W28" s="229">
        <f>SUMIFS('INPUT Growth'!AT$64:AT$111,'INPUT Growth'!$F$64:$F$111,Checks!$A28,'INPUT Growth'!$E$64:$E$111,Checks!$C28,'INPUT Growth'!$D$64:$D$111,Checks!$B28)-SA!X111-GA!X111</f>
        <v>0</v>
      </c>
      <c r="X28" s="229">
        <f>SUMIFS('INPUT Growth'!AU$64:AU$111,'INPUT Growth'!$F$64:$F$111,Checks!$A28,'INPUT Growth'!$E$64:$E$111,Checks!$C28,'INPUT Growth'!$D$64:$D$111,Checks!$B28)-SA!Y111-GA!Y111</f>
        <v>0</v>
      </c>
      <c r="Y28" s="229">
        <f>SUMIFS('INPUT Growth'!AV$64:AV$111,'INPUT Growth'!$F$64:$F$111,Checks!$A28,'INPUT Growth'!$E$64:$E$111,Checks!$C28,'INPUT Growth'!$D$64:$D$111,Checks!$B28)-SA!Z111-GA!Z111</f>
        <v>0</v>
      </c>
      <c r="Z28" s="229">
        <f>SUMIFS('INPUT Growth'!AW$64:AW$111,'INPUT Growth'!$F$64:$F$111,Checks!$A28,'INPUT Growth'!$E$64:$E$111,Checks!$C28,'INPUT Growth'!$D$64:$D$111,Checks!$B28)-SA!AA111-GA!AA111</f>
        <v>0</v>
      </c>
      <c r="AA28" s="229">
        <f t="shared" ref="AA28:AA30" si="4">SUM(F28:Z28)</f>
        <v>0</v>
      </c>
    </row>
    <row r="29" spans="1:27" s="129" customFormat="1" ht="16.5" customHeight="1" thickBot="1" x14ac:dyDescent="0.25">
      <c r="A29" s="131" t="s">
        <v>265</v>
      </c>
      <c r="B29" s="221" t="s">
        <v>301</v>
      </c>
      <c r="C29" s="221" t="s">
        <v>405</v>
      </c>
      <c r="D29" s="35">
        <f t="shared" si="2"/>
        <v>1</v>
      </c>
      <c r="E29" s="224" t="s">
        <v>421</v>
      </c>
      <c r="F29" s="231"/>
      <c r="G29" s="229">
        <f>SUMIFS('INPUT Growth'!AD$64:AD$111,'INPUT Growth'!$F$64:$F$111,Checks!$A29,'INPUT Growth'!$E$64:$E$111,Checks!$C29,'INPUT Growth'!$D$64:$D$111,Checks!$B29)-SA!H132-GA!H132</f>
        <v>0</v>
      </c>
      <c r="H29" s="229">
        <f>SUMIFS('INPUT Growth'!AE$64:AE$111,'INPUT Growth'!$F$64:$F$111,Checks!$A29,'INPUT Growth'!$E$64:$E$111,Checks!$C29,'INPUT Growth'!$D$64:$D$111,Checks!$B29)-SA!I132-GA!I132</f>
        <v>0</v>
      </c>
      <c r="I29" s="229">
        <f>SUMIFS('INPUT Growth'!AF$64:AF$111,'INPUT Growth'!$F$64:$F$111,Checks!$A29,'INPUT Growth'!$E$64:$E$111,Checks!$C29,'INPUT Growth'!$D$64:$D$111,Checks!$B29)-SA!J132-GA!J132</f>
        <v>0</v>
      </c>
      <c r="J29" s="229">
        <f>SUMIFS('INPUT Growth'!AG$64:AG$111,'INPUT Growth'!$F$64:$F$111,Checks!$A29,'INPUT Growth'!$E$64:$E$111,Checks!$C29,'INPUT Growth'!$D$64:$D$111,Checks!$B29)-SA!K132-GA!K132</f>
        <v>0</v>
      </c>
      <c r="K29" s="229">
        <f>SUMIFS('INPUT Growth'!AH$64:AH$111,'INPUT Growth'!$F$64:$F$111,Checks!$A29,'INPUT Growth'!$E$64:$E$111,Checks!$C29,'INPUT Growth'!$D$64:$D$111,Checks!$B29)-SA!L132-GA!L132</f>
        <v>0</v>
      </c>
      <c r="L29" s="229">
        <f>SUMIFS('INPUT Growth'!AI$64:AI$111,'INPUT Growth'!$F$64:$F$111,Checks!$A29,'INPUT Growth'!$E$64:$E$111,Checks!$C29,'INPUT Growth'!$D$64:$D$111,Checks!$B29)-SA!M132-GA!M132</f>
        <v>0</v>
      </c>
      <c r="M29" s="229">
        <f>SUMIFS('INPUT Growth'!AJ$64:AJ$111,'INPUT Growth'!$F$64:$F$111,Checks!$A29,'INPUT Growth'!$E$64:$E$111,Checks!$C29,'INPUT Growth'!$D$64:$D$111,Checks!$B29)-SA!N132-GA!N132</f>
        <v>0</v>
      </c>
      <c r="N29" s="229">
        <f>SUMIFS('INPUT Growth'!AK$64:AK$111,'INPUT Growth'!$F$64:$F$111,Checks!$A29,'INPUT Growth'!$E$64:$E$111,Checks!$C29,'INPUT Growth'!$D$64:$D$111,Checks!$B29)-SA!O132-GA!O132</f>
        <v>0</v>
      </c>
      <c r="O29" s="229">
        <f>SUMIFS('INPUT Growth'!AL$64:AL$111,'INPUT Growth'!$F$64:$F$111,Checks!$A29,'INPUT Growth'!$E$64:$E$111,Checks!$C29,'INPUT Growth'!$D$64:$D$111,Checks!$B29)-SA!P132-GA!P132</f>
        <v>0</v>
      </c>
      <c r="P29" s="229">
        <f>SUMIFS('INPUT Growth'!AM$64:AM$111,'INPUT Growth'!$F$64:$F$111,Checks!$A29,'INPUT Growth'!$E$64:$E$111,Checks!$C29,'INPUT Growth'!$D$64:$D$111,Checks!$B29)-SA!Q132-GA!Q132</f>
        <v>0</v>
      </c>
      <c r="Q29" s="229">
        <f>SUMIFS('INPUT Growth'!AN$64:AN$111,'INPUT Growth'!$F$64:$F$111,Checks!$A29,'INPUT Growth'!$E$64:$E$111,Checks!$C29,'INPUT Growth'!$D$64:$D$111,Checks!$B29)-SA!R132-GA!R132</f>
        <v>0</v>
      </c>
      <c r="R29" s="229">
        <f>SUMIFS('INPUT Growth'!AO$64:AO$111,'INPUT Growth'!$F$64:$F$111,Checks!$A29,'INPUT Growth'!$E$64:$E$111,Checks!$C29,'INPUT Growth'!$D$64:$D$111,Checks!$B29)-SA!S132-GA!S132</f>
        <v>0</v>
      </c>
      <c r="S29" s="229">
        <f>SUMIFS('INPUT Growth'!AP$64:AP$111,'INPUT Growth'!$F$64:$F$111,Checks!$A29,'INPUT Growth'!$E$64:$E$111,Checks!$C29,'INPUT Growth'!$D$64:$D$111,Checks!$B29)-SA!T132-GA!T132</f>
        <v>0</v>
      </c>
      <c r="T29" s="229">
        <f>SUMIFS('INPUT Growth'!AQ$64:AQ$111,'INPUT Growth'!$F$64:$F$111,Checks!$A29,'INPUT Growth'!$E$64:$E$111,Checks!$C29,'INPUT Growth'!$D$64:$D$111,Checks!$B29)-SA!U132-GA!U132</f>
        <v>0</v>
      </c>
      <c r="U29" s="229">
        <f>SUMIFS('INPUT Growth'!AR$64:AR$111,'INPUT Growth'!$F$64:$F$111,Checks!$A29,'INPUT Growth'!$E$64:$E$111,Checks!$C29,'INPUT Growth'!$D$64:$D$111,Checks!$B29)-SA!V132-GA!V132</f>
        <v>0</v>
      </c>
      <c r="V29" s="229">
        <f>SUMIFS('INPUT Growth'!AS$64:AS$111,'INPUT Growth'!$F$64:$F$111,Checks!$A29,'INPUT Growth'!$E$64:$E$111,Checks!$C29,'INPUT Growth'!$D$64:$D$111,Checks!$B29)-SA!W132-GA!W132</f>
        <v>0</v>
      </c>
      <c r="W29" s="229">
        <f>SUMIFS('INPUT Growth'!AT$64:AT$111,'INPUT Growth'!$F$64:$F$111,Checks!$A29,'INPUT Growth'!$E$64:$E$111,Checks!$C29,'INPUT Growth'!$D$64:$D$111,Checks!$B29)-SA!X132-GA!X132</f>
        <v>0</v>
      </c>
      <c r="X29" s="229">
        <f>SUMIFS('INPUT Growth'!AU$64:AU$111,'INPUT Growth'!$F$64:$F$111,Checks!$A29,'INPUT Growth'!$E$64:$E$111,Checks!$C29,'INPUT Growth'!$D$64:$D$111,Checks!$B29)-SA!Y132-GA!Y132</f>
        <v>0</v>
      </c>
      <c r="Y29" s="229">
        <f>SUMIFS('INPUT Growth'!AV$64:AV$111,'INPUT Growth'!$F$64:$F$111,Checks!$A29,'INPUT Growth'!$E$64:$E$111,Checks!$C29,'INPUT Growth'!$D$64:$D$111,Checks!$B29)-SA!Z132-GA!Z132</f>
        <v>0</v>
      </c>
      <c r="Z29" s="229">
        <f>SUMIFS('INPUT Growth'!AW$64:AW$111,'INPUT Growth'!$F$64:$F$111,Checks!$A29,'INPUT Growth'!$E$64:$E$111,Checks!$C29,'INPUT Growth'!$D$64:$D$111,Checks!$B29)-SA!AA132-GA!AA132</f>
        <v>0</v>
      </c>
      <c r="AA29" s="229">
        <f t="shared" si="4"/>
        <v>0</v>
      </c>
    </row>
    <row r="30" spans="1:27" s="129" customFormat="1" ht="16.5" customHeight="1" thickBot="1" x14ac:dyDescent="0.25">
      <c r="A30" s="131" t="s">
        <v>265</v>
      </c>
      <c r="B30" s="221" t="s">
        <v>301</v>
      </c>
      <c r="C30" s="221" t="s">
        <v>407</v>
      </c>
      <c r="D30" s="35">
        <f t="shared" si="2"/>
        <v>1</v>
      </c>
      <c r="E30" s="224" t="s">
        <v>422</v>
      </c>
      <c r="F30" s="233"/>
      <c r="G30" s="229">
        <f>SUMIFS('INPUT Growth'!AD$64:AD$111,'INPUT Growth'!$F$64:$F$111,Checks!$A30,'INPUT Growth'!$E$64:$E$111,Checks!$C30,'INPUT Growth'!$D$64:$D$111,Checks!$B30)-SA!H153-GA!H153</f>
        <v>0</v>
      </c>
      <c r="H30" s="229">
        <f>SUMIFS('INPUT Growth'!AE$64:AE$111,'INPUT Growth'!$F$64:$F$111,Checks!$A30,'INPUT Growth'!$E$64:$E$111,Checks!$C30,'INPUT Growth'!$D$64:$D$111,Checks!$B30)-SA!I153-GA!I153</f>
        <v>0</v>
      </c>
      <c r="I30" s="229">
        <f>SUMIFS('INPUT Growth'!AF$64:AF$111,'INPUT Growth'!$F$64:$F$111,Checks!$A30,'INPUT Growth'!$E$64:$E$111,Checks!$C30,'INPUT Growth'!$D$64:$D$111,Checks!$B30)-SA!J153-GA!J153</f>
        <v>0</v>
      </c>
      <c r="J30" s="229">
        <f>SUMIFS('INPUT Growth'!AG$64:AG$111,'INPUT Growth'!$F$64:$F$111,Checks!$A30,'INPUT Growth'!$E$64:$E$111,Checks!$C30,'INPUT Growth'!$D$64:$D$111,Checks!$B30)-SA!K153-GA!K153</f>
        <v>0</v>
      </c>
      <c r="K30" s="229">
        <f>SUMIFS('INPUT Growth'!AH$64:AH$111,'INPUT Growth'!$F$64:$F$111,Checks!$A30,'INPUT Growth'!$E$64:$E$111,Checks!$C30,'INPUT Growth'!$D$64:$D$111,Checks!$B30)-SA!L153-GA!L153</f>
        <v>0</v>
      </c>
      <c r="L30" s="229">
        <f>SUMIFS('INPUT Growth'!AI$64:AI$111,'INPUT Growth'!$F$64:$F$111,Checks!$A30,'INPUT Growth'!$E$64:$E$111,Checks!$C30,'INPUT Growth'!$D$64:$D$111,Checks!$B30)-SA!M153-GA!M153</f>
        <v>0</v>
      </c>
      <c r="M30" s="229">
        <f>SUMIFS('INPUT Growth'!AJ$64:AJ$111,'INPUT Growth'!$F$64:$F$111,Checks!$A30,'INPUT Growth'!$E$64:$E$111,Checks!$C30,'INPUT Growth'!$D$64:$D$111,Checks!$B30)-SA!N153-GA!N153</f>
        <v>0</v>
      </c>
      <c r="N30" s="229">
        <f>SUMIFS('INPUT Growth'!AK$64:AK$111,'INPUT Growth'!$F$64:$F$111,Checks!$A30,'INPUT Growth'!$E$64:$E$111,Checks!$C30,'INPUT Growth'!$D$64:$D$111,Checks!$B30)-SA!O153-GA!O153</f>
        <v>0</v>
      </c>
      <c r="O30" s="229">
        <f>SUMIFS('INPUT Growth'!AL$64:AL$111,'INPUT Growth'!$F$64:$F$111,Checks!$A30,'INPUT Growth'!$E$64:$E$111,Checks!$C30,'INPUT Growth'!$D$64:$D$111,Checks!$B30)-SA!P153-GA!P153</f>
        <v>0</v>
      </c>
      <c r="P30" s="229">
        <f>SUMIFS('INPUT Growth'!AM$64:AM$111,'INPUT Growth'!$F$64:$F$111,Checks!$A30,'INPUT Growth'!$E$64:$E$111,Checks!$C30,'INPUT Growth'!$D$64:$D$111,Checks!$B30)-SA!Q153-GA!Q153</f>
        <v>0</v>
      </c>
      <c r="Q30" s="229">
        <f>SUMIFS('INPUT Growth'!AN$64:AN$111,'INPUT Growth'!$F$64:$F$111,Checks!$A30,'INPUT Growth'!$E$64:$E$111,Checks!$C30,'INPUT Growth'!$D$64:$D$111,Checks!$B30)-SA!R153-GA!R153</f>
        <v>0</v>
      </c>
      <c r="R30" s="229">
        <f>SUMIFS('INPUT Growth'!AO$64:AO$111,'INPUT Growth'!$F$64:$F$111,Checks!$A30,'INPUT Growth'!$E$64:$E$111,Checks!$C30,'INPUT Growth'!$D$64:$D$111,Checks!$B30)-SA!S153-GA!S153</f>
        <v>0</v>
      </c>
      <c r="S30" s="229">
        <f>SUMIFS('INPUT Growth'!AP$64:AP$111,'INPUT Growth'!$F$64:$F$111,Checks!$A30,'INPUT Growth'!$E$64:$E$111,Checks!$C30,'INPUT Growth'!$D$64:$D$111,Checks!$B30)-SA!T153-GA!T153</f>
        <v>0</v>
      </c>
      <c r="T30" s="229">
        <f>SUMIFS('INPUT Growth'!AQ$64:AQ$111,'INPUT Growth'!$F$64:$F$111,Checks!$A30,'INPUT Growth'!$E$64:$E$111,Checks!$C30,'INPUT Growth'!$D$64:$D$111,Checks!$B30)-SA!U153-GA!U153</f>
        <v>0</v>
      </c>
      <c r="U30" s="229">
        <f>SUMIFS('INPUT Growth'!AR$64:AR$111,'INPUT Growth'!$F$64:$F$111,Checks!$A30,'INPUT Growth'!$E$64:$E$111,Checks!$C30,'INPUT Growth'!$D$64:$D$111,Checks!$B30)-SA!V153-GA!V153</f>
        <v>0</v>
      </c>
      <c r="V30" s="229">
        <f>SUMIFS('INPUT Growth'!AS$64:AS$111,'INPUT Growth'!$F$64:$F$111,Checks!$A30,'INPUT Growth'!$E$64:$E$111,Checks!$C30,'INPUT Growth'!$D$64:$D$111,Checks!$B30)-SA!W153-GA!W153</f>
        <v>0</v>
      </c>
      <c r="W30" s="229">
        <f>SUMIFS('INPUT Growth'!AT$64:AT$111,'INPUT Growth'!$F$64:$F$111,Checks!$A30,'INPUT Growth'!$E$64:$E$111,Checks!$C30,'INPUT Growth'!$D$64:$D$111,Checks!$B30)-SA!X153-GA!X153</f>
        <v>0</v>
      </c>
      <c r="X30" s="229">
        <f>SUMIFS('INPUT Growth'!AU$64:AU$111,'INPUT Growth'!$F$64:$F$111,Checks!$A30,'INPUT Growth'!$E$64:$E$111,Checks!$C30,'INPUT Growth'!$D$64:$D$111,Checks!$B30)-SA!Y153-GA!Y153</f>
        <v>0</v>
      </c>
      <c r="Y30" s="229">
        <f>SUMIFS('INPUT Growth'!AV$64:AV$111,'INPUT Growth'!$F$64:$F$111,Checks!$A30,'INPUT Growth'!$E$64:$E$111,Checks!$C30,'INPUT Growth'!$D$64:$D$111,Checks!$B30)-SA!Z153-GA!Z153</f>
        <v>0</v>
      </c>
      <c r="Z30" s="229">
        <f>SUMIFS('INPUT Growth'!AW$64:AW$111,'INPUT Growth'!$F$64:$F$111,Checks!$A30,'INPUT Growth'!$E$64:$E$111,Checks!$C30,'INPUT Growth'!$D$64:$D$111,Checks!$B30)-SA!AA153-GA!AA153</f>
        <v>0</v>
      </c>
      <c r="AA30" s="229">
        <f t="shared" si="4"/>
        <v>0</v>
      </c>
    </row>
    <row r="31" spans="1:27" s="129" customFormat="1" ht="12" thickBot="1" x14ac:dyDescent="0.25">
      <c r="A31" s="9"/>
      <c r="B31" s="9"/>
      <c r="C31" s="9"/>
      <c r="D31" s="22"/>
      <c r="E31" s="225"/>
      <c r="F31" s="233"/>
      <c r="G31" s="233"/>
      <c r="H31" s="233"/>
      <c r="I31" s="233"/>
      <c r="J31" s="233"/>
      <c r="K31" s="233"/>
      <c r="L31" s="233"/>
      <c r="M31" s="233"/>
      <c r="N31" s="233"/>
      <c r="O31" s="233"/>
      <c r="P31" s="233"/>
      <c r="Q31" s="233"/>
      <c r="R31" s="233"/>
      <c r="S31" s="233"/>
      <c r="T31" s="233"/>
      <c r="U31" s="233"/>
      <c r="V31" s="233"/>
      <c r="W31" s="233"/>
      <c r="X31" s="233"/>
      <c r="Y31" s="233"/>
      <c r="Z31" s="233"/>
      <c r="AA31" s="233"/>
    </row>
    <row r="32" spans="1:27" s="129" customFormat="1" ht="12" customHeight="1" thickBot="1" x14ac:dyDescent="0.25">
      <c r="A32" s="9"/>
      <c r="B32" s="9"/>
      <c r="C32" s="9"/>
      <c r="D32" s="18" t="s">
        <v>107</v>
      </c>
      <c r="E32" s="19" t="s">
        <v>423</v>
      </c>
      <c r="F32" s="228"/>
      <c r="G32" s="228"/>
      <c r="H32" s="228"/>
      <c r="I32" s="228"/>
      <c r="J32" s="228"/>
      <c r="K32" s="228"/>
      <c r="L32" s="228"/>
      <c r="M32" s="228"/>
      <c r="N32" s="228"/>
      <c r="O32" s="228"/>
      <c r="P32" s="228"/>
      <c r="Q32" s="228"/>
      <c r="R32" s="228"/>
      <c r="S32" s="228"/>
      <c r="T32" s="228"/>
      <c r="U32" s="228"/>
      <c r="V32" s="228"/>
      <c r="W32" s="228"/>
      <c r="X32" s="228"/>
      <c r="Y32" s="228"/>
      <c r="Z32" s="228"/>
      <c r="AA32" s="228"/>
    </row>
    <row r="33" spans="1:34" s="129" customFormat="1" ht="16.5" customHeight="1" thickBot="1" x14ac:dyDescent="0.25">
      <c r="A33" s="9"/>
      <c r="B33" s="9"/>
      <c r="C33" s="9"/>
      <c r="D33" s="35">
        <f>IF(OR(AA33&gt;-1,AA33&lt;1),1,0)</f>
        <v>1</v>
      </c>
      <c r="E33" s="225" t="s">
        <v>301</v>
      </c>
      <c r="F33" s="233"/>
      <c r="G33" s="233"/>
      <c r="H33" s="229">
        <f>SUMIFS('INPUT Opex'!AD$44:AD$55,'INPUT Opex'!$D$44:$D$55,Checks!$E33)-SW!H186-GW!H186</f>
        <v>0</v>
      </c>
      <c r="I33" s="229">
        <f>SUMIFS('INPUT Opex'!AE$44:AE$55,'INPUT Opex'!$D$44:$D$55,Checks!$E33)-SW!I186-GW!I186</f>
        <v>0</v>
      </c>
      <c r="J33" s="229">
        <f>SUMIFS('INPUT Opex'!AF$44:AF$55,'INPUT Opex'!$D$44:$D$55,Checks!$E33)-SW!J186-GW!J186</f>
        <v>0</v>
      </c>
      <c r="K33" s="229">
        <f>SUMIFS('INPUT Opex'!AG$44:AG$55,'INPUT Opex'!$D$44:$D$55,Checks!$E33)-SW!K186-GW!K186</f>
        <v>0</v>
      </c>
      <c r="L33" s="229">
        <f>SUMIFS('INPUT Opex'!AH$44:AH$55,'INPUT Opex'!$D$44:$D$55,Checks!$E33)-SW!L186-GW!L186</f>
        <v>0</v>
      </c>
      <c r="M33" s="229">
        <f>SUMIFS('INPUT Opex'!AI$44:AI$55,'INPUT Opex'!$D$44:$D$55,Checks!$E33)-SW!M186-GW!M186</f>
        <v>0</v>
      </c>
      <c r="N33" s="229">
        <f>SUMIFS('INPUT Opex'!AJ$44:AJ$55,'INPUT Opex'!$D$44:$D$55,Checks!$E33)-SW!N186-GW!N186</f>
        <v>0</v>
      </c>
      <c r="O33" s="229">
        <f>SUMIFS('INPUT Opex'!AK$44:AK$55,'INPUT Opex'!$D$44:$D$55,Checks!$E33)-SW!O186-GW!O186</f>
        <v>0</v>
      </c>
      <c r="P33" s="229">
        <f>SUMIFS('INPUT Opex'!AL$44:AL$55,'INPUT Opex'!$D$44:$D$55,Checks!$E33)-SW!P186-GW!P186</f>
        <v>0</v>
      </c>
      <c r="Q33" s="229">
        <f>SUMIFS('INPUT Opex'!AM$44:AM$55,'INPUT Opex'!$D$44:$D$55,Checks!$E33)-SW!Q186-GW!Q186</f>
        <v>0</v>
      </c>
      <c r="R33" s="229">
        <f>SUMIFS('INPUT Opex'!AN$44:AN$55,'INPUT Opex'!$D$44:$D$55,Checks!$E33)-SW!R186-GW!R186</f>
        <v>0</v>
      </c>
      <c r="S33" s="229">
        <f>SUMIFS('INPUT Opex'!AO$44:AO$55,'INPUT Opex'!$D$44:$D$55,Checks!$E33)-SW!S186-GW!S186</f>
        <v>0</v>
      </c>
      <c r="T33" s="229">
        <f>SUMIFS('INPUT Opex'!AP$44:AP$55,'INPUT Opex'!$D$44:$D$55,Checks!$E33)-SW!T186-GW!T186</f>
        <v>0</v>
      </c>
      <c r="U33" s="229">
        <f>SUMIFS('INPUT Opex'!AQ$44:AQ$55,'INPUT Opex'!$D$44:$D$55,Checks!$E33)-SW!U186-GW!U186</f>
        <v>0</v>
      </c>
      <c r="V33" s="229">
        <f>SUMIFS('INPUT Opex'!AR$44:AR$55,'INPUT Opex'!$D$44:$D$55,Checks!$E33)-SW!V186-GW!V186</f>
        <v>0</v>
      </c>
      <c r="W33" s="229">
        <f>SUMIFS('INPUT Opex'!AS$44:AS$55,'INPUT Opex'!$D$44:$D$55,Checks!$E33)-SW!W186-GW!W186</f>
        <v>0</v>
      </c>
      <c r="X33" s="229">
        <f>SUMIFS('INPUT Opex'!AT$44:AT$55,'INPUT Opex'!$D$44:$D$55,Checks!$E33)-SW!X186-GW!X186</f>
        <v>0</v>
      </c>
      <c r="Y33" s="229">
        <f>SUMIFS('INPUT Opex'!AU$44:AU$55,'INPUT Opex'!$D$44:$D$55,Checks!$E33)-SW!Y186-GW!Y186</f>
        <v>0</v>
      </c>
      <c r="Z33" s="229">
        <f>SUMIFS('INPUT Opex'!AV$44:AV$55,'INPUT Opex'!$D$44:$D$55,Checks!$E33)-SW!Z186-GW!Z186</f>
        <v>0</v>
      </c>
      <c r="AA33" s="229">
        <f>SUM(F33:Z33)</f>
        <v>0</v>
      </c>
    </row>
    <row r="34" spans="1:34" s="129" customFormat="1" ht="16.5" customHeight="1" thickBot="1" x14ac:dyDescent="0.25">
      <c r="A34" s="9"/>
      <c r="B34" s="9"/>
      <c r="C34" s="9"/>
      <c r="D34" s="35">
        <f t="shared" ref="D34:D36" si="5">IF(OR(AA34&gt;-1,AA34&lt;1),1,0)</f>
        <v>1</v>
      </c>
      <c r="E34" s="225" t="s">
        <v>303</v>
      </c>
      <c r="F34" s="233"/>
      <c r="G34" s="233"/>
      <c r="H34" s="229">
        <f>SUMIFS('INPUT Opex'!AD$44:AD$55,'INPUT Opex'!$D$44:$D$55,Checks!$E34)-SS!H186-GS!H186</f>
        <v>1.6007106751203537E-10</v>
      </c>
      <c r="I34" s="229">
        <f>SUMIFS('INPUT Opex'!AE$44:AE$55,'INPUT Opex'!$D$44:$D$55,Checks!$E34)-SS!I186-GS!I186</f>
        <v>2.6921043172478676E-10</v>
      </c>
      <c r="J34" s="229">
        <f>SUMIFS('INPUT Opex'!AF$44:AF$55,'INPUT Opex'!$D$44:$D$55,Checks!$E34)-SS!J186-GS!J186</f>
        <v>3.3469405025243759E-10</v>
      </c>
      <c r="K34" s="229">
        <f>SUMIFS('INPUT Opex'!AG$44:AG$55,'INPUT Opex'!$D$44:$D$55,Checks!$E34)-SS!K186-GS!K186</f>
        <v>-8.440110832452774E-10</v>
      </c>
      <c r="L34" s="229">
        <f>SUMIFS('INPUT Opex'!AH$44:AH$55,'INPUT Opex'!$D$44:$D$55,Checks!$E34)-SS!L186-GS!L186</f>
        <v>7.1304384618997574E-10</v>
      </c>
      <c r="M34" s="229">
        <f>SUMIFS('INPUT Opex'!AI$44:AI$55,'INPUT Opex'!$D$44:$D$55,Checks!$E34)-SS!M186-GS!M186</f>
        <v>2.3283064365386963E-10</v>
      </c>
      <c r="N34" s="229">
        <f>SUMIFS('INPUT Opex'!AJ$44:AJ$55,'INPUT Opex'!$D$44:$D$55,Checks!$E34)-SS!N186-GS!N186</f>
        <v>2.3283064365386963E-10</v>
      </c>
      <c r="O34" s="229">
        <f>SUMIFS('INPUT Opex'!AK$44:AK$55,'INPUT Opex'!$D$44:$D$55,Checks!$E34)-SS!O186-GS!O186</f>
        <v>0</v>
      </c>
      <c r="P34" s="229">
        <f>SUMIFS('INPUT Opex'!AL$44:AL$55,'INPUT Opex'!$D$44:$D$55,Checks!$E34)-SS!P186-GS!P186</f>
        <v>1.57160684466362E-9</v>
      </c>
      <c r="Q34" s="229">
        <f>SUMIFS('INPUT Opex'!AM$44:AM$55,'INPUT Opex'!$D$44:$D$55,Checks!$E34)-SS!Q186-GS!Q186</f>
        <v>1.3096723705530167E-9</v>
      </c>
      <c r="R34" s="229">
        <f>SUMIFS('INPUT Opex'!AN$44:AN$55,'INPUT Opex'!$D$44:$D$55,Checks!$E34)-SS!R186-GS!R186</f>
        <v>-8.440110832452774E-10</v>
      </c>
      <c r="S34" s="229">
        <f>SUMIFS('INPUT Opex'!AO$44:AO$55,'INPUT Opex'!$D$44:$D$55,Checks!$E34)-SS!S186-GS!S186</f>
        <v>4.0745362639427185E-10</v>
      </c>
      <c r="T34" s="229">
        <f>SUMIFS('INPUT Opex'!AP$44:AP$55,'INPUT Opex'!$D$44:$D$55,Checks!$E34)-SS!T186-GS!T186</f>
        <v>-5.2386894822120667E-10</v>
      </c>
      <c r="U34" s="229">
        <f>SUMIFS('INPUT Opex'!AQ$44:AQ$55,'INPUT Opex'!$D$44:$D$55,Checks!$E34)-SS!U186-GS!U186</f>
        <v>1.1641532182693481E-9</v>
      </c>
      <c r="V34" s="229">
        <f>SUMIFS('INPUT Opex'!AR$44:AR$55,'INPUT Opex'!$D$44:$D$55,Checks!$E34)-SS!V186-GS!V186</f>
        <v>7.5669959187507629E-10</v>
      </c>
      <c r="W34" s="229">
        <f>SUMIFS('INPUT Opex'!AS$44:AS$55,'INPUT Opex'!$D$44:$D$55,Checks!$E34)-SS!W186-GS!W186</f>
        <v>-6.9849193096160889E-10</v>
      </c>
      <c r="X34" s="229">
        <f>SUMIFS('INPUT Opex'!AT$44:AT$55,'INPUT Opex'!$D$44:$D$55,Checks!$E34)-SS!X186-GS!X186</f>
        <v>1.6880221664905548E-9</v>
      </c>
      <c r="Y34" s="229">
        <f>SUMIFS('INPUT Opex'!AU$44:AU$55,'INPUT Opex'!$D$44:$D$55,Checks!$E34)-SS!Y186-GS!Y186</f>
        <v>4.6566128730773926E-10</v>
      </c>
      <c r="Z34" s="229">
        <f>SUMIFS('INPUT Opex'!AV$44:AV$55,'INPUT Opex'!$D$44:$D$55,Checks!$E34)-SS!Z186-GS!Z186</f>
        <v>5.2386894822120667E-10</v>
      </c>
      <c r="AA34" s="229">
        <f>SUM(F34:Z34)</f>
        <v>6.919435691088438E-9</v>
      </c>
    </row>
    <row r="35" spans="1:34" s="129" customFormat="1" ht="16.5" customHeight="1" thickBot="1" x14ac:dyDescent="0.25">
      <c r="A35" s="9"/>
      <c r="B35" s="9"/>
      <c r="C35" s="9"/>
      <c r="D35" s="35">
        <f t="shared" si="5"/>
        <v>1</v>
      </c>
      <c r="E35" s="225" t="s">
        <v>310</v>
      </c>
      <c r="F35" s="233"/>
      <c r="G35" s="233"/>
      <c r="H35" s="229">
        <f>SUMIFS('INPUT Opex'!AD$44:AD$55,'INPUT Opex'!$D$44:$D$55,Checks!$E35)-WR!H186-GR!H186</f>
        <v>0</v>
      </c>
      <c r="I35" s="229">
        <f>SUMIFS('INPUT Opex'!AE$44:AE$55,'INPUT Opex'!$D$44:$D$55,Checks!$E35)-WR!I186-GR!I186</f>
        <v>0</v>
      </c>
      <c r="J35" s="229">
        <f>SUMIFS('INPUT Opex'!AF$44:AF$55,'INPUT Opex'!$D$44:$D$55,Checks!$E35)-WR!J186-GR!J186</f>
        <v>0</v>
      </c>
      <c r="K35" s="229">
        <f>SUMIFS('INPUT Opex'!AG$44:AG$55,'INPUT Opex'!$D$44:$D$55,Checks!$E35)-WR!K186-GR!K186</f>
        <v>0</v>
      </c>
      <c r="L35" s="229">
        <f>SUMIFS('INPUT Opex'!AH$44:AH$55,'INPUT Opex'!$D$44:$D$55,Checks!$E35)-WR!L186-GR!L186</f>
        <v>0</v>
      </c>
      <c r="M35" s="229">
        <f>SUMIFS('INPUT Opex'!AI$44:AI$55,'INPUT Opex'!$D$44:$D$55,Checks!$E35)-WR!M186-GR!M186</f>
        <v>0</v>
      </c>
      <c r="N35" s="229">
        <f>SUMIFS('INPUT Opex'!AJ$44:AJ$55,'INPUT Opex'!$D$44:$D$55,Checks!$E35)-WR!N186-GR!N186</f>
        <v>0</v>
      </c>
      <c r="O35" s="229">
        <f>SUMIFS('INPUT Opex'!AK$44:AK$55,'INPUT Opex'!$D$44:$D$55,Checks!$E35)-WR!O186-GR!O186</f>
        <v>0</v>
      </c>
      <c r="P35" s="229">
        <f>SUMIFS('INPUT Opex'!AL$44:AL$55,'INPUT Opex'!$D$44:$D$55,Checks!$E35)-WR!P186-GR!P186</f>
        <v>0</v>
      </c>
      <c r="Q35" s="229">
        <f>SUMIFS('INPUT Opex'!AM$44:AM$55,'INPUT Opex'!$D$44:$D$55,Checks!$E35)-WR!Q186-GR!Q186</f>
        <v>0</v>
      </c>
      <c r="R35" s="229">
        <f>SUMIFS('INPUT Opex'!AN$44:AN$55,'INPUT Opex'!$D$44:$D$55,Checks!$E35)-WR!R186-GR!R186</f>
        <v>0</v>
      </c>
      <c r="S35" s="229">
        <f>SUMIFS('INPUT Opex'!AO$44:AO$55,'INPUT Opex'!$D$44:$D$55,Checks!$E35)-WR!S186-GR!S186</f>
        <v>0</v>
      </c>
      <c r="T35" s="229">
        <f>SUMIFS('INPUT Opex'!AP$44:AP$55,'INPUT Opex'!$D$44:$D$55,Checks!$E35)-WR!T186-GR!T186</f>
        <v>0</v>
      </c>
      <c r="U35" s="229">
        <f>SUMIFS('INPUT Opex'!AQ$44:AQ$55,'INPUT Opex'!$D$44:$D$55,Checks!$E35)-WR!U186-GR!U186</f>
        <v>0</v>
      </c>
      <c r="V35" s="229">
        <f>SUMIFS('INPUT Opex'!AR$44:AR$55,'INPUT Opex'!$D$44:$D$55,Checks!$E35)-WR!V186-GR!V186</f>
        <v>0</v>
      </c>
      <c r="W35" s="229">
        <f>SUMIFS('INPUT Opex'!AS$44:AS$55,'INPUT Opex'!$D$44:$D$55,Checks!$E35)-WR!W186-GR!W186</f>
        <v>0</v>
      </c>
      <c r="X35" s="229">
        <f>SUMIFS('INPUT Opex'!AT$44:AT$55,'INPUT Opex'!$D$44:$D$55,Checks!$E35)-WR!X186-GR!X186</f>
        <v>0</v>
      </c>
      <c r="Y35" s="229">
        <f>SUMIFS('INPUT Opex'!AU$44:AU$55,'INPUT Opex'!$D$44:$D$55,Checks!$E35)-WR!Y186-GR!Y186</f>
        <v>0</v>
      </c>
      <c r="Z35" s="229">
        <f>SUMIFS('INPUT Opex'!AV$44:AV$55,'INPUT Opex'!$D$44:$D$55,Checks!$E35)-WR!Z186-GR!Z186</f>
        <v>0</v>
      </c>
      <c r="AA35" s="229">
        <f>SUM(F35:Z35)</f>
        <v>0</v>
      </c>
    </row>
    <row r="36" spans="1:34" s="129" customFormat="1" ht="16.5" customHeight="1" thickBot="1" x14ac:dyDescent="0.25">
      <c r="A36" s="9"/>
      <c r="B36" s="9"/>
      <c r="C36" s="9"/>
      <c r="D36" s="35">
        <f t="shared" si="5"/>
        <v>1</v>
      </c>
      <c r="E36" s="225" t="s">
        <v>424</v>
      </c>
      <c r="F36" s="233"/>
      <c r="G36" s="233"/>
      <c r="H36" s="229">
        <f>SUMIFS('INPUT Opex'!AD$44:AD$55,'INPUT Opex'!$D$44:$D$55,Checks!$E36)-SA!H186-GA!H186</f>
        <v>0</v>
      </c>
      <c r="I36" s="229">
        <f>SUMIFS('INPUT Opex'!AE$44:AE$55,'INPUT Opex'!$D$44:$D$55,Checks!$E36)-SA!I186-GA!I186</f>
        <v>0</v>
      </c>
      <c r="J36" s="229">
        <f>SUMIFS('INPUT Opex'!AF$44:AF$55,'INPUT Opex'!$D$44:$D$55,Checks!$E36)-SA!J186-GA!J186</f>
        <v>0</v>
      </c>
      <c r="K36" s="229">
        <f>SUMIFS('INPUT Opex'!AG$44:AG$55,'INPUT Opex'!$D$44:$D$55,Checks!$E36)-SA!K186-GA!K186</f>
        <v>0</v>
      </c>
      <c r="L36" s="229">
        <f>SUMIFS('INPUT Opex'!AH$44:AH$55,'INPUT Opex'!$D$44:$D$55,Checks!$E36)-SA!L186-GA!L186</f>
        <v>0</v>
      </c>
      <c r="M36" s="229">
        <f>SUMIFS('INPUT Opex'!AI$44:AI$55,'INPUT Opex'!$D$44:$D$55,Checks!$E36)-SA!M186-GA!M186</f>
        <v>0</v>
      </c>
      <c r="N36" s="229">
        <f>SUMIFS('INPUT Opex'!AJ$44:AJ$55,'INPUT Opex'!$D$44:$D$55,Checks!$E36)-SA!N186-GA!N186</f>
        <v>0</v>
      </c>
      <c r="O36" s="229">
        <f>SUMIFS('INPUT Opex'!AK$44:AK$55,'INPUT Opex'!$D$44:$D$55,Checks!$E36)-SA!O186-GA!O186</f>
        <v>0</v>
      </c>
      <c r="P36" s="229">
        <f>SUMIFS('INPUT Opex'!AL$44:AL$55,'INPUT Opex'!$D$44:$D$55,Checks!$E36)-SA!P186-GA!P186</f>
        <v>0</v>
      </c>
      <c r="Q36" s="229">
        <f>SUMIFS('INPUT Opex'!AM$44:AM$55,'INPUT Opex'!$D$44:$D$55,Checks!$E36)-SA!Q186-GA!Q186</f>
        <v>0</v>
      </c>
      <c r="R36" s="229">
        <f>SUMIFS('INPUT Opex'!AN$44:AN$55,'INPUT Opex'!$D$44:$D$55,Checks!$E36)-SA!R186-GA!R186</f>
        <v>1.4901161193847656E-8</v>
      </c>
      <c r="S36" s="229">
        <f>SUMIFS('INPUT Opex'!AO$44:AO$55,'INPUT Opex'!$D$44:$D$55,Checks!$E36)-SA!S186-GA!S186</f>
        <v>0</v>
      </c>
      <c r="T36" s="229">
        <f>SUMIFS('INPUT Opex'!AP$44:AP$55,'INPUT Opex'!$D$44:$D$55,Checks!$E36)-SA!T186-GA!T186</f>
        <v>0</v>
      </c>
      <c r="U36" s="229">
        <f>SUMIFS('INPUT Opex'!AQ$44:AQ$55,'INPUT Opex'!$D$44:$D$55,Checks!$E36)-SA!U186-GA!U186</f>
        <v>1.4901161193847656E-8</v>
      </c>
      <c r="V36" s="229">
        <f>SUMIFS('INPUT Opex'!AR$44:AR$55,'INPUT Opex'!$D$44:$D$55,Checks!$E36)-SA!V186-GA!V186</f>
        <v>0</v>
      </c>
      <c r="W36" s="229">
        <f>SUMIFS('INPUT Opex'!AS$44:AS$55,'INPUT Opex'!$D$44:$D$55,Checks!$E36)-SA!W186-GA!W186</f>
        <v>0</v>
      </c>
      <c r="X36" s="229">
        <f>SUMIFS('INPUT Opex'!AT$44:AT$55,'INPUT Opex'!$D$44:$D$55,Checks!$E36)-SA!X186-GA!X186</f>
        <v>0</v>
      </c>
      <c r="Y36" s="229">
        <f>SUMIFS('INPUT Opex'!AU$44:AU$55,'INPUT Opex'!$D$44:$D$55,Checks!$E36)-SA!Y186-GA!Y186</f>
        <v>0</v>
      </c>
      <c r="Z36" s="229">
        <f>SUMIFS('INPUT Opex'!AV$44:AV$55,'INPUT Opex'!$D$44:$D$55,Checks!$E36)-SA!Z186-GA!Z186</f>
        <v>0</v>
      </c>
      <c r="AA36" s="229">
        <f>SUM(F36:Z36)</f>
        <v>2.9802322387695313E-8</v>
      </c>
    </row>
    <row r="37" spans="1:34" s="129" customFormat="1" ht="27.75" customHeight="1" thickBot="1" x14ac:dyDescent="0.25">
      <c r="A37" s="9"/>
      <c r="B37" s="9"/>
      <c r="C37" s="9"/>
      <c r="D37" s="22"/>
      <c r="E37" s="38"/>
      <c r="F37" s="233"/>
      <c r="G37" s="233"/>
      <c r="H37" s="229"/>
      <c r="I37" s="229"/>
      <c r="J37" s="229"/>
      <c r="K37" s="229"/>
      <c r="L37" s="229"/>
      <c r="M37" s="229"/>
      <c r="N37" s="229"/>
      <c r="O37" s="229"/>
      <c r="P37" s="229"/>
      <c r="Q37" s="229"/>
      <c r="R37" s="229"/>
      <c r="S37" s="229"/>
      <c r="T37" s="229"/>
      <c r="U37" s="229"/>
      <c r="V37" s="229"/>
      <c r="W37" s="229"/>
      <c r="X37" s="229"/>
      <c r="Y37" s="229"/>
      <c r="Z37" s="229"/>
      <c r="AA37" s="229"/>
    </row>
    <row r="38" spans="1:34" x14ac:dyDescent="0.2">
      <c r="A38" s="9"/>
      <c r="B38" s="127" t="s">
        <v>45</v>
      </c>
      <c r="C38" s="127"/>
      <c r="D38" s="127"/>
      <c r="E38" s="127"/>
      <c r="F38" s="127"/>
      <c r="G38" s="128"/>
      <c r="H38" s="127"/>
      <c r="I38" s="127"/>
      <c r="J38" s="127"/>
      <c r="K38" s="127"/>
      <c r="L38" s="127"/>
      <c r="M38" s="127"/>
      <c r="N38" s="127"/>
      <c r="O38" s="127"/>
      <c r="P38" s="127"/>
      <c r="Q38" s="127"/>
      <c r="R38" s="127"/>
      <c r="S38" s="127"/>
      <c r="T38" s="127"/>
      <c r="U38" s="127"/>
      <c r="V38" s="127"/>
      <c r="W38" s="127"/>
      <c r="X38" s="127"/>
      <c r="Y38" s="127"/>
      <c r="Z38" s="127"/>
      <c r="AA38" s="127"/>
      <c r="AB38" s="130"/>
      <c r="AC38" s="130"/>
      <c r="AD38" s="130"/>
      <c r="AE38" s="130"/>
      <c r="AF38" s="130"/>
      <c r="AG38" s="130"/>
      <c r="AH38" s="130"/>
    </row>
    <row r="39" spans="1:34" x14ac:dyDescent="0.2">
      <c r="A39" s="9"/>
    </row>
    <row r="42" spans="1:34" hidden="1" x14ac:dyDescent="0.2">
      <c r="C42" s="34"/>
    </row>
    <row r="43" spans="1:34" hidden="1" x14ac:dyDescent="0.2">
      <c r="C43" s="34"/>
    </row>
    <row r="44" spans="1:34" x14ac:dyDescent="0.2"/>
  </sheetData>
  <mergeCells count="3">
    <mergeCell ref="B2:AA2"/>
    <mergeCell ref="B3:AA3"/>
    <mergeCell ref="B4:AA4"/>
  </mergeCells>
  <conditionalFormatting sqref="D7:D8">
    <cfRule type="cellIs" dxfId="20" priority="1" operator="equal">
      <formula>0</formula>
    </cfRule>
    <cfRule type="cellIs" dxfId="19" priority="2" operator="equal">
      <formula>1</formula>
    </cfRule>
  </conditionalFormatting>
  <conditionalFormatting sqref="D11:D12">
    <cfRule type="cellIs" dxfId="18" priority="3" operator="equal">
      <formula>0</formula>
    </cfRule>
    <cfRule type="cellIs" dxfId="17" priority="4" operator="equal">
      <formula>1</formula>
    </cfRule>
  </conditionalFormatting>
  <conditionalFormatting sqref="D15:D30">
    <cfRule type="cellIs" dxfId="16" priority="5" operator="equal">
      <formula>0</formula>
    </cfRule>
    <cfRule type="cellIs" dxfId="15" priority="6" operator="equal">
      <formula>1</formula>
    </cfRule>
  </conditionalFormatting>
  <conditionalFormatting sqref="D33:D36">
    <cfRule type="cellIs" dxfId="14" priority="7" operator="equal">
      <formula>0</formula>
    </cfRule>
    <cfRule type="cellIs" dxfId="13" priority="8" operator="equal">
      <formula>1</formula>
    </cfRule>
  </conditionalFormatting>
  <pageMargins left="0.7" right="0.7" top="0.75" bottom="0.75" header="0.3" footer="0.3"/>
  <pageSetup paperSize="9" orientation="portrait"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11426-7438-44FE-A277-9B2EC706F9F6}">
  <sheetPr codeName="Sheet3">
    <tabColor rgb="FFFF6565"/>
  </sheetPr>
  <dimension ref="A1:BO132"/>
  <sheetViews>
    <sheetView showGridLines="0" zoomScaleNormal="100" workbookViewId="0">
      <pane xSplit="4" ySplit="7" topLeftCell="E8" activePane="bottomRight" state="frozen"/>
      <selection pane="topRight" activeCell="AA111" sqref="AA111"/>
      <selection pane="bottomLeft" activeCell="AA111" sqref="AA111"/>
      <selection pane="bottomRight"/>
    </sheetView>
  </sheetViews>
  <sheetFormatPr defaultColWidth="11" defaultRowHeight="12.75" outlineLevelCol="1" x14ac:dyDescent="0.2"/>
  <cols>
    <col min="1" max="1" width="3.5" style="61" customWidth="1"/>
    <col min="2" max="2" width="8.1640625" style="61" customWidth="1"/>
    <col min="3" max="3" width="33.83203125" style="61" customWidth="1"/>
    <col min="4" max="4" width="38.6640625" style="61" customWidth="1"/>
    <col min="5" max="5" width="12" style="63" customWidth="1"/>
    <col min="6" max="8" width="12" style="61" customWidth="1"/>
    <col min="9" max="12" width="12" style="61" hidden="1" customWidth="1" outlineLevel="1"/>
    <col min="13" max="14" width="10.1640625" style="61" hidden="1" customWidth="1" outlineLevel="1"/>
    <col min="15" max="15" width="12.6640625" style="61" hidden="1" customWidth="1" outlineLevel="1"/>
    <col min="16" max="18" width="11.6640625" style="61" hidden="1" customWidth="1" outlineLevel="1"/>
    <col min="19" max="26" width="12.6640625" style="61" hidden="1" customWidth="1" outlineLevel="1"/>
    <col min="27" max="27" width="14.83203125" style="61" hidden="1" customWidth="1" outlineLevel="1"/>
    <col min="28" max="28" width="15.6640625" style="61" bestFit="1" customWidth="1" collapsed="1"/>
    <col min="29" max="29" width="15.6640625" style="61" bestFit="1" customWidth="1"/>
    <col min="30" max="30" width="20.5" style="61" customWidth="1"/>
    <col min="31" max="34" width="15.6640625" style="61" bestFit="1" customWidth="1"/>
    <col min="35" max="35" width="17.33203125" style="61" bestFit="1" customWidth="1"/>
    <col min="36" max="53" width="15.6640625" style="61" bestFit="1" customWidth="1"/>
    <col min="54" max="64" width="15.6640625" style="51" bestFit="1" customWidth="1"/>
    <col min="65" max="16384" width="11" style="51"/>
  </cols>
  <sheetData>
    <row r="1" spans="1:66" ht="15.75" x14ac:dyDescent="0.25">
      <c r="A1" s="51"/>
      <c r="B1" s="52" t="s">
        <v>425</v>
      </c>
      <c r="C1" s="51"/>
      <c r="D1" s="51"/>
      <c r="E1" s="53"/>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47"/>
      <c r="AY1" s="47"/>
      <c r="AZ1" s="47"/>
      <c r="BA1" s="47"/>
      <c r="BB1" s="47"/>
      <c r="BC1" s="47"/>
      <c r="BD1" s="47"/>
      <c r="BE1" s="47"/>
      <c r="BF1" s="47"/>
      <c r="BG1" s="47"/>
      <c r="BH1" s="47"/>
      <c r="BI1" s="47"/>
      <c r="BJ1" s="47"/>
      <c r="BK1" s="47"/>
      <c r="BL1" s="47"/>
      <c r="BM1" s="47"/>
      <c r="BN1" s="47"/>
    </row>
    <row r="2" spans="1:66" ht="15.75" hidden="1" x14ac:dyDescent="0.25">
      <c r="A2" s="51"/>
      <c r="B2" s="51"/>
      <c r="C2" s="51"/>
      <c r="D2" s="51"/>
      <c r="E2" s="53"/>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47"/>
      <c r="AY2" s="47"/>
      <c r="AZ2" s="47"/>
      <c r="BA2" s="47"/>
      <c r="BB2" s="47"/>
      <c r="BC2" s="47"/>
      <c r="BD2" s="47"/>
      <c r="BE2" s="47"/>
      <c r="BF2" s="47"/>
      <c r="BG2" s="47"/>
      <c r="BH2" s="47"/>
      <c r="BI2" s="47"/>
      <c r="BJ2" s="47"/>
      <c r="BK2" s="47"/>
      <c r="BL2" s="47"/>
      <c r="BM2" s="47"/>
      <c r="BN2" s="47"/>
    </row>
    <row r="3" spans="1:66" ht="15.75" hidden="1" x14ac:dyDescent="0.25">
      <c r="A3" s="51"/>
      <c r="B3" s="51"/>
      <c r="C3" s="51"/>
      <c r="D3" s="51"/>
      <c r="E3" s="53"/>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47"/>
      <c r="AY3" s="47"/>
      <c r="AZ3" s="47"/>
      <c r="BA3" s="47"/>
      <c r="BB3" s="47"/>
      <c r="BC3" s="47"/>
      <c r="BD3" s="47"/>
      <c r="BE3" s="47"/>
      <c r="BF3" s="47"/>
      <c r="BG3" s="47"/>
      <c r="BH3" s="47"/>
      <c r="BI3" s="47"/>
      <c r="BJ3" s="47"/>
      <c r="BK3" s="47"/>
      <c r="BL3" s="47"/>
      <c r="BM3" s="47"/>
      <c r="BN3" s="47"/>
    </row>
    <row r="4" spans="1:66" ht="15.75" x14ac:dyDescent="0.25">
      <c r="A4" s="51"/>
      <c r="B4" s="51"/>
      <c r="C4" s="51" t="s">
        <v>426</v>
      </c>
      <c r="D4" s="51"/>
      <c r="E4" s="53"/>
      <c r="F4" s="51"/>
      <c r="G4" s="51"/>
      <c r="H4" s="51"/>
      <c r="I4" s="54">
        <f t="shared" ref="I4:AC4" si="0">J4-1</f>
        <v>-20</v>
      </c>
      <c r="J4" s="54">
        <f t="shared" si="0"/>
        <v>-19</v>
      </c>
      <c r="K4" s="54">
        <f t="shared" si="0"/>
        <v>-18</v>
      </c>
      <c r="L4" s="54">
        <f t="shared" si="0"/>
        <v>-17</v>
      </c>
      <c r="M4" s="54">
        <f t="shared" si="0"/>
        <v>-16</v>
      </c>
      <c r="N4" s="54">
        <f t="shared" si="0"/>
        <v>-15</v>
      </c>
      <c r="O4" s="54">
        <f t="shared" si="0"/>
        <v>-14</v>
      </c>
      <c r="P4" s="54">
        <f t="shared" si="0"/>
        <v>-13</v>
      </c>
      <c r="Q4" s="54">
        <f t="shared" si="0"/>
        <v>-12</v>
      </c>
      <c r="R4" s="54">
        <f t="shared" si="0"/>
        <v>-11</v>
      </c>
      <c r="S4" s="54">
        <f t="shared" si="0"/>
        <v>-10</v>
      </c>
      <c r="T4" s="54">
        <f t="shared" si="0"/>
        <v>-9</v>
      </c>
      <c r="U4" s="54">
        <f t="shared" si="0"/>
        <v>-8</v>
      </c>
      <c r="V4" s="54">
        <f t="shared" si="0"/>
        <v>-7</v>
      </c>
      <c r="W4" s="54">
        <f t="shared" si="0"/>
        <v>-6</v>
      </c>
      <c r="X4" s="54">
        <f t="shared" si="0"/>
        <v>-5</v>
      </c>
      <c r="Y4" s="54">
        <f t="shared" si="0"/>
        <v>-4</v>
      </c>
      <c r="Z4" s="54">
        <f t="shared" si="0"/>
        <v>-3</v>
      </c>
      <c r="AA4" s="54">
        <f t="shared" si="0"/>
        <v>-2</v>
      </c>
      <c r="AB4" s="54">
        <f t="shared" si="0"/>
        <v>-1</v>
      </c>
      <c r="AC4" s="54">
        <f t="shared" si="0"/>
        <v>0</v>
      </c>
      <c r="AD4" s="54">
        <v>1</v>
      </c>
      <c r="AE4" s="54">
        <f t="shared" ref="AE4:AT6" si="1">AD4+1</f>
        <v>2</v>
      </c>
      <c r="AF4" s="54">
        <f t="shared" si="1"/>
        <v>3</v>
      </c>
      <c r="AG4" s="54">
        <f t="shared" si="1"/>
        <v>4</v>
      </c>
      <c r="AH4" s="54">
        <f t="shared" si="1"/>
        <v>5</v>
      </c>
      <c r="AI4" s="54">
        <f t="shared" si="1"/>
        <v>6</v>
      </c>
      <c r="AJ4" s="54">
        <f t="shared" si="1"/>
        <v>7</v>
      </c>
      <c r="AK4" s="54">
        <f t="shared" si="1"/>
        <v>8</v>
      </c>
      <c r="AL4" s="54">
        <f t="shared" si="1"/>
        <v>9</v>
      </c>
      <c r="AM4" s="54">
        <f t="shared" si="1"/>
        <v>10</v>
      </c>
      <c r="AN4" s="54">
        <f t="shared" si="1"/>
        <v>11</v>
      </c>
      <c r="AO4" s="54">
        <f t="shared" si="1"/>
        <v>12</v>
      </c>
      <c r="AP4" s="54">
        <f t="shared" si="1"/>
        <v>13</v>
      </c>
      <c r="AQ4" s="54">
        <f t="shared" si="1"/>
        <v>14</v>
      </c>
      <c r="AR4" s="54">
        <f t="shared" si="1"/>
        <v>15</v>
      </c>
      <c r="AS4" s="54">
        <f t="shared" si="1"/>
        <v>16</v>
      </c>
      <c r="AT4" s="54">
        <f t="shared" si="1"/>
        <v>17</v>
      </c>
      <c r="AU4" s="54">
        <f t="shared" ref="AU4:BJ6" si="2">AT4+1</f>
        <v>18</v>
      </c>
      <c r="AV4" s="54">
        <f t="shared" si="2"/>
        <v>19</v>
      </c>
      <c r="AW4" s="54">
        <f t="shared" si="2"/>
        <v>20</v>
      </c>
      <c r="AX4" s="54">
        <f t="shared" si="2"/>
        <v>21</v>
      </c>
      <c r="AY4" s="54">
        <f t="shared" si="2"/>
        <v>22</v>
      </c>
      <c r="AZ4" s="54">
        <f t="shared" si="2"/>
        <v>23</v>
      </c>
      <c r="BA4" s="54">
        <f t="shared" si="2"/>
        <v>24</v>
      </c>
      <c r="BB4" s="54">
        <f t="shared" si="2"/>
        <v>25</v>
      </c>
      <c r="BC4" s="54">
        <f t="shared" si="2"/>
        <v>26</v>
      </c>
      <c r="BD4" s="54">
        <f t="shared" si="2"/>
        <v>27</v>
      </c>
      <c r="BE4" s="54">
        <f t="shared" si="2"/>
        <v>28</v>
      </c>
      <c r="BF4" s="54">
        <f t="shared" si="2"/>
        <v>29</v>
      </c>
      <c r="BG4" s="54">
        <f t="shared" si="2"/>
        <v>30</v>
      </c>
      <c r="BH4" s="54">
        <f t="shared" si="2"/>
        <v>31</v>
      </c>
      <c r="BI4" s="54">
        <f t="shared" si="2"/>
        <v>32</v>
      </c>
      <c r="BJ4" s="54">
        <f t="shared" si="2"/>
        <v>33</v>
      </c>
      <c r="BK4" s="54">
        <f t="shared" ref="BK4:BL6" si="3">BJ4+1</f>
        <v>34</v>
      </c>
      <c r="BL4" s="54">
        <f t="shared" si="3"/>
        <v>35</v>
      </c>
      <c r="BM4" s="47"/>
      <c r="BN4" s="47"/>
    </row>
    <row r="5" spans="1:66" ht="15.75" x14ac:dyDescent="0.25">
      <c r="A5" s="51"/>
      <c r="B5" s="51"/>
      <c r="C5" s="51" t="s">
        <v>427</v>
      </c>
      <c r="D5" s="51"/>
      <c r="E5" s="53"/>
      <c r="F5" s="51"/>
      <c r="G5" s="51"/>
      <c r="H5" s="51"/>
      <c r="I5" s="54">
        <v>2003</v>
      </c>
      <c r="J5" s="54">
        <f>I5+1</f>
        <v>2004</v>
      </c>
      <c r="K5" s="54">
        <f t="shared" ref="K5:AQ6" si="4">J5+1</f>
        <v>2005</v>
      </c>
      <c r="L5" s="54">
        <f t="shared" si="4"/>
        <v>2006</v>
      </c>
      <c r="M5" s="54">
        <f t="shared" si="4"/>
        <v>2007</v>
      </c>
      <c r="N5" s="54">
        <f t="shared" si="4"/>
        <v>2008</v>
      </c>
      <c r="O5" s="54">
        <f t="shared" si="4"/>
        <v>2009</v>
      </c>
      <c r="P5" s="54">
        <f t="shared" si="4"/>
        <v>2010</v>
      </c>
      <c r="Q5" s="54">
        <f t="shared" si="4"/>
        <v>2011</v>
      </c>
      <c r="R5" s="54">
        <f t="shared" si="4"/>
        <v>2012</v>
      </c>
      <c r="S5" s="54">
        <f t="shared" si="4"/>
        <v>2013</v>
      </c>
      <c r="T5" s="54">
        <f t="shared" si="4"/>
        <v>2014</v>
      </c>
      <c r="U5" s="54">
        <f t="shared" si="4"/>
        <v>2015</v>
      </c>
      <c r="V5" s="54">
        <f t="shared" si="4"/>
        <v>2016</v>
      </c>
      <c r="W5" s="54">
        <f t="shared" si="4"/>
        <v>2017</v>
      </c>
      <c r="X5" s="54">
        <f t="shared" si="4"/>
        <v>2018</v>
      </c>
      <c r="Y5" s="54">
        <f t="shared" si="4"/>
        <v>2019</v>
      </c>
      <c r="Z5" s="54">
        <f t="shared" si="4"/>
        <v>2020</v>
      </c>
      <c r="AA5" s="54">
        <f t="shared" si="4"/>
        <v>2021</v>
      </c>
      <c r="AB5" s="54">
        <f t="shared" si="4"/>
        <v>2022</v>
      </c>
      <c r="AC5" s="54">
        <f t="shared" si="4"/>
        <v>2023</v>
      </c>
      <c r="AD5" s="54">
        <f t="shared" si="4"/>
        <v>2024</v>
      </c>
      <c r="AE5" s="54">
        <f t="shared" si="4"/>
        <v>2025</v>
      </c>
      <c r="AF5" s="54">
        <f t="shared" si="4"/>
        <v>2026</v>
      </c>
      <c r="AG5" s="54">
        <f t="shared" si="4"/>
        <v>2027</v>
      </c>
      <c r="AH5" s="54">
        <f t="shared" si="4"/>
        <v>2028</v>
      </c>
      <c r="AI5" s="54">
        <f t="shared" si="4"/>
        <v>2029</v>
      </c>
      <c r="AJ5" s="54">
        <f t="shared" si="4"/>
        <v>2030</v>
      </c>
      <c r="AK5" s="54">
        <f t="shared" si="4"/>
        <v>2031</v>
      </c>
      <c r="AL5" s="54">
        <f t="shared" si="4"/>
        <v>2032</v>
      </c>
      <c r="AM5" s="54">
        <f t="shared" si="4"/>
        <v>2033</v>
      </c>
      <c r="AN5" s="54">
        <f t="shared" si="4"/>
        <v>2034</v>
      </c>
      <c r="AO5" s="54">
        <f t="shared" si="4"/>
        <v>2035</v>
      </c>
      <c r="AP5" s="54">
        <f t="shared" si="4"/>
        <v>2036</v>
      </c>
      <c r="AQ5" s="54">
        <f t="shared" si="1"/>
        <v>2037</v>
      </c>
      <c r="AR5" s="54">
        <f t="shared" si="1"/>
        <v>2038</v>
      </c>
      <c r="AS5" s="54">
        <f t="shared" si="1"/>
        <v>2039</v>
      </c>
      <c r="AT5" s="54">
        <f t="shared" si="1"/>
        <v>2040</v>
      </c>
      <c r="AU5" s="54">
        <f t="shared" si="2"/>
        <v>2041</v>
      </c>
      <c r="AV5" s="54">
        <f t="shared" si="2"/>
        <v>2042</v>
      </c>
      <c r="AW5" s="54">
        <f t="shared" si="2"/>
        <v>2043</v>
      </c>
      <c r="AX5" s="54">
        <f t="shared" si="2"/>
        <v>2044</v>
      </c>
      <c r="AY5" s="54">
        <f t="shared" si="2"/>
        <v>2045</v>
      </c>
      <c r="AZ5" s="54">
        <f t="shared" si="2"/>
        <v>2046</v>
      </c>
      <c r="BA5" s="54">
        <f t="shared" si="2"/>
        <v>2047</v>
      </c>
      <c r="BB5" s="54">
        <f t="shared" si="2"/>
        <v>2048</v>
      </c>
      <c r="BC5" s="54">
        <f t="shared" si="2"/>
        <v>2049</v>
      </c>
      <c r="BD5" s="54">
        <f t="shared" si="2"/>
        <v>2050</v>
      </c>
      <c r="BE5" s="54">
        <f t="shared" si="2"/>
        <v>2051</v>
      </c>
      <c r="BF5" s="54">
        <f t="shared" si="2"/>
        <v>2052</v>
      </c>
      <c r="BG5" s="54">
        <f t="shared" si="2"/>
        <v>2053</v>
      </c>
      <c r="BH5" s="54">
        <f t="shared" si="2"/>
        <v>2054</v>
      </c>
      <c r="BI5" s="54">
        <f t="shared" si="2"/>
        <v>2055</v>
      </c>
      <c r="BJ5" s="54">
        <f t="shared" si="2"/>
        <v>2056</v>
      </c>
      <c r="BK5" s="54">
        <f t="shared" si="3"/>
        <v>2057</v>
      </c>
      <c r="BL5" s="54">
        <f t="shared" si="3"/>
        <v>2058</v>
      </c>
      <c r="BM5" s="47"/>
      <c r="BN5" s="47"/>
    </row>
    <row r="6" spans="1:66" ht="15.75" x14ac:dyDescent="0.25">
      <c r="A6" s="51"/>
      <c r="B6" s="51"/>
      <c r="C6" s="51" t="s">
        <v>428</v>
      </c>
      <c r="D6" s="51"/>
      <c r="E6" s="53"/>
      <c r="F6" s="51"/>
      <c r="G6" s="51"/>
      <c r="H6" s="51"/>
      <c r="I6" s="54">
        <v>2004</v>
      </c>
      <c r="J6" s="54">
        <f t="shared" ref="J6:AB6" si="5">I6+1</f>
        <v>2005</v>
      </c>
      <c r="K6" s="54">
        <f t="shared" si="5"/>
        <v>2006</v>
      </c>
      <c r="L6" s="54">
        <f t="shared" si="5"/>
        <v>2007</v>
      </c>
      <c r="M6" s="54">
        <f t="shared" si="5"/>
        <v>2008</v>
      </c>
      <c r="N6" s="54">
        <f t="shared" si="5"/>
        <v>2009</v>
      </c>
      <c r="O6" s="54">
        <f t="shared" si="5"/>
        <v>2010</v>
      </c>
      <c r="P6" s="54">
        <f t="shared" si="5"/>
        <v>2011</v>
      </c>
      <c r="Q6" s="54">
        <f t="shared" si="5"/>
        <v>2012</v>
      </c>
      <c r="R6" s="54">
        <f t="shared" si="5"/>
        <v>2013</v>
      </c>
      <c r="S6" s="54">
        <f t="shared" si="5"/>
        <v>2014</v>
      </c>
      <c r="T6" s="54">
        <f t="shared" si="5"/>
        <v>2015</v>
      </c>
      <c r="U6" s="54">
        <f t="shared" si="5"/>
        <v>2016</v>
      </c>
      <c r="V6" s="54">
        <f t="shared" si="5"/>
        <v>2017</v>
      </c>
      <c r="W6" s="54">
        <f t="shared" si="5"/>
        <v>2018</v>
      </c>
      <c r="X6" s="54">
        <f t="shared" si="5"/>
        <v>2019</v>
      </c>
      <c r="Y6" s="54">
        <f t="shared" si="5"/>
        <v>2020</v>
      </c>
      <c r="Z6" s="54">
        <f t="shared" si="5"/>
        <v>2021</v>
      </c>
      <c r="AA6" s="54">
        <f t="shared" si="5"/>
        <v>2022</v>
      </c>
      <c r="AB6" s="54">
        <f t="shared" si="5"/>
        <v>2023</v>
      </c>
      <c r="AC6" s="54">
        <f t="shared" si="4"/>
        <v>2024</v>
      </c>
      <c r="AD6" s="54">
        <f t="shared" si="4"/>
        <v>2025</v>
      </c>
      <c r="AE6" s="54">
        <f t="shared" si="4"/>
        <v>2026</v>
      </c>
      <c r="AF6" s="54">
        <f t="shared" si="4"/>
        <v>2027</v>
      </c>
      <c r="AG6" s="54">
        <f t="shared" si="4"/>
        <v>2028</v>
      </c>
      <c r="AH6" s="54">
        <f t="shared" si="4"/>
        <v>2029</v>
      </c>
      <c r="AI6" s="54">
        <f t="shared" si="4"/>
        <v>2030</v>
      </c>
      <c r="AJ6" s="54">
        <f t="shared" si="4"/>
        <v>2031</v>
      </c>
      <c r="AK6" s="54">
        <f t="shared" si="4"/>
        <v>2032</v>
      </c>
      <c r="AL6" s="54">
        <f t="shared" si="4"/>
        <v>2033</v>
      </c>
      <c r="AM6" s="54">
        <f t="shared" si="4"/>
        <v>2034</v>
      </c>
      <c r="AN6" s="54">
        <f t="shared" si="4"/>
        <v>2035</v>
      </c>
      <c r="AO6" s="54">
        <f t="shared" si="4"/>
        <v>2036</v>
      </c>
      <c r="AP6" s="54">
        <f t="shared" si="4"/>
        <v>2037</v>
      </c>
      <c r="AQ6" s="54">
        <f t="shared" si="4"/>
        <v>2038</v>
      </c>
      <c r="AR6" s="54">
        <f t="shared" si="1"/>
        <v>2039</v>
      </c>
      <c r="AS6" s="54">
        <f t="shared" si="1"/>
        <v>2040</v>
      </c>
      <c r="AT6" s="54">
        <f t="shared" si="1"/>
        <v>2041</v>
      </c>
      <c r="AU6" s="54">
        <f t="shared" si="2"/>
        <v>2042</v>
      </c>
      <c r="AV6" s="54">
        <f t="shared" si="2"/>
        <v>2043</v>
      </c>
      <c r="AW6" s="54">
        <f t="shared" si="2"/>
        <v>2044</v>
      </c>
      <c r="AX6" s="54">
        <f t="shared" si="2"/>
        <v>2045</v>
      </c>
      <c r="AY6" s="54">
        <f t="shared" si="2"/>
        <v>2046</v>
      </c>
      <c r="AZ6" s="54">
        <f t="shared" si="2"/>
        <v>2047</v>
      </c>
      <c r="BA6" s="54">
        <f t="shared" si="2"/>
        <v>2048</v>
      </c>
      <c r="BB6" s="54">
        <f t="shared" si="2"/>
        <v>2049</v>
      </c>
      <c r="BC6" s="54">
        <f t="shared" si="2"/>
        <v>2050</v>
      </c>
      <c r="BD6" s="54">
        <f t="shared" si="2"/>
        <v>2051</v>
      </c>
      <c r="BE6" s="54">
        <f t="shared" si="2"/>
        <v>2052</v>
      </c>
      <c r="BF6" s="54">
        <f t="shared" si="2"/>
        <v>2053</v>
      </c>
      <c r="BG6" s="54">
        <f t="shared" si="2"/>
        <v>2054</v>
      </c>
      <c r="BH6" s="54">
        <f t="shared" si="2"/>
        <v>2055</v>
      </c>
      <c r="BI6" s="54">
        <f t="shared" si="2"/>
        <v>2056</v>
      </c>
      <c r="BJ6" s="54">
        <f t="shared" si="2"/>
        <v>2057</v>
      </c>
      <c r="BK6" s="54">
        <f t="shared" si="3"/>
        <v>2058</v>
      </c>
      <c r="BL6" s="54">
        <f t="shared" si="3"/>
        <v>2059</v>
      </c>
      <c r="BM6" s="47"/>
      <c r="BN6" s="47"/>
    </row>
    <row r="7" spans="1:66" ht="15.75" x14ac:dyDescent="0.25">
      <c r="A7" s="55"/>
      <c r="B7" s="56"/>
      <c r="C7" s="55" t="s">
        <v>429</v>
      </c>
      <c r="D7" s="55"/>
      <c r="E7" s="57"/>
      <c r="F7" s="58"/>
      <c r="G7" s="55"/>
      <c r="H7" s="55"/>
      <c r="I7" s="59" t="s">
        <v>430</v>
      </c>
      <c r="J7" s="59" t="s">
        <v>431</v>
      </c>
      <c r="K7" s="60" t="s">
        <v>432</v>
      </c>
      <c r="L7" s="60" t="s">
        <v>433</v>
      </c>
      <c r="M7" s="60" t="s">
        <v>434</v>
      </c>
      <c r="N7" s="60" t="s">
        <v>435</v>
      </c>
      <c r="O7" s="60" t="s">
        <v>436</v>
      </c>
      <c r="P7" s="60" t="s">
        <v>437</v>
      </c>
      <c r="Q7" s="60" t="s">
        <v>438</v>
      </c>
      <c r="R7" s="60" t="s">
        <v>439</v>
      </c>
      <c r="S7" s="60" t="s">
        <v>440</v>
      </c>
      <c r="T7" s="60" t="s">
        <v>441</v>
      </c>
      <c r="U7" s="60" t="s">
        <v>442</v>
      </c>
      <c r="V7" s="60" t="s">
        <v>443</v>
      </c>
      <c r="W7" s="60" t="s">
        <v>444</v>
      </c>
      <c r="X7" s="60" t="s">
        <v>445</v>
      </c>
      <c r="Y7" s="60" t="s">
        <v>446</v>
      </c>
      <c r="Z7" s="60" t="s">
        <v>447</v>
      </c>
      <c r="AA7" s="60" t="s">
        <v>448</v>
      </c>
      <c r="AB7" s="60" t="s">
        <v>449</v>
      </c>
      <c r="AC7" s="60" t="s">
        <v>450</v>
      </c>
      <c r="AD7" s="60" t="s">
        <v>11</v>
      </c>
      <c r="AE7" s="60" t="s">
        <v>12</v>
      </c>
      <c r="AF7" s="60" t="s">
        <v>13</v>
      </c>
      <c r="AG7" s="60" t="s">
        <v>14</v>
      </c>
      <c r="AH7" s="60" t="s">
        <v>15</v>
      </c>
      <c r="AI7" s="60" t="s">
        <v>16</v>
      </c>
      <c r="AJ7" s="60" t="s">
        <v>17</v>
      </c>
      <c r="AK7" s="60" t="s">
        <v>18</v>
      </c>
      <c r="AL7" s="60" t="s">
        <v>19</v>
      </c>
      <c r="AM7" s="60" t="str">
        <f>AM5&amp;"-"&amp;RIGHT(AM6,2)</f>
        <v>2033-34</v>
      </c>
      <c r="AN7" s="60" t="str">
        <f t="shared" ref="AN7:BL7" si="6">AN5&amp;"-"&amp;RIGHT(AN6,2)</f>
        <v>2034-35</v>
      </c>
      <c r="AO7" s="60" t="str">
        <f t="shared" si="6"/>
        <v>2035-36</v>
      </c>
      <c r="AP7" s="60" t="str">
        <f t="shared" si="6"/>
        <v>2036-37</v>
      </c>
      <c r="AQ7" s="60" t="str">
        <f t="shared" si="6"/>
        <v>2037-38</v>
      </c>
      <c r="AR7" s="60" t="str">
        <f t="shared" si="6"/>
        <v>2038-39</v>
      </c>
      <c r="AS7" s="60" t="str">
        <f t="shared" si="6"/>
        <v>2039-40</v>
      </c>
      <c r="AT7" s="60" t="str">
        <f t="shared" si="6"/>
        <v>2040-41</v>
      </c>
      <c r="AU7" s="60" t="str">
        <f t="shared" si="6"/>
        <v>2041-42</v>
      </c>
      <c r="AV7" s="60" t="str">
        <f t="shared" si="6"/>
        <v>2042-43</v>
      </c>
      <c r="AW7" s="60" t="str">
        <f t="shared" si="6"/>
        <v>2043-44</v>
      </c>
      <c r="AX7" s="60" t="str">
        <f t="shared" si="6"/>
        <v>2044-45</v>
      </c>
      <c r="AY7" s="60" t="str">
        <f t="shared" si="6"/>
        <v>2045-46</v>
      </c>
      <c r="AZ7" s="60" t="str">
        <f t="shared" si="6"/>
        <v>2046-47</v>
      </c>
      <c r="BA7" s="60" t="str">
        <f t="shared" si="6"/>
        <v>2047-48</v>
      </c>
      <c r="BB7" s="60" t="str">
        <f t="shared" si="6"/>
        <v>2048-49</v>
      </c>
      <c r="BC7" s="60" t="str">
        <f t="shared" si="6"/>
        <v>2049-50</v>
      </c>
      <c r="BD7" s="60" t="str">
        <f t="shared" si="6"/>
        <v>2050-51</v>
      </c>
      <c r="BE7" s="60" t="str">
        <f t="shared" si="6"/>
        <v>2051-52</v>
      </c>
      <c r="BF7" s="60" t="str">
        <f t="shared" si="6"/>
        <v>2052-53</v>
      </c>
      <c r="BG7" s="60" t="str">
        <f t="shared" si="6"/>
        <v>2053-54</v>
      </c>
      <c r="BH7" s="60" t="str">
        <f t="shared" si="6"/>
        <v>2054-55</v>
      </c>
      <c r="BI7" s="60" t="str">
        <f t="shared" si="6"/>
        <v>2055-56</v>
      </c>
      <c r="BJ7" s="60" t="str">
        <f t="shared" si="6"/>
        <v>2056-57</v>
      </c>
      <c r="BK7" s="60" t="str">
        <f t="shared" si="6"/>
        <v>2057-58</v>
      </c>
      <c r="BL7" s="60" t="str">
        <f t="shared" si="6"/>
        <v>2058-59</v>
      </c>
      <c r="BM7" s="47"/>
      <c r="BN7" s="47"/>
    </row>
    <row r="8" spans="1:66" ht="15.75" x14ac:dyDescent="0.25">
      <c r="A8" s="150"/>
      <c r="B8" s="62" t="s">
        <v>451</v>
      </c>
      <c r="C8" s="51"/>
      <c r="D8" s="150"/>
      <c r="E8" s="155"/>
      <c r="F8" s="150"/>
      <c r="G8" s="150"/>
      <c r="H8" s="150"/>
      <c r="I8" s="150"/>
      <c r="J8" s="150"/>
      <c r="K8" s="150"/>
      <c r="L8" s="150"/>
      <c r="M8" s="150"/>
      <c r="N8" s="150"/>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47"/>
      <c r="AY8" s="47"/>
      <c r="AZ8" s="47"/>
      <c r="BA8" s="47"/>
      <c r="BB8" s="47"/>
      <c r="BC8" s="47"/>
      <c r="BD8" s="47"/>
      <c r="BE8" s="47"/>
      <c r="BF8" s="47"/>
      <c r="BG8" s="47"/>
      <c r="BH8" s="47"/>
      <c r="BI8" s="47"/>
      <c r="BJ8" s="47"/>
      <c r="BK8" s="47"/>
      <c r="BL8" s="47"/>
      <c r="BM8" s="47"/>
      <c r="BN8" s="47"/>
    </row>
    <row r="9" spans="1:66" ht="15.75" x14ac:dyDescent="0.25">
      <c r="A9" s="150"/>
      <c r="B9" s="150"/>
      <c r="C9" s="150"/>
      <c r="D9" s="150"/>
      <c r="E9" s="155"/>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47"/>
      <c r="AY9" s="47"/>
      <c r="AZ9" s="47"/>
      <c r="BA9" s="47"/>
      <c r="BB9" s="47"/>
      <c r="BC9" s="47"/>
      <c r="BD9" s="47"/>
      <c r="BE9" s="47"/>
      <c r="BF9" s="47"/>
      <c r="BG9" s="47"/>
      <c r="BH9" s="47"/>
      <c r="BI9" s="47"/>
      <c r="BJ9" s="47"/>
      <c r="BK9" s="47"/>
      <c r="BL9" s="47"/>
      <c r="BM9" s="47"/>
      <c r="BN9" s="47"/>
    </row>
    <row r="10" spans="1:66" ht="15.75" x14ac:dyDescent="0.25">
      <c r="A10" s="150"/>
      <c r="B10" s="150"/>
      <c r="C10" s="51" t="s">
        <v>452</v>
      </c>
      <c r="D10" s="150"/>
      <c r="E10" s="155"/>
      <c r="F10" s="150"/>
      <c r="G10" s="150"/>
      <c r="H10" s="150"/>
      <c r="I10" s="150"/>
      <c r="J10" s="150"/>
      <c r="K10" s="150"/>
      <c r="L10" s="150"/>
      <c r="M10" s="150"/>
      <c r="N10" s="150"/>
      <c r="O10" s="150"/>
      <c r="P10" s="150"/>
      <c r="Q10" s="150"/>
      <c r="R10" s="156">
        <v>99.9</v>
      </c>
      <c r="S10" s="156">
        <v>102.4</v>
      </c>
      <c r="T10" s="156">
        <v>105.4</v>
      </c>
      <c r="U10" s="156">
        <v>106.8</v>
      </c>
      <c r="V10" s="156">
        <v>108.2</v>
      </c>
      <c r="W10" s="156">
        <v>110.5</v>
      </c>
      <c r="X10" s="156">
        <v>112.6</v>
      </c>
      <c r="Y10" s="156">
        <v>114.1</v>
      </c>
      <c r="Z10" s="156">
        <v>116.6</v>
      </c>
      <c r="AA10" s="156">
        <v>117.9</v>
      </c>
      <c r="AB10" s="156">
        <v>123.9</v>
      </c>
      <c r="AC10" s="156">
        <v>132.6</v>
      </c>
      <c r="AD10" s="157">
        <f>AC10*(1+AD11)</f>
        <v>137.24099999999999</v>
      </c>
      <c r="AE10" s="157">
        <f t="shared" ref="AE10:AW10" si="7">AD10*(1+AE11)</f>
        <v>142.04443499999996</v>
      </c>
      <c r="AF10" s="157">
        <f t="shared" si="7"/>
        <v>147.01599022499994</v>
      </c>
      <c r="AG10" s="157">
        <f t="shared" si="7"/>
        <v>152.16154988287494</v>
      </c>
      <c r="AH10" s="157">
        <f t="shared" si="7"/>
        <v>157.48720412877555</v>
      </c>
      <c r="AI10" s="157">
        <f t="shared" si="7"/>
        <v>162.99925627328267</v>
      </c>
      <c r="AJ10" s="157">
        <f t="shared" si="7"/>
        <v>168.70423024284756</v>
      </c>
      <c r="AK10" s="157">
        <f t="shared" si="7"/>
        <v>174.6088783013472</v>
      </c>
      <c r="AL10" s="157">
        <f t="shared" si="7"/>
        <v>180.72018904189434</v>
      </c>
      <c r="AM10" s="157">
        <f t="shared" si="7"/>
        <v>187.04539565836063</v>
      </c>
      <c r="AN10" s="157">
        <f t="shared" si="7"/>
        <v>193.59198450640324</v>
      </c>
      <c r="AO10" s="157">
        <f t="shared" si="7"/>
        <v>200.36770396412734</v>
      </c>
      <c r="AP10" s="157">
        <f t="shared" si="7"/>
        <v>207.38057360287178</v>
      </c>
      <c r="AQ10" s="157">
        <f t="shared" si="7"/>
        <v>214.63889367897227</v>
      </c>
      <c r="AR10" s="157">
        <f t="shared" si="7"/>
        <v>222.15125495773628</v>
      </c>
      <c r="AS10" s="157">
        <f t="shared" si="7"/>
        <v>229.92654888125705</v>
      </c>
      <c r="AT10" s="157">
        <f t="shared" si="7"/>
        <v>237.97397809210102</v>
      </c>
      <c r="AU10" s="157">
        <f t="shared" si="7"/>
        <v>246.30306732532455</v>
      </c>
      <c r="AV10" s="157">
        <f t="shared" si="7"/>
        <v>254.92367468171088</v>
      </c>
      <c r="AW10" s="157">
        <f t="shared" si="7"/>
        <v>263.84600329557071</v>
      </c>
      <c r="AX10" s="47"/>
      <c r="AY10" s="47"/>
      <c r="AZ10" s="47"/>
      <c r="BA10" s="47"/>
      <c r="BB10" s="47"/>
      <c r="BC10" s="47"/>
      <c r="BD10" s="47"/>
      <c r="BE10" s="47"/>
      <c r="BF10" s="47"/>
      <c r="BG10" s="47"/>
      <c r="BH10" s="47"/>
      <c r="BI10" s="47"/>
      <c r="BJ10" s="47"/>
      <c r="BK10" s="47"/>
      <c r="BL10" s="47"/>
      <c r="BM10" s="47"/>
      <c r="BN10" s="47"/>
    </row>
    <row r="11" spans="1:66" ht="15.75" x14ac:dyDescent="0.25">
      <c r="A11" s="150"/>
      <c r="B11" s="150"/>
      <c r="C11" s="51" t="s">
        <v>453</v>
      </c>
      <c r="D11" s="150"/>
      <c r="E11" s="155"/>
      <c r="F11" s="150"/>
      <c r="G11" s="150"/>
      <c r="H11" s="150"/>
      <c r="I11" s="150"/>
      <c r="J11" s="150"/>
      <c r="K11" s="150"/>
      <c r="L11" s="150"/>
      <c r="M11" s="150"/>
      <c r="N11" s="150"/>
      <c r="O11" s="150"/>
      <c r="P11" s="150"/>
      <c r="Q11" s="150"/>
      <c r="R11" s="150"/>
      <c r="S11" s="150"/>
      <c r="T11" s="150"/>
      <c r="U11" s="150"/>
      <c r="V11" s="150"/>
      <c r="W11" s="150"/>
      <c r="X11" s="158">
        <f>X10/W10-1</f>
        <v>1.9004524886877761E-2</v>
      </c>
      <c r="Y11" s="158">
        <f t="shared" ref="Y11:AC11" si="8">Y10/X10-1</f>
        <v>1.3321492007104752E-2</v>
      </c>
      <c r="Z11" s="158">
        <f t="shared" si="8"/>
        <v>2.1910604732690686E-2</v>
      </c>
      <c r="AA11" s="158">
        <f t="shared" si="8"/>
        <v>1.1149228130360234E-2</v>
      </c>
      <c r="AB11" s="159">
        <f t="shared" si="8"/>
        <v>5.0890585241730291E-2</v>
      </c>
      <c r="AC11" s="159">
        <f t="shared" si="8"/>
        <v>7.0217917675544639E-2</v>
      </c>
      <c r="AD11" s="160">
        <v>3.5000000000000003E-2</v>
      </c>
      <c r="AE11" s="161">
        <v>3.5000000000000003E-2</v>
      </c>
      <c r="AF11" s="161">
        <v>3.5000000000000003E-2</v>
      </c>
      <c r="AG11" s="161">
        <v>3.5000000000000003E-2</v>
      </c>
      <c r="AH11" s="161">
        <v>3.5000000000000003E-2</v>
      </c>
      <c r="AI11" s="161">
        <v>3.5000000000000003E-2</v>
      </c>
      <c r="AJ11" s="161">
        <v>3.5000000000000003E-2</v>
      </c>
      <c r="AK11" s="161">
        <v>3.5000000000000003E-2</v>
      </c>
      <c r="AL11" s="161">
        <v>3.5000000000000003E-2</v>
      </c>
      <c r="AM11" s="161">
        <v>3.5000000000000003E-2</v>
      </c>
      <c r="AN11" s="161">
        <v>3.5000000000000003E-2</v>
      </c>
      <c r="AO11" s="161">
        <v>3.5000000000000003E-2</v>
      </c>
      <c r="AP11" s="161">
        <v>3.5000000000000003E-2</v>
      </c>
      <c r="AQ11" s="161">
        <v>3.5000000000000003E-2</v>
      </c>
      <c r="AR11" s="161">
        <v>3.5000000000000003E-2</v>
      </c>
      <c r="AS11" s="161">
        <v>3.5000000000000003E-2</v>
      </c>
      <c r="AT11" s="161">
        <v>3.5000000000000003E-2</v>
      </c>
      <c r="AU11" s="161">
        <v>3.5000000000000003E-2</v>
      </c>
      <c r="AV11" s="161">
        <v>3.5000000000000003E-2</v>
      </c>
      <c r="AW11" s="161">
        <v>3.5000000000000003E-2</v>
      </c>
      <c r="AX11" s="47"/>
      <c r="AY11" s="47"/>
      <c r="AZ11" s="47"/>
      <c r="BA11" s="47"/>
      <c r="BB11" s="47"/>
      <c r="BC11" s="47"/>
      <c r="BD11" s="47"/>
      <c r="BE11" s="47"/>
      <c r="BF11" s="47"/>
      <c r="BG11" s="47"/>
      <c r="BH11" s="47"/>
      <c r="BI11" s="47"/>
      <c r="BJ11" s="47"/>
      <c r="BK11" s="47"/>
      <c r="BL11" s="47"/>
      <c r="BM11" s="47"/>
      <c r="BN11" s="47"/>
    </row>
    <row r="12" spans="1:66" ht="15.75" x14ac:dyDescent="0.25">
      <c r="A12" s="150"/>
      <c r="B12" s="150"/>
      <c r="C12" s="51" t="s">
        <v>454</v>
      </c>
      <c r="D12" s="162">
        <v>2024</v>
      </c>
      <c r="E12" s="155"/>
      <c r="F12" s="150"/>
      <c r="G12" s="150"/>
      <c r="H12" s="150"/>
      <c r="I12" s="150"/>
      <c r="J12" s="150"/>
      <c r="K12" s="150"/>
      <c r="L12" s="150"/>
      <c r="M12" s="150"/>
      <c r="N12" s="150"/>
      <c r="O12" s="150"/>
      <c r="P12" s="150"/>
      <c r="Q12" s="150"/>
      <c r="R12" s="163">
        <f t="shared" ref="R12:AW12" si="9">SUMIFS($W$10:$BL$10,$W$6:$BL$6,$D$12)/R10</f>
        <v>1.3273273273273272</v>
      </c>
      <c r="S12" s="163">
        <f t="shared" si="9"/>
        <v>1.2949218749999998</v>
      </c>
      <c r="T12" s="163">
        <f t="shared" si="9"/>
        <v>1.258064516129032</v>
      </c>
      <c r="U12" s="163">
        <f t="shared" si="9"/>
        <v>1.2415730337078652</v>
      </c>
      <c r="V12" s="163">
        <f t="shared" si="9"/>
        <v>1.2255083179297597</v>
      </c>
      <c r="W12" s="163">
        <f t="shared" si="9"/>
        <v>1.2</v>
      </c>
      <c r="X12" s="163">
        <f t="shared" si="9"/>
        <v>1.1776198934280639</v>
      </c>
      <c r="Y12" s="163">
        <f t="shared" si="9"/>
        <v>1.1621384750219106</v>
      </c>
      <c r="Z12" s="163">
        <f t="shared" si="9"/>
        <v>1.1372212692967409</v>
      </c>
      <c r="AA12" s="163">
        <f t="shared" si="9"/>
        <v>1.1246819338422391</v>
      </c>
      <c r="AB12" s="164">
        <f t="shared" si="9"/>
        <v>1.0702179176755446</v>
      </c>
      <c r="AC12" s="164">
        <f t="shared" si="9"/>
        <v>1</v>
      </c>
      <c r="AD12" s="164">
        <f t="shared" si="9"/>
        <v>0.96618357487922713</v>
      </c>
      <c r="AE12" s="164">
        <f t="shared" si="9"/>
        <v>0.93351070036640316</v>
      </c>
      <c r="AF12" s="164">
        <f t="shared" si="9"/>
        <v>0.90194270566802248</v>
      </c>
      <c r="AG12" s="164">
        <f t="shared" si="9"/>
        <v>0.87144222769857249</v>
      </c>
      <c r="AH12" s="164">
        <f t="shared" si="9"/>
        <v>0.84197316685852419</v>
      </c>
      <c r="AI12" s="164">
        <f t="shared" si="9"/>
        <v>0.81350064430775293</v>
      </c>
      <c r="AJ12" s="164">
        <f t="shared" si="9"/>
        <v>0.78599096068381935</v>
      </c>
      <c r="AK12" s="164">
        <f t="shared" si="9"/>
        <v>0.75941155621625056</v>
      </c>
      <c r="AL12" s="164">
        <f t="shared" si="9"/>
        <v>0.73373097218961414</v>
      </c>
      <c r="AM12" s="164">
        <f t="shared" si="9"/>
        <v>0.70891881370977217</v>
      </c>
      <c r="AN12" s="164">
        <f t="shared" si="9"/>
        <v>0.68494571372924862</v>
      </c>
      <c r="AO12" s="164">
        <f t="shared" si="9"/>
        <v>0.66178329828912907</v>
      </c>
      <c r="AP12" s="164">
        <f t="shared" si="9"/>
        <v>0.63940415293635666</v>
      </c>
      <c r="AQ12" s="164">
        <f t="shared" si="9"/>
        <v>0.61778179027667313</v>
      </c>
      <c r="AR12" s="164">
        <f t="shared" si="9"/>
        <v>0.59689061862480497</v>
      </c>
      <c r="AS12" s="164">
        <f t="shared" si="9"/>
        <v>0.57670591171478747</v>
      </c>
      <c r="AT12" s="164">
        <f t="shared" si="9"/>
        <v>0.55720377943457733</v>
      </c>
      <c r="AU12" s="164">
        <f t="shared" si="9"/>
        <v>0.53836113955031628</v>
      </c>
      <c r="AV12" s="164">
        <f t="shared" si="9"/>
        <v>0.52015569038677911</v>
      </c>
      <c r="AW12" s="164">
        <f t="shared" si="9"/>
        <v>0.50256588443167072</v>
      </c>
      <c r="AX12" s="47"/>
      <c r="AY12" s="47"/>
      <c r="AZ12" s="47"/>
      <c r="BA12" s="47"/>
      <c r="BB12" s="47"/>
      <c r="BC12" s="47"/>
      <c r="BD12" s="47"/>
      <c r="BE12" s="47"/>
      <c r="BF12" s="47"/>
      <c r="BG12" s="47"/>
      <c r="BH12" s="47"/>
      <c r="BI12" s="47"/>
      <c r="BJ12" s="47"/>
      <c r="BK12" s="47"/>
      <c r="BL12" s="47"/>
      <c r="BM12" s="47"/>
      <c r="BN12" s="47"/>
    </row>
    <row r="13" spans="1:66" s="47" customFormat="1" ht="15.75" x14ac:dyDescent="0.25"/>
    <row r="14" spans="1:66" s="47" customFormat="1" ht="15.75" x14ac:dyDescent="0.25"/>
    <row r="15" spans="1:66" s="47" customFormat="1" ht="19.7" customHeight="1" x14ac:dyDescent="0.25"/>
    <row r="16" spans="1:66" s="47" customFormat="1" ht="15.75" x14ac:dyDescent="0.25"/>
    <row r="17" spans="1:66" s="47" customFormat="1" ht="15.75" x14ac:dyDescent="0.25"/>
    <row r="18" spans="1:66" s="47" customFormat="1" ht="15.75" x14ac:dyDescent="0.25"/>
    <row r="19" spans="1:66" s="47" customFormat="1" ht="15.75" x14ac:dyDescent="0.25">
      <c r="B19" s="50" t="s">
        <v>455</v>
      </c>
    </row>
    <row r="20" spans="1:66" s="61" customFormat="1" ht="15.75" x14ac:dyDescent="0.25">
      <c r="A20" s="150"/>
      <c r="B20" s="150"/>
      <c r="C20" s="165" t="s">
        <v>456</v>
      </c>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9">
        <f>Assumptions!H15</f>
        <v>2.41E-2</v>
      </c>
      <c r="AE20" s="150"/>
      <c r="AF20" s="150"/>
      <c r="AG20" s="150"/>
      <c r="AH20" s="150"/>
      <c r="AI20" s="150"/>
      <c r="AJ20" s="150"/>
      <c r="AK20" s="150"/>
      <c r="AL20" s="150"/>
      <c r="AM20" s="150"/>
      <c r="AN20" s="150"/>
      <c r="AO20" s="150"/>
      <c r="AP20" s="150"/>
      <c r="AQ20" s="150"/>
      <c r="AR20" s="150"/>
      <c r="AS20" s="150"/>
      <c r="AT20" s="150"/>
      <c r="AU20" s="150"/>
      <c r="AV20" s="150"/>
      <c r="AW20" s="150"/>
      <c r="AX20" s="47"/>
      <c r="AY20" s="47"/>
      <c r="AZ20" s="47"/>
      <c r="BA20" s="47"/>
      <c r="BB20" s="47"/>
      <c r="BC20" s="47"/>
      <c r="BD20" s="47"/>
      <c r="BE20" s="47"/>
      <c r="BF20" s="47"/>
      <c r="BG20" s="47"/>
      <c r="BH20" s="47"/>
      <c r="BI20" s="47"/>
      <c r="BJ20" s="47"/>
      <c r="BK20" s="47"/>
      <c r="BL20" s="47"/>
      <c r="BM20" s="47"/>
      <c r="BN20" s="47"/>
    </row>
    <row r="21" spans="1:66" s="61" customFormat="1" ht="15.75" x14ac:dyDescent="0.25">
      <c r="A21" s="150"/>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47"/>
      <c r="AY21" s="47"/>
      <c r="AZ21" s="47"/>
      <c r="BA21" s="47"/>
      <c r="BB21" s="47"/>
      <c r="BC21" s="47"/>
      <c r="BD21" s="47"/>
      <c r="BE21" s="47"/>
      <c r="BF21" s="47"/>
      <c r="BG21" s="47"/>
      <c r="BH21" s="47"/>
      <c r="BI21" s="47"/>
      <c r="BJ21" s="47"/>
      <c r="BK21" s="47"/>
      <c r="BL21" s="47"/>
      <c r="BM21" s="47"/>
      <c r="BN21" s="47"/>
    </row>
    <row r="22" spans="1:66" s="61" customFormat="1" ht="15.75" x14ac:dyDescent="0.25">
      <c r="A22" s="150"/>
      <c r="B22" s="150"/>
      <c r="C22" s="165" t="s">
        <v>457</v>
      </c>
      <c r="D22" s="150"/>
      <c r="E22" s="161">
        <v>0.5</v>
      </c>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47"/>
      <c r="AY22" s="47"/>
      <c r="AZ22" s="47"/>
      <c r="BA22" s="47"/>
      <c r="BB22" s="47"/>
      <c r="BC22" s="47"/>
      <c r="BD22" s="47"/>
      <c r="BE22" s="47"/>
      <c r="BF22" s="47"/>
      <c r="BG22" s="47"/>
      <c r="BH22" s="47"/>
      <c r="BI22" s="47"/>
      <c r="BJ22" s="47"/>
      <c r="BK22" s="47"/>
      <c r="BL22" s="47"/>
      <c r="BM22" s="47"/>
      <c r="BN22" s="47"/>
    </row>
    <row r="23" spans="1:66" s="61" customFormat="1" ht="15.75" x14ac:dyDescent="0.25">
      <c r="A23" s="150"/>
      <c r="B23" s="150"/>
      <c r="C23" s="165" t="s">
        <v>458</v>
      </c>
      <c r="D23" s="150"/>
      <c r="E23" s="161">
        <v>0.3</v>
      </c>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47"/>
      <c r="AY23" s="47"/>
      <c r="AZ23" s="47"/>
      <c r="BA23" s="47"/>
      <c r="BB23" s="47"/>
      <c r="BC23" s="47"/>
      <c r="BD23" s="47"/>
      <c r="BE23" s="47"/>
      <c r="BF23" s="47"/>
      <c r="BG23" s="47"/>
      <c r="BH23" s="47"/>
      <c r="BI23" s="47"/>
      <c r="BJ23" s="47"/>
      <c r="BK23" s="47"/>
      <c r="BL23" s="47"/>
      <c r="BM23" s="47"/>
      <c r="BN23" s="47"/>
    </row>
    <row r="24" spans="1:66" s="61" customFormat="1" ht="15.75" x14ac:dyDescent="0.25">
      <c r="A24" s="150"/>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47"/>
      <c r="AY24" s="47"/>
      <c r="AZ24" s="47"/>
      <c r="BA24" s="47"/>
      <c r="BB24" s="47"/>
      <c r="BC24" s="47"/>
      <c r="BD24" s="47"/>
      <c r="BE24" s="47"/>
      <c r="BF24" s="47"/>
      <c r="BG24" s="47"/>
      <c r="BH24" s="47"/>
      <c r="BI24" s="47"/>
      <c r="BJ24" s="47"/>
      <c r="BK24" s="47"/>
      <c r="BL24" s="47"/>
      <c r="BM24" s="47"/>
      <c r="BN24" s="47"/>
    </row>
    <row r="25" spans="1:66" s="61" customFormat="1" ht="15.75" x14ac:dyDescent="0.25">
      <c r="A25" s="150"/>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47"/>
      <c r="AY25" s="47"/>
      <c r="AZ25" s="47"/>
      <c r="BA25" s="47"/>
      <c r="BB25" s="47"/>
      <c r="BC25" s="47"/>
      <c r="BD25" s="47"/>
      <c r="BE25" s="47"/>
      <c r="BF25" s="47"/>
      <c r="BG25" s="47"/>
      <c r="BH25" s="47"/>
      <c r="BI25" s="47"/>
      <c r="BJ25" s="47"/>
      <c r="BK25" s="47"/>
      <c r="BL25" s="47"/>
      <c r="BM25" s="47"/>
      <c r="BN25" s="47"/>
    </row>
    <row r="26" spans="1:66" s="61" customFormat="1" ht="15.75" x14ac:dyDescent="0.25">
      <c r="A26" s="150"/>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47"/>
      <c r="AY26" s="47"/>
      <c r="AZ26" s="47"/>
      <c r="BA26" s="47"/>
      <c r="BB26" s="47"/>
      <c r="BC26" s="47"/>
      <c r="BD26" s="47"/>
      <c r="BE26" s="47"/>
      <c r="BF26" s="47"/>
      <c r="BG26" s="47"/>
      <c r="BH26" s="47"/>
      <c r="BI26" s="47"/>
      <c r="BJ26" s="47"/>
      <c r="BK26" s="47"/>
      <c r="BL26" s="47"/>
      <c r="BM26" s="47"/>
      <c r="BN26" s="47"/>
    </row>
    <row r="27" spans="1:66" s="61" customFormat="1" ht="15.75" x14ac:dyDescent="0.25">
      <c r="A27" s="150"/>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47"/>
      <c r="AY27" s="47"/>
      <c r="AZ27" s="47"/>
      <c r="BA27" s="47"/>
      <c r="BB27" s="47"/>
      <c r="BC27" s="47"/>
      <c r="BD27" s="47"/>
      <c r="BE27" s="47"/>
      <c r="BF27" s="47"/>
      <c r="BG27" s="47"/>
      <c r="BH27" s="47"/>
      <c r="BI27" s="47"/>
      <c r="BJ27" s="47"/>
      <c r="BK27" s="47"/>
      <c r="BL27" s="47"/>
      <c r="BM27" s="47"/>
      <c r="BN27" s="47"/>
    </row>
    <row r="28" spans="1:66" s="61" customFormat="1" ht="15.75" x14ac:dyDescent="0.25">
      <c r="A28" s="150"/>
      <c r="B28" s="62" t="s">
        <v>459</v>
      </c>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47"/>
      <c r="AY28" s="47"/>
      <c r="AZ28" s="47"/>
      <c r="BA28" s="47"/>
      <c r="BB28" s="47"/>
      <c r="BC28" s="47"/>
      <c r="BD28" s="47"/>
      <c r="BE28" s="47"/>
      <c r="BF28" s="47"/>
      <c r="BG28" s="47"/>
      <c r="BH28" s="47"/>
      <c r="BI28" s="47"/>
      <c r="BJ28" s="47"/>
      <c r="BK28" s="47"/>
      <c r="BL28" s="47"/>
      <c r="BM28" s="47"/>
      <c r="BN28" s="47"/>
    </row>
    <row r="29" spans="1:66" s="61" customFormat="1" ht="15.75" x14ac:dyDescent="0.25">
      <c r="A29" s="150"/>
      <c r="B29" s="64" t="s">
        <v>192</v>
      </c>
      <c r="C29" s="150"/>
      <c r="D29" s="64" t="s">
        <v>460</v>
      </c>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47"/>
      <c r="AY29" s="47"/>
      <c r="AZ29" s="47"/>
      <c r="BA29" s="47"/>
      <c r="BB29" s="47"/>
      <c r="BC29" s="47"/>
      <c r="BD29" s="47"/>
      <c r="BE29" s="47"/>
      <c r="BF29" s="47"/>
      <c r="BG29" s="47"/>
      <c r="BH29" s="47"/>
      <c r="BI29" s="47"/>
      <c r="BJ29" s="47"/>
      <c r="BK29" s="47"/>
      <c r="BL29" s="47"/>
      <c r="BM29" s="47"/>
      <c r="BN29" s="47"/>
    </row>
    <row r="30" spans="1:66" s="61" customFormat="1" ht="15.75" x14ac:dyDescent="0.25">
      <c r="A30" s="150"/>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t="s">
        <v>461</v>
      </c>
      <c r="AC30" s="150" t="s">
        <v>462</v>
      </c>
      <c r="AD30" s="150"/>
      <c r="AE30" s="150"/>
      <c r="AF30" s="150"/>
      <c r="AG30" s="150"/>
      <c r="AH30" s="150"/>
      <c r="AI30" s="150"/>
      <c r="AJ30" s="150"/>
      <c r="AK30" s="150"/>
      <c r="AL30" s="150"/>
      <c r="AM30" s="150"/>
      <c r="AN30" s="150"/>
      <c r="AO30" s="150"/>
      <c r="AP30" s="150"/>
      <c r="AQ30" s="150"/>
      <c r="AR30" s="150"/>
      <c r="AS30" s="150"/>
      <c r="AT30" s="150"/>
      <c r="AU30" s="150"/>
      <c r="AV30" s="150"/>
      <c r="AW30" s="150"/>
      <c r="AX30" s="47"/>
      <c r="AY30" s="47"/>
      <c r="AZ30" s="47"/>
      <c r="BA30" s="47"/>
      <c r="BB30" s="47"/>
      <c r="BC30" s="47"/>
      <c r="BD30" s="47"/>
      <c r="BE30" s="47"/>
      <c r="BF30" s="47"/>
      <c r="BG30" s="47"/>
      <c r="BH30" s="47"/>
      <c r="BI30" s="47"/>
      <c r="BJ30" s="47"/>
      <c r="BK30" s="47"/>
      <c r="BL30" s="47"/>
      <c r="BM30" s="47"/>
      <c r="BN30" s="47"/>
    </row>
    <row r="31" spans="1:66" s="61" customFormat="1" ht="15.75" x14ac:dyDescent="0.25">
      <c r="A31" s="150" t="s">
        <v>405</v>
      </c>
      <c r="B31" s="150" t="s">
        <v>262</v>
      </c>
      <c r="C31" s="150" t="s">
        <v>405</v>
      </c>
      <c r="D31" s="150" t="s">
        <v>301</v>
      </c>
      <c r="E31" s="155" t="s">
        <v>463</v>
      </c>
      <c r="F31" s="150"/>
      <c r="G31" s="150"/>
      <c r="H31" s="150"/>
      <c r="I31" s="150"/>
      <c r="J31" s="150"/>
      <c r="K31" s="150"/>
      <c r="L31" s="150"/>
      <c r="M31" s="150"/>
      <c r="N31" s="150"/>
      <c r="O31" s="150"/>
      <c r="P31" s="150"/>
      <c r="Q31" s="150"/>
      <c r="R31" s="150"/>
      <c r="S31" s="150"/>
      <c r="T31" s="150"/>
      <c r="U31" s="150"/>
      <c r="V31" s="150"/>
      <c r="W31" s="150"/>
      <c r="X31" s="150"/>
      <c r="Y31" s="150"/>
      <c r="Z31" s="150"/>
      <c r="AA31" s="150"/>
      <c r="AB31" s="150" t="s">
        <v>464</v>
      </c>
      <c r="AC31" s="166">
        <v>206.4</v>
      </c>
      <c r="AD31" s="166">
        <v>212.59200000000001</v>
      </c>
      <c r="AE31" s="166">
        <v>212.59200000000001</v>
      </c>
      <c r="AF31" s="166">
        <v>212.59200000000001</v>
      </c>
      <c r="AG31" s="166">
        <v>212.59200000000001</v>
      </c>
      <c r="AH31" s="166">
        <v>212.59200000000001</v>
      </c>
      <c r="AI31" s="166">
        <v>212.59200000000001</v>
      </c>
      <c r="AJ31" s="166">
        <v>212.59200000000001</v>
      </c>
      <c r="AK31" s="166">
        <v>212.59200000000001</v>
      </c>
      <c r="AL31" s="166">
        <v>212.59200000000001</v>
      </c>
      <c r="AM31" s="166">
        <v>212.59200000000001</v>
      </c>
      <c r="AN31" s="166">
        <v>212.59200000000001</v>
      </c>
      <c r="AO31" s="166">
        <v>212.59200000000001</v>
      </c>
      <c r="AP31" s="166">
        <v>212.59200000000001</v>
      </c>
      <c r="AQ31" s="166">
        <v>212.59200000000001</v>
      </c>
      <c r="AR31" s="166">
        <v>212.59200000000001</v>
      </c>
      <c r="AS31" s="166">
        <v>212.59200000000001</v>
      </c>
      <c r="AT31" s="166">
        <v>212.59200000000001</v>
      </c>
      <c r="AU31" s="166">
        <v>212.59200000000001</v>
      </c>
      <c r="AV31" s="166">
        <v>212.59200000000001</v>
      </c>
      <c r="AW31" s="167">
        <f>AV31</f>
        <v>212.59200000000001</v>
      </c>
      <c r="AX31" s="47"/>
      <c r="AY31" s="47"/>
      <c r="AZ31" s="47"/>
      <c r="BA31" s="47"/>
      <c r="BB31" s="47"/>
      <c r="BC31" s="47"/>
      <c r="BD31" s="47"/>
      <c r="BE31" s="47"/>
      <c r="BF31" s="47"/>
      <c r="BG31" s="47"/>
      <c r="BH31" s="47"/>
      <c r="BI31" s="47"/>
      <c r="BJ31" s="47"/>
      <c r="BK31" s="47"/>
      <c r="BL31" s="47"/>
      <c r="BM31" s="47"/>
      <c r="BN31" s="47"/>
    </row>
    <row r="32" spans="1:66" ht="15.75" x14ac:dyDescent="0.25">
      <c r="A32" s="150" t="s">
        <v>405</v>
      </c>
      <c r="B32" s="150" t="s">
        <v>262</v>
      </c>
      <c r="C32" s="150" t="s">
        <v>405</v>
      </c>
      <c r="D32" s="150" t="s">
        <v>301</v>
      </c>
      <c r="E32" s="150" t="s">
        <v>465</v>
      </c>
      <c r="F32" s="150" t="s">
        <v>466</v>
      </c>
      <c r="G32" s="150"/>
      <c r="H32" s="150"/>
      <c r="I32" s="150"/>
      <c r="J32" s="150"/>
      <c r="K32" s="150"/>
      <c r="L32" s="150"/>
      <c r="M32" s="150"/>
      <c r="N32" s="150"/>
      <c r="O32" s="150"/>
      <c r="P32" s="150"/>
      <c r="Q32" s="150"/>
      <c r="R32" s="150"/>
      <c r="S32" s="150"/>
      <c r="T32" s="150"/>
      <c r="U32" s="150"/>
      <c r="V32" s="150"/>
      <c r="W32" s="150"/>
      <c r="X32" s="150"/>
      <c r="Y32" s="150"/>
      <c r="Z32" s="150"/>
      <c r="AA32" s="150"/>
      <c r="AB32" s="150" t="s">
        <v>467</v>
      </c>
      <c r="AC32" s="168">
        <v>2.9499</v>
      </c>
      <c r="AD32" s="168">
        <v>3.3944641098975898</v>
      </c>
      <c r="AE32" s="168">
        <v>3.3944641098975898</v>
      </c>
      <c r="AF32" s="168">
        <v>3.3944641098975898</v>
      </c>
      <c r="AG32" s="168">
        <v>3.3944641098975898</v>
      </c>
      <c r="AH32" s="168">
        <v>3.3254651283539873</v>
      </c>
      <c r="AI32" s="168">
        <v>3.3254651283539873</v>
      </c>
      <c r="AJ32" s="168">
        <v>3.3254651283539873</v>
      </c>
      <c r="AK32" s="168">
        <v>3.3254651283539873</v>
      </c>
      <c r="AL32" s="168">
        <v>3.3254651283539873</v>
      </c>
      <c r="AM32" s="168">
        <v>2.7686501145912206</v>
      </c>
      <c r="AN32" s="168">
        <v>2.7686501145912206</v>
      </c>
      <c r="AO32" s="168">
        <v>2.7686501145912206</v>
      </c>
      <c r="AP32" s="168">
        <v>2.7686501145912206</v>
      </c>
      <c r="AQ32" s="168">
        <v>2.7686501145912206</v>
      </c>
      <c r="AR32" s="168">
        <v>2.4620015117969873</v>
      </c>
      <c r="AS32" s="168">
        <v>2.4620015117969873</v>
      </c>
      <c r="AT32" s="168">
        <v>2.4620015117969873</v>
      </c>
      <c r="AU32" s="168">
        <v>2.4620015117969873</v>
      </c>
      <c r="AV32" s="168">
        <v>2.4620015117969873</v>
      </c>
      <c r="AW32" s="169">
        <f t="shared" ref="AW32:AW58" si="10">AV32</f>
        <v>2.4620015117969873</v>
      </c>
      <c r="AX32" s="47"/>
      <c r="AY32" s="47"/>
      <c r="AZ32" s="47"/>
      <c r="BA32" s="47"/>
      <c r="BB32" s="47"/>
      <c r="BC32" s="47"/>
      <c r="BD32" s="47"/>
      <c r="BE32" s="47"/>
      <c r="BF32" s="47"/>
      <c r="BG32" s="47"/>
      <c r="BH32" s="47"/>
      <c r="BI32" s="47"/>
      <c r="BJ32" s="47"/>
      <c r="BK32" s="47"/>
      <c r="BL32" s="47"/>
      <c r="BM32" s="47"/>
      <c r="BN32" s="47"/>
    </row>
    <row r="33" spans="1:66" ht="15.75" x14ac:dyDescent="0.25">
      <c r="A33" s="150" t="s">
        <v>405</v>
      </c>
      <c r="B33" s="150" t="s">
        <v>262</v>
      </c>
      <c r="C33" s="150" t="s">
        <v>405</v>
      </c>
      <c r="D33" s="150" t="s">
        <v>301</v>
      </c>
      <c r="E33" s="155" t="s">
        <v>468</v>
      </c>
      <c r="F33" s="150"/>
      <c r="G33" s="150"/>
      <c r="H33" s="150"/>
      <c r="I33" s="150"/>
      <c r="J33" s="150"/>
      <c r="K33" s="150"/>
      <c r="L33" s="150"/>
      <c r="M33" s="150"/>
      <c r="N33" s="150"/>
      <c r="O33" s="150"/>
      <c r="P33" s="150"/>
      <c r="Q33" s="150"/>
      <c r="R33" s="150"/>
      <c r="S33" s="150"/>
      <c r="T33" s="150"/>
      <c r="U33" s="150"/>
      <c r="V33" s="150"/>
      <c r="W33" s="150"/>
      <c r="X33" s="150"/>
      <c r="Y33" s="150"/>
      <c r="Z33" s="150"/>
      <c r="AA33" s="150"/>
      <c r="AB33" s="150" t="s">
        <v>469</v>
      </c>
      <c r="AC33" s="168">
        <v>3.4722</v>
      </c>
      <c r="AD33" s="168">
        <v>3.8894931071646552</v>
      </c>
      <c r="AE33" s="168">
        <v>3.8894931071646552</v>
      </c>
      <c r="AF33" s="168">
        <v>3.8894931071646552</v>
      </c>
      <c r="AG33" s="168">
        <v>3.8894931071646552</v>
      </c>
      <c r="AH33" s="168">
        <v>3.8104317135465271</v>
      </c>
      <c r="AI33" s="168">
        <v>3.8104317135465271</v>
      </c>
      <c r="AJ33" s="168">
        <v>3.8104317135465271</v>
      </c>
      <c r="AK33" s="168">
        <v>3.8104317135465271</v>
      </c>
      <c r="AL33" s="168">
        <v>3.8104317135465271</v>
      </c>
      <c r="AM33" s="168">
        <v>3.1724140212453369</v>
      </c>
      <c r="AN33" s="168">
        <v>3.1724140212453369</v>
      </c>
      <c r="AO33" s="168">
        <v>3.1724140212453369</v>
      </c>
      <c r="AP33" s="168">
        <v>3.1724140212453369</v>
      </c>
      <c r="AQ33" s="168">
        <v>3.1724140212453369</v>
      </c>
      <c r="AR33" s="168">
        <v>2.8210455612247576</v>
      </c>
      <c r="AS33" s="168">
        <v>2.8210455612247576</v>
      </c>
      <c r="AT33" s="168">
        <v>2.8210455612247576</v>
      </c>
      <c r="AU33" s="168">
        <v>2.8210455612247576</v>
      </c>
      <c r="AV33" s="168">
        <v>2.8210455612247576</v>
      </c>
      <c r="AW33" s="169">
        <f t="shared" si="10"/>
        <v>2.8210455612247576</v>
      </c>
      <c r="AX33" s="47"/>
      <c r="AY33" s="47"/>
      <c r="AZ33" s="47"/>
      <c r="BA33" s="47"/>
      <c r="BB33" s="47"/>
      <c r="BC33" s="47"/>
      <c r="BD33" s="47"/>
      <c r="BE33" s="47"/>
      <c r="BF33" s="47"/>
      <c r="BG33" s="47"/>
      <c r="BH33" s="47"/>
      <c r="BI33" s="47"/>
      <c r="BJ33" s="47"/>
      <c r="BK33" s="47"/>
      <c r="BL33" s="47"/>
      <c r="BM33" s="47"/>
      <c r="BN33" s="47"/>
    </row>
    <row r="34" spans="1:66" ht="15.75" x14ac:dyDescent="0.25">
      <c r="A34" s="150" t="s">
        <v>405</v>
      </c>
      <c r="B34" s="150" t="s">
        <v>262</v>
      </c>
      <c r="C34" s="150" t="s">
        <v>405</v>
      </c>
      <c r="D34" s="150" t="s">
        <v>301</v>
      </c>
      <c r="E34" s="155" t="s">
        <v>470</v>
      </c>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68">
        <v>3.4722</v>
      </c>
      <c r="AD34" s="168">
        <v>3.8894931071646552</v>
      </c>
      <c r="AE34" s="168">
        <v>3.8894931071646552</v>
      </c>
      <c r="AF34" s="168">
        <v>3.8894931071646552</v>
      </c>
      <c r="AG34" s="168">
        <v>3.8894931071646552</v>
      </c>
      <c r="AH34" s="168">
        <v>3.8104317135465271</v>
      </c>
      <c r="AI34" s="168">
        <v>3.8104317135465271</v>
      </c>
      <c r="AJ34" s="168">
        <v>3.8104317135465271</v>
      </c>
      <c r="AK34" s="168">
        <v>3.8104317135465271</v>
      </c>
      <c r="AL34" s="168">
        <v>3.8104317135465271</v>
      </c>
      <c r="AM34" s="168">
        <v>3.1724140212453369</v>
      </c>
      <c r="AN34" s="168">
        <v>3.1724140212453369</v>
      </c>
      <c r="AO34" s="168">
        <v>3.1724140212453369</v>
      </c>
      <c r="AP34" s="168">
        <v>3.1724140212453369</v>
      </c>
      <c r="AQ34" s="168">
        <v>3.1724140212453369</v>
      </c>
      <c r="AR34" s="168">
        <v>2.8210455612247576</v>
      </c>
      <c r="AS34" s="168">
        <v>2.8210455612247576</v>
      </c>
      <c r="AT34" s="168">
        <v>2.8210455612247576</v>
      </c>
      <c r="AU34" s="168">
        <v>2.8210455612247576</v>
      </c>
      <c r="AV34" s="168">
        <v>2.8210455612247576</v>
      </c>
      <c r="AW34" s="169">
        <f t="shared" si="10"/>
        <v>2.8210455612247576</v>
      </c>
      <c r="AX34" s="47"/>
      <c r="AY34" s="47"/>
      <c r="AZ34" s="47"/>
      <c r="BA34" s="47"/>
      <c r="BB34" s="47"/>
      <c r="BC34" s="47"/>
      <c r="BD34" s="47"/>
      <c r="BE34" s="47"/>
      <c r="BF34" s="47"/>
      <c r="BG34" s="47"/>
      <c r="BH34" s="47"/>
      <c r="BI34" s="47"/>
      <c r="BJ34" s="47"/>
      <c r="BK34" s="47"/>
      <c r="BL34" s="47"/>
      <c r="BM34" s="47"/>
      <c r="BN34" s="47"/>
    </row>
    <row r="35" spans="1:66" ht="15.75" x14ac:dyDescent="0.25">
      <c r="A35" s="150" t="s">
        <v>405</v>
      </c>
      <c r="B35" s="150" t="s">
        <v>262</v>
      </c>
      <c r="C35" s="150" t="s">
        <v>405</v>
      </c>
      <c r="D35" s="150" t="s">
        <v>303</v>
      </c>
      <c r="E35" s="155" t="s">
        <v>463</v>
      </c>
      <c r="F35" s="150"/>
      <c r="G35" s="150"/>
      <c r="H35" s="150"/>
      <c r="I35" s="150"/>
      <c r="J35" s="150"/>
      <c r="K35" s="150"/>
      <c r="L35" s="150"/>
      <c r="M35" s="150"/>
      <c r="N35" s="150"/>
      <c r="O35" s="150"/>
      <c r="P35" s="150"/>
      <c r="Q35" s="150"/>
      <c r="R35" s="150"/>
      <c r="S35" s="150"/>
      <c r="T35" s="150"/>
      <c r="U35" s="150"/>
      <c r="V35" s="150"/>
      <c r="W35" s="150"/>
      <c r="X35" s="150"/>
      <c r="Y35" s="150"/>
      <c r="Z35" s="150"/>
      <c r="AA35" s="150"/>
      <c r="AB35" s="150" t="s">
        <v>471</v>
      </c>
      <c r="AC35" s="166">
        <v>269.56</v>
      </c>
      <c r="AD35" s="166">
        <v>272.59463693748472</v>
      </c>
      <c r="AE35" s="166">
        <v>275.62927387496944</v>
      </c>
      <c r="AF35" s="166">
        <v>278.66391081245416</v>
      </c>
      <c r="AG35" s="166">
        <v>281.69854774993888</v>
      </c>
      <c r="AH35" s="166">
        <v>284.96554983322852</v>
      </c>
      <c r="AI35" s="166">
        <v>288.23255191651816</v>
      </c>
      <c r="AJ35" s="166">
        <v>291.4995539998078</v>
      </c>
      <c r="AK35" s="166">
        <v>294.76655608309744</v>
      </c>
      <c r="AL35" s="166">
        <v>298.03355816638708</v>
      </c>
      <c r="AM35" s="166">
        <v>302.2300208328964</v>
      </c>
      <c r="AN35" s="166">
        <v>302.2300208328964</v>
      </c>
      <c r="AO35" s="166">
        <v>302.2300208328964</v>
      </c>
      <c r="AP35" s="166">
        <v>302.2300208328964</v>
      </c>
      <c r="AQ35" s="166">
        <v>302.2300208328964</v>
      </c>
      <c r="AR35" s="166">
        <v>267.14302800597886</v>
      </c>
      <c r="AS35" s="166">
        <v>267.14302800597886</v>
      </c>
      <c r="AT35" s="166">
        <v>267.14302800597886</v>
      </c>
      <c r="AU35" s="166">
        <v>267.14302800597886</v>
      </c>
      <c r="AV35" s="166">
        <v>267.14302800597886</v>
      </c>
      <c r="AW35" s="167">
        <f t="shared" si="10"/>
        <v>267.14302800597886</v>
      </c>
      <c r="AX35" s="47"/>
      <c r="AY35" s="47"/>
      <c r="AZ35" s="47"/>
      <c r="BA35" s="47"/>
      <c r="BB35" s="47"/>
      <c r="BC35" s="47"/>
      <c r="BD35" s="47"/>
      <c r="BE35" s="47"/>
      <c r="BF35" s="47"/>
      <c r="BG35" s="47"/>
      <c r="BH35" s="47"/>
      <c r="BI35" s="47"/>
      <c r="BJ35" s="47"/>
      <c r="BK35" s="47"/>
      <c r="BL35" s="47"/>
      <c r="BM35" s="47"/>
      <c r="BN35" s="47"/>
    </row>
    <row r="36" spans="1:66" ht="15.75" x14ac:dyDescent="0.25">
      <c r="A36" s="150" t="s">
        <v>405</v>
      </c>
      <c r="B36" s="150" t="s">
        <v>262</v>
      </c>
      <c r="C36" s="150" t="s">
        <v>405</v>
      </c>
      <c r="D36" s="150" t="s">
        <v>303</v>
      </c>
      <c r="E36" s="155" t="s">
        <v>472</v>
      </c>
      <c r="F36" s="150" t="s">
        <v>473</v>
      </c>
      <c r="G36" s="150"/>
      <c r="H36" s="150"/>
      <c r="I36" s="150"/>
      <c r="J36" s="150"/>
      <c r="K36" s="150"/>
      <c r="L36" s="150"/>
      <c r="M36" s="150"/>
      <c r="N36" s="150"/>
      <c r="O36" s="150"/>
      <c r="P36" s="150"/>
      <c r="Q36" s="150"/>
      <c r="R36" s="150"/>
      <c r="S36" s="150"/>
      <c r="T36" s="150"/>
      <c r="U36" s="150"/>
      <c r="V36" s="150"/>
      <c r="W36" s="150"/>
      <c r="X36" s="150"/>
      <c r="Y36" s="150"/>
      <c r="Z36" s="150"/>
      <c r="AA36" s="150"/>
      <c r="AB36" s="150" t="s">
        <v>474</v>
      </c>
      <c r="AC36" s="290">
        <v>0.78979999999999995</v>
      </c>
      <c r="AD36" s="156">
        <v>0</v>
      </c>
      <c r="AE36" s="156">
        <v>0</v>
      </c>
      <c r="AF36" s="156">
        <v>0</v>
      </c>
      <c r="AG36" s="156">
        <v>0</v>
      </c>
      <c r="AH36" s="156">
        <v>0</v>
      </c>
      <c r="AI36" s="156">
        <v>0</v>
      </c>
      <c r="AJ36" s="156">
        <v>0</v>
      </c>
      <c r="AK36" s="156">
        <v>0</v>
      </c>
      <c r="AL36" s="156">
        <v>0</v>
      </c>
      <c r="AM36" s="156">
        <v>0</v>
      </c>
      <c r="AN36" s="156">
        <v>0</v>
      </c>
      <c r="AO36" s="156">
        <v>0</v>
      </c>
      <c r="AP36" s="156">
        <v>0</v>
      </c>
      <c r="AQ36" s="156">
        <v>0</v>
      </c>
      <c r="AR36" s="156">
        <v>0</v>
      </c>
      <c r="AS36" s="156">
        <v>0</v>
      </c>
      <c r="AT36" s="156">
        <v>0</v>
      </c>
      <c r="AU36" s="156">
        <v>0</v>
      </c>
      <c r="AV36" s="156">
        <v>0</v>
      </c>
      <c r="AW36" s="170">
        <f t="shared" si="10"/>
        <v>0</v>
      </c>
      <c r="AX36" s="47"/>
      <c r="AY36" s="47"/>
      <c r="AZ36" s="47"/>
      <c r="BA36" s="47"/>
      <c r="BB36" s="47"/>
      <c r="BC36" s="47"/>
      <c r="BD36" s="47"/>
      <c r="BE36" s="47"/>
      <c r="BF36" s="47"/>
      <c r="BG36" s="47"/>
      <c r="BH36" s="47"/>
      <c r="BI36" s="47"/>
      <c r="BJ36" s="47"/>
      <c r="BK36" s="47"/>
      <c r="BL36" s="47"/>
      <c r="BM36" s="47"/>
      <c r="BN36" s="47"/>
    </row>
    <row r="37" spans="1:66" ht="15.75" x14ac:dyDescent="0.25">
      <c r="A37" s="150" t="s">
        <v>405</v>
      </c>
      <c r="B37" s="150" t="s">
        <v>262</v>
      </c>
      <c r="C37" s="150" t="s">
        <v>405</v>
      </c>
      <c r="D37" s="150" t="s">
        <v>310</v>
      </c>
      <c r="E37" s="155" t="s">
        <v>463</v>
      </c>
      <c r="F37" s="150"/>
      <c r="G37" s="150"/>
      <c r="H37" s="150"/>
      <c r="I37" s="150"/>
      <c r="J37" s="150"/>
      <c r="K37" s="150"/>
      <c r="L37" s="150"/>
      <c r="M37" s="150"/>
      <c r="N37" s="150"/>
      <c r="O37" s="150"/>
      <c r="P37" s="150"/>
      <c r="Q37" s="150"/>
      <c r="R37" s="150"/>
      <c r="S37" s="150"/>
      <c r="T37" s="150"/>
      <c r="U37" s="150"/>
      <c r="V37" s="150"/>
      <c r="W37" s="150"/>
      <c r="X37" s="150"/>
      <c r="Y37" s="150"/>
      <c r="Z37" s="150"/>
      <c r="AA37" s="150"/>
      <c r="AB37" s="150" t="s">
        <v>475</v>
      </c>
      <c r="AC37" s="166">
        <v>35.92</v>
      </c>
      <c r="AD37" s="166">
        <v>38.120572584990811</v>
      </c>
      <c r="AE37" s="166">
        <v>40.321145169981619</v>
      </c>
      <c r="AF37" s="166">
        <v>42.521717754972428</v>
      </c>
      <c r="AG37" s="166">
        <v>44.722290339963237</v>
      </c>
      <c r="AH37" s="166">
        <v>46.985143546884494</v>
      </c>
      <c r="AI37" s="166">
        <v>49.247996753805751</v>
      </c>
      <c r="AJ37" s="166">
        <v>51.510849960727008</v>
      </c>
      <c r="AK37" s="166">
        <v>53.773703167648264</v>
      </c>
      <c r="AL37" s="166">
        <v>56.28567886229132</v>
      </c>
      <c r="AM37" s="166">
        <v>45.560996609062173</v>
      </c>
      <c r="AN37" s="166">
        <v>45.560996609062173</v>
      </c>
      <c r="AO37" s="166">
        <v>45.560996609062173</v>
      </c>
      <c r="AP37" s="166">
        <v>45.560996609062173</v>
      </c>
      <c r="AQ37" s="166">
        <v>45.560996609062173</v>
      </c>
      <c r="AR37" s="166">
        <v>40.568634089438277</v>
      </c>
      <c r="AS37" s="166">
        <v>40.568634089438277</v>
      </c>
      <c r="AT37" s="166">
        <v>40.568634089438277</v>
      </c>
      <c r="AU37" s="166">
        <v>40.568634089438277</v>
      </c>
      <c r="AV37" s="166">
        <v>40.568634089438277</v>
      </c>
      <c r="AW37" s="167">
        <f t="shared" si="10"/>
        <v>40.568634089438277</v>
      </c>
      <c r="AX37" s="47"/>
      <c r="AY37" s="47"/>
      <c r="AZ37" s="47"/>
      <c r="BA37" s="47"/>
      <c r="BB37" s="47"/>
      <c r="BC37" s="47"/>
      <c r="BD37" s="47"/>
      <c r="BE37" s="47"/>
      <c r="BF37" s="47"/>
      <c r="BG37" s="47"/>
      <c r="BH37" s="47"/>
      <c r="BI37" s="47"/>
      <c r="BJ37" s="47"/>
      <c r="BK37" s="47"/>
      <c r="BL37" s="47"/>
      <c r="BM37" s="47"/>
      <c r="BN37" s="47"/>
    </row>
    <row r="38" spans="1:66" ht="15.75" x14ac:dyDescent="0.25">
      <c r="A38" s="150" t="s">
        <v>405</v>
      </c>
      <c r="B38" s="150" t="s">
        <v>262</v>
      </c>
      <c r="C38" s="150" t="s">
        <v>405</v>
      </c>
      <c r="D38" s="150" t="s">
        <v>310</v>
      </c>
      <c r="E38" s="155" t="s">
        <v>476</v>
      </c>
      <c r="F38" s="150"/>
      <c r="G38" s="150"/>
      <c r="H38" s="150"/>
      <c r="I38" s="150"/>
      <c r="J38" s="150"/>
      <c r="K38" s="150"/>
      <c r="L38" s="150"/>
      <c r="M38" s="150"/>
      <c r="N38" s="150"/>
      <c r="O38" s="150"/>
      <c r="P38" s="150"/>
      <c r="Q38" s="150"/>
      <c r="R38" s="150"/>
      <c r="S38" s="150"/>
      <c r="T38" s="150"/>
      <c r="U38" s="150"/>
      <c r="V38" s="150"/>
      <c r="W38" s="150"/>
      <c r="X38" s="150"/>
      <c r="Y38" s="150"/>
      <c r="Z38" s="150"/>
      <c r="AA38" s="150"/>
      <c r="AB38" s="150" t="s">
        <v>477</v>
      </c>
      <c r="AC38" s="168">
        <v>2.5074000000000001</v>
      </c>
      <c r="AD38" s="168">
        <v>2.4994114964451377</v>
      </c>
      <c r="AE38" s="168">
        <v>2.4914229928902754</v>
      </c>
      <c r="AF38" s="168">
        <v>2.483434489335413</v>
      </c>
      <c r="AG38" s="168">
        <v>2.4754459857805506</v>
      </c>
      <c r="AH38" s="168">
        <v>2.4702473446560393</v>
      </c>
      <c r="AI38" s="168">
        <v>2.4650487035315281</v>
      </c>
      <c r="AJ38" s="168">
        <v>2.4598500624070168</v>
      </c>
      <c r="AK38" s="168">
        <v>2.4546514212825055</v>
      </c>
      <c r="AL38" s="168">
        <v>2.4606122298793993</v>
      </c>
      <c r="AM38" s="168">
        <v>2.0365375264734675</v>
      </c>
      <c r="AN38" s="168">
        <v>2.0365375264734675</v>
      </c>
      <c r="AO38" s="168">
        <v>2.0365375264734675</v>
      </c>
      <c r="AP38" s="168">
        <v>2.0365375264734675</v>
      </c>
      <c r="AQ38" s="168">
        <v>2.0365375264734675</v>
      </c>
      <c r="AR38" s="168">
        <v>1.8167966592133771</v>
      </c>
      <c r="AS38" s="168">
        <v>1.8167966592133771</v>
      </c>
      <c r="AT38" s="168">
        <v>1.8167966592133771</v>
      </c>
      <c r="AU38" s="168">
        <v>1.8167966592133771</v>
      </c>
      <c r="AV38" s="168">
        <v>1.8167966592133771</v>
      </c>
      <c r="AW38" s="169">
        <f t="shared" si="10"/>
        <v>1.8167966592133771</v>
      </c>
      <c r="AX38" s="47"/>
      <c r="AY38" s="47"/>
      <c r="AZ38" s="47"/>
      <c r="BA38" s="47"/>
      <c r="BB38" s="47"/>
      <c r="BC38" s="47"/>
      <c r="BD38" s="47"/>
      <c r="BE38" s="47"/>
      <c r="BF38" s="47"/>
      <c r="BG38" s="47"/>
      <c r="BH38" s="47"/>
      <c r="BI38" s="47"/>
      <c r="BJ38" s="47"/>
      <c r="BK38" s="47"/>
      <c r="BL38" s="47"/>
      <c r="BM38" s="47"/>
      <c r="BN38" s="47"/>
    </row>
    <row r="39" spans="1:66" ht="15.75" x14ac:dyDescent="0.25">
      <c r="A39" s="150" t="s">
        <v>407</v>
      </c>
      <c r="B39" s="150" t="s">
        <v>262</v>
      </c>
      <c r="C39" s="150" t="s">
        <v>407</v>
      </c>
      <c r="D39" s="150" t="s">
        <v>301</v>
      </c>
      <c r="E39" s="155" t="s">
        <v>463</v>
      </c>
      <c r="F39" s="150"/>
      <c r="G39" s="150"/>
      <c r="H39" s="150"/>
      <c r="I39" s="150"/>
      <c r="J39" s="150"/>
      <c r="K39" s="150"/>
      <c r="L39" s="150"/>
      <c r="M39" s="150"/>
      <c r="N39" s="150"/>
      <c r="O39" s="150"/>
      <c r="P39" s="150"/>
      <c r="Q39" s="150"/>
      <c r="R39" s="150"/>
      <c r="S39" s="150"/>
      <c r="T39" s="150"/>
      <c r="U39" s="150"/>
      <c r="V39" s="150"/>
      <c r="W39" s="150"/>
      <c r="X39" s="150"/>
      <c r="Y39" s="150"/>
      <c r="Z39" s="150"/>
      <c r="AA39" s="150"/>
      <c r="AB39" s="150" t="s">
        <v>478</v>
      </c>
      <c r="AC39" s="166">
        <v>299.2</v>
      </c>
      <c r="AD39" s="166">
        <v>307.35184554826611</v>
      </c>
      <c r="AE39" s="166">
        <v>307.35184554826611</v>
      </c>
      <c r="AF39" s="166">
        <v>307.35184554826611</v>
      </c>
      <c r="AG39" s="166">
        <v>307.35184554826611</v>
      </c>
      <c r="AH39" s="166">
        <v>307.35184554826611</v>
      </c>
      <c r="AI39" s="166">
        <v>307.35184554826611</v>
      </c>
      <c r="AJ39" s="166">
        <v>307.35184554826611</v>
      </c>
      <c r="AK39" s="166">
        <v>307.35184554826611</v>
      </c>
      <c r="AL39" s="166">
        <v>307.35184554826611</v>
      </c>
      <c r="AM39" s="166">
        <v>307.35184554826611</v>
      </c>
      <c r="AN39" s="166">
        <v>307.35184554826611</v>
      </c>
      <c r="AO39" s="166">
        <v>307.35184554826611</v>
      </c>
      <c r="AP39" s="166">
        <v>307.35184554826611</v>
      </c>
      <c r="AQ39" s="166">
        <v>307.35184554826611</v>
      </c>
      <c r="AR39" s="166">
        <v>307.35184554826611</v>
      </c>
      <c r="AS39" s="166">
        <v>307.35184554826611</v>
      </c>
      <c r="AT39" s="166">
        <v>307.35184554826611</v>
      </c>
      <c r="AU39" s="166">
        <v>307.35184554826611</v>
      </c>
      <c r="AV39" s="166">
        <v>307.35184554826611</v>
      </c>
      <c r="AW39" s="167">
        <f t="shared" si="10"/>
        <v>307.35184554826611</v>
      </c>
      <c r="AX39" s="47"/>
      <c r="AY39" s="47"/>
      <c r="AZ39" s="47"/>
      <c r="BA39" s="47"/>
      <c r="BB39" s="47"/>
      <c r="BC39" s="47"/>
      <c r="BD39" s="47"/>
      <c r="BE39" s="47"/>
      <c r="BF39" s="47"/>
      <c r="BG39" s="47"/>
      <c r="BH39" s="47"/>
      <c r="BI39" s="47"/>
      <c r="BJ39" s="47"/>
      <c r="BK39" s="47"/>
      <c r="BL39" s="47"/>
      <c r="BM39" s="47"/>
      <c r="BN39" s="47"/>
    </row>
    <row r="40" spans="1:66" ht="15.75" x14ac:dyDescent="0.25">
      <c r="A40" s="150" t="s">
        <v>407</v>
      </c>
      <c r="B40" s="150" t="s">
        <v>262</v>
      </c>
      <c r="C40" s="150" t="s">
        <v>407</v>
      </c>
      <c r="D40" s="150" t="s">
        <v>301</v>
      </c>
      <c r="E40" s="155" t="s">
        <v>476</v>
      </c>
      <c r="F40" s="150"/>
      <c r="G40" s="150"/>
      <c r="H40" s="150"/>
      <c r="I40" s="150"/>
      <c r="J40" s="150"/>
      <c r="K40" s="150"/>
      <c r="L40" s="150"/>
      <c r="M40" s="150"/>
      <c r="N40" s="150"/>
      <c r="O40" s="150"/>
      <c r="P40" s="150"/>
      <c r="Q40" s="150"/>
      <c r="R40" s="150"/>
      <c r="S40" s="150"/>
      <c r="T40" s="150"/>
      <c r="U40" s="150"/>
      <c r="V40" s="150"/>
      <c r="W40" s="150"/>
      <c r="X40" s="150"/>
      <c r="Y40" s="150"/>
      <c r="Z40" s="150"/>
      <c r="AA40" s="150"/>
      <c r="AB40" s="150" t="s">
        <v>479</v>
      </c>
      <c r="AC40" s="168">
        <v>3.0762</v>
      </c>
      <c r="AD40" s="168">
        <v>3.0830079002032393</v>
      </c>
      <c r="AE40" s="168">
        <v>3.0830149474875905</v>
      </c>
      <c r="AF40" s="168">
        <v>3.0830451009756228</v>
      </c>
      <c r="AG40" s="168">
        <v>3.0830664169209969</v>
      </c>
      <c r="AH40" s="168">
        <v>3.0385893628500487</v>
      </c>
      <c r="AI40" s="168">
        <v>3.0386150038584052</v>
      </c>
      <c r="AJ40" s="168">
        <v>3.0386233028673653</v>
      </c>
      <c r="AK40" s="168">
        <v>3.0386399786735394</v>
      </c>
      <c r="AL40" s="168">
        <v>3.0386511142287098</v>
      </c>
      <c r="AM40" s="168">
        <v>2.5149700749993356</v>
      </c>
      <c r="AN40" s="168">
        <v>2.5149787856254111</v>
      </c>
      <c r="AO40" s="168">
        <v>2.5149879699333546</v>
      </c>
      <c r="AP40" s="168">
        <v>2.5149932707519982</v>
      </c>
      <c r="AQ40" s="168">
        <v>2.5149995929321061</v>
      </c>
      <c r="AR40" s="168">
        <v>2.2436384121579338</v>
      </c>
      <c r="AS40" s="168">
        <v>2.2436449191971488</v>
      </c>
      <c r="AT40" s="168">
        <v>2.243649818995042</v>
      </c>
      <c r="AU40" s="168">
        <v>2.2436549117371851</v>
      </c>
      <c r="AV40" s="168">
        <v>2.2436595190743027</v>
      </c>
      <c r="AW40" s="169">
        <f t="shared" si="10"/>
        <v>2.2436595190743027</v>
      </c>
      <c r="AX40" s="47"/>
      <c r="AY40" s="47"/>
      <c r="AZ40" s="47"/>
      <c r="BA40" s="47"/>
      <c r="BB40" s="47"/>
      <c r="BC40" s="47"/>
      <c r="BD40" s="47"/>
      <c r="BE40" s="47"/>
      <c r="BF40" s="47"/>
      <c r="BG40" s="47"/>
      <c r="BH40" s="47"/>
      <c r="BI40" s="47"/>
      <c r="BJ40" s="47"/>
      <c r="BK40" s="47"/>
      <c r="BL40" s="47"/>
      <c r="BM40" s="47"/>
      <c r="BN40" s="47"/>
    </row>
    <row r="41" spans="1:66" ht="15.75" x14ac:dyDescent="0.25">
      <c r="A41" s="150" t="s">
        <v>407</v>
      </c>
      <c r="B41" s="150" t="s">
        <v>262</v>
      </c>
      <c r="C41" s="150" t="s">
        <v>407</v>
      </c>
      <c r="D41" s="150" t="s">
        <v>303</v>
      </c>
      <c r="E41" s="155" t="s">
        <v>463</v>
      </c>
      <c r="F41" s="150"/>
      <c r="G41" s="150"/>
      <c r="H41" s="150"/>
      <c r="I41" s="150"/>
      <c r="J41" s="150"/>
      <c r="K41" s="150"/>
      <c r="L41" s="150"/>
      <c r="M41" s="150"/>
      <c r="N41" s="150"/>
      <c r="O41" s="150"/>
      <c r="P41" s="150"/>
      <c r="Q41" s="150"/>
      <c r="R41" s="150"/>
      <c r="S41" s="150"/>
      <c r="T41" s="150"/>
      <c r="U41" s="150"/>
      <c r="V41" s="150"/>
      <c r="W41" s="150"/>
      <c r="X41" s="150"/>
      <c r="Y41" s="150"/>
      <c r="Z41" s="150"/>
      <c r="AA41" s="150"/>
      <c r="AB41" s="150" t="s">
        <v>480</v>
      </c>
      <c r="AC41" s="166">
        <v>509.4</v>
      </c>
      <c r="AD41" s="166">
        <v>506.55376500264072</v>
      </c>
      <c r="AE41" s="166">
        <v>503.70753000528146</v>
      </c>
      <c r="AF41" s="166">
        <v>500.86129500792219</v>
      </c>
      <c r="AG41" s="166">
        <v>498.01506001056293</v>
      </c>
      <c r="AH41" s="166">
        <v>500.27274350630552</v>
      </c>
      <c r="AI41" s="166">
        <v>500.27274350630552</v>
      </c>
      <c r="AJ41" s="166">
        <v>500.27274350630552</v>
      </c>
      <c r="AK41" s="166">
        <v>500.27274350630552</v>
      </c>
      <c r="AL41" s="166">
        <v>500.27274350630552</v>
      </c>
      <c r="AM41" s="166">
        <v>408.7725321459684</v>
      </c>
      <c r="AN41" s="166">
        <v>408.7725321459684</v>
      </c>
      <c r="AO41" s="166">
        <v>408.7725321459684</v>
      </c>
      <c r="AP41" s="166">
        <v>408.7725321459684</v>
      </c>
      <c r="AQ41" s="166">
        <v>408.7725321459684</v>
      </c>
      <c r="AR41" s="166">
        <v>360.41164405364208</v>
      </c>
      <c r="AS41" s="166">
        <v>360.41164405364208</v>
      </c>
      <c r="AT41" s="166">
        <v>360.41164405364208</v>
      </c>
      <c r="AU41" s="166">
        <v>360.41164405364208</v>
      </c>
      <c r="AV41" s="166">
        <v>360.41164405364208</v>
      </c>
      <c r="AW41" s="167">
        <f t="shared" si="10"/>
        <v>360.41164405364208</v>
      </c>
      <c r="AX41" s="47"/>
      <c r="AY41" s="47"/>
      <c r="AZ41" s="47"/>
      <c r="BA41" s="47"/>
      <c r="BB41" s="47"/>
      <c r="BC41" s="47"/>
      <c r="BD41" s="47"/>
      <c r="BE41" s="47"/>
      <c r="BF41" s="47"/>
      <c r="BG41" s="47"/>
      <c r="BH41" s="47"/>
      <c r="BI41" s="47"/>
      <c r="BJ41" s="47"/>
      <c r="BK41" s="47"/>
      <c r="BL41" s="47"/>
      <c r="BM41" s="47"/>
      <c r="BN41" s="47"/>
    </row>
    <row r="42" spans="1:66" ht="15.75" x14ac:dyDescent="0.25">
      <c r="A42" s="150" t="s">
        <v>407</v>
      </c>
      <c r="B42" s="150" t="s">
        <v>262</v>
      </c>
      <c r="C42" s="150" t="s">
        <v>407</v>
      </c>
      <c r="D42" s="150" t="s">
        <v>303</v>
      </c>
      <c r="E42" s="155" t="s">
        <v>472</v>
      </c>
      <c r="F42" s="150"/>
      <c r="G42" s="150"/>
      <c r="H42" s="150"/>
      <c r="I42" s="150"/>
      <c r="J42" s="150"/>
      <c r="K42" s="150"/>
      <c r="L42" s="150"/>
      <c r="M42" s="150"/>
      <c r="N42" s="150"/>
      <c r="O42" s="150"/>
      <c r="P42" s="150"/>
      <c r="Q42" s="150"/>
      <c r="R42" s="150"/>
      <c r="S42" s="150"/>
      <c r="T42" s="150"/>
      <c r="U42" s="150"/>
      <c r="V42" s="150"/>
      <c r="W42" s="150"/>
      <c r="X42" s="150"/>
      <c r="Y42" s="150"/>
      <c r="Z42" s="150"/>
      <c r="AA42" s="150"/>
      <c r="AB42" s="150" t="s">
        <v>481</v>
      </c>
      <c r="AC42" s="168">
        <v>2.0097</v>
      </c>
      <c r="AD42" s="168">
        <v>2.027899956787544</v>
      </c>
      <c r="AE42" s="168">
        <v>2.027899956787544</v>
      </c>
      <c r="AF42" s="168">
        <v>2.027899956787544</v>
      </c>
      <c r="AG42" s="168">
        <v>2.027899956787544</v>
      </c>
      <c r="AH42" s="168">
        <v>2.0094436911719069</v>
      </c>
      <c r="AI42" s="168">
        <v>2.0094436911719069</v>
      </c>
      <c r="AJ42" s="168">
        <v>2.0094436911719069</v>
      </c>
      <c r="AK42" s="168">
        <v>2.0094436911719069</v>
      </c>
      <c r="AL42" s="168">
        <v>2.0094436911719069</v>
      </c>
      <c r="AM42" s="168">
        <v>1.6737218982418938</v>
      </c>
      <c r="AN42" s="168">
        <v>1.6737218982418938</v>
      </c>
      <c r="AO42" s="168">
        <v>1.6737218982418938</v>
      </c>
      <c r="AP42" s="168">
        <v>1.6737218982418938</v>
      </c>
      <c r="AQ42" s="168">
        <v>1.6737218982418938</v>
      </c>
      <c r="AR42" s="168">
        <v>1.5000554862238942</v>
      </c>
      <c r="AS42" s="168">
        <v>1.5000554862238942</v>
      </c>
      <c r="AT42" s="168">
        <v>1.5000554862238942</v>
      </c>
      <c r="AU42" s="168">
        <v>1.5000554862238942</v>
      </c>
      <c r="AV42" s="168">
        <v>1.5000554862238942</v>
      </c>
      <c r="AW42" s="169">
        <f t="shared" si="10"/>
        <v>1.5000554862238942</v>
      </c>
      <c r="AX42" s="47"/>
      <c r="AY42" s="47"/>
      <c r="AZ42" s="47"/>
      <c r="BA42" s="47"/>
      <c r="BB42" s="47"/>
      <c r="BC42" s="47"/>
      <c r="BD42" s="47"/>
      <c r="BE42" s="47"/>
      <c r="BF42" s="47"/>
      <c r="BG42" s="47"/>
      <c r="BH42" s="47"/>
      <c r="BI42" s="47"/>
      <c r="BJ42" s="47"/>
      <c r="BK42" s="47"/>
      <c r="BL42" s="47"/>
      <c r="BM42" s="47"/>
      <c r="BN42" s="47"/>
    </row>
    <row r="43" spans="1:66" ht="15.75" x14ac:dyDescent="0.25">
      <c r="A43" s="150" t="s">
        <v>407</v>
      </c>
      <c r="B43" s="150" t="s">
        <v>262</v>
      </c>
      <c r="C43" s="150" t="s">
        <v>407</v>
      </c>
      <c r="D43" s="150" t="s">
        <v>310</v>
      </c>
      <c r="E43" s="155" t="s">
        <v>463</v>
      </c>
      <c r="F43" s="150"/>
      <c r="G43" s="150"/>
      <c r="H43" s="150"/>
      <c r="I43" s="150"/>
      <c r="J43" s="150"/>
      <c r="K43" s="150"/>
      <c r="L43" s="150"/>
      <c r="M43" s="150"/>
      <c r="N43" s="150"/>
      <c r="O43" s="150"/>
      <c r="P43" s="150"/>
      <c r="Q43" s="150"/>
      <c r="R43" s="150"/>
      <c r="S43" s="150"/>
      <c r="T43" s="150"/>
      <c r="U43" s="150"/>
      <c r="V43" s="150"/>
      <c r="W43" s="150"/>
      <c r="X43" s="150"/>
      <c r="Y43" s="150"/>
      <c r="Z43" s="150"/>
      <c r="AA43" s="150"/>
      <c r="AB43" s="150" t="s">
        <v>482</v>
      </c>
      <c r="AC43" s="166">
        <v>0</v>
      </c>
      <c r="AD43" s="166">
        <v>0</v>
      </c>
      <c r="AE43" s="166">
        <v>0</v>
      </c>
      <c r="AF43" s="166">
        <v>0</v>
      </c>
      <c r="AG43" s="166">
        <v>0</v>
      </c>
      <c r="AH43" s="166">
        <v>0</v>
      </c>
      <c r="AI43" s="166">
        <v>0</v>
      </c>
      <c r="AJ43" s="166">
        <v>0</v>
      </c>
      <c r="AK43" s="166">
        <v>0</v>
      </c>
      <c r="AL43" s="166">
        <v>0</v>
      </c>
      <c r="AM43" s="166">
        <v>0</v>
      </c>
      <c r="AN43" s="166">
        <v>0</v>
      </c>
      <c r="AO43" s="166">
        <v>0</v>
      </c>
      <c r="AP43" s="166">
        <v>0</v>
      </c>
      <c r="AQ43" s="166">
        <v>0</v>
      </c>
      <c r="AR43" s="166">
        <v>0</v>
      </c>
      <c r="AS43" s="166">
        <v>0</v>
      </c>
      <c r="AT43" s="166">
        <v>0</v>
      </c>
      <c r="AU43" s="166">
        <v>0</v>
      </c>
      <c r="AV43" s="166">
        <v>0</v>
      </c>
      <c r="AW43" s="167">
        <f t="shared" si="10"/>
        <v>0</v>
      </c>
      <c r="AX43" s="47"/>
      <c r="AY43" s="47"/>
      <c r="AZ43" s="47"/>
      <c r="BA43" s="47"/>
      <c r="BB43" s="47"/>
      <c r="BC43" s="47"/>
      <c r="BD43" s="47"/>
      <c r="BE43" s="47"/>
      <c r="BF43" s="47"/>
      <c r="BG43" s="47"/>
      <c r="BH43" s="47"/>
      <c r="BI43" s="47"/>
      <c r="BJ43" s="47"/>
      <c r="BK43" s="47"/>
      <c r="BL43" s="47"/>
      <c r="BM43" s="47"/>
      <c r="BN43" s="47"/>
    </row>
    <row r="44" spans="1:66" ht="15.75" x14ac:dyDescent="0.25">
      <c r="A44" s="150" t="s">
        <v>407</v>
      </c>
      <c r="B44" s="150" t="s">
        <v>262</v>
      </c>
      <c r="C44" s="150" t="s">
        <v>407</v>
      </c>
      <c r="D44" s="150" t="s">
        <v>310</v>
      </c>
      <c r="E44" s="155" t="s">
        <v>476</v>
      </c>
      <c r="F44" s="150"/>
      <c r="G44" s="150"/>
      <c r="H44" s="150"/>
      <c r="I44" s="150"/>
      <c r="J44" s="150"/>
      <c r="K44" s="150"/>
      <c r="L44" s="150"/>
      <c r="M44" s="150"/>
      <c r="N44" s="150"/>
      <c r="O44" s="150"/>
      <c r="P44" s="150"/>
      <c r="Q44" s="150"/>
      <c r="R44" s="150"/>
      <c r="S44" s="150"/>
      <c r="T44" s="150"/>
      <c r="U44" s="150"/>
      <c r="V44" s="150"/>
      <c r="W44" s="150"/>
      <c r="X44" s="150"/>
      <c r="Y44" s="150"/>
      <c r="Z44" s="150"/>
      <c r="AA44" s="150"/>
      <c r="AB44" s="150" t="s">
        <v>483</v>
      </c>
      <c r="AC44" s="168">
        <v>2.6147999999999998</v>
      </c>
      <c r="AD44" s="168">
        <v>2.6083219224803611</v>
      </c>
      <c r="AE44" s="168">
        <v>2.6018438449607224</v>
      </c>
      <c r="AF44" s="168">
        <v>2.5953657674410837</v>
      </c>
      <c r="AG44" s="168">
        <v>2.588887689921445</v>
      </c>
      <c r="AH44" s="168">
        <v>2.5853380729319344</v>
      </c>
      <c r="AI44" s="168">
        <v>2.5817884559424238</v>
      </c>
      <c r="AJ44" s="168">
        <v>2.5782388389529132</v>
      </c>
      <c r="AK44" s="168">
        <v>2.5746892219634026</v>
      </c>
      <c r="AL44" s="168">
        <v>2.5828534470944033</v>
      </c>
      <c r="AM44" s="168">
        <v>2.1377245637494351</v>
      </c>
      <c r="AN44" s="168">
        <v>2.1377319677815994</v>
      </c>
      <c r="AO44" s="168">
        <v>2.1377397744433515</v>
      </c>
      <c r="AP44" s="168">
        <v>2.1377442801391986</v>
      </c>
      <c r="AQ44" s="168">
        <v>2.13774965399229</v>
      </c>
      <c r="AR44" s="168">
        <v>1.9070926503342436</v>
      </c>
      <c r="AS44" s="168">
        <v>1.9070981813175765</v>
      </c>
      <c r="AT44" s="168">
        <v>1.9071023461457857</v>
      </c>
      <c r="AU44" s="168">
        <v>1.9071066749766072</v>
      </c>
      <c r="AV44" s="168">
        <v>1.9071105912131572</v>
      </c>
      <c r="AW44" s="169">
        <f t="shared" si="10"/>
        <v>1.9071105912131572</v>
      </c>
      <c r="AX44" s="47"/>
      <c r="AY44" s="47"/>
      <c r="AZ44" s="47"/>
      <c r="BA44" s="47"/>
      <c r="BB44" s="47"/>
      <c r="BC44" s="47"/>
      <c r="BD44" s="47"/>
      <c r="BE44" s="47"/>
      <c r="BF44" s="47"/>
      <c r="BG44" s="47"/>
      <c r="BH44" s="47"/>
      <c r="BI44" s="47"/>
      <c r="BJ44" s="47"/>
      <c r="BK44" s="47"/>
      <c r="BL44" s="47"/>
      <c r="BM44" s="47"/>
      <c r="BN44" s="47"/>
    </row>
    <row r="45" spans="1:66" ht="15.75" x14ac:dyDescent="0.25">
      <c r="A45" s="150" t="s">
        <v>405</v>
      </c>
      <c r="B45" s="150" t="s">
        <v>265</v>
      </c>
      <c r="C45" s="150" t="s">
        <v>405</v>
      </c>
      <c r="D45" s="150" t="s">
        <v>301</v>
      </c>
      <c r="E45" s="155" t="s">
        <v>463</v>
      </c>
      <c r="F45" s="150"/>
      <c r="G45" s="150"/>
      <c r="H45" s="150"/>
      <c r="I45" s="150"/>
      <c r="J45" s="150"/>
      <c r="K45" s="150"/>
      <c r="L45" s="150"/>
      <c r="M45" s="150"/>
      <c r="N45" s="150"/>
      <c r="O45" s="150"/>
      <c r="P45" s="150"/>
      <c r="Q45" s="150"/>
      <c r="R45" s="150"/>
      <c r="S45" s="150"/>
      <c r="T45" s="150"/>
      <c r="U45" s="150"/>
      <c r="V45" s="150"/>
      <c r="W45" s="150"/>
      <c r="X45" s="150"/>
      <c r="Y45" s="150"/>
      <c r="Z45" s="150"/>
      <c r="AA45" s="150"/>
      <c r="AB45" s="150" t="s">
        <v>484</v>
      </c>
      <c r="AC45" s="166">
        <v>206.37100000000001</v>
      </c>
      <c r="AD45" s="166">
        <v>212.56213000000002</v>
      </c>
      <c r="AE45" s="166">
        <v>212.56213000000002</v>
      </c>
      <c r="AF45" s="166">
        <v>212.56213000000002</v>
      </c>
      <c r="AG45" s="166">
        <v>212.56213000000002</v>
      </c>
      <c r="AH45" s="166">
        <v>212.56213000000002</v>
      </c>
      <c r="AI45" s="166">
        <v>212.56213000000002</v>
      </c>
      <c r="AJ45" s="166">
        <v>212.56213000000002</v>
      </c>
      <c r="AK45" s="166">
        <v>212.56213000000002</v>
      </c>
      <c r="AL45" s="166">
        <v>212.56213000000002</v>
      </c>
      <c r="AM45" s="166">
        <v>212.56213000000002</v>
      </c>
      <c r="AN45" s="166">
        <v>212.56213000000002</v>
      </c>
      <c r="AO45" s="166">
        <v>212.56213000000002</v>
      </c>
      <c r="AP45" s="166">
        <v>212.56213000000002</v>
      </c>
      <c r="AQ45" s="166">
        <v>212.56213000000002</v>
      </c>
      <c r="AR45" s="166">
        <v>212.56213000000002</v>
      </c>
      <c r="AS45" s="166">
        <v>212.56213000000002</v>
      </c>
      <c r="AT45" s="166">
        <v>212.56213000000002</v>
      </c>
      <c r="AU45" s="166">
        <v>212.56213000000002</v>
      </c>
      <c r="AV45" s="166">
        <v>212.56213000000002</v>
      </c>
      <c r="AW45" s="167">
        <f t="shared" si="10"/>
        <v>212.56213000000002</v>
      </c>
      <c r="AX45" s="47"/>
      <c r="AY45" s="47"/>
      <c r="AZ45" s="47"/>
      <c r="BA45" s="47"/>
      <c r="BB45" s="47"/>
      <c r="BC45" s="47"/>
      <c r="BD45" s="47"/>
      <c r="BE45" s="47"/>
      <c r="BF45" s="47"/>
      <c r="BG45" s="47"/>
      <c r="BH45" s="47"/>
      <c r="BI45" s="47"/>
      <c r="BJ45" s="47"/>
      <c r="BK45" s="47"/>
      <c r="BL45" s="47"/>
      <c r="BM45" s="47"/>
      <c r="BN45" s="47"/>
    </row>
    <row r="46" spans="1:66" ht="15.75" x14ac:dyDescent="0.25">
      <c r="A46" s="150" t="s">
        <v>405</v>
      </c>
      <c r="B46" s="150" t="s">
        <v>265</v>
      </c>
      <c r="C46" s="150" t="s">
        <v>405</v>
      </c>
      <c r="D46" s="150" t="s">
        <v>301</v>
      </c>
      <c r="E46" s="150" t="s">
        <v>465</v>
      </c>
      <c r="F46" s="150"/>
      <c r="G46" s="150"/>
      <c r="H46" s="150"/>
      <c r="I46" s="150"/>
      <c r="J46" s="150"/>
      <c r="K46" s="150"/>
      <c r="L46" s="150"/>
      <c r="M46" s="150"/>
      <c r="N46" s="150"/>
      <c r="O46" s="150"/>
      <c r="P46" s="150"/>
      <c r="Q46" s="150"/>
      <c r="R46" s="150"/>
      <c r="S46" s="150"/>
      <c r="T46" s="150"/>
      <c r="U46" s="150"/>
      <c r="V46" s="150"/>
      <c r="W46" s="150"/>
      <c r="X46" s="150"/>
      <c r="Y46" s="150"/>
      <c r="Z46" s="150"/>
      <c r="AA46" s="150"/>
      <c r="AB46" s="150" t="s">
        <v>485</v>
      </c>
      <c r="AC46" s="168">
        <v>2.3071000000000002</v>
      </c>
      <c r="AD46" s="168">
        <v>2.3511277280165399</v>
      </c>
      <c r="AE46" s="168">
        <v>2.3951554560330797</v>
      </c>
      <c r="AF46" s="168">
        <v>2.4391831840496194</v>
      </c>
      <c r="AG46" s="168">
        <v>2.4832109120661592</v>
      </c>
      <c r="AH46" s="168">
        <v>2.5293659235252814</v>
      </c>
      <c r="AI46" s="168">
        <v>2.5755209349844037</v>
      </c>
      <c r="AJ46" s="168">
        <v>2.621675946443526</v>
      </c>
      <c r="AK46" s="168">
        <v>2.6678309579026482</v>
      </c>
      <c r="AL46" s="168">
        <v>2.7139859693617705</v>
      </c>
      <c r="AM46" s="168">
        <v>2.7686501145912206</v>
      </c>
      <c r="AN46" s="168">
        <v>2.7686501145912206</v>
      </c>
      <c r="AO46" s="168">
        <v>2.7686501145912206</v>
      </c>
      <c r="AP46" s="168">
        <v>2.7686501145912206</v>
      </c>
      <c r="AQ46" s="168">
        <v>2.7686501145912206</v>
      </c>
      <c r="AR46" s="168">
        <v>2.4620015117969873</v>
      </c>
      <c r="AS46" s="168">
        <v>2.4620015117969873</v>
      </c>
      <c r="AT46" s="168">
        <v>2.4620015117969873</v>
      </c>
      <c r="AU46" s="168">
        <v>2.4620015117969873</v>
      </c>
      <c r="AV46" s="168">
        <v>2.4620015117969873</v>
      </c>
      <c r="AW46" s="169">
        <f t="shared" si="10"/>
        <v>2.4620015117969873</v>
      </c>
      <c r="AX46" s="47"/>
      <c r="AY46" s="47"/>
      <c r="AZ46" s="47"/>
      <c r="BA46" s="47"/>
      <c r="BB46" s="47"/>
      <c r="BC46" s="47"/>
      <c r="BD46" s="47"/>
      <c r="BE46" s="47"/>
      <c r="BF46" s="47"/>
      <c r="BG46" s="47"/>
      <c r="BH46" s="47"/>
      <c r="BI46" s="47"/>
      <c r="BJ46" s="47"/>
      <c r="BK46" s="47"/>
      <c r="BL46" s="47"/>
      <c r="BM46" s="47"/>
      <c r="BN46" s="47"/>
    </row>
    <row r="47" spans="1:66" ht="15.75" x14ac:dyDescent="0.25">
      <c r="A47" s="150" t="s">
        <v>405</v>
      </c>
      <c r="B47" s="150" t="s">
        <v>265</v>
      </c>
      <c r="C47" s="150" t="s">
        <v>405</v>
      </c>
      <c r="D47" s="150" t="s">
        <v>301</v>
      </c>
      <c r="E47" s="155" t="s">
        <v>468</v>
      </c>
      <c r="F47" s="150"/>
      <c r="G47" s="150"/>
      <c r="H47" s="150"/>
      <c r="I47" s="150"/>
      <c r="J47" s="150"/>
      <c r="K47" s="150"/>
      <c r="L47" s="150"/>
      <c r="M47" s="150"/>
      <c r="N47" s="150"/>
      <c r="O47" s="150"/>
      <c r="P47" s="150"/>
      <c r="Q47" s="150"/>
      <c r="R47" s="150"/>
      <c r="S47" s="150"/>
      <c r="T47" s="150"/>
      <c r="U47" s="150"/>
      <c r="V47" s="150"/>
      <c r="W47" s="150"/>
      <c r="X47" s="150"/>
      <c r="Y47" s="150"/>
      <c r="Z47" s="150"/>
      <c r="AA47" s="150"/>
      <c r="AB47" s="150" t="s">
        <v>486</v>
      </c>
      <c r="AC47" s="168">
        <v>3.0611000000000002</v>
      </c>
      <c r="AD47" s="168">
        <v>3.0778048384115455</v>
      </c>
      <c r="AE47" s="168">
        <v>3.0945096768230909</v>
      </c>
      <c r="AF47" s="168">
        <v>3.1112145152346362</v>
      </c>
      <c r="AG47" s="168">
        <v>3.1279193536461816</v>
      </c>
      <c r="AH47" s="168">
        <v>3.1471237346787224</v>
      </c>
      <c r="AI47" s="168">
        <v>3.1663281157112633</v>
      </c>
      <c r="AJ47" s="168">
        <v>3.1855324967438041</v>
      </c>
      <c r="AK47" s="168">
        <v>3.204736877776345</v>
      </c>
      <c r="AL47" s="168">
        <v>3.2239412588088858</v>
      </c>
      <c r="AM47" s="168">
        <v>3.2531438103254073</v>
      </c>
      <c r="AN47" s="168">
        <v>3.2531438103254073</v>
      </c>
      <c r="AO47" s="168">
        <v>3.2531438103254073</v>
      </c>
      <c r="AP47" s="168">
        <v>3.2531438103254073</v>
      </c>
      <c r="AQ47" s="168">
        <v>3.2531438103254073</v>
      </c>
      <c r="AR47" s="168">
        <v>2.892833925422424</v>
      </c>
      <c r="AS47" s="168">
        <v>2.892833925422424</v>
      </c>
      <c r="AT47" s="168">
        <v>2.892833925422424</v>
      </c>
      <c r="AU47" s="168">
        <v>2.892833925422424</v>
      </c>
      <c r="AV47" s="168">
        <v>2.892833925422424</v>
      </c>
      <c r="AW47" s="169">
        <f t="shared" si="10"/>
        <v>2.892833925422424</v>
      </c>
      <c r="AX47" s="47"/>
      <c r="AY47" s="47"/>
      <c r="AZ47" s="47"/>
      <c r="BA47" s="47"/>
      <c r="BB47" s="47"/>
      <c r="BC47" s="47"/>
      <c r="BD47" s="47"/>
      <c r="BE47" s="47"/>
      <c r="BF47" s="47"/>
      <c r="BG47" s="47"/>
      <c r="BH47" s="47"/>
      <c r="BI47" s="47"/>
      <c r="BJ47" s="47"/>
      <c r="BK47" s="47"/>
      <c r="BL47" s="47"/>
      <c r="BM47" s="47"/>
      <c r="BN47" s="47"/>
    </row>
    <row r="48" spans="1:66" ht="15.75" x14ac:dyDescent="0.25">
      <c r="A48" s="150" t="s">
        <v>405</v>
      </c>
      <c r="B48" s="150" t="s">
        <v>265</v>
      </c>
      <c r="C48" s="150" t="s">
        <v>405</v>
      </c>
      <c r="D48" s="150" t="s">
        <v>301</v>
      </c>
      <c r="E48" s="155" t="s">
        <v>470</v>
      </c>
      <c r="F48" s="150"/>
      <c r="G48" s="150"/>
      <c r="H48" s="150"/>
      <c r="I48" s="150"/>
      <c r="J48" s="150"/>
      <c r="K48" s="150"/>
      <c r="L48" s="150"/>
      <c r="M48" s="150"/>
      <c r="N48" s="150"/>
      <c r="O48" s="150"/>
      <c r="P48" s="150"/>
      <c r="Q48" s="150"/>
      <c r="R48" s="150"/>
      <c r="S48" s="150"/>
      <c r="T48" s="150"/>
      <c r="U48" s="150"/>
      <c r="V48" s="150"/>
      <c r="W48" s="150"/>
      <c r="X48" s="150"/>
      <c r="Y48" s="150"/>
      <c r="Z48" s="150"/>
      <c r="AA48" s="150"/>
      <c r="AB48" s="150" t="s">
        <v>487</v>
      </c>
      <c r="AC48" s="168">
        <v>3.9363999999999999</v>
      </c>
      <c r="AD48" s="168">
        <v>3.0778048384115455</v>
      </c>
      <c r="AE48" s="168">
        <v>3.0945096768230909</v>
      </c>
      <c r="AF48" s="168">
        <v>3.1112145152346362</v>
      </c>
      <c r="AG48" s="168">
        <v>3.1279193536461816</v>
      </c>
      <c r="AH48" s="168">
        <v>3.1471237346787224</v>
      </c>
      <c r="AI48" s="168">
        <v>3.1663281157112633</v>
      </c>
      <c r="AJ48" s="168">
        <v>3.1855324967438041</v>
      </c>
      <c r="AK48" s="168">
        <v>3.204736877776345</v>
      </c>
      <c r="AL48" s="168">
        <v>3.2239412588088858</v>
      </c>
      <c r="AM48" s="168">
        <v>3.2531438103254073</v>
      </c>
      <c r="AN48" s="168">
        <v>3.2531438103254073</v>
      </c>
      <c r="AO48" s="168">
        <v>3.2531438103254073</v>
      </c>
      <c r="AP48" s="168">
        <v>3.2531438103254073</v>
      </c>
      <c r="AQ48" s="168">
        <v>3.2531438103254073</v>
      </c>
      <c r="AR48" s="168">
        <v>2.892833925422424</v>
      </c>
      <c r="AS48" s="168">
        <v>2.892833925422424</v>
      </c>
      <c r="AT48" s="168">
        <v>2.892833925422424</v>
      </c>
      <c r="AU48" s="168">
        <v>2.892833925422424</v>
      </c>
      <c r="AV48" s="168">
        <v>2.892833925422424</v>
      </c>
      <c r="AW48" s="169">
        <f t="shared" si="10"/>
        <v>2.892833925422424</v>
      </c>
      <c r="AX48" s="47"/>
      <c r="AY48" s="47"/>
      <c r="AZ48" s="47"/>
      <c r="BA48" s="47"/>
      <c r="BB48" s="47"/>
      <c r="BC48" s="47"/>
      <c r="BD48" s="47"/>
      <c r="BE48" s="47"/>
      <c r="BF48" s="47"/>
      <c r="BG48" s="47"/>
      <c r="BH48" s="47"/>
      <c r="BI48" s="47"/>
      <c r="BJ48" s="47"/>
      <c r="BK48" s="47"/>
      <c r="BL48" s="47"/>
      <c r="BM48" s="47"/>
      <c r="BN48" s="47"/>
    </row>
    <row r="49" spans="1:66" ht="15.75" x14ac:dyDescent="0.25">
      <c r="A49" s="150" t="s">
        <v>405</v>
      </c>
      <c r="B49" s="150" t="s">
        <v>265</v>
      </c>
      <c r="C49" s="150" t="s">
        <v>405</v>
      </c>
      <c r="D49" s="150" t="s">
        <v>303</v>
      </c>
      <c r="E49" s="155" t="s">
        <v>463</v>
      </c>
      <c r="F49" s="150"/>
      <c r="G49" s="150"/>
      <c r="H49" s="150"/>
      <c r="I49" s="150"/>
      <c r="J49" s="150"/>
      <c r="K49" s="150"/>
      <c r="L49" s="150"/>
      <c r="M49" s="150"/>
      <c r="N49" s="150"/>
      <c r="O49" s="150"/>
      <c r="P49" s="150"/>
      <c r="Q49" s="150"/>
      <c r="R49" s="150"/>
      <c r="S49" s="150"/>
      <c r="T49" s="150"/>
      <c r="U49" s="150"/>
      <c r="V49" s="150"/>
      <c r="W49" s="150"/>
      <c r="X49" s="150"/>
      <c r="Y49" s="150"/>
      <c r="Z49" s="150"/>
      <c r="AA49" s="150"/>
      <c r="AB49" s="150" t="s">
        <v>488</v>
      </c>
      <c r="AC49" s="166">
        <v>544.54349999999999</v>
      </c>
      <c r="AD49" s="166">
        <v>524.61105678520789</v>
      </c>
      <c r="AE49" s="166">
        <v>504.67861357041573</v>
      </c>
      <c r="AF49" s="166">
        <v>484.74617035562358</v>
      </c>
      <c r="AG49" s="166">
        <v>464.81372714083142</v>
      </c>
      <c r="AH49" s="166">
        <v>445.29954659893525</v>
      </c>
      <c r="AI49" s="166">
        <v>425.78536605703908</v>
      </c>
      <c r="AJ49" s="166">
        <v>406.27118551514292</v>
      </c>
      <c r="AK49" s="166">
        <v>386.75700497324675</v>
      </c>
      <c r="AL49" s="166">
        <v>368.91587512293466</v>
      </c>
      <c r="AM49" s="166">
        <v>302.2300208328964</v>
      </c>
      <c r="AN49" s="166">
        <v>302.2300208328964</v>
      </c>
      <c r="AO49" s="166">
        <v>302.2300208328964</v>
      </c>
      <c r="AP49" s="166">
        <v>302.2300208328964</v>
      </c>
      <c r="AQ49" s="166">
        <v>302.2300208328964</v>
      </c>
      <c r="AR49" s="166">
        <v>267.14302800597886</v>
      </c>
      <c r="AS49" s="166">
        <v>267.14302800597886</v>
      </c>
      <c r="AT49" s="166">
        <v>267.14302800597886</v>
      </c>
      <c r="AU49" s="166">
        <v>267.14302800597886</v>
      </c>
      <c r="AV49" s="166">
        <v>267.14302800597886</v>
      </c>
      <c r="AW49" s="167">
        <f t="shared" si="10"/>
        <v>267.14302800597886</v>
      </c>
      <c r="AX49" s="47"/>
      <c r="AY49" s="47"/>
      <c r="AZ49" s="47"/>
      <c r="BA49" s="47"/>
      <c r="BB49" s="47"/>
      <c r="BC49" s="47"/>
      <c r="BD49" s="47"/>
      <c r="BE49" s="47"/>
      <c r="BF49" s="47"/>
      <c r="BG49" s="47"/>
      <c r="BH49" s="47"/>
      <c r="BI49" s="47"/>
      <c r="BJ49" s="47"/>
      <c r="BK49" s="47"/>
      <c r="BL49" s="47"/>
      <c r="BM49" s="47"/>
      <c r="BN49" s="47"/>
    </row>
    <row r="50" spans="1:66" ht="15.75" x14ac:dyDescent="0.25">
      <c r="A50" s="150" t="s">
        <v>405</v>
      </c>
      <c r="B50" s="150" t="s">
        <v>265</v>
      </c>
      <c r="C50" s="150" t="s">
        <v>405</v>
      </c>
      <c r="D50" s="150" t="s">
        <v>303</v>
      </c>
      <c r="E50" s="155" t="s">
        <v>472</v>
      </c>
      <c r="F50" s="150"/>
      <c r="G50" s="150"/>
      <c r="H50" s="150"/>
      <c r="I50" s="150"/>
      <c r="J50" s="150"/>
      <c r="K50" s="150"/>
      <c r="L50" s="150"/>
      <c r="M50" s="150"/>
      <c r="N50" s="150"/>
      <c r="O50" s="150"/>
      <c r="P50" s="150"/>
      <c r="Q50" s="150"/>
      <c r="R50" s="150"/>
      <c r="S50" s="150"/>
      <c r="T50" s="150"/>
      <c r="U50" s="150"/>
      <c r="V50" s="150"/>
      <c r="W50" s="150"/>
      <c r="X50" s="150"/>
      <c r="Y50" s="150"/>
      <c r="Z50" s="150"/>
      <c r="AA50" s="150"/>
      <c r="AB50" s="150" t="s">
        <v>489</v>
      </c>
      <c r="AC50" s="156">
        <v>0</v>
      </c>
      <c r="AD50" s="156">
        <v>0</v>
      </c>
      <c r="AE50" s="156">
        <v>0</v>
      </c>
      <c r="AF50" s="156">
        <v>0</v>
      </c>
      <c r="AG50" s="156">
        <v>0</v>
      </c>
      <c r="AH50" s="156">
        <v>0</v>
      </c>
      <c r="AI50" s="156">
        <v>0</v>
      </c>
      <c r="AJ50" s="156">
        <v>0</v>
      </c>
      <c r="AK50" s="156">
        <v>0</v>
      </c>
      <c r="AL50" s="156">
        <v>0</v>
      </c>
      <c r="AM50" s="156">
        <v>0</v>
      </c>
      <c r="AN50" s="156">
        <v>0</v>
      </c>
      <c r="AO50" s="156">
        <v>0</v>
      </c>
      <c r="AP50" s="156">
        <v>0</v>
      </c>
      <c r="AQ50" s="156">
        <v>0</v>
      </c>
      <c r="AR50" s="156">
        <v>0</v>
      </c>
      <c r="AS50" s="156">
        <v>0</v>
      </c>
      <c r="AT50" s="156">
        <v>0</v>
      </c>
      <c r="AU50" s="156">
        <v>0</v>
      </c>
      <c r="AV50" s="156">
        <v>0</v>
      </c>
      <c r="AW50" s="170">
        <f t="shared" si="10"/>
        <v>0</v>
      </c>
      <c r="AX50" s="47"/>
      <c r="AY50" s="47"/>
      <c r="AZ50" s="47"/>
      <c r="BA50" s="47"/>
      <c r="BB50" s="47"/>
      <c r="BC50" s="47"/>
      <c r="BD50" s="47"/>
      <c r="BE50" s="47"/>
      <c r="BF50" s="47"/>
      <c r="BG50" s="47"/>
      <c r="BH50" s="47"/>
      <c r="BI50" s="47"/>
      <c r="BJ50" s="47"/>
      <c r="BK50" s="47"/>
      <c r="BL50" s="47"/>
      <c r="BM50" s="47"/>
      <c r="BN50" s="47"/>
    </row>
    <row r="51" spans="1:66" ht="15.75" x14ac:dyDescent="0.25">
      <c r="A51" s="150" t="s">
        <v>405</v>
      </c>
      <c r="B51" s="150" t="s">
        <v>265</v>
      </c>
      <c r="C51" s="150" t="s">
        <v>405</v>
      </c>
      <c r="D51" s="150" t="s">
        <v>310</v>
      </c>
      <c r="E51" s="155" t="s">
        <v>463</v>
      </c>
      <c r="F51" s="150"/>
      <c r="G51" s="150"/>
      <c r="H51" s="150"/>
      <c r="I51" s="150"/>
      <c r="J51" s="150"/>
      <c r="K51" s="150"/>
      <c r="L51" s="150"/>
      <c r="M51" s="150"/>
      <c r="N51" s="150"/>
      <c r="O51" s="150"/>
      <c r="P51" s="150"/>
      <c r="Q51" s="150"/>
      <c r="R51" s="150"/>
      <c r="S51" s="150"/>
      <c r="T51" s="150"/>
      <c r="U51" s="150"/>
      <c r="V51" s="150"/>
      <c r="W51" s="150"/>
      <c r="X51" s="150"/>
      <c r="Y51" s="150"/>
      <c r="Z51" s="150"/>
      <c r="AA51" s="150"/>
      <c r="AB51" s="150" t="s">
        <v>490</v>
      </c>
      <c r="AC51" s="166">
        <v>131.4365</v>
      </c>
      <c r="AD51" s="166">
        <v>123.02412814054637</v>
      </c>
      <c r="AE51" s="166">
        <v>114.61175628109274</v>
      </c>
      <c r="AF51" s="166">
        <v>106.19938442163911</v>
      </c>
      <c r="AG51" s="166">
        <v>97.787012562185481</v>
      </c>
      <c r="AH51" s="166">
        <v>89.436921324662293</v>
      </c>
      <c r="AI51" s="166">
        <v>81.086830087139106</v>
      </c>
      <c r="AJ51" s="166">
        <v>72.736738849615918</v>
      </c>
      <c r="AK51" s="166">
        <v>64.38664761209273</v>
      </c>
      <c r="AL51" s="166">
        <v>56.28567886229132</v>
      </c>
      <c r="AM51" s="166">
        <v>45.560996609062173</v>
      </c>
      <c r="AN51" s="166">
        <v>45.560996609062173</v>
      </c>
      <c r="AO51" s="166">
        <v>45.560996609062173</v>
      </c>
      <c r="AP51" s="166">
        <v>45.560996609062173</v>
      </c>
      <c r="AQ51" s="166">
        <v>45.560996609062173</v>
      </c>
      <c r="AR51" s="166">
        <v>40.568634089438277</v>
      </c>
      <c r="AS51" s="166">
        <v>40.568634089438277</v>
      </c>
      <c r="AT51" s="166">
        <v>40.568634089438277</v>
      </c>
      <c r="AU51" s="166">
        <v>40.568634089438277</v>
      </c>
      <c r="AV51" s="166">
        <v>40.568634089438277</v>
      </c>
      <c r="AW51" s="167">
        <f t="shared" si="10"/>
        <v>40.568634089438277</v>
      </c>
      <c r="AX51" s="47"/>
      <c r="AY51" s="47"/>
      <c r="AZ51" s="47"/>
      <c r="BA51" s="47"/>
      <c r="BB51" s="47"/>
      <c r="BC51" s="47"/>
      <c r="BD51" s="47"/>
      <c r="BE51" s="47"/>
      <c r="BF51" s="47"/>
      <c r="BG51" s="47"/>
      <c r="BH51" s="47"/>
      <c r="BI51" s="47"/>
      <c r="BJ51" s="47"/>
      <c r="BK51" s="47"/>
      <c r="BL51" s="47"/>
      <c r="BM51" s="47"/>
      <c r="BN51" s="47"/>
    </row>
    <row r="52" spans="1:66" ht="15.75" x14ac:dyDescent="0.25">
      <c r="A52" s="150" t="s">
        <v>405</v>
      </c>
      <c r="B52" s="150" t="s">
        <v>265</v>
      </c>
      <c r="C52" s="150" t="s">
        <v>405</v>
      </c>
      <c r="D52" s="150" t="s">
        <v>310</v>
      </c>
      <c r="E52" s="155" t="s">
        <v>476</v>
      </c>
      <c r="F52" s="150"/>
      <c r="G52" s="150"/>
      <c r="H52" s="150"/>
      <c r="I52" s="150"/>
      <c r="J52" s="150"/>
      <c r="K52" s="150"/>
      <c r="L52" s="150"/>
      <c r="M52" s="150"/>
      <c r="N52" s="150"/>
      <c r="O52" s="150"/>
      <c r="P52" s="150"/>
      <c r="Q52" s="150"/>
      <c r="R52" s="150"/>
      <c r="S52" s="150"/>
      <c r="T52" s="150"/>
      <c r="U52" s="150"/>
      <c r="V52" s="150"/>
      <c r="W52" s="150"/>
      <c r="X52" s="150"/>
      <c r="Y52" s="150"/>
      <c r="Z52" s="150"/>
      <c r="AA52" s="150"/>
      <c r="AB52" s="150" t="s">
        <v>491</v>
      </c>
      <c r="AC52" s="168">
        <v>1.9605999999999999</v>
      </c>
      <c r="AD52" s="168">
        <v>2.0133670520006932</v>
      </c>
      <c r="AE52" s="168">
        <v>2.0661341040013865</v>
      </c>
      <c r="AF52" s="168">
        <v>2.1189011560020798</v>
      </c>
      <c r="AG52" s="168">
        <v>2.1716682080027732</v>
      </c>
      <c r="AH52" s="168">
        <v>2.2272251224338175</v>
      </c>
      <c r="AI52" s="168">
        <v>2.2827820368648619</v>
      </c>
      <c r="AJ52" s="168">
        <v>2.3383389512959063</v>
      </c>
      <c r="AK52" s="168">
        <v>2.3938958657269507</v>
      </c>
      <c r="AL52" s="168">
        <v>2.4606122298793993</v>
      </c>
      <c r="AM52" s="168">
        <v>2.0365375264734675</v>
      </c>
      <c r="AN52" s="168">
        <v>2.0365375264734675</v>
      </c>
      <c r="AO52" s="168">
        <v>2.0365375264734675</v>
      </c>
      <c r="AP52" s="168">
        <v>2.0365375264734675</v>
      </c>
      <c r="AQ52" s="168">
        <v>2.0365375264734675</v>
      </c>
      <c r="AR52" s="168">
        <v>1.8167966592133771</v>
      </c>
      <c r="AS52" s="168">
        <v>1.8167966592133771</v>
      </c>
      <c r="AT52" s="168">
        <v>1.8167966592133771</v>
      </c>
      <c r="AU52" s="168">
        <v>1.8167966592133771</v>
      </c>
      <c r="AV52" s="168">
        <v>1.8167966592133771</v>
      </c>
      <c r="AW52" s="169">
        <f t="shared" si="10"/>
        <v>1.8167966592133771</v>
      </c>
      <c r="AX52" s="47"/>
      <c r="AY52" s="47"/>
      <c r="AZ52" s="47"/>
      <c r="BA52" s="47"/>
      <c r="BB52" s="47"/>
      <c r="BC52" s="47"/>
      <c r="BD52" s="47"/>
      <c r="BE52" s="47"/>
      <c r="BF52" s="47"/>
      <c r="BG52" s="47"/>
      <c r="BH52" s="47"/>
      <c r="BI52" s="47"/>
      <c r="BJ52" s="47"/>
      <c r="BK52" s="47"/>
      <c r="BL52" s="47"/>
      <c r="BM52" s="47"/>
      <c r="BN52" s="47"/>
    </row>
    <row r="53" spans="1:66" ht="15.75" x14ac:dyDescent="0.25">
      <c r="A53" s="150" t="s">
        <v>407</v>
      </c>
      <c r="B53" s="150" t="s">
        <v>265</v>
      </c>
      <c r="C53" s="150" t="s">
        <v>407</v>
      </c>
      <c r="D53" s="150" t="s">
        <v>301</v>
      </c>
      <c r="E53" s="155" t="s">
        <v>463</v>
      </c>
      <c r="F53" s="150"/>
      <c r="G53" s="150"/>
      <c r="H53" s="150"/>
      <c r="I53" s="150"/>
      <c r="J53" s="150"/>
      <c r="K53" s="150"/>
      <c r="L53" s="150"/>
      <c r="M53" s="150"/>
      <c r="N53" s="150"/>
      <c r="O53" s="150"/>
      <c r="P53" s="150"/>
      <c r="Q53" s="150"/>
      <c r="R53" s="150"/>
      <c r="S53" s="150"/>
      <c r="T53" s="150"/>
      <c r="U53" s="150"/>
      <c r="V53" s="150"/>
      <c r="W53" s="150"/>
      <c r="X53" s="150"/>
      <c r="Y53" s="150"/>
      <c r="Z53" s="150"/>
      <c r="AA53" s="150"/>
      <c r="AB53" s="150" t="s">
        <v>492</v>
      </c>
      <c r="AC53" s="166">
        <v>340.18</v>
      </c>
      <c r="AD53" s="166">
        <v>332.12832812500005</v>
      </c>
      <c r="AE53" s="166">
        <v>332.12832812500005</v>
      </c>
      <c r="AF53" s="166">
        <v>332.12832812500005</v>
      </c>
      <c r="AG53" s="166">
        <v>332.12832812500005</v>
      </c>
      <c r="AH53" s="166">
        <v>332.12832812500005</v>
      </c>
      <c r="AI53" s="166">
        <v>332.12832812500005</v>
      </c>
      <c r="AJ53" s="166">
        <v>332.12832812500005</v>
      </c>
      <c r="AK53" s="166">
        <v>332.12832812500005</v>
      </c>
      <c r="AL53" s="166">
        <v>332.12832812500005</v>
      </c>
      <c r="AM53" s="166">
        <v>332.12832812500005</v>
      </c>
      <c r="AN53" s="166">
        <v>332.12832812500005</v>
      </c>
      <c r="AO53" s="166">
        <v>332.12832812500005</v>
      </c>
      <c r="AP53" s="166">
        <v>332.12832812500005</v>
      </c>
      <c r="AQ53" s="166">
        <v>332.12832812500005</v>
      </c>
      <c r="AR53" s="166">
        <v>332.12832812500005</v>
      </c>
      <c r="AS53" s="166">
        <v>332.12832812500005</v>
      </c>
      <c r="AT53" s="166">
        <v>332.12832812500005</v>
      </c>
      <c r="AU53" s="166">
        <v>332.12832812500005</v>
      </c>
      <c r="AV53" s="166">
        <v>332.12832812500005</v>
      </c>
      <c r="AW53" s="167">
        <f t="shared" si="10"/>
        <v>332.12832812500005</v>
      </c>
      <c r="AX53" s="47"/>
      <c r="AY53" s="47"/>
      <c r="AZ53" s="47"/>
      <c r="BA53" s="47"/>
      <c r="BB53" s="47"/>
      <c r="BC53" s="47"/>
      <c r="BD53" s="47"/>
      <c r="BE53" s="47"/>
      <c r="BF53" s="47"/>
      <c r="BG53" s="47"/>
      <c r="BH53" s="47"/>
      <c r="BI53" s="47"/>
      <c r="BJ53" s="47"/>
      <c r="BK53" s="47"/>
      <c r="BL53" s="47"/>
      <c r="BM53" s="47"/>
      <c r="BN53" s="47"/>
    </row>
    <row r="54" spans="1:66" ht="15.75" x14ac:dyDescent="0.25">
      <c r="A54" s="150" t="s">
        <v>407</v>
      </c>
      <c r="B54" s="150" t="s">
        <v>265</v>
      </c>
      <c r="C54" s="150" t="s">
        <v>407</v>
      </c>
      <c r="D54" s="150" t="s">
        <v>301</v>
      </c>
      <c r="E54" s="155" t="s">
        <v>476</v>
      </c>
      <c r="F54" s="150"/>
      <c r="G54" s="150"/>
      <c r="H54" s="150"/>
      <c r="I54" s="150"/>
      <c r="J54" s="150"/>
      <c r="K54" s="150"/>
      <c r="L54" s="150"/>
      <c r="M54" s="150"/>
      <c r="N54" s="150"/>
      <c r="O54" s="150"/>
      <c r="P54" s="150"/>
      <c r="Q54" s="150"/>
      <c r="R54" s="150"/>
      <c r="S54" s="150"/>
      <c r="T54" s="150"/>
      <c r="U54" s="150"/>
      <c r="V54" s="150"/>
      <c r="W54" s="150"/>
      <c r="X54" s="150"/>
      <c r="Y54" s="150"/>
      <c r="Z54" s="150"/>
      <c r="AA54" s="150"/>
      <c r="AB54" s="150" t="s">
        <v>493</v>
      </c>
      <c r="AC54" s="168">
        <v>3.0611000000000002</v>
      </c>
      <c r="AD54" s="168">
        <v>3.0830079002032393</v>
      </c>
      <c r="AE54" s="168">
        <v>3.0830149474875905</v>
      </c>
      <c r="AF54" s="168">
        <v>3.0830451009756228</v>
      </c>
      <c r="AG54" s="168">
        <v>3.0830664169209969</v>
      </c>
      <c r="AH54" s="168">
        <v>3.0385893628500487</v>
      </c>
      <c r="AI54" s="168">
        <v>3.0386150038584052</v>
      </c>
      <c r="AJ54" s="168">
        <v>3.0386233028673653</v>
      </c>
      <c r="AK54" s="168">
        <v>3.0386399786735394</v>
      </c>
      <c r="AL54" s="168">
        <v>3.0386511142287098</v>
      </c>
      <c r="AM54" s="168">
        <v>2.5149700749993356</v>
      </c>
      <c r="AN54" s="168">
        <v>2.5149787856254111</v>
      </c>
      <c r="AO54" s="168">
        <v>2.5149879699333546</v>
      </c>
      <c r="AP54" s="168">
        <v>2.5149932707519982</v>
      </c>
      <c r="AQ54" s="168">
        <v>2.5149995929321061</v>
      </c>
      <c r="AR54" s="168">
        <v>2.2436384121579338</v>
      </c>
      <c r="AS54" s="168">
        <v>2.2436449191971488</v>
      </c>
      <c r="AT54" s="168">
        <v>2.243649818995042</v>
      </c>
      <c r="AU54" s="168">
        <v>2.2436549117371851</v>
      </c>
      <c r="AV54" s="168">
        <v>2.2436595190743027</v>
      </c>
      <c r="AW54" s="169">
        <f t="shared" si="10"/>
        <v>2.2436595190743027</v>
      </c>
      <c r="AX54" s="47"/>
      <c r="AY54" s="47"/>
      <c r="AZ54" s="47"/>
      <c r="BA54" s="47"/>
      <c r="BB54" s="47"/>
      <c r="BC54" s="47"/>
      <c r="BD54" s="47"/>
      <c r="BE54" s="47"/>
      <c r="BF54" s="47"/>
      <c r="BG54" s="47"/>
      <c r="BH54" s="47"/>
      <c r="BI54" s="47"/>
      <c r="BJ54" s="47"/>
      <c r="BK54" s="47"/>
      <c r="BL54" s="47"/>
      <c r="BM54" s="47"/>
      <c r="BN54" s="47"/>
    </row>
    <row r="55" spans="1:66" ht="15.75" x14ac:dyDescent="0.25">
      <c r="A55" s="150" t="s">
        <v>407</v>
      </c>
      <c r="B55" s="150" t="s">
        <v>265</v>
      </c>
      <c r="C55" s="150" t="s">
        <v>407</v>
      </c>
      <c r="D55" s="150" t="s">
        <v>303</v>
      </c>
      <c r="E55" s="155" t="s">
        <v>463</v>
      </c>
      <c r="F55" s="150"/>
      <c r="G55" s="150"/>
      <c r="H55" s="150"/>
      <c r="I55" s="150"/>
      <c r="J55" s="150"/>
      <c r="K55" s="150"/>
      <c r="L55" s="150"/>
      <c r="M55" s="150"/>
      <c r="N55" s="150"/>
      <c r="O55" s="150"/>
      <c r="P55" s="150"/>
      <c r="Q55" s="150"/>
      <c r="R55" s="150"/>
      <c r="S55" s="150"/>
      <c r="T55" s="150"/>
      <c r="U55" s="150"/>
      <c r="V55" s="150"/>
      <c r="W55" s="150"/>
      <c r="X55" s="150"/>
      <c r="Y55" s="150"/>
      <c r="Z55" s="150"/>
      <c r="AA55" s="150"/>
      <c r="AB55" s="150" t="s">
        <v>494</v>
      </c>
      <c r="AC55" s="166">
        <v>544.54349999999999</v>
      </c>
      <c r="AD55" s="166">
        <v>534.66856500264078</v>
      </c>
      <c r="AE55" s="166">
        <v>524.79363000528156</v>
      </c>
      <c r="AF55" s="166">
        <v>514.91869500792234</v>
      </c>
      <c r="AG55" s="166">
        <v>505.04376001056312</v>
      </c>
      <c r="AH55" s="166">
        <v>500.27274350630552</v>
      </c>
      <c r="AI55" s="166">
        <v>500.27274350630552</v>
      </c>
      <c r="AJ55" s="166">
        <v>500.27274350630552</v>
      </c>
      <c r="AK55" s="166">
        <v>500.27274350630552</v>
      </c>
      <c r="AL55" s="166">
        <v>500.27274350630552</v>
      </c>
      <c r="AM55" s="166">
        <v>408.7725321459684</v>
      </c>
      <c r="AN55" s="166">
        <v>408.7725321459684</v>
      </c>
      <c r="AO55" s="166">
        <v>408.7725321459684</v>
      </c>
      <c r="AP55" s="166">
        <v>408.7725321459684</v>
      </c>
      <c r="AQ55" s="166">
        <v>408.7725321459684</v>
      </c>
      <c r="AR55" s="166">
        <v>360.41164405364208</v>
      </c>
      <c r="AS55" s="166">
        <v>360.41164405364208</v>
      </c>
      <c r="AT55" s="166">
        <v>360.41164405364208</v>
      </c>
      <c r="AU55" s="166">
        <v>360.41164405364208</v>
      </c>
      <c r="AV55" s="166">
        <v>360.41164405364208</v>
      </c>
      <c r="AW55" s="167">
        <f t="shared" si="10"/>
        <v>360.41164405364208</v>
      </c>
      <c r="AX55" s="47"/>
      <c r="AY55" s="47"/>
      <c r="AZ55" s="47"/>
      <c r="BA55" s="47"/>
      <c r="BB55" s="47"/>
      <c r="BC55" s="47"/>
      <c r="BD55" s="47"/>
      <c r="BE55" s="47"/>
      <c r="BF55" s="47"/>
      <c r="BG55" s="47"/>
      <c r="BH55" s="47"/>
      <c r="BI55" s="47"/>
      <c r="BJ55" s="47"/>
      <c r="BK55" s="47"/>
      <c r="BL55" s="47"/>
      <c r="BM55" s="47"/>
      <c r="BN55" s="47"/>
    </row>
    <row r="56" spans="1:66" ht="15.75" x14ac:dyDescent="0.25">
      <c r="A56" s="150" t="s">
        <v>407</v>
      </c>
      <c r="B56" s="150" t="s">
        <v>265</v>
      </c>
      <c r="C56" s="150" t="s">
        <v>407</v>
      </c>
      <c r="D56" s="150" t="s">
        <v>303</v>
      </c>
      <c r="E56" s="155" t="s">
        <v>472</v>
      </c>
      <c r="F56" s="150"/>
      <c r="G56" s="150"/>
      <c r="H56" s="150"/>
      <c r="I56" s="150"/>
      <c r="J56" s="150"/>
      <c r="K56" s="150"/>
      <c r="L56" s="150"/>
      <c r="M56" s="150"/>
      <c r="N56" s="150"/>
      <c r="O56" s="150"/>
      <c r="P56" s="150"/>
      <c r="Q56" s="150"/>
      <c r="R56" s="150"/>
      <c r="S56" s="150"/>
      <c r="T56" s="150"/>
      <c r="U56" s="150"/>
      <c r="V56" s="150"/>
      <c r="W56" s="150"/>
      <c r="X56" s="150"/>
      <c r="Y56" s="150"/>
      <c r="Z56" s="150"/>
      <c r="AA56" s="150"/>
      <c r="AB56" s="150" t="s">
        <v>495</v>
      </c>
      <c r="AC56" s="156">
        <v>0</v>
      </c>
      <c r="AD56" s="156">
        <v>0</v>
      </c>
      <c r="AE56" s="156">
        <v>0</v>
      </c>
      <c r="AF56" s="156">
        <v>0</v>
      </c>
      <c r="AG56" s="156">
        <v>0</v>
      </c>
      <c r="AH56" s="156">
        <v>0</v>
      </c>
      <c r="AI56" s="156">
        <v>0</v>
      </c>
      <c r="AJ56" s="156">
        <v>0</v>
      </c>
      <c r="AK56" s="156">
        <v>0</v>
      </c>
      <c r="AL56" s="156">
        <v>0</v>
      </c>
      <c r="AM56" s="156">
        <v>0</v>
      </c>
      <c r="AN56" s="156">
        <v>0</v>
      </c>
      <c r="AO56" s="156">
        <v>0</v>
      </c>
      <c r="AP56" s="156">
        <v>0</v>
      </c>
      <c r="AQ56" s="156">
        <v>0</v>
      </c>
      <c r="AR56" s="156">
        <v>0</v>
      </c>
      <c r="AS56" s="156">
        <v>0</v>
      </c>
      <c r="AT56" s="156">
        <v>0</v>
      </c>
      <c r="AU56" s="156">
        <v>0</v>
      </c>
      <c r="AV56" s="156">
        <v>0</v>
      </c>
      <c r="AW56" s="170">
        <f t="shared" si="10"/>
        <v>0</v>
      </c>
      <c r="AX56" s="47"/>
      <c r="AY56" s="47"/>
      <c r="AZ56" s="47"/>
      <c r="BA56" s="47"/>
      <c r="BB56" s="47"/>
      <c r="BC56" s="47"/>
      <c r="BD56" s="47"/>
      <c r="BE56" s="47"/>
      <c r="BF56" s="47"/>
      <c r="BG56" s="47"/>
      <c r="BH56" s="47"/>
      <c r="BI56" s="47"/>
      <c r="BJ56" s="47"/>
      <c r="BK56" s="47"/>
      <c r="BL56" s="47"/>
      <c r="BM56" s="47"/>
      <c r="BN56" s="47"/>
    </row>
    <row r="57" spans="1:66" ht="15.75" x14ac:dyDescent="0.25">
      <c r="A57" s="150" t="s">
        <v>407</v>
      </c>
      <c r="B57" s="150" t="s">
        <v>265</v>
      </c>
      <c r="C57" s="150" t="s">
        <v>407</v>
      </c>
      <c r="D57" s="150" t="s">
        <v>310</v>
      </c>
      <c r="E57" s="155" t="s">
        <v>463</v>
      </c>
      <c r="F57" s="150"/>
      <c r="G57" s="150"/>
      <c r="H57" s="150"/>
      <c r="I57" s="150"/>
      <c r="J57" s="150"/>
      <c r="K57" s="150"/>
      <c r="L57" s="150"/>
      <c r="M57" s="150"/>
      <c r="N57" s="150"/>
      <c r="O57" s="150"/>
      <c r="P57" s="150"/>
      <c r="Q57" s="150"/>
      <c r="R57" s="150"/>
      <c r="S57" s="150"/>
      <c r="T57" s="150"/>
      <c r="U57" s="150"/>
      <c r="V57" s="150"/>
      <c r="W57" s="150"/>
      <c r="X57" s="150"/>
      <c r="Y57" s="150"/>
      <c r="Z57" s="150"/>
      <c r="AA57" s="150"/>
      <c r="AB57" s="150" t="s">
        <v>496</v>
      </c>
      <c r="AC57" s="166">
        <v>131.4365</v>
      </c>
      <c r="AD57" s="166">
        <v>123.02412814054637</v>
      </c>
      <c r="AE57" s="166">
        <v>114.61175628109274</v>
      </c>
      <c r="AF57" s="166">
        <v>106.19938442163911</v>
      </c>
      <c r="AG57" s="166">
        <v>97.787012562185481</v>
      </c>
      <c r="AH57" s="166">
        <v>89.436921324662293</v>
      </c>
      <c r="AI57" s="166">
        <v>81.086830087139106</v>
      </c>
      <c r="AJ57" s="166">
        <v>72.736738849615918</v>
      </c>
      <c r="AK57" s="166">
        <v>64.38664761209273</v>
      </c>
      <c r="AL57" s="166">
        <v>56.28567886229132</v>
      </c>
      <c r="AM57" s="166">
        <v>45.560996609062173</v>
      </c>
      <c r="AN57" s="166">
        <v>45.560996609062173</v>
      </c>
      <c r="AO57" s="166">
        <v>45.560996609062173</v>
      </c>
      <c r="AP57" s="166">
        <v>45.560996609062173</v>
      </c>
      <c r="AQ57" s="166">
        <v>45.560996609062173</v>
      </c>
      <c r="AR57" s="166">
        <v>40.568634089438277</v>
      </c>
      <c r="AS57" s="166">
        <v>40.568634089438277</v>
      </c>
      <c r="AT57" s="166">
        <v>40.568634089438277</v>
      </c>
      <c r="AU57" s="166">
        <v>40.568634089438277</v>
      </c>
      <c r="AV57" s="166">
        <v>40.568634089438277</v>
      </c>
      <c r="AW57" s="167">
        <f t="shared" si="10"/>
        <v>40.568634089438277</v>
      </c>
      <c r="AX57" s="47"/>
      <c r="AY57" s="47"/>
      <c r="AZ57" s="47"/>
      <c r="BA57" s="47"/>
      <c r="BB57" s="47"/>
      <c r="BC57" s="47"/>
      <c r="BD57" s="47"/>
      <c r="BE57" s="47"/>
      <c r="BF57" s="47"/>
      <c r="BG57" s="47"/>
      <c r="BH57" s="47"/>
      <c r="BI57" s="47"/>
      <c r="BJ57" s="47"/>
      <c r="BK57" s="47"/>
      <c r="BL57" s="47"/>
      <c r="BM57" s="47"/>
      <c r="BN57" s="47"/>
    </row>
    <row r="58" spans="1:66" ht="15.75" x14ac:dyDescent="0.25">
      <c r="A58" s="150" t="s">
        <v>407</v>
      </c>
      <c r="B58" s="150" t="s">
        <v>265</v>
      </c>
      <c r="C58" s="150" t="s">
        <v>407</v>
      </c>
      <c r="D58" s="150" t="s">
        <v>310</v>
      </c>
      <c r="E58" s="155" t="s">
        <v>476</v>
      </c>
      <c r="F58" s="150"/>
      <c r="G58" s="150"/>
      <c r="H58" s="150"/>
      <c r="I58" s="150"/>
      <c r="J58" s="150"/>
      <c r="K58" s="150"/>
      <c r="L58" s="150"/>
      <c r="M58" s="150"/>
      <c r="N58" s="150"/>
      <c r="O58" s="150"/>
      <c r="P58" s="150"/>
      <c r="Q58" s="150"/>
      <c r="R58" s="150"/>
      <c r="S58" s="150"/>
      <c r="T58" s="150"/>
      <c r="U58" s="150"/>
      <c r="V58" s="150"/>
      <c r="W58" s="150"/>
      <c r="X58" s="150"/>
      <c r="Y58" s="150"/>
      <c r="Z58" s="150"/>
      <c r="AA58" s="150"/>
      <c r="AB58" s="150" t="s">
        <v>497</v>
      </c>
      <c r="AC58" s="168">
        <v>0</v>
      </c>
      <c r="AD58" s="168">
        <v>0</v>
      </c>
      <c r="AE58" s="168">
        <v>0</v>
      </c>
      <c r="AF58" s="168">
        <v>0</v>
      </c>
      <c r="AG58" s="168">
        <v>0</v>
      </c>
      <c r="AH58" s="168">
        <v>0</v>
      </c>
      <c r="AI58" s="168">
        <v>0</v>
      </c>
      <c r="AJ58" s="168">
        <v>0</v>
      </c>
      <c r="AK58" s="168">
        <v>0</v>
      </c>
      <c r="AL58" s="168">
        <v>0</v>
      </c>
      <c r="AM58" s="168">
        <v>0</v>
      </c>
      <c r="AN58" s="168">
        <v>0</v>
      </c>
      <c r="AO58" s="168">
        <v>0</v>
      </c>
      <c r="AP58" s="168">
        <v>0</v>
      </c>
      <c r="AQ58" s="168">
        <v>0</v>
      </c>
      <c r="AR58" s="168">
        <v>0</v>
      </c>
      <c r="AS58" s="168">
        <v>0</v>
      </c>
      <c r="AT58" s="168">
        <v>0</v>
      </c>
      <c r="AU58" s="168">
        <v>0</v>
      </c>
      <c r="AV58" s="168">
        <v>0</v>
      </c>
      <c r="AW58" s="169">
        <f t="shared" si="10"/>
        <v>0</v>
      </c>
      <c r="AX58" s="47"/>
      <c r="AY58" s="47"/>
      <c r="AZ58" s="47"/>
      <c r="BA58" s="47"/>
      <c r="BB58" s="47"/>
      <c r="BC58" s="47"/>
      <c r="BD58" s="47"/>
      <c r="BE58" s="47"/>
      <c r="BF58" s="47"/>
      <c r="BG58" s="47"/>
      <c r="BH58" s="47"/>
      <c r="BI58" s="47"/>
      <c r="BJ58" s="47"/>
      <c r="BK58" s="47"/>
      <c r="BL58" s="47"/>
      <c r="BM58" s="47"/>
      <c r="BN58" s="47"/>
    </row>
    <row r="59" spans="1:66" ht="15.75" x14ac:dyDescent="0.25">
      <c r="A59" s="150"/>
      <c r="B59" s="150"/>
      <c r="C59" s="150"/>
      <c r="D59" s="150"/>
      <c r="E59" s="155"/>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47"/>
      <c r="AY59" s="47"/>
      <c r="AZ59" s="47"/>
      <c r="BA59" s="47"/>
      <c r="BB59" s="47"/>
      <c r="BC59" s="47"/>
      <c r="BD59" s="47"/>
      <c r="BE59" s="47"/>
      <c r="BF59" s="47"/>
      <c r="BG59" s="47"/>
      <c r="BH59" s="47"/>
      <c r="BI59" s="47"/>
      <c r="BJ59" s="47"/>
      <c r="BK59" s="47"/>
      <c r="BL59" s="47"/>
      <c r="BM59" s="47"/>
      <c r="BN59" s="47"/>
    </row>
    <row r="60" spans="1:66" ht="15.75" x14ac:dyDescent="0.25">
      <c r="A60" s="150"/>
      <c r="B60" s="64" t="s">
        <v>498</v>
      </c>
      <c r="C60" s="150"/>
      <c r="D60" s="150"/>
      <c r="E60" s="155"/>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47"/>
      <c r="AY60" s="47"/>
      <c r="AZ60" s="47"/>
      <c r="BA60" s="47"/>
      <c r="BB60" s="47"/>
      <c r="BC60" s="47"/>
      <c r="BD60" s="47"/>
      <c r="BE60" s="47"/>
      <c r="BF60" s="47"/>
      <c r="BG60" s="47"/>
      <c r="BH60" s="47"/>
      <c r="BI60" s="47"/>
      <c r="BJ60" s="47"/>
      <c r="BK60" s="47"/>
      <c r="BL60" s="47"/>
      <c r="BM60" s="47"/>
      <c r="BN60" s="47"/>
    </row>
    <row r="61" spans="1:66" s="61" customFormat="1" ht="15.75" x14ac:dyDescent="0.25">
      <c r="A61" s="150" t="s">
        <v>405</v>
      </c>
      <c r="B61" s="150" t="s">
        <v>262</v>
      </c>
      <c r="C61" s="150" t="s">
        <v>405</v>
      </c>
      <c r="D61" s="150" t="s">
        <v>301</v>
      </c>
      <c r="E61" s="155" t="s">
        <v>463</v>
      </c>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71">
        <f>IFERROR(AD31/AC31-1,0)</f>
        <v>3.0000000000000027E-2</v>
      </c>
      <c r="AE61" s="171">
        <f t="shared" ref="AE61:AV61" si="11">IFERROR(AE31/AD31-1,0)</f>
        <v>0</v>
      </c>
      <c r="AF61" s="171">
        <f t="shared" si="11"/>
        <v>0</v>
      </c>
      <c r="AG61" s="171">
        <f t="shared" si="11"/>
        <v>0</v>
      </c>
      <c r="AH61" s="171">
        <f t="shared" si="11"/>
        <v>0</v>
      </c>
      <c r="AI61" s="171">
        <f t="shared" si="11"/>
        <v>0</v>
      </c>
      <c r="AJ61" s="171">
        <f t="shared" si="11"/>
        <v>0</v>
      </c>
      <c r="AK61" s="171">
        <f t="shared" si="11"/>
        <v>0</v>
      </c>
      <c r="AL61" s="171">
        <f t="shared" si="11"/>
        <v>0</v>
      </c>
      <c r="AM61" s="171">
        <f t="shared" si="11"/>
        <v>0</v>
      </c>
      <c r="AN61" s="171">
        <f t="shared" si="11"/>
        <v>0</v>
      </c>
      <c r="AO61" s="171">
        <f t="shared" si="11"/>
        <v>0</v>
      </c>
      <c r="AP61" s="171">
        <f t="shared" si="11"/>
        <v>0</v>
      </c>
      <c r="AQ61" s="171">
        <f t="shared" si="11"/>
        <v>0</v>
      </c>
      <c r="AR61" s="171">
        <f t="shared" si="11"/>
        <v>0</v>
      </c>
      <c r="AS61" s="171">
        <f t="shared" si="11"/>
        <v>0</v>
      </c>
      <c r="AT61" s="171">
        <f t="shared" si="11"/>
        <v>0</v>
      </c>
      <c r="AU61" s="171">
        <f t="shared" si="11"/>
        <v>0</v>
      </c>
      <c r="AV61" s="171">
        <f t="shared" si="11"/>
        <v>0</v>
      </c>
      <c r="AW61" s="172">
        <v>0</v>
      </c>
      <c r="AX61" s="47"/>
      <c r="AY61" s="47"/>
      <c r="AZ61" s="47"/>
      <c r="BA61" s="47"/>
      <c r="BB61" s="47"/>
      <c r="BC61" s="47"/>
      <c r="BD61" s="47"/>
      <c r="BE61" s="47"/>
      <c r="BF61" s="47"/>
      <c r="BG61" s="47"/>
      <c r="BH61" s="47"/>
      <c r="BI61" s="47"/>
      <c r="BJ61" s="47"/>
      <c r="BK61" s="47"/>
      <c r="BL61" s="47"/>
      <c r="BM61" s="47"/>
      <c r="BN61" s="47"/>
    </row>
    <row r="62" spans="1:66" ht="15.75" x14ac:dyDescent="0.25">
      <c r="A62" s="150" t="s">
        <v>405</v>
      </c>
      <c r="B62" s="150" t="s">
        <v>262</v>
      </c>
      <c r="C62" s="150" t="s">
        <v>405</v>
      </c>
      <c r="D62" s="150" t="s">
        <v>301</v>
      </c>
      <c r="E62" s="150" t="s">
        <v>465</v>
      </c>
      <c r="F62" s="150" t="s">
        <v>466</v>
      </c>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71">
        <f t="shared" ref="AD62:AV66" si="12">IFERROR(AD32/AC32-1,0)</f>
        <v>0.15070480690789179</v>
      </c>
      <c r="AE62" s="171">
        <f t="shared" si="12"/>
        <v>0</v>
      </c>
      <c r="AF62" s="171">
        <f t="shared" si="12"/>
        <v>0</v>
      </c>
      <c r="AG62" s="171">
        <f t="shared" si="12"/>
        <v>0</v>
      </c>
      <c r="AH62" s="171">
        <f t="shared" si="12"/>
        <v>-2.0326914443553834E-2</v>
      </c>
      <c r="AI62" s="171">
        <f t="shared" si="12"/>
        <v>0</v>
      </c>
      <c r="AJ62" s="171">
        <f t="shared" si="12"/>
        <v>0</v>
      </c>
      <c r="AK62" s="171">
        <f t="shared" si="12"/>
        <v>0</v>
      </c>
      <c r="AL62" s="171">
        <f t="shared" si="12"/>
        <v>0</v>
      </c>
      <c r="AM62" s="171">
        <f t="shared" si="12"/>
        <v>-0.16743973918571042</v>
      </c>
      <c r="AN62" s="171">
        <f t="shared" si="12"/>
        <v>0</v>
      </c>
      <c r="AO62" s="171">
        <f t="shared" si="12"/>
        <v>0</v>
      </c>
      <c r="AP62" s="171">
        <f t="shared" si="12"/>
        <v>0</v>
      </c>
      <c r="AQ62" s="171">
        <f t="shared" si="12"/>
        <v>0</v>
      </c>
      <c r="AR62" s="171">
        <f t="shared" si="12"/>
        <v>-0.11075744138927013</v>
      </c>
      <c r="AS62" s="171">
        <f t="shared" si="12"/>
        <v>0</v>
      </c>
      <c r="AT62" s="171">
        <f t="shared" si="12"/>
        <v>0</v>
      </c>
      <c r="AU62" s="171">
        <f t="shared" si="12"/>
        <v>0</v>
      </c>
      <c r="AV62" s="171">
        <f t="shared" si="12"/>
        <v>0</v>
      </c>
      <c r="AW62" s="172">
        <v>0</v>
      </c>
      <c r="AX62" s="47"/>
      <c r="AY62" s="47"/>
      <c r="AZ62" s="47"/>
      <c r="BA62" s="47"/>
      <c r="BB62" s="47"/>
      <c r="BC62" s="47"/>
      <c r="BD62" s="47"/>
      <c r="BE62" s="47"/>
      <c r="BF62" s="47"/>
      <c r="BG62" s="47"/>
      <c r="BH62" s="47"/>
      <c r="BI62" s="47"/>
      <c r="BJ62" s="47"/>
      <c r="BK62" s="47"/>
      <c r="BL62" s="47"/>
      <c r="BM62" s="47"/>
      <c r="BN62" s="47"/>
    </row>
    <row r="63" spans="1:66" ht="15.75" x14ac:dyDescent="0.25">
      <c r="A63" s="150" t="s">
        <v>405</v>
      </c>
      <c r="B63" s="150" t="s">
        <v>262</v>
      </c>
      <c r="C63" s="150" t="s">
        <v>405</v>
      </c>
      <c r="D63" s="150" t="s">
        <v>301</v>
      </c>
      <c r="E63" s="155" t="s">
        <v>468</v>
      </c>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71">
        <f t="shared" si="12"/>
        <v>0.12018118402299849</v>
      </c>
      <c r="AE63" s="171">
        <f t="shared" si="12"/>
        <v>0</v>
      </c>
      <c r="AF63" s="171">
        <f t="shared" si="12"/>
        <v>0</v>
      </c>
      <c r="AG63" s="171">
        <f t="shared" si="12"/>
        <v>0</v>
      </c>
      <c r="AH63" s="171">
        <f t="shared" si="12"/>
        <v>-2.0326914443553834E-2</v>
      </c>
      <c r="AI63" s="171">
        <f t="shared" si="12"/>
        <v>0</v>
      </c>
      <c r="AJ63" s="171">
        <f t="shared" si="12"/>
        <v>0</v>
      </c>
      <c r="AK63" s="171">
        <f t="shared" si="12"/>
        <v>0</v>
      </c>
      <c r="AL63" s="171">
        <f t="shared" si="12"/>
        <v>0</v>
      </c>
      <c r="AM63" s="171">
        <f t="shared" si="12"/>
        <v>-0.16743973918571042</v>
      </c>
      <c r="AN63" s="171">
        <f t="shared" si="12"/>
        <v>0</v>
      </c>
      <c r="AO63" s="171">
        <f t="shared" si="12"/>
        <v>0</v>
      </c>
      <c r="AP63" s="171">
        <f t="shared" si="12"/>
        <v>0</v>
      </c>
      <c r="AQ63" s="171">
        <f t="shared" si="12"/>
        <v>0</v>
      </c>
      <c r="AR63" s="171">
        <f t="shared" si="12"/>
        <v>-0.11075744138927013</v>
      </c>
      <c r="AS63" s="171">
        <f t="shared" si="12"/>
        <v>0</v>
      </c>
      <c r="AT63" s="171">
        <f t="shared" si="12"/>
        <v>0</v>
      </c>
      <c r="AU63" s="171">
        <f t="shared" si="12"/>
        <v>0</v>
      </c>
      <c r="AV63" s="171">
        <f t="shared" si="12"/>
        <v>0</v>
      </c>
      <c r="AW63" s="172">
        <v>0</v>
      </c>
      <c r="AX63" s="47"/>
      <c r="AY63" s="47"/>
      <c r="AZ63" s="47"/>
      <c r="BA63" s="47"/>
      <c r="BB63" s="47"/>
      <c r="BC63" s="47"/>
      <c r="BD63" s="47"/>
      <c r="BE63" s="47"/>
      <c r="BF63" s="47"/>
      <c r="BG63" s="47"/>
      <c r="BH63" s="47"/>
      <c r="BI63" s="47"/>
      <c r="BJ63" s="47"/>
      <c r="BK63" s="47"/>
      <c r="BL63" s="47"/>
      <c r="BM63" s="47"/>
      <c r="BN63" s="47"/>
    </row>
    <row r="64" spans="1:66" ht="15.75" x14ac:dyDescent="0.25">
      <c r="A64" s="150" t="s">
        <v>405</v>
      </c>
      <c r="B64" s="150" t="s">
        <v>262</v>
      </c>
      <c r="C64" s="150" t="s">
        <v>405</v>
      </c>
      <c r="D64" s="150" t="s">
        <v>301</v>
      </c>
      <c r="E64" s="155" t="s">
        <v>470</v>
      </c>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71">
        <f>IFERROR(AD34/AC34-1,0)</f>
        <v>0.12018118402299849</v>
      </c>
      <c r="AE64" s="171">
        <f t="shared" si="12"/>
        <v>0</v>
      </c>
      <c r="AF64" s="171">
        <f t="shared" si="12"/>
        <v>0</v>
      </c>
      <c r="AG64" s="171">
        <f t="shared" si="12"/>
        <v>0</v>
      </c>
      <c r="AH64" s="171">
        <f t="shared" si="12"/>
        <v>-2.0326914443553834E-2</v>
      </c>
      <c r="AI64" s="171">
        <f t="shared" si="12"/>
        <v>0</v>
      </c>
      <c r="AJ64" s="171">
        <f t="shared" si="12"/>
        <v>0</v>
      </c>
      <c r="AK64" s="171">
        <f t="shared" si="12"/>
        <v>0</v>
      </c>
      <c r="AL64" s="171">
        <f t="shared" si="12"/>
        <v>0</v>
      </c>
      <c r="AM64" s="171">
        <f t="shared" si="12"/>
        <v>-0.16743973918571042</v>
      </c>
      <c r="AN64" s="171">
        <f t="shared" si="12"/>
        <v>0</v>
      </c>
      <c r="AO64" s="171">
        <f t="shared" si="12"/>
        <v>0</v>
      </c>
      <c r="AP64" s="171">
        <f t="shared" si="12"/>
        <v>0</v>
      </c>
      <c r="AQ64" s="171">
        <f t="shared" si="12"/>
        <v>0</v>
      </c>
      <c r="AR64" s="171">
        <f t="shared" si="12"/>
        <v>-0.11075744138927013</v>
      </c>
      <c r="AS64" s="171">
        <f t="shared" si="12"/>
        <v>0</v>
      </c>
      <c r="AT64" s="171">
        <f t="shared" si="12"/>
        <v>0</v>
      </c>
      <c r="AU64" s="171">
        <f t="shared" si="12"/>
        <v>0</v>
      </c>
      <c r="AV64" s="171">
        <f t="shared" si="12"/>
        <v>0</v>
      </c>
      <c r="AW64" s="172">
        <v>0</v>
      </c>
      <c r="AX64" s="47"/>
      <c r="AY64" s="47"/>
      <c r="AZ64" s="47"/>
      <c r="BA64" s="47"/>
      <c r="BB64" s="47"/>
      <c r="BC64" s="47"/>
      <c r="BD64" s="47"/>
      <c r="BE64" s="47"/>
      <c r="BF64" s="47"/>
      <c r="BG64" s="47"/>
      <c r="BH64" s="47"/>
      <c r="BI64" s="47"/>
      <c r="BJ64" s="47"/>
      <c r="BK64" s="47"/>
      <c r="BL64" s="47"/>
      <c r="BM64" s="47"/>
      <c r="BN64" s="47"/>
    </row>
    <row r="65" spans="1:66" ht="15.75" x14ac:dyDescent="0.25">
      <c r="A65" s="150" t="s">
        <v>405</v>
      </c>
      <c r="B65" s="150" t="s">
        <v>262</v>
      </c>
      <c r="C65" s="150" t="s">
        <v>405</v>
      </c>
      <c r="D65" s="150" t="s">
        <v>303</v>
      </c>
      <c r="E65" s="155" t="s">
        <v>463</v>
      </c>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71">
        <f t="shared" si="12"/>
        <v>1.1257742014708194E-2</v>
      </c>
      <c r="AE65" s="171">
        <f t="shared" si="12"/>
        <v>1.1132416145739121E-2</v>
      </c>
      <c r="AF65" s="171">
        <f t="shared" si="12"/>
        <v>1.1009849914785486E-2</v>
      </c>
      <c r="AG65" s="171">
        <f t="shared" si="12"/>
        <v>1.088995316486141E-2</v>
      </c>
      <c r="AH65" s="171">
        <f t="shared" si="12"/>
        <v>1.1597511273610639E-2</v>
      </c>
      <c r="AI65" s="171">
        <f t="shared" si="12"/>
        <v>1.146455101397903E-2</v>
      </c>
      <c r="AJ65" s="171">
        <f t="shared" si="12"/>
        <v>1.1334604858357133E-2</v>
      </c>
      <c r="AK65" s="171">
        <f t="shared" si="12"/>
        <v>1.1207571464386445E-2</v>
      </c>
      <c r="AL65" s="171">
        <f t="shared" si="12"/>
        <v>1.1083353982561883E-2</v>
      </c>
      <c r="AM65" s="171">
        <f t="shared" si="12"/>
        <v>1.4080503861134019E-2</v>
      </c>
      <c r="AN65" s="171">
        <f t="shared" si="12"/>
        <v>0</v>
      </c>
      <c r="AO65" s="171">
        <f t="shared" si="12"/>
        <v>0</v>
      </c>
      <c r="AP65" s="171">
        <f t="shared" si="12"/>
        <v>0</v>
      </c>
      <c r="AQ65" s="171">
        <f t="shared" si="12"/>
        <v>0</v>
      </c>
      <c r="AR65" s="171">
        <f t="shared" si="12"/>
        <v>-0.11609367173460639</v>
      </c>
      <c r="AS65" s="171">
        <f t="shared" si="12"/>
        <v>0</v>
      </c>
      <c r="AT65" s="171">
        <f t="shared" si="12"/>
        <v>0</v>
      </c>
      <c r="AU65" s="171">
        <f t="shared" si="12"/>
        <v>0</v>
      </c>
      <c r="AV65" s="171">
        <f t="shared" si="12"/>
        <v>0</v>
      </c>
      <c r="AW65" s="172">
        <v>0</v>
      </c>
      <c r="AX65" s="47"/>
      <c r="AY65" s="47"/>
      <c r="AZ65" s="47"/>
      <c r="BA65" s="47"/>
      <c r="BB65" s="47"/>
      <c r="BC65" s="47"/>
      <c r="BD65" s="47"/>
      <c r="BE65" s="47"/>
      <c r="BF65" s="47"/>
      <c r="BG65" s="47"/>
      <c r="BH65" s="47"/>
      <c r="BI65" s="47"/>
      <c r="BJ65" s="47"/>
      <c r="BK65" s="47"/>
      <c r="BL65" s="47"/>
      <c r="BM65" s="47"/>
      <c r="BN65" s="47"/>
    </row>
    <row r="66" spans="1:66" ht="15.75" x14ac:dyDescent="0.25">
      <c r="A66" s="150" t="s">
        <v>405</v>
      </c>
      <c r="B66" s="150" t="s">
        <v>262</v>
      </c>
      <c r="C66" s="150" t="s">
        <v>405</v>
      </c>
      <c r="D66" s="150" t="s">
        <v>303</v>
      </c>
      <c r="E66" s="155" t="s">
        <v>472</v>
      </c>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71">
        <f t="shared" si="12"/>
        <v>-1</v>
      </c>
      <c r="AE66" s="171">
        <f t="shared" si="12"/>
        <v>0</v>
      </c>
      <c r="AF66" s="171">
        <f t="shared" si="12"/>
        <v>0</v>
      </c>
      <c r="AG66" s="171">
        <f t="shared" si="12"/>
        <v>0</v>
      </c>
      <c r="AH66" s="171">
        <f t="shared" si="12"/>
        <v>0</v>
      </c>
      <c r="AI66" s="171">
        <f t="shared" si="12"/>
        <v>0</v>
      </c>
      <c r="AJ66" s="171">
        <f t="shared" si="12"/>
        <v>0</v>
      </c>
      <c r="AK66" s="171">
        <f t="shared" si="12"/>
        <v>0</v>
      </c>
      <c r="AL66" s="171">
        <f t="shared" si="12"/>
        <v>0</v>
      </c>
      <c r="AM66" s="171">
        <f t="shared" si="12"/>
        <v>0</v>
      </c>
      <c r="AN66" s="171">
        <f t="shared" si="12"/>
        <v>0</v>
      </c>
      <c r="AO66" s="171">
        <f t="shared" si="12"/>
        <v>0</v>
      </c>
      <c r="AP66" s="171">
        <f t="shared" si="12"/>
        <v>0</v>
      </c>
      <c r="AQ66" s="171">
        <f t="shared" si="12"/>
        <v>0</v>
      </c>
      <c r="AR66" s="171">
        <f t="shared" si="12"/>
        <v>0</v>
      </c>
      <c r="AS66" s="171">
        <f t="shared" si="12"/>
        <v>0</v>
      </c>
      <c r="AT66" s="171">
        <f t="shared" si="12"/>
        <v>0</v>
      </c>
      <c r="AU66" s="171">
        <f t="shared" si="12"/>
        <v>0</v>
      </c>
      <c r="AV66" s="171">
        <f t="shared" si="12"/>
        <v>0</v>
      </c>
      <c r="AW66" s="172">
        <v>0</v>
      </c>
      <c r="AX66" s="47"/>
      <c r="AY66" s="47"/>
      <c r="AZ66" s="47"/>
      <c r="BA66" s="47"/>
      <c r="BB66" s="47"/>
      <c r="BC66" s="47"/>
      <c r="BD66" s="47"/>
      <c r="BE66" s="47"/>
      <c r="BF66" s="47"/>
      <c r="BG66" s="47"/>
      <c r="BH66" s="47"/>
      <c r="BI66" s="47"/>
      <c r="BJ66" s="47"/>
      <c r="BK66" s="47"/>
      <c r="BL66" s="47"/>
      <c r="BM66" s="47"/>
      <c r="BN66" s="47"/>
    </row>
    <row r="67" spans="1:66" ht="15.75" x14ac:dyDescent="0.25">
      <c r="A67" s="150" t="s">
        <v>405</v>
      </c>
      <c r="B67" s="150" t="s">
        <v>262</v>
      </c>
      <c r="C67" s="150" t="s">
        <v>405</v>
      </c>
      <c r="D67" s="150" t="s">
        <v>310</v>
      </c>
      <c r="E67" s="155" t="s">
        <v>463</v>
      </c>
      <c r="F67" s="150"/>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c r="AD67" s="171">
        <f t="shared" ref="AD67:AV80" si="13">IFERROR(AD37/AC37-1,0)</f>
        <v>6.1263156597739732E-2</v>
      </c>
      <c r="AE67" s="171">
        <f t="shared" si="13"/>
        <v>5.772664038780051E-2</v>
      </c>
      <c r="AF67" s="171">
        <f t="shared" si="13"/>
        <v>5.4576143006699551E-2</v>
      </c>
      <c r="AG67" s="171">
        <f t="shared" si="13"/>
        <v>5.175173302431979E-2</v>
      </c>
      <c r="AH67" s="171">
        <f t="shared" si="13"/>
        <v>5.0597882839180208E-2</v>
      </c>
      <c r="AI67" s="171">
        <f t="shared" si="13"/>
        <v>4.8161036363829623E-2</v>
      </c>
      <c r="AJ67" s="171">
        <f t="shared" si="13"/>
        <v>4.594812695089745E-2</v>
      </c>
      <c r="AK67" s="171">
        <f t="shared" si="13"/>
        <v>4.3929642175318584E-2</v>
      </c>
      <c r="AL67" s="171">
        <f t="shared" si="13"/>
        <v>4.6713831234787007E-2</v>
      </c>
      <c r="AM67" s="171">
        <f t="shared" si="13"/>
        <v>-0.19054015994846896</v>
      </c>
      <c r="AN67" s="171">
        <f t="shared" si="13"/>
        <v>0</v>
      </c>
      <c r="AO67" s="171">
        <f t="shared" si="13"/>
        <v>0</v>
      </c>
      <c r="AP67" s="171">
        <f t="shared" si="13"/>
        <v>0</v>
      </c>
      <c r="AQ67" s="171">
        <f t="shared" si="13"/>
        <v>0</v>
      </c>
      <c r="AR67" s="171">
        <f t="shared" si="13"/>
        <v>-0.10957535811740571</v>
      </c>
      <c r="AS67" s="171">
        <f t="shared" si="13"/>
        <v>0</v>
      </c>
      <c r="AT67" s="171">
        <f t="shared" si="13"/>
        <v>0</v>
      </c>
      <c r="AU67" s="171">
        <f t="shared" si="13"/>
        <v>0</v>
      </c>
      <c r="AV67" s="171">
        <f t="shared" si="13"/>
        <v>0</v>
      </c>
      <c r="AW67" s="172">
        <v>0</v>
      </c>
      <c r="AX67" s="47"/>
      <c r="AY67" s="47"/>
      <c r="AZ67" s="47"/>
      <c r="BA67" s="47"/>
      <c r="BB67" s="47"/>
      <c r="BC67" s="47"/>
      <c r="BD67" s="47"/>
      <c r="BE67" s="47"/>
      <c r="BF67" s="47"/>
      <c r="BG67" s="47"/>
      <c r="BH67" s="47"/>
      <c r="BI67" s="47"/>
      <c r="BJ67" s="47"/>
      <c r="BK67" s="47"/>
      <c r="BL67" s="47"/>
      <c r="BM67" s="47"/>
      <c r="BN67" s="47"/>
    </row>
    <row r="68" spans="1:66" ht="15.75" x14ac:dyDescent="0.25">
      <c r="A68" s="150" t="s">
        <v>405</v>
      </c>
      <c r="B68" s="150" t="s">
        <v>262</v>
      </c>
      <c r="C68" s="150" t="s">
        <v>405</v>
      </c>
      <c r="D68" s="150" t="s">
        <v>310</v>
      </c>
      <c r="E68" s="155" t="s">
        <v>476</v>
      </c>
      <c r="F68" s="150"/>
      <c r="G68" s="150"/>
      <c r="H68" s="150"/>
      <c r="I68" s="150"/>
      <c r="J68" s="150"/>
      <c r="K68" s="150"/>
      <c r="L68" s="150"/>
      <c r="M68" s="150"/>
      <c r="N68" s="150"/>
      <c r="O68" s="150"/>
      <c r="P68" s="150"/>
      <c r="Q68" s="150"/>
      <c r="R68" s="150"/>
      <c r="S68" s="150"/>
      <c r="T68" s="150"/>
      <c r="U68" s="150"/>
      <c r="V68" s="150"/>
      <c r="W68" s="150"/>
      <c r="X68" s="150"/>
      <c r="Y68" s="150"/>
      <c r="Z68" s="150"/>
      <c r="AA68" s="150"/>
      <c r="AB68" s="150"/>
      <c r="AC68" s="150"/>
      <c r="AD68" s="171">
        <f t="shared" si="13"/>
        <v>-3.185970947939043E-3</v>
      </c>
      <c r="AE68" s="171">
        <f t="shared" si="13"/>
        <v>-3.1961538010945034E-3</v>
      </c>
      <c r="AF68" s="171">
        <f t="shared" si="13"/>
        <v>-3.2064019548904144E-3</v>
      </c>
      <c r="AG68" s="171">
        <f t="shared" si="13"/>
        <v>-3.2167160394878103E-3</v>
      </c>
      <c r="AH68" s="171">
        <f t="shared" si="13"/>
        <v>-2.1000826333409384E-3</v>
      </c>
      <c r="AI68" s="171">
        <f t="shared" si="13"/>
        <v>-2.104502261993213E-3</v>
      </c>
      <c r="AJ68" s="171">
        <f t="shared" si="13"/>
        <v>-2.1089405321134125E-3</v>
      </c>
      <c r="AK68" s="171">
        <f t="shared" si="13"/>
        <v>-2.1133975618922163E-3</v>
      </c>
      <c r="AL68" s="171">
        <f t="shared" si="13"/>
        <v>2.4283727396940957E-3</v>
      </c>
      <c r="AM68" s="171">
        <f t="shared" si="13"/>
        <v>-0.17234519858771769</v>
      </c>
      <c r="AN68" s="171">
        <f t="shared" si="13"/>
        <v>0</v>
      </c>
      <c r="AO68" s="171">
        <f t="shared" si="13"/>
        <v>0</v>
      </c>
      <c r="AP68" s="171">
        <f t="shared" si="13"/>
        <v>0</v>
      </c>
      <c r="AQ68" s="171">
        <f t="shared" si="13"/>
        <v>0</v>
      </c>
      <c r="AR68" s="171">
        <f t="shared" si="13"/>
        <v>-0.10789924781823224</v>
      </c>
      <c r="AS68" s="171">
        <f t="shared" si="13"/>
        <v>0</v>
      </c>
      <c r="AT68" s="171">
        <f t="shared" si="13"/>
        <v>0</v>
      </c>
      <c r="AU68" s="171">
        <f t="shared" si="13"/>
        <v>0</v>
      </c>
      <c r="AV68" s="171">
        <f t="shared" si="13"/>
        <v>0</v>
      </c>
      <c r="AW68" s="172">
        <v>0</v>
      </c>
      <c r="AX68" s="47"/>
      <c r="AY68" s="47"/>
      <c r="AZ68" s="47"/>
      <c r="BA68" s="47"/>
      <c r="BB68" s="47"/>
      <c r="BC68" s="47"/>
      <c r="BD68" s="47"/>
      <c r="BE68" s="47"/>
      <c r="BF68" s="47"/>
      <c r="BG68" s="47"/>
      <c r="BH68" s="47"/>
      <c r="BI68" s="47"/>
      <c r="BJ68" s="47"/>
      <c r="BK68" s="47"/>
      <c r="BL68" s="47"/>
      <c r="BM68" s="47"/>
      <c r="BN68" s="47"/>
    </row>
    <row r="69" spans="1:66" ht="15.75" x14ac:dyDescent="0.25">
      <c r="A69" s="150" t="s">
        <v>407</v>
      </c>
      <c r="B69" s="150" t="s">
        <v>262</v>
      </c>
      <c r="C69" s="150" t="s">
        <v>407</v>
      </c>
      <c r="D69" s="150" t="s">
        <v>301</v>
      </c>
      <c r="E69" s="155" t="s">
        <v>463</v>
      </c>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71">
        <f t="shared" si="13"/>
        <v>2.7245473089124728E-2</v>
      </c>
      <c r="AE69" s="171">
        <f t="shared" si="13"/>
        <v>0</v>
      </c>
      <c r="AF69" s="171">
        <f t="shared" si="13"/>
        <v>0</v>
      </c>
      <c r="AG69" s="171">
        <f t="shared" si="13"/>
        <v>0</v>
      </c>
      <c r="AH69" s="171">
        <f t="shared" si="13"/>
        <v>0</v>
      </c>
      <c r="AI69" s="171">
        <f t="shared" si="13"/>
        <v>0</v>
      </c>
      <c r="AJ69" s="171">
        <f t="shared" si="13"/>
        <v>0</v>
      </c>
      <c r="AK69" s="171">
        <f t="shared" si="13"/>
        <v>0</v>
      </c>
      <c r="AL69" s="171">
        <f t="shared" si="13"/>
        <v>0</v>
      </c>
      <c r="AM69" s="171">
        <f t="shared" si="13"/>
        <v>0</v>
      </c>
      <c r="AN69" s="171">
        <f t="shared" si="13"/>
        <v>0</v>
      </c>
      <c r="AO69" s="171">
        <f t="shared" si="13"/>
        <v>0</v>
      </c>
      <c r="AP69" s="171">
        <f t="shared" si="13"/>
        <v>0</v>
      </c>
      <c r="AQ69" s="171">
        <f t="shared" si="13"/>
        <v>0</v>
      </c>
      <c r="AR69" s="171">
        <f t="shared" si="13"/>
        <v>0</v>
      </c>
      <c r="AS69" s="171">
        <f t="shared" si="13"/>
        <v>0</v>
      </c>
      <c r="AT69" s="171">
        <f t="shared" si="13"/>
        <v>0</v>
      </c>
      <c r="AU69" s="171">
        <f t="shared" si="13"/>
        <v>0</v>
      </c>
      <c r="AV69" s="171">
        <f t="shared" si="13"/>
        <v>0</v>
      </c>
      <c r="AW69" s="172">
        <v>0</v>
      </c>
      <c r="AX69" s="47"/>
      <c r="AY69" s="47"/>
      <c r="AZ69" s="47"/>
      <c r="BA69" s="47"/>
      <c r="BB69" s="47"/>
      <c r="BC69" s="47"/>
      <c r="BD69" s="47"/>
      <c r="BE69" s="47"/>
      <c r="BF69" s="47"/>
      <c r="BG69" s="47"/>
      <c r="BH69" s="47"/>
      <c r="BI69" s="47"/>
      <c r="BJ69" s="47"/>
      <c r="BK69" s="47"/>
      <c r="BL69" s="47"/>
      <c r="BM69" s="47"/>
      <c r="BN69" s="47"/>
    </row>
    <row r="70" spans="1:66" ht="15.75" x14ac:dyDescent="0.25">
      <c r="A70" s="150" t="s">
        <v>407</v>
      </c>
      <c r="B70" s="150" t="s">
        <v>262</v>
      </c>
      <c r="C70" s="150" t="s">
        <v>407</v>
      </c>
      <c r="D70" s="150" t="s">
        <v>301</v>
      </c>
      <c r="E70" s="155" t="s">
        <v>476</v>
      </c>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71">
        <f t="shared" si="13"/>
        <v>2.2130876416486256E-3</v>
      </c>
      <c r="AE70" s="171">
        <f t="shared" si="13"/>
        <v>2.2858469972408813E-6</v>
      </c>
      <c r="AF70" s="171">
        <f t="shared" si="13"/>
        <v>9.7805195711231363E-6</v>
      </c>
      <c r="AG70" s="171">
        <f t="shared" si="13"/>
        <v>6.9139258997985564E-6</v>
      </c>
      <c r="AH70" s="171">
        <f t="shared" si="13"/>
        <v>-1.4426239352756665E-2</v>
      </c>
      <c r="AI70" s="171">
        <f t="shared" si="13"/>
        <v>8.4384578811214084E-6</v>
      </c>
      <c r="AJ70" s="171">
        <f t="shared" si="13"/>
        <v>2.7311814592145822E-6</v>
      </c>
      <c r="AK70" s="171">
        <f t="shared" si="13"/>
        <v>5.4879478341707255E-6</v>
      </c>
      <c r="AL70" s="171">
        <f t="shared" si="13"/>
        <v>3.6646510441773472E-6</v>
      </c>
      <c r="AM70" s="171">
        <f t="shared" si="13"/>
        <v>-0.17233996913209249</v>
      </c>
      <c r="AN70" s="171">
        <f t="shared" si="13"/>
        <v>3.4635108234759571E-6</v>
      </c>
      <c r="AO70" s="171">
        <f t="shared" si="13"/>
        <v>3.6518431074661351E-6</v>
      </c>
      <c r="AP70" s="171">
        <f t="shared" si="13"/>
        <v>2.1076914509254863E-6</v>
      </c>
      <c r="AQ70" s="171">
        <f t="shared" si="13"/>
        <v>2.5137960333321274E-6</v>
      </c>
      <c r="AR70" s="171">
        <f t="shared" si="13"/>
        <v>-0.10789710723483914</v>
      </c>
      <c r="AS70" s="171">
        <f t="shared" si="13"/>
        <v>2.9002174235515099E-6</v>
      </c>
      <c r="AT70" s="171">
        <f t="shared" si="13"/>
        <v>2.183856211424029E-6</v>
      </c>
      <c r="AU70" s="171">
        <f t="shared" si="13"/>
        <v>2.2698471482396343E-6</v>
      </c>
      <c r="AV70" s="171">
        <f t="shared" si="13"/>
        <v>2.0534963258711514E-6</v>
      </c>
      <c r="AW70" s="172">
        <v>0</v>
      </c>
      <c r="AX70" s="47"/>
      <c r="AY70" s="47"/>
      <c r="AZ70" s="47"/>
      <c r="BA70" s="47"/>
      <c r="BB70" s="47"/>
      <c r="BC70" s="47"/>
      <c r="BD70" s="47"/>
      <c r="BE70" s="47"/>
      <c r="BF70" s="47"/>
      <c r="BG70" s="47"/>
      <c r="BH70" s="47"/>
      <c r="BI70" s="47"/>
      <c r="BJ70" s="47"/>
      <c r="BK70" s="47"/>
      <c r="BL70" s="47"/>
      <c r="BM70" s="47"/>
      <c r="BN70" s="47"/>
    </row>
    <row r="71" spans="1:66" ht="15.75" x14ac:dyDescent="0.25">
      <c r="A71" s="150" t="s">
        <v>407</v>
      </c>
      <c r="B71" s="150" t="s">
        <v>262</v>
      </c>
      <c r="C71" s="150" t="s">
        <v>407</v>
      </c>
      <c r="D71" s="150" t="s">
        <v>303</v>
      </c>
      <c r="E71" s="155" t="s">
        <v>463</v>
      </c>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71">
        <f t="shared" si="13"/>
        <v>-5.5874263787971667E-3</v>
      </c>
      <c r="AE71" s="171">
        <f t="shared" si="13"/>
        <v>-5.6188211281864575E-3</v>
      </c>
      <c r="AF71" s="171">
        <f t="shared" si="13"/>
        <v>-5.6505706740763717E-3</v>
      </c>
      <c r="AG71" s="171">
        <f t="shared" si="13"/>
        <v>-5.6826810650526527E-3</v>
      </c>
      <c r="AH71" s="171">
        <f t="shared" si="13"/>
        <v>4.5333639020770367E-3</v>
      </c>
      <c r="AI71" s="171">
        <f t="shared" si="13"/>
        <v>0</v>
      </c>
      <c r="AJ71" s="171">
        <f t="shared" si="13"/>
        <v>0</v>
      </c>
      <c r="AK71" s="171">
        <f t="shared" si="13"/>
        <v>0</v>
      </c>
      <c r="AL71" s="171">
        <f t="shared" si="13"/>
        <v>0</v>
      </c>
      <c r="AM71" s="171">
        <f t="shared" si="13"/>
        <v>-0.18290065278997925</v>
      </c>
      <c r="AN71" s="171">
        <f t="shared" si="13"/>
        <v>0</v>
      </c>
      <c r="AO71" s="171">
        <f t="shared" si="13"/>
        <v>0</v>
      </c>
      <c r="AP71" s="171">
        <f t="shared" si="13"/>
        <v>0</v>
      </c>
      <c r="AQ71" s="171">
        <f t="shared" si="13"/>
        <v>0</v>
      </c>
      <c r="AR71" s="171">
        <f t="shared" si="13"/>
        <v>-0.11830757766047051</v>
      </c>
      <c r="AS71" s="171">
        <f t="shared" si="13"/>
        <v>0</v>
      </c>
      <c r="AT71" s="171">
        <f t="shared" si="13"/>
        <v>0</v>
      </c>
      <c r="AU71" s="171">
        <f t="shared" si="13"/>
        <v>0</v>
      </c>
      <c r="AV71" s="171">
        <f t="shared" si="13"/>
        <v>0</v>
      </c>
      <c r="AW71" s="172">
        <v>0</v>
      </c>
      <c r="AX71" s="47"/>
      <c r="AY71" s="47"/>
      <c r="AZ71" s="47"/>
      <c r="BA71" s="47"/>
      <c r="BB71" s="47"/>
      <c r="BC71" s="47"/>
      <c r="BD71" s="47"/>
      <c r="BE71" s="47"/>
      <c r="BF71" s="47"/>
      <c r="BG71" s="47"/>
      <c r="BH71" s="47"/>
      <c r="BI71" s="47"/>
      <c r="BJ71" s="47"/>
      <c r="BK71" s="47"/>
      <c r="BL71" s="47"/>
      <c r="BM71" s="47"/>
      <c r="BN71" s="47"/>
    </row>
    <row r="72" spans="1:66" ht="15.75" x14ac:dyDescent="0.25">
      <c r="A72" s="150" t="s">
        <v>407</v>
      </c>
      <c r="B72" s="150" t="s">
        <v>262</v>
      </c>
      <c r="C72" s="150" t="s">
        <v>407</v>
      </c>
      <c r="D72" s="150" t="s">
        <v>303</v>
      </c>
      <c r="E72" s="155" t="s">
        <v>472</v>
      </c>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71">
        <f t="shared" si="13"/>
        <v>9.0560565196515785E-3</v>
      </c>
      <c r="AE72" s="171">
        <f t="shared" si="13"/>
        <v>0</v>
      </c>
      <c r="AF72" s="171">
        <f t="shared" si="13"/>
        <v>0</v>
      </c>
      <c r="AG72" s="171">
        <f t="shared" si="13"/>
        <v>0</v>
      </c>
      <c r="AH72" s="171">
        <f t="shared" si="13"/>
        <v>-9.1011716598061732E-3</v>
      </c>
      <c r="AI72" s="171">
        <f t="shared" si="13"/>
        <v>0</v>
      </c>
      <c r="AJ72" s="171">
        <f t="shared" si="13"/>
        <v>0</v>
      </c>
      <c r="AK72" s="171">
        <f t="shared" si="13"/>
        <v>0</v>
      </c>
      <c r="AL72" s="171">
        <f t="shared" si="13"/>
        <v>0</v>
      </c>
      <c r="AM72" s="171">
        <f t="shared" si="13"/>
        <v>-0.16707200824036039</v>
      </c>
      <c r="AN72" s="171">
        <f t="shared" si="13"/>
        <v>0</v>
      </c>
      <c r="AO72" s="171">
        <f t="shared" si="13"/>
        <v>0</v>
      </c>
      <c r="AP72" s="171">
        <f t="shared" si="13"/>
        <v>0</v>
      </c>
      <c r="AQ72" s="171">
        <f t="shared" si="13"/>
        <v>0</v>
      </c>
      <c r="AR72" s="171">
        <f t="shared" si="13"/>
        <v>-0.10376061411422155</v>
      </c>
      <c r="AS72" s="171">
        <f t="shared" si="13"/>
        <v>0</v>
      </c>
      <c r="AT72" s="171">
        <f t="shared" si="13"/>
        <v>0</v>
      </c>
      <c r="AU72" s="171">
        <f t="shared" si="13"/>
        <v>0</v>
      </c>
      <c r="AV72" s="171">
        <f t="shared" si="13"/>
        <v>0</v>
      </c>
      <c r="AW72" s="172">
        <v>0</v>
      </c>
      <c r="AX72" s="47"/>
      <c r="AY72" s="47"/>
      <c r="AZ72" s="47"/>
      <c r="BA72" s="47"/>
      <c r="BB72" s="47"/>
      <c r="BC72" s="47"/>
      <c r="BD72" s="47"/>
      <c r="BE72" s="47"/>
      <c r="BF72" s="47"/>
      <c r="BG72" s="47"/>
      <c r="BH72" s="47"/>
      <c r="BI72" s="47"/>
      <c r="BJ72" s="47"/>
      <c r="BK72" s="47"/>
      <c r="BL72" s="47"/>
      <c r="BM72" s="47"/>
      <c r="BN72" s="47"/>
    </row>
    <row r="73" spans="1:66" ht="15.75" x14ac:dyDescent="0.25">
      <c r="A73" s="150" t="s">
        <v>407</v>
      </c>
      <c r="B73" s="150" t="s">
        <v>262</v>
      </c>
      <c r="C73" s="150" t="s">
        <v>407</v>
      </c>
      <c r="D73" s="150" t="s">
        <v>310</v>
      </c>
      <c r="E73" s="155" t="s">
        <v>463</v>
      </c>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71">
        <f t="shared" si="13"/>
        <v>0</v>
      </c>
      <c r="AE73" s="171">
        <f t="shared" si="13"/>
        <v>0</v>
      </c>
      <c r="AF73" s="171">
        <f t="shared" si="13"/>
        <v>0</v>
      </c>
      <c r="AG73" s="171">
        <f t="shared" si="13"/>
        <v>0</v>
      </c>
      <c r="AH73" s="171">
        <f t="shared" si="13"/>
        <v>0</v>
      </c>
      <c r="AI73" s="171">
        <f t="shared" si="13"/>
        <v>0</v>
      </c>
      <c r="AJ73" s="171">
        <f t="shared" si="13"/>
        <v>0</v>
      </c>
      <c r="AK73" s="171">
        <f t="shared" si="13"/>
        <v>0</v>
      </c>
      <c r="AL73" s="171">
        <f t="shared" si="13"/>
        <v>0</v>
      </c>
      <c r="AM73" s="171">
        <f t="shared" si="13"/>
        <v>0</v>
      </c>
      <c r="AN73" s="171">
        <f t="shared" si="13"/>
        <v>0</v>
      </c>
      <c r="AO73" s="171">
        <f t="shared" si="13"/>
        <v>0</v>
      </c>
      <c r="AP73" s="171">
        <f t="shared" si="13"/>
        <v>0</v>
      </c>
      <c r="AQ73" s="171">
        <f t="shared" si="13"/>
        <v>0</v>
      </c>
      <c r="AR73" s="171">
        <f t="shared" si="13"/>
        <v>0</v>
      </c>
      <c r="AS73" s="171">
        <f t="shared" si="13"/>
        <v>0</v>
      </c>
      <c r="AT73" s="171">
        <f t="shared" si="13"/>
        <v>0</v>
      </c>
      <c r="AU73" s="171">
        <f t="shared" si="13"/>
        <v>0</v>
      </c>
      <c r="AV73" s="171">
        <f t="shared" si="13"/>
        <v>0</v>
      </c>
      <c r="AW73" s="172">
        <v>0</v>
      </c>
      <c r="AX73" s="47"/>
      <c r="AY73" s="47"/>
      <c r="AZ73" s="47"/>
      <c r="BA73" s="47"/>
      <c r="BB73" s="47"/>
      <c r="BC73" s="47"/>
      <c r="BD73" s="47"/>
      <c r="BE73" s="47"/>
      <c r="BF73" s="47"/>
      <c r="BG73" s="47"/>
      <c r="BH73" s="47"/>
      <c r="BI73" s="47"/>
      <c r="BJ73" s="47"/>
      <c r="BK73" s="47"/>
      <c r="BL73" s="47"/>
      <c r="BM73" s="47"/>
      <c r="BN73" s="47"/>
    </row>
    <row r="74" spans="1:66" ht="15.75" x14ac:dyDescent="0.25">
      <c r="A74" s="150" t="s">
        <v>407</v>
      </c>
      <c r="B74" s="150" t="s">
        <v>262</v>
      </c>
      <c r="C74" s="150" t="s">
        <v>407</v>
      </c>
      <c r="D74" s="150" t="s">
        <v>310</v>
      </c>
      <c r="E74" s="155" t="s">
        <v>476</v>
      </c>
      <c r="F74" s="150"/>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171">
        <f t="shared" si="13"/>
        <v>-2.4774657792713262E-3</v>
      </c>
      <c r="AE74" s="171">
        <f t="shared" si="13"/>
        <v>-2.4836188600058096E-3</v>
      </c>
      <c r="AF74" s="171">
        <f t="shared" si="13"/>
        <v>-2.489802580652789E-3</v>
      </c>
      <c r="AG74" s="171">
        <f t="shared" si="13"/>
        <v>-2.4960171706456258E-3</v>
      </c>
      <c r="AH74" s="171">
        <f t="shared" si="13"/>
        <v>-1.3710973262105464E-3</v>
      </c>
      <c r="AI74" s="171">
        <f t="shared" si="13"/>
        <v>-1.3729798151640438E-3</v>
      </c>
      <c r="AJ74" s="171">
        <f t="shared" si="13"/>
        <v>-1.3748674804632266E-3</v>
      </c>
      <c r="AK74" s="171">
        <f t="shared" si="13"/>
        <v>-1.3767603434878817E-3</v>
      </c>
      <c r="AL74" s="171">
        <f t="shared" si="13"/>
        <v>3.1709555706203041E-3</v>
      </c>
      <c r="AM74" s="171">
        <f t="shared" si="13"/>
        <v>-0.17233996913209249</v>
      </c>
      <c r="AN74" s="171">
        <f t="shared" si="13"/>
        <v>3.4635108234759571E-6</v>
      </c>
      <c r="AO74" s="171">
        <f t="shared" si="13"/>
        <v>3.6518431074661351E-6</v>
      </c>
      <c r="AP74" s="171">
        <f t="shared" si="13"/>
        <v>2.1076914509254863E-6</v>
      </c>
      <c r="AQ74" s="171">
        <f t="shared" si="13"/>
        <v>2.5137960331100828E-6</v>
      </c>
      <c r="AR74" s="171">
        <f t="shared" si="13"/>
        <v>-0.10789710723483914</v>
      </c>
      <c r="AS74" s="171">
        <f t="shared" si="13"/>
        <v>2.9002174235515099E-6</v>
      </c>
      <c r="AT74" s="171">
        <f t="shared" si="13"/>
        <v>2.183856211424029E-6</v>
      </c>
      <c r="AU74" s="171">
        <f t="shared" si="13"/>
        <v>2.2698471480175897E-6</v>
      </c>
      <c r="AV74" s="171">
        <f t="shared" si="13"/>
        <v>2.0534963258711514E-6</v>
      </c>
      <c r="AW74" s="172">
        <v>0</v>
      </c>
      <c r="AX74" s="47"/>
      <c r="AY74" s="47"/>
      <c r="AZ74" s="47"/>
      <c r="BA74" s="47"/>
      <c r="BB74" s="47"/>
      <c r="BC74" s="47"/>
      <c r="BD74" s="47"/>
      <c r="BE74" s="47"/>
      <c r="BF74" s="47"/>
      <c r="BG74" s="47"/>
      <c r="BH74" s="47"/>
      <c r="BI74" s="47"/>
      <c r="BJ74" s="47"/>
      <c r="BK74" s="47"/>
      <c r="BL74" s="47"/>
      <c r="BM74" s="47"/>
      <c r="BN74" s="47"/>
    </row>
    <row r="75" spans="1:66" ht="15.75" x14ac:dyDescent="0.25">
      <c r="A75" s="150" t="s">
        <v>405</v>
      </c>
      <c r="B75" s="150" t="s">
        <v>265</v>
      </c>
      <c r="C75" s="150" t="s">
        <v>405</v>
      </c>
      <c r="D75" s="150" t="s">
        <v>301</v>
      </c>
      <c r="E75" s="155" t="s">
        <v>463</v>
      </c>
      <c r="F75" s="150"/>
      <c r="G75" s="150"/>
      <c r="H75" s="150"/>
      <c r="I75" s="150"/>
      <c r="J75" s="150"/>
      <c r="K75" s="150"/>
      <c r="L75" s="150"/>
      <c r="M75" s="150"/>
      <c r="N75" s="150"/>
      <c r="O75" s="150"/>
      <c r="P75" s="150"/>
      <c r="Q75" s="150"/>
      <c r="R75" s="150"/>
      <c r="S75" s="150"/>
      <c r="T75" s="150"/>
      <c r="U75" s="150"/>
      <c r="V75" s="150"/>
      <c r="W75" s="150"/>
      <c r="X75" s="150"/>
      <c r="Y75" s="150"/>
      <c r="Z75" s="150"/>
      <c r="AA75" s="150"/>
      <c r="AB75" s="150"/>
      <c r="AC75" s="150"/>
      <c r="AD75" s="171">
        <f t="shared" si="13"/>
        <v>3.0000000000000027E-2</v>
      </c>
      <c r="AE75" s="171">
        <f t="shared" si="13"/>
        <v>0</v>
      </c>
      <c r="AF75" s="171">
        <f t="shared" si="13"/>
        <v>0</v>
      </c>
      <c r="AG75" s="171">
        <f t="shared" si="13"/>
        <v>0</v>
      </c>
      <c r="AH75" s="171">
        <f t="shared" si="13"/>
        <v>0</v>
      </c>
      <c r="AI75" s="171">
        <f t="shared" si="13"/>
        <v>0</v>
      </c>
      <c r="AJ75" s="171">
        <f t="shared" si="13"/>
        <v>0</v>
      </c>
      <c r="AK75" s="171">
        <f t="shared" si="13"/>
        <v>0</v>
      </c>
      <c r="AL75" s="171">
        <f t="shared" si="13"/>
        <v>0</v>
      </c>
      <c r="AM75" s="171">
        <f t="shared" si="13"/>
        <v>0</v>
      </c>
      <c r="AN75" s="171">
        <f t="shared" si="13"/>
        <v>0</v>
      </c>
      <c r="AO75" s="171">
        <f t="shared" si="13"/>
        <v>0</v>
      </c>
      <c r="AP75" s="171">
        <f t="shared" si="13"/>
        <v>0</v>
      </c>
      <c r="AQ75" s="171">
        <f t="shared" si="13"/>
        <v>0</v>
      </c>
      <c r="AR75" s="171">
        <f t="shared" si="13"/>
        <v>0</v>
      </c>
      <c r="AS75" s="171">
        <f t="shared" si="13"/>
        <v>0</v>
      </c>
      <c r="AT75" s="171">
        <f t="shared" si="13"/>
        <v>0</v>
      </c>
      <c r="AU75" s="171">
        <f t="shared" si="13"/>
        <v>0</v>
      </c>
      <c r="AV75" s="171">
        <f t="shared" si="13"/>
        <v>0</v>
      </c>
      <c r="AW75" s="172">
        <v>0</v>
      </c>
      <c r="AX75" s="47"/>
      <c r="AY75" s="47"/>
      <c r="AZ75" s="47"/>
      <c r="BA75" s="47"/>
      <c r="BB75" s="47"/>
      <c r="BC75" s="47"/>
      <c r="BD75" s="47"/>
      <c r="BE75" s="47"/>
      <c r="BF75" s="47"/>
      <c r="BG75" s="47"/>
      <c r="BH75" s="47"/>
      <c r="BI75" s="47"/>
      <c r="BJ75" s="47"/>
      <c r="BK75" s="47"/>
      <c r="BL75" s="47"/>
      <c r="BM75" s="47"/>
      <c r="BN75" s="47"/>
    </row>
    <row r="76" spans="1:66" ht="15.75" x14ac:dyDescent="0.25">
      <c r="A76" s="150" t="s">
        <v>405</v>
      </c>
      <c r="B76" s="150" t="s">
        <v>265</v>
      </c>
      <c r="C76" s="150" t="s">
        <v>405</v>
      </c>
      <c r="D76" s="150" t="s">
        <v>301</v>
      </c>
      <c r="E76" s="150" t="s">
        <v>465</v>
      </c>
      <c r="F76" s="150"/>
      <c r="G76" s="150"/>
      <c r="H76" s="150"/>
      <c r="I76" s="150"/>
      <c r="J76" s="150"/>
      <c r="K76" s="150"/>
      <c r="L76" s="150"/>
      <c r="M76" s="150"/>
      <c r="N76" s="150"/>
      <c r="O76" s="150"/>
      <c r="P76" s="150"/>
      <c r="Q76" s="150"/>
      <c r="R76" s="150"/>
      <c r="S76" s="150"/>
      <c r="T76" s="150"/>
      <c r="U76" s="150"/>
      <c r="V76" s="150"/>
      <c r="W76" s="150"/>
      <c r="X76" s="150"/>
      <c r="Y76" s="150"/>
      <c r="Z76" s="150"/>
      <c r="AA76" s="150"/>
      <c r="AB76" s="150"/>
      <c r="AC76" s="150"/>
      <c r="AD76" s="171">
        <f t="shared" si="13"/>
        <v>1.9083580259433797E-2</v>
      </c>
      <c r="AE76" s="171">
        <f t="shared" si="13"/>
        <v>1.8726216994464417E-2</v>
      </c>
      <c r="AF76" s="171">
        <f t="shared" si="13"/>
        <v>1.8381991826726729E-2</v>
      </c>
      <c r="AG76" s="171">
        <f t="shared" si="13"/>
        <v>1.8050193320635843E-2</v>
      </c>
      <c r="AH76" s="171">
        <f t="shared" si="13"/>
        <v>1.8586826932360356E-2</v>
      </c>
      <c r="AI76" s="171">
        <f t="shared" si="13"/>
        <v>1.8247660818800915E-2</v>
      </c>
      <c r="AJ76" s="171">
        <f t="shared" si="13"/>
        <v>1.7920650860250742E-2</v>
      </c>
      <c r="AK76" s="171">
        <f t="shared" si="13"/>
        <v>1.7605155023729946E-2</v>
      </c>
      <c r="AL76" s="171">
        <f t="shared" si="13"/>
        <v>1.7300575706418631E-2</v>
      </c>
      <c r="AM76" s="171">
        <f t="shared" si="13"/>
        <v>2.0141646215770637E-2</v>
      </c>
      <c r="AN76" s="171">
        <f t="shared" si="13"/>
        <v>0</v>
      </c>
      <c r="AO76" s="171">
        <f t="shared" si="13"/>
        <v>0</v>
      </c>
      <c r="AP76" s="171">
        <f t="shared" si="13"/>
        <v>0</v>
      </c>
      <c r="AQ76" s="171">
        <f t="shared" si="13"/>
        <v>0</v>
      </c>
      <c r="AR76" s="171">
        <f t="shared" si="13"/>
        <v>-0.11075744138927013</v>
      </c>
      <c r="AS76" s="171">
        <f t="shared" si="13"/>
        <v>0</v>
      </c>
      <c r="AT76" s="171">
        <f t="shared" si="13"/>
        <v>0</v>
      </c>
      <c r="AU76" s="171">
        <f t="shared" si="13"/>
        <v>0</v>
      </c>
      <c r="AV76" s="171">
        <f t="shared" si="13"/>
        <v>0</v>
      </c>
      <c r="AW76" s="172">
        <v>0</v>
      </c>
      <c r="AX76" s="47"/>
      <c r="AY76" s="47"/>
      <c r="AZ76" s="47"/>
      <c r="BA76" s="47"/>
      <c r="BB76" s="47"/>
      <c r="BC76" s="47"/>
      <c r="BD76" s="47"/>
      <c r="BE76" s="47"/>
      <c r="BF76" s="47"/>
      <c r="BG76" s="47"/>
      <c r="BH76" s="47"/>
      <c r="BI76" s="47"/>
      <c r="BJ76" s="47"/>
      <c r="BK76" s="47"/>
      <c r="BL76" s="47"/>
      <c r="BM76" s="47"/>
      <c r="BN76" s="47"/>
    </row>
    <row r="77" spans="1:66" ht="15.75" x14ac:dyDescent="0.25">
      <c r="A77" s="150" t="s">
        <v>405</v>
      </c>
      <c r="B77" s="150" t="s">
        <v>265</v>
      </c>
      <c r="C77" s="150" t="s">
        <v>405</v>
      </c>
      <c r="D77" s="150" t="s">
        <v>301</v>
      </c>
      <c r="E77" s="155" t="s">
        <v>468</v>
      </c>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71">
        <f t="shared" si="13"/>
        <v>5.4571358046275886E-3</v>
      </c>
      <c r="AE77" s="171">
        <f t="shared" si="13"/>
        <v>5.4275171066944239E-3</v>
      </c>
      <c r="AF77" s="171">
        <f t="shared" si="13"/>
        <v>5.3982181851488509E-3</v>
      </c>
      <c r="AG77" s="171">
        <f t="shared" si="13"/>
        <v>5.3692338891282443E-3</v>
      </c>
      <c r="AH77" s="171">
        <f t="shared" si="13"/>
        <v>6.1396662961128445E-3</v>
      </c>
      <c r="AI77" s="171">
        <f t="shared" si="13"/>
        <v>6.1022008194098198E-3</v>
      </c>
      <c r="AJ77" s="171">
        <f t="shared" si="13"/>
        <v>6.0651898131620641E-3</v>
      </c>
      <c r="AK77" s="171">
        <f t="shared" si="13"/>
        <v>6.0286250578738265E-3</v>
      </c>
      <c r="AL77" s="171">
        <f t="shared" si="13"/>
        <v>5.9924985310699785E-3</v>
      </c>
      <c r="AM77" s="171">
        <f t="shared" si="13"/>
        <v>9.058028410638741E-3</v>
      </c>
      <c r="AN77" s="171">
        <f t="shared" si="13"/>
        <v>0</v>
      </c>
      <c r="AO77" s="171">
        <f t="shared" si="13"/>
        <v>0</v>
      </c>
      <c r="AP77" s="171">
        <f t="shared" si="13"/>
        <v>0</v>
      </c>
      <c r="AQ77" s="171">
        <f t="shared" si="13"/>
        <v>0</v>
      </c>
      <c r="AR77" s="171">
        <f t="shared" si="13"/>
        <v>-0.11075744138927013</v>
      </c>
      <c r="AS77" s="171">
        <f t="shared" si="13"/>
        <v>0</v>
      </c>
      <c r="AT77" s="171">
        <f t="shared" si="13"/>
        <v>0</v>
      </c>
      <c r="AU77" s="171">
        <f t="shared" si="13"/>
        <v>0</v>
      </c>
      <c r="AV77" s="171">
        <f t="shared" si="13"/>
        <v>0</v>
      </c>
      <c r="AW77" s="172">
        <v>0</v>
      </c>
      <c r="AX77" s="47"/>
      <c r="AY77" s="47"/>
      <c r="AZ77" s="47"/>
      <c r="BA77" s="47"/>
      <c r="BB77" s="47"/>
      <c r="BC77" s="47"/>
      <c r="BD77" s="47"/>
      <c r="BE77" s="47"/>
      <c r="BF77" s="47"/>
      <c r="BG77" s="47"/>
      <c r="BH77" s="47"/>
      <c r="BI77" s="47"/>
      <c r="BJ77" s="47"/>
      <c r="BK77" s="47"/>
      <c r="BL77" s="47"/>
      <c r="BM77" s="47"/>
      <c r="BN77" s="47"/>
    </row>
    <row r="78" spans="1:66" ht="15.75" x14ac:dyDescent="0.25">
      <c r="A78" s="150" t="s">
        <v>405</v>
      </c>
      <c r="B78" s="150" t="s">
        <v>265</v>
      </c>
      <c r="C78" s="150" t="s">
        <v>405</v>
      </c>
      <c r="D78" s="150" t="s">
        <v>301</v>
      </c>
      <c r="E78" s="155" t="s">
        <v>470</v>
      </c>
      <c r="F78" s="150"/>
      <c r="G78" s="150"/>
      <c r="H78" s="150"/>
      <c r="I78" s="150"/>
      <c r="J78" s="150"/>
      <c r="K78" s="150"/>
      <c r="L78" s="150"/>
      <c r="M78" s="150"/>
      <c r="N78" s="150"/>
      <c r="O78" s="150"/>
      <c r="P78" s="150"/>
      <c r="Q78" s="150"/>
      <c r="R78" s="150"/>
      <c r="S78" s="150"/>
      <c r="T78" s="150"/>
      <c r="U78" s="150"/>
      <c r="V78" s="150"/>
      <c r="W78" s="150"/>
      <c r="X78" s="150"/>
      <c r="Y78" s="150"/>
      <c r="Z78" s="150"/>
      <c r="AA78" s="150"/>
      <c r="AB78" s="150"/>
      <c r="AC78" s="150"/>
      <c r="AD78" s="171">
        <f t="shared" si="13"/>
        <v>-0.21811684828484257</v>
      </c>
      <c r="AE78" s="171">
        <f t="shared" si="13"/>
        <v>5.4275171066944239E-3</v>
      </c>
      <c r="AF78" s="171">
        <f t="shared" si="13"/>
        <v>5.3982181851488509E-3</v>
      </c>
      <c r="AG78" s="171">
        <f t="shared" si="13"/>
        <v>5.3692338891282443E-3</v>
      </c>
      <c r="AH78" s="171">
        <f t="shared" si="13"/>
        <v>6.1396662961128445E-3</v>
      </c>
      <c r="AI78" s="171">
        <f t="shared" si="13"/>
        <v>6.1022008194098198E-3</v>
      </c>
      <c r="AJ78" s="171">
        <f t="shared" si="13"/>
        <v>6.0651898131620641E-3</v>
      </c>
      <c r="AK78" s="171">
        <f t="shared" si="13"/>
        <v>6.0286250578738265E-3</v>
      </c>
      <c r="AL78" s="171">
        <f t="shared" si="13"/>
        <v>5.9924985310699785E-3</v>
      </c>
      <c r="AM78" s="171">
        <f t="shared" si="13"/>
        <v>9.058028410638741E-3</v>
      </c>
      <c r="AN78" s="171">
        <f t="shared" si="13"/>
        <v>0</v>
      </c>
      <c r="AO78" s="171">
        <f t="shared" si="13"/>
        <v>0</v>
      </c>
      <c r="AP78" s="171">
        <f t="shared" si="13"/>
        <v>0</v>
      </c>
      <c r="AQ78" s="171">
        <f t="shared" si="13"/>
        <v>0</v>
      </c>
      <c r="AR78" s="171">
        <f t="shared" si="13"/>
        <v>-0.11075744138927013</v>
      </c>
      <c r="AS78" s="171">
        <f t="shared" si="13"/>
        <v>0</v>
      </c>
      <c r="AT78" s="171">
        <f t="shared" si="13"/>
        <v>0</v>
      </c>
      <c r="AU78" s="171">
        <f t="shared" si="13"/>
        <v>0</v>
      </c>
      <c r="AV78" s="171">
        <f t="shared" si="13"/>
        <v>0</v>
      </c>
      <c r="AW78" s="172">
        <v>0</v>
      </c>
      <c r="AX78" s="47"/>
      <c r="AY78" s="47"/>
      <c r="AZ78" s="47"/>
      <c r="BA78" s="47"/>
      <c r="BB78" s="47"/>
      <c r="BC78" s="47"/>
      <c r="BD78" s="47"/>
      <c r="BE78" s="47"/>
      <c r="BF78" s="47"/>
      <c r="BG78" s="47"/>
      <c r="BH78" s="47"/>
      <c r="BI78" s="47"/>
      <c r="BJ78" s="47"/>
      <c r="BK78" s="47"/>
      <c r="BL78" s="47"/>
      <c r="BM78" s="47"/>
      <c r="BN78" s="47"/>
    </row>
    <row r="79" spans="1:66" ht="15.75" x14ac:dyDescent="0.25">
      <c r="A79" s="150" t="s">
        <v>405</v>
      </c>
      <c r="B79" s="150" t="s">
        <v>265</v>
      </c>
      <c r="C79" s="150" t="s">
        <v>405</v>
      </c>
      <c r="D79" s="150" t="s">
        <v>303</v>
      </c>
      <c r="E79" s="155" t="s">
        <v>463</v>
      </c>
      <c r="F79" s="150"/>
      <c r="G79" s="150"/>
      <c r="H79" s="150"/>
      <c r="I79" s="150"/>
      <c r="J79" s="150"/>
      <c r="K79" s="150"/>
      <c r="L79" s="150"/>
      <c r="M79" s="150"/>
      <c r="N79" s="150"/>
      <c r="O79" s="150"/>
      <c r="P79" s="150"/>
      <c r="Q79" s="150"/>
      <c r="R79" s="150"/>
      <c r="S79" s="150"/>
      <c r="T79" s="150"/>
      <c r="U79" s="150"/>
      <c r="V79" s="150"/>
      <c r="W79" s="150"/>
      <c r="X79" s="150"/>
      <c r="Y79" s="150"/>
      <c r="Z79" s="150"/>
      <c r="AA79" s="150"/>
      <c r="AB79" s="150"/>
      <c r="AC79" s="150"/>
      <c r="AD79" s="171">
        <f t="shared" si="13"/>
        <v>-3.6603950308454869E-2</v>
      </c>
      <c r="AE79" s="171">
        <f t="shared" si="13"/>
        <v>-3.7994706663136757E-2</v>
      </c>
      <c r="AF79" s="171">
        <f t="shared" si="13"/>
        <v>-3.9495319751668201E-2</v>
      </c>
      <c r="AG79" s="171">
        <f t="shared" si="13"/>
        <v>-4.1119341283643696E-2</v>
      </c>
      <c r="AH79" s="171">
        <f t="shared" si="13"/>
        <v>-4.1982797414207296E-2</v>
      </c>
      <c r="AI79" s="171">
        <f t="shared" si="13"/>
        <v>-4.3822592434552554E-2</v>
      </c>
      <c r="AJ79" s="171">
        <f t="shared" si="13"/>
        <v>-4.5831026844830536E-2</v>
      </c>
      <c r="AK79" s="171">
        <f t="shared" si="13"/>
        <v>-4.8032401109501799E-2</v>
      </c>
      <c r="AL79" s="171">
        <f t="shared" si="13"/>
        <v>-4.6130075527775372E-2</v>
      </c>
      <c r="AM79" s="171">
        <f t="shared" si="13"/>
        <v>-0.18076168250503288</v>
      </c>
      <c r="AN79" s="171">
        <f t="shared" si="13"/>
        <v>0</v>
      </c>
      <c r="AO79" s="171">
        <f t="shared" si="13"/>
        <v>0</v>
      </c>
      <c r="AP79" s="171">
        <f t="shared" si="13"/>
        <v>0</v>
      </c>
      <c r="AQ79" s="171">
        <f t="shared" si="13"/>
        <v>0</v>
      </c>
      <c r="AR79" s="171">
        <f t="shared" si="13"/>
        <v>-0.11609367173460639</v>
      </c>
      <c r="AS79" s="171">
        <f t="shared" si="13"/>
        <v>0</v>
      </c>
      <c r="AT79" s="171">
        <f t="shared" si="13"/>
        <v>0</v>
      </c>
      <c r="AU79" s="171">
        <f t="shared" si="13"/>
        <v>0</v>
      </c>
      <c r="AV79" s="171">
        <f t="shared" si="13"/>
        <v>0</v>
      </c>
      <c r="AW79" s="172">
        <v>0</v>
      </c>
      <c r="AX79" s="47"/>
      <c r="AY79" s="47"/>
      <c r="AZ79" s="47"/>
      <c r="BA79" s="47"/>
      <c r="BB79" s="47"/>
      <c r="BC79" s="47"/>
      <c r="BD79" s="47"/>
      <c r="BE79" s="47"/>
      <c r="BF79" s="47"/>
      <c r="BG79" s="47"/>
      <c r="BH79" s="47"/>
      <c r="BI79" s="47"/>
      <c r="BJ79" s="47"/>
      <c r="BK79" s="47"/>
      <c r="BL79" s="47"/>
      <c r="BM79" s="47"/>
      <c r="BN79" s="47"/>
    </row>
    <row r="80" spans="1:66" ht="15.75" x14ac:dyDescent="0.25">
      <c r="A80" s="150" t="s">
        <v>405</v>
      </c>
      <c r="B80" s="150" t="s">
        <v>265</v>
      </c>
      <c r="C80" s="150" t="s">
        <v>405</v>
      </c>
      <c r="D80" s="150" t="s">
        <v>303</v>
      </c>
      <c r="E80" s="155" t="s">
        <v>472</v>
      </c>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71">
        <f t="shared" si="13"/>
        <v>0</v>
      </c>
      <c r="AE80" s="171">
        <f t="shared" si="13"/>
        <v>0</v>
      </c>
      <c r="AF80" s="171">
        <f t="shared" si="13"/>
        <v>0</v>
      </c>
      <c r="AG80" s="171">
        <f t="shared" si="13"/>
        <v>0</v>
      </c>
      <c r="AH80" s="171">
        <f t="shared" si="13"/>
        <v>0</v>
      </c>
      <c r="AI80" s="171">
        <f t="shared" si="13"/>
        <v>0</v>
      </c>
      <c r="AJ80" s="171">
        <f t="shared" si="13"/>
        <v>0</v>
      </c>
      <c r="AK80" s="171">
        <f t="shared" si="13"/>
        <v>0</v>
      </c>
      <c r="AL80" s="171">
        <f t="shared" ref="AL80:AV80" si="14">IFERROR(AL50/AK50-1,0)</f>
        <v>0</v>
      </c>
      <c r="AM80" s="171">
        <f t="shared" si="14"/>
        <v>0</v>
      </c>
      <c r="AN80" s="171">
        <f t="shared" si="14"/>
        <v>0</v>
      </c>
      <c r="AO80" s="171">
        <f t="shared" si="14"/>
        <v>0</v>
      </c>
      <c r="AP80" s="171">
        <f t="shared" si="14"/>
        <v>0</v>
      </c>
      <c r="AQ80" s="171">
        <f t="shared" si="14"/>
        <v>0</v>
      </c>
      <c r="AR80" s="171">
        <f t="shared" si="14"/>
        <v>0</v>
      </c>
      <c r="AS80" s="171">
        <f t="shared" si="14"/>
        <v>0</v>
      </c>
      <c r="AT80" s="171">
        <f t="shared" si="14"/>
        <v>0</v>
      </c>
      <c r="AU80" s="171">
        <f t="shared" si="14"/>
        <v>0</v>
      </c>
      <c r="AV80" s="171">
        <f t="shared" si="14"/>
        <v>0</v>
      </c>
      <c r="AW80" s="172">
        <v>0</v>
      </c>
      <c r="AX80" s="47"/>
      <c r="AY80" s="47"/>
      <c r="AZ80" s="47"/>
      <c r="BA80" s="47"/>
      <c r="BB80" s="47"/>
      <c r="BC80" s="47"/>
      <c r="BD80" s="47"/>
      <c r="BE80" s="47"/>
      <c r="BF80" s="47"/>
      <c r="BG80" s="47"/>
      <c r="BH80" s="47"/>
      <c r="BI80" s="47"/>
      <c r="BJ80" s="47"/>
      <c r="BK80" s="47"/>
      <c r="BL80" s="47"/>
      <c r="BM80" s="47"/>
      <c r="BN80" s="47"/>
    </row>
    <row r="81" spans="1:66" ht="15.75" x14ac:dyDescent="0.25">
      <c r="A81" s="150" t="s">
        <v>405</v>
      </c>
      <c r="B81" s="150" t="s">
        <v>265</v>
      </c>
      <c r="C81" s="150" t="s">
        <v>405</v>
      </c>
      <c r="D81" s="150" t="s">
        <v>310</v>
      </c>
      <c r="E81" s="155" t="s">
        <v>463</v>
      </c>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71">
        <f t="shared" ref="AD81:AV88" si="15">IFERROR(AD51/AC51-1,0)</f>
        <v>-6.4003316121881149E-2</v>
      </c>
      <c r="AE81" s="171">
        <f t="shared" si="15"/>
        <v>-6.8379853501933319E-2</v>
      </c>
      <c r="AF81" s="171">
        <f t="shared" si="15"/>
        <v>-7.3398856560768055E-2</v>
      </c>
      <c r="AG81" s="171">
        <f t="shared" si="15"/>
        <v>-7.9213000200211381E-2</v>
      </c>
      <c r="AH81" s="171">
        <f t="shared" si="15"/>
        <v>-8.539059552732664E-2</v>
      </c>
      <c r="AI81" s="171">
        <f t="shared" si="15"/>
        <v>-9.3362910013547684E-2</v>
      </c>
      <c r="AJ81" s="171">
        <f t="shared" si="15"/>
        <v>-0.10297715706175525</v>
      </c>
      <c r="AK81" s="171">
        <f t="shared" si="15"/>
        <v>-0.11479881239640266</v>
      </c>
      <c r="AL81" s="171">
        <f t="shared" si="15"/>
        <v>-0.12581752661835954</v>
      </c>
      <c r="AM81" s="171">
        <f t="shared" si="15"/>
        <v>-0.19054015994846896</v>
      </c>
      <c r="AN81" s="171">
        <f t="shared" si="15"/>
        <v>0</v>
      </c>
      <c r="AO81" s="171">
        <f t="shared" si="15"/>
        <v>0</v>
      </c>
      <c r="AP81" s="171">
        <f t="shared" si="15"/>
        <v>0</v>
      </c>
      <c r="AQ81" s="171">
        <f t="shared" si="15"/>
        <v>0</v>
      </c>
      <c r="AR81" s="171">
        <f t="shared" si="15"/>
        <v>-0.10957535811740571</v>
      </c>
      <c r="AS81" s="171">
        <f t="shared" si="15"/>
        <v>0</v>
      </c>
      <c r="AT81" s="171">
        <f t="shared" si="15"/>
        <v>0</v>
      </c>
      <c r="AU81" s="171">
        <f t="shared" si="15"/>
        <v>0</v>
      </c>
      <c r="AV81" s="171">
        <f t="shared" si="15"/>
        <v>0</v>
      </c>
      <c r="AW81" s="172">
        <v>0</v>
      </c>
      <c r="AX81" s="47"/>
      <c r="AY81" s="47"/>
      <c r="AZ81" s="47"/>
      <c r="BA81" s="47"/>
      <c r="BB81" s="47"/>
      <c r="BC81" s="47"/>
      <c r="BD81" s="47"/>
      <c r="BE81" s="47"/>
      <c r="BF81" s="47"/>
      <c r="BG81" s="47"/>
      <c r="BH81" s="47"/>
      <c r="BI81" s="47"/>
      <c r="BJ81" s="47"/>
      <c r="BK81" s="47"/>
      <c r="BL81" s="47"/>
      <c r="BM81" s="47"/>
      <c r="BN81" s="47"/>
    </row>
    <row r="82" spans="1:66" ht="15.75" x14ac:dyDescent="0.25">
      <c r="A82" s="150" t="s">
        <v>405</v>
      </c>
      <c r="B82" s="150" t="s">
        <v>265</v>
      </c>
      <c r="C82" s="150" t="s">
        <v>405</v>
      </c>
      <c r="D82" s="150" t="s">
        <v>310</v>
      </c>
      <c r="E82" s="155" t="s">
        <v>476</v>
      </c>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71">
        <f t="shared" si="15"/>
        <v>2.6913726410636274E-2</v>
      </c>
      <c r="AE82" s="171">
        <f t="shared" si="15"/>
        <v>2.6208361733275787E-2</v>
      </c>
      <c r="AF82" s="171">
        <f t="shared" si="15"/>
        <v>2.5539025709174323E-2</v>
      </c>
      <c r="AG82" s="171">
        <f t="shared" si="15"/>
        <v>2.4903026670792805E-2</v>
      </c>
      <c r="AH82" s="171">
        <f t="shared" si="15"/>
        <v>2.55825978509574E-2</v>
      </c>
      <c r="AI82" s="171">
        <f t="shared" si="15"/>
        <v>2.4944453917767451E-2</v>
      </c>
      <c r="AJ82" s="171">
        <f t="shared" si="15"/>
        <v>2.4337371476492509E-2</v>
      </c>
      <c r="AK82" s="171">
        <f t="shared" si="15"/>
        <v>2.3759136544449611E-2</v>
      </c>
      <c r="AL82" s="171">
        <f t="shared" si="15"/>
        <v>2.7869367714618232E-2</v>
      </c>
      <c r="AM82" s="171">
        <f t="shared" si="15"/>
        <v>-0.17234519858771769</v>
      </c>
      <c r="AN82" s="171">
        <f t="shared" si="15"/>
        <v>0</v>
      </c>
      <c r="AO82" s="171">
        <f t="shared" si="15"/>
        <v>0</v>
      </c>
      <c r="AP82" s="171">
        <f t="shared" si="15"/>
        <v>0</v>
      </c>
      <c r="AQ82" s="171">
        <f t="shared" si="15"/>
        <v>0</v>
      </c>
      <c r="AR82" s="171">
        <f t="shared" si="15"/>
        <v>-0.10789924781823224</v>
      </c>
      <c r="AS82" s="171">
        <f t="shared" si="15"/>
        <v>0</v>
      </c>
      <c r="AT82" s="171">
        <f t="shared" si="15"/>
        <v>0</v>
      </c>
      <c r="AU82" s="171">
        <f t="shared" si="15"/>
        <v>0</v>
      </c>
      <c r="AV82" s="171">
        <f t="shared" si="15"/>
        <v>0</v>
      </c>
      <c r="AW82" s="172">
        <v>0</v>
      </c>
      <c r="AX82" s="47"/>
      <c r="AY82" s="47"/>
      <c r="AZ82" s="47"/>
      <c r="BA82" s="47"/>
      <c r="BB82" s="47"/>
      <c r="BC82" s="47"/>
      <c r="BD82" s="47"/>
      <c r="BE82" s="47"/>
      <c r="BF82" s="47"/>
      <c r="BG82" s="47"/>
      <c r="BH82" s="47"/>
      <c r="BI82" s="47"/>
      <c r="BJ82" s="47"/>
      <c r="BK82" s="47"/>
      <c r="BL82" s="47"/>
      <c r="BM82" s="47"/>
      <c r="BN82" s="47"/>
    </row>
    <row r="83" spans="1:66" ht="15.75" x14ac:dyDescent="0.25">
      <c r="A83" s="150" t="s">
        <v>407</v>
      </c>
      <c r="B83" s="150" t="s">
        <v>265</v>
      </c>
      <c r="C83" s="150" t="s">
        <v>407</v>
      </c>
      <c r="D83" s="150" t="s">
        <v>301</v>
      </c>
      <c r="E83" s="155" t="s">
        <v>463</v>
      </c>
      <c r="F83" s="150"/>
      <c r="G83" s="150"/>
      <c r="H83" s="150"/>
      <c r="I83" s="150"/>
      <c r="J83" s="150"/>
      <c r="K83" s="150"/>
      <c r="L83" s="150"/>
      <c r="M83" s="150"/>
      <c r="N83" s="150"/>
      <c r="O83" s="150"/>
      <c r="P83" s="150"/>
      <c r="Q83" s="150"/>
      <c r="R83" s="150"/>
      <c r="S83" s="150"/>
      <c r="T83" s="150"/>
      <c r="U83" s="150"/>
      <c r="V83" s="150"/>
      <c r="W83" s="150"/>
      <c r="X83" s="150"/>
      <c r="Y83" s="150"/>
      <c r="Z83" s="150"/>
      <c r="AA83" s="150"/>
      <c r="AB83" s="150"/>
      <c r="AC83" s="150"/>
      <c r="AD83" s="171">
        <f t="shared" si="15"/>
        <v>-2.3668857296137213E-2</v>
      </c>
      <c r="AE83" s="171">
        <f t="shared" si="15"/>
        <v>0</v>
      </c>
      <c r="AF83" s="171">
        <f t="shared" si="15"/>
        <v>0</v>
      </c>
      <c r="AG83" s="171">
        <f t="shared" si="15"/>
        <v>0</v>
      </c>
      <c r="AH83" s="171">
        <f t="shared" si="15"/>
        <v>0</v>
      </c>
      <c r="AI83" s="171">
        <f t="shared" si="15"/>
        <v>0</v>
      </c>
      <c r="AJ83" s="171">
        <f t="shared" si="15"/>
        <v>0</v>
      </c>
      <c r="AK83" s="171">
        <f t="shared" si="15"/>
        <v>0</v>
      </c>
      <c r="AL83" s="171">
        <f t="shared" si="15"/>
        <v>0</v>
      </c>
      <c r="AM83" s="171">
        <f t="shared" si="15"/>
        <v>0</v>
      </c>
      <c r="AN83" s="171">
        <f t="shared" si="15"/>
        <v>0</v>
      </c>
      <c r="AO83" s="171">
        <f t="shared" si="15"/>
        <v>0</v>
      </c>
      <c r="AP83" s="171">
        <f t="shared" si="15"/>
        <v>0</v>
      </c>
      <c r="AQ83" s="171">
        <f t="shared" si="15"/>
        <v>0</v>
      </c>
      <c r="AR83" s="171">
        <f t="shared" si="15"/>
        <v>0</v>
      </c>
      <c r="AS83" s="171">
        <f t="shared" si="15"/>
        <v>0</v>
      </c>
      <c r="AT83" s="171">
        <f t="shared" si="15"/>
        <v>0</v>
      </c>
      <c r="AU83" s="171">
        <f t="shared" si="15"/>
        <v>0</v>
      </c>
      <c r="AV83" s="171">
        <f t="shared" si="15"/>
        <v>0</v>
      </c>
      <c r="AW83" s="172">
        <v>0</v>
      </c>
      <c r="AX83" s="47"/>
      <c r="AY83" s="47"/>
      <c r="AZ83" s="47"/>
      <c r="BA83" s="47"/>
      <c r="BB83" s="47"/>
      <c r="BC83" s="47"/>
      <c r="BD83" s="47"/>
      <c r="BE83" s="47"/>
      <c r="BF83" s="47"/>
      <c r="BG83" s="47"/>
      <c r="BH83" s="47"/>
      <c r="BI83" s="47"/>
      <c r="BJ83" s="47"/>
      <c r="BK83" s="47"/>
      <c r="BL83" s="47"/>
      <c r="BM83" s="47"/>
      <c r="BN83" s="47"/>
    </row>
    <row r="84" spans="1:66" ht="15.75" x14ac:dyDescent="0.25">
      <c r="A84" s="150" t="s">
        <v>407</v>
      </c>
      <c r="B84" s="150" t="s">
        <v>265</v>
      </c>
      <c r="C84" s="150" t="s">
        <v>407</v>
      </c>
      <c r="D84" s="150" t="s">
        <v>301</v>
      </c>
      <c r="E84" s="155" t="s">
        <v>476</v>
      </c>
      <c r="F84" s="150"/>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c r="AD84" s="171">
        <f t="shared" si="15"/>
        <v>7.1568717791772318E-3</v>
      </c>
      <c r="AE84" s="171">
        <f t="shared" si="15"/>
        <v>2.2858469972408813E-6</v>
      </c>
      <c r="AF84" s="171">
        <f t="shared" si="15"/>
        <v>9.7805195711231363E-6</v>
      </c>
      <c r="AG84" s="171">
        <f t="shared" si="15"/>
        <v>6.9139258997985564E-6</v>
      </c>
      <c r="AH84" s="171">
        <f t="shared" si="15"/>
        <v>-1.4426239352756665E-2</v>
      </c>
      <c r="AI84" s="171">
        <f t="shared" si="15"/>
        <v>8.4384578811214084E-6</v>
      </c>
      <c r="AJ84" s="171">
        <f t="shared" si="15"/>
        <v>2.7311814592145822E-6</v>
      </c>
      <c r="AK84" s="171">
        <f t="shared" si="15"/>
        <v>5.4879478341707255E-6</v>
      </c>
      <c r="AL84" s="171">
        <f t="shared" si="15"/>
        <v>3.6646510441773472E-6</v>
      </c>
      <c r="AM84" s="171">
        <f t="shared" si="15"/>
        <v>-0.17233996913209249</v>
      </c>
      <c r="AN84" s="171">
        <f t="shared" si="15"/>
        <v>3.4635108234759571E-6</v>
      </c>
      <c r="AO84" s="171">
        <f t="shared" si="15"/>
        <v>3.6518431074661351E-6</v>
      </c>
      <c r="AP84" s="171">
        <f t="shared" si="15"/>
        <v>2.1076914509254863E-6</v>
      </c>
      <c r="AQ84" s="171">
        <f t="shared" si="15"/>
        <v>2.5137960333321274E-6</v>
      </c>
      <c r="AR84" s="171">
        <f t="shared" si="15"/>
        <v>-0.10789710723483914</v>
      </c>
      <c r="AS84" s="171">
        <f t="shared" si="15"/>
        <v>2.9002174235515099E-6</v>
      </c>
      <c r="AT84" s="171">
        <f t="shared" si="15"/>
        <v>2.183856211424029E-6</v>
      </c>
      <c r="AU84" s="171">
        <f t="shared" si="15"/>
        <v>2.2698471482396343E-6</v>
      </c>
      <c r="AV84" s="171">
        <f t="shared" si="15"/>
        <v>2.0534963258711514E-6</v>
      </c>
      <c r="AW84" s="172">
        <v>0</v>
      </c>
      <c r="AX84" s="47"/>
      <c r="AY84" s="47"/>
      <c r="AZ84" s="47"/>
      <c r="BA84" s="47"/>
      <c r="BB84" s="47"/>
      <c r="BC84" s="47"/>
      <c r="BD84" s="47"/>
      <c r="BE84" s="47"/>
      <c r="BF84" s="47"/>
      <c r="BG84" s="47"/>
      <c r="BH84" s="47"/>
      <c r="BI84" s="47"/>
      <c r="BJ84" s="47"/>
      <c r="BK84" s="47"/>
      <c r="BL84" s="47"/>
      <c r="BM84" s="47"/>
      <c r="BN84" s="47"/>
    </row>
    <row r="85" spans="1:66" ht="15.75" x14ac:dyDescent="0.25">
      <c r="A85" s="150" t="s">
        <v>407</v>
      </c>
      <c r="B85" s="150" t="s">
        <v>265</v>
      </c>
      <c r="C85" s="150" t="s">
        <v>407</v>
      </c>
      <c r="D85" s="150" t="s">
        <v>303</v>
      </c>
      <c r="E85" s="155" t="s">
        <v>463</v>
      </c>
      <c r="F85" s="150"/>
      <c r="G85" s="150"/>
      <c r="H85" s="150"/>
      <c r="I85" s="150"/>
      <c r="J85" s="150"/>
      <c r="K85" s="150"/>
      <c r="L85" s="150"/>
      <c r="M85" s="150"/>
      <c r="N85" s="150"/>
      <c r="O85" s="150"/>
      <c r="P85" s="150"/>
      <c r="Q85" s="150"/>
      <c r="R85" s="150"/>
      <c r="S85" s="150"/>
      <c r="T85" s="150"/>
      <c r="U85" s="150"/>
      <c r="V85" s="150"/>
      <c r="W85" s="150"/>
      <c r="X85" s="150"/>
      <c r="Y85" s="150"/>
      <c r="Z85" s="150"/>
      <c r="AA85" s="150"/>
      <c r="AB85" s="150"/>
      <c r="AC85" s="150"/>
      <c r="AD85" s="171">
        <f t="shared" si="15"/>
        <v>-1.8134336370481341E-2</v>
      </c>
      <c r="AE85" s="171">
        <f t="shared" si="15"/>
        <v>-1.8469264220368875E-2</v>
      </c>
      <c r="AF85" s="171">
        <f t="shared" si="15"/>
        <v>-1.8816796608716158E-2</v>
      </c>
      <c r="AG85" s="171">
        <f t="shared" si="15"/>
        <v>-1.9177658712133727E-2</v>
      </c>
      <c r="AH85" s="171">
        <f t="shared" si="15"/>
        <v>-9.44673884131908E-3</v>
      </c>
      <c r="AI85" s="171">
        <f t="shared" si="15"/>
        <v>0</v>
      </c>
      <c r="AJ85" s="171">
        <f t="shared" si="15"/>
        <v>0</v>
      </c>
      <c r="AK85" s="171">
        <f t="shared" si="15"/>
        <v>0</v>
      </c>
      <c r="AL85" s="171">
        <f t="shared" si="15"/>
        <v>0</v>
      </c>
      <c r="AM85" s="171">
        <f t="shared" si="15"/>
        <v>-0.18290065278997925</v>
      </c>
      <c r="AN85" s="171">
        <f t="shared" si="15"/>
        <v>0</v>
      </c>
      <c r="AO85" s="171">
        <f t="shared" si="15"/>
        <v>0</v>
      </c>
      <c r="AP85" s="171">
        <f t="shared" si="15"/>
        <v>0</v>
      </c>
      <c r="AQ85" s="171">
        <f t="shared" si="15"/>
        <v>0</v>
      </c>
      <c r="AR85" s="171">
        <f t="shared" si="15"/>
        <v>-0.11830757766047051</v>
      </c>
      <c r="AS85" s="171">
        <f t="shared" si="15"/>
        <v>0</v>
      </c>
      <c r="AT85" s="171">
        <f t="shared" si="15"/>
        <v>0</v>
      </c>
      <c r="AU85" s="171">
        <f t="shared" si="15"/>
        <v>0</v>
      </c>
      <c r="AV85" s="171">
        <f t="shared" si="15"/>
        <v>0</v>
      </c>
      <c r="AW85" s="172">
        <v>0</v>
      </c>
      <c r="AX85" s="47"/>
      <c r="AY85" s="47"/>
      <c r="AZ85" s="47"/>
      <c r="BA85" s="47"/>
      <c r="BB85" s="47"/>
      <c r="BC85" s="47"/>
      <c r="BD85" s="47"/>
      <c r="BE85" s="47"/>
      <c r="BF85" s="47"/>
      <c r="BG85" s="47"/>
      <c r="BH85" s="47"/>
      <c r="BI85" s="47"/>
      <c r="BJ85" s="47"/>
      <c r="BK85" s="47"/>
      <c r="BL85" s="47"/>
      <c r="BM85" s="47"/>
      <c r="BN85" s="47"/>
    </row>
    <row r="86" spans="1:66" ht="15.75" x14ac:dyDescent="0.25">
      <c r="A86" s="150" t="s">
        <v>407</v>
      </c>
      <c r="B86" s="150" t="s">
        <v>265</v>
      </c>
      <c r="C86" s="150" t="s">
        <v>407</v>
      </c>
      <c r="D86" s="150" t="s">
        <v>303</v>
      </c>
      <c r="E86" s="155" t="s">
        <v>472</v>
      </c>
      <c r="F86" s="150"/>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c r="AD86" s="171">
        <f t="shared" si="15"/>
        <v>0</v>
      </c>
      <c r="AE86" s="171">
        <f t="shared" si="15"/>
        <v>0</v>
      </c>
      <c r="AF86" s="171">
        <f t="shared" si="15"/>
        <v>0</v>
      </c>
      <c r="AG86" s="171">
        <f t="shared" si="15"/>
        <v>0</v>
      </c>
      <c r="AH86" s="171">
        <f t="shared" si="15"/>
        <v>0</v>
      </c>
      <c r="AI86" s="171">
        <f t="shared" si="15"/>
        <v>0</v>
      </c>
      <c r="AJ86" s="171">
        <f t="shared" si="15"/>
        <v>0</v>
      </c>
      <c r="AK86" s="171">
        <f t="shared" si="15"/>
        <v>0</v>
      </c>
      <c r="AL86" s="171">
        <f t="shared" si="15"/>
        <v>0</v>
      </c>
      <c r="AM86" s="171">
        <f t="shared" si="15"/>
        <v>0</v>
      </c>
      <c r="AN86" s="171">
        <f t="shared" si="15"/>
        <v>0</v>
      </c>
      <c r="AO86" s="171">
        <f t="shared" si="15"/>
        <v>0</v>
      </c>
      <c r="AP86" s="171">
        <f t="shared" si="15"/>
        <v>0</v>
      </c>
      <c r="AQ86" s="171">
        <f t="shared" si="15"/>
        <v>0</v>
      </c>
      <c r="AR86" s="171">
        <f t="shared" si="15"/>
        <v>0</v>
      </c>
      <c r="AS86" s="171">
        <f t="shared" si="15"/>
        <v>0</v>
      </c>
      <c r="AT86" s="171">
        <f t="shared" si="15"/>
        <v>0</v>
      </c>
      <c r="AU86" s="171">
        <f t="shared" si="15"/>
        <v>0</v>
      </c>
      <c r="AV86" s="171">
        <f t="shared" si="15"/>
        <v>0</v>
      </c>
      <c r="AW86" s="172">
        <v>0</v>
      </c>
      <c r="AX86" s="47"/>
      <c r="AY86" s="47"/>
      <c r="AZ86" s="47"/>
      <c r="BA86" s="47"/>
      <c r="BB86" s="47"/>
      <c r="BC86" s="47"/>
      <c r="BD86" s="47"/>
      <c r="BE86" s="47"/>
      <c r="BF86" s="47"/>
      <c r="BG86" s="47"/>
      <c r="BH86" s="47"/>
      <c r="BI86" s="47"/>
      <c r="BJ86" s="47"/>
      <c r="BK86" s="47"/>
      <c r="BL86" s="47"/>
      <c r="BM86" s="47"/>
      <c r="BN86" s="47"/>
    </row>
    <row r="87" spans="1:66" ht="15.75" x14ac:dyDescent="0.25">
      <c r="A87" s="150" t="s">
        <v>407</v>
      </c>
      <c r="B87" s="150" t="s">
        <v>265</v>
      </c>
      <c r="C87" s="150" t="s">
        <v>407</v>
      </c>
      <c r="D87" s="150" t="s">
        <v>310</v>
      </c>
      <c r="E87" s="155" t="s">
        <v>463</v>
      </c>
      <c r="F87" s="150"/>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c r="AD87" s="171">
        <f t="shared" si="15"/>
        <v>-6.4003316121881149E-2</v>
      </c>
      <c r="AE87" s="171">
        <f t="shared" si="15"/>
        <v>-6.8379853501933319E-2</v>
      </c>
      <c r="AF87" s="171">
        <f t="shared" si="15"/>
        <v>-7.3398856560768055E-2</v>
      </c>
      <c r="AG87" s="171">
        <f t="shared" si="15"/>
        <v>-7.9213000200211381E-2</v>
      </c>
      <c r="AH87" s="171">
        <f t="shared" si="15"/>
        <v>-8.539059552732664E-2</v>
      </c>
      <c r="AI87" s="171">
        <f t="shared" si="15"/>
        <v>-9.3362910013547684E-2</v>
      </c>
      <c r="AJ87" s="171">
        <f t="shared" si="15"/>
        <v>-0.10297715706175525</v>
      </c>
      <c r="AK87" s="171">
        <f t="shared" si="15"/>
        <v>-0.11479881239640266</v>
      </c>
      <c r="AL87" s="171">
        <f t="shared" si="15"/>
        <v>-0.12581752661835954</v>
      </c>
      <c r="AM87" s="171">
        <f t="shared" si="15"/>
        <v>-0.19054015994846896</v>
      </c>
      <c r="AN87" s="171">
        <f t="shared" si="15"/>
        <v>0</v>
      </c>
      <c r="AO87" s="171">
        <f t="shared" si="15"/>
        <v>0</v>
      </c>
      <c r="AP87" s="171">
        <f t="shared" si="15"/>
        <v>0</v>
      </c>
      <c r="AQ87" s="171">
        <f t="shared" si="15"/>
        <v>0</v>
      </c>
      <c r="AR87" s="171">
        <f t="shared" si="15"/>
        <v>-0.10957535811740571</v>
      </c>
      <c r="AS87" s="171">
        <f t="shared" si="15"/>
        <v>0</v>
      </c>
      <c r="AT87" s="171">
        <f t="shared" si="15"/>
        <v>0</v>
      </c>
      <c r="AU87" s="171">
        <f t="shared" si="15"/>
        <v>0</v>
      </c>
      <c r="AV87" s="171">
        <f t="shared" si="15"/>
        <v>0</v>
      </c>
      <c r="AW87" s="172">
        <v>0</v>
      </c>
      <c r="AX87" s="47"/>
      <c r="AY87" s="47"/>
      <c r="AZ87" s="47"/>
      <c r="BA87" s="47"/>
      <c r="BB87" s="47"/>
      <c r="BC87" s="47"/>
      <c r="BD87" s="47"/>
      <c r="BE87" s="47"/>
      <c r="BF87" s="47"/>
      <c r="BG87" s="47"/>
      <c r="BH87" s="47"/>
      <c r="BI87" s="47"/>
      <c r="BJ87" s="47"/>
      <c r="BK87" s="47"/>
      <c r="BL87" s="47"/>
      <c r="BM87" s="47"/>
      <c r="BN87" s="47"/>
    </row>
    <row r="88" spans="1:66" ht="15.75" x14ac:dyDescent="0.25">
      <c r="A88" s="150" t="s">
        <v>407</v>
      </c>
      <c r="B88" s="150" t="s">
        <v>265</v>
      </c>
      <c r="C88" s="150" t="s">
        <v>407</v>
      </c>
      <c r="D88" s="150" t="s">
        <v>310</v>
      </c>
      <c r="E88" s="150" t="s">
        <v>476</v>
      </c>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71">
        <f t="shared" si="15"/>
        <v>0</v>
      </c>
      <c r="AE88" s="171">
        <f t="shared" si="15"/>
        <v>0</v>
      </c>
      <c r="AF88" s="171">
        <f t="shared" si="15"/>
        <v>0</v>
      </c>
      <c r="AG88" s="171">
        <f t="shared" si="15"/>
        <v>0</v>
      </c>
      <c r="AH88" s="171">
        <f t="shared" si="15"/>
        <v>0</v>
      </c>
      <c r="AI88" s="171">
        <f t="shared" si="15"/>
        <v>0</v>
      </c>
      <c r="AJ88" s="171">
        <f t="shared" si="15"/>
        <v>0</v>
      </c>
      <c r="AK88" s="171">
        <f t="shared" si="15"/>
        <v>0</v>
      </c>
      <c r="AL88" s="171">
        <f t="shared" si="15"/>
        <v>0</v>
      </c>
      <c r="AM88" s="171">
        <f t="shared" si="15"/>
        <v>0</v>
      </c>
      <c r="AN88" s="171">
        <f t="shared" si="15"/>
        <v>0</v>
      </c>
      <c r="AO88" s="171">
        <f t="shared" si="15"/>
        <v>0</v>
      </c>
      <c r="AP88" s="171">
        <f t="shared" si="15"/>
        <v>0</v>
      </c>
      <c r="AQ88" s="171">
        <f t="shared" si="15"/>
        <v>0</v>
      </c>
      <c r="AR88" s="171">
        <f t="shared" si="15"/>
        <v>0</v>
      </c>
      <c r="AS88" s="171">
        <f t="shared" si="15"/>
        <v>0</v>
      </c>
      <c r="AT88" s="171">
        <f t="shared" si="15"/>
        <v>0</v>
      </c>
      <c r="AU88" s="171">
        <f t="shared" si="15"/>
        <v>0</v>
      </c>
      <c r="AV88" s="171">
        <f t="shared" si="15"/>
        <v>0</v>
      </c>
      <c r="AW88" s="172">
        <v>0</v>
      </c>
      <c r="AX88" s="47"/>
      <c r="AY88" s="47"/>
      <c r="AZ88" s="47"/>
      <c r="BA88" s="47"/>
      <c r="BB88" s="47"/>
      <c r="BC88" s="47"/>
      <c r="BD88" s="47"/>
      <c r="BE88" s="47"/>
      <c r="BF88" s="47"/>
      <c r="BG88" s="47"/>
      <c r="BH88" s="47"/>
      <c r="BI88" s="47"/>
      <c r="BJ88" s="47"/>
      <c r="BK88" s="47"/>
      <c r="BL88" s="47"/>
      <c r="BM88" s="47"/>
      <c r="BN88" s="47"/>
    </row>
    <row r="89" spans="1:66" ht="15.75" x14ac:dyDescent="0.25">
      <c r="A89" s="150"/>
      <c r="B89" s="150"/>
      <c r="C89" s="150"/>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47"/>
      <c r="AY89" s="47"/>
      <c r="AZ89" s="47"/>
      <c r="BA89" s="47"/>
      <c r="BB89" s="47"/>
      <c r="BC89" s="47"/>
      <c r="BD89" s="47"/>
      <c r="BE89" s="47"/>
      <c r="BF89" s="47"/>
      <c r="BG89" s="47"/>
      <c r="BH89" s="47"/>
      <c r="BI89" s="47"/>
      <c r="BJ89" s="47"/>
      <c r="BK89" s="47"/>
      <c r="BL89" s="47"/>
      <c r="BM89" s="47"/>
      <c r="BN89" s="47"/>
    </row>
    <row r="90" spans="1:66" ht="15.75" x14ac:dyDescent="0.25">
      <c r="A90" s="150"/>
      <c r="B90" s="150"/>
      <c r="C90" s="150"/>
      <c r="D90" s="150"/>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47"/>
      <c r="AY90" s="47"/>
      <c r="AZ90" s="47"/>
      <c r="BA90" s="47"/>
      <c r="BB90" s="47"/>
      <c r="BC90" s="47"/>
      <c r="BD90" s="47"/>
      <c r="BE90" s="47"/>
      <c r="BF90" s="47"/>
      <c r="BG90" s="47"/>
      <c r="BH90" s="47"/>
      <c r="BI90" s="47"/>
      <c r="BJ90" s="47"/>
      <c r="BK90" s="47"/>
      <c r="BL90" s="47"/>
      <c r="BM90" s="47"/>
      <c r="BN90" s="47"/>
    </row>
    <row r="91" spans="1:66" ht="15.75" x14ac:dyDescent="0.25">
      <c r="A91" s="150"/>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47"/>
      <c r="AY91" s="47"/>
      <c r="AZ91" s="47"/>
      <c r="BA91" s="47"/>
      <c r="BB91" s="47"/>
      <c r="BC91" s="47"/>
      <c r="BD91" s="47"/>
      <c r="BE91" s="47"/>
      <c r="BF91" s="47"/>
      <c r="BG91" s="47"/>
      <c r="BH91" s="47"/>
      <c r="BI91" s="47"/>
      <c r="BJ91" s="47"/>
      <c r="BK91" s="47"/>
      <c r="BL91" s="47"/>
      <c r="BM91" s="47"/>
      <c r="BN91" s="47"/>
    </row>
    <row r="92" spans="1:66" ht="15.75" x14ac:dyDescent="0.25">
      <c r="A92" s="150" t="s">
        <v>499</v>
      </c>
      <c r="B92" s="150"/>
      <c r="C92" s="150"/>
      <c r="D92" s="150"/>
      <c r="E92" s="150"/>
      <c r="F92" s="150"/>
      <c r="G92" s="150"/>
      <c r="H92" s="150"/>
      <c r="I92" s="150"/>
      <c r="J92" s="150"/>
      <c r="K92" s="150"/>
      <c r="L92" s="150"/>
      <c r="M92" s="150"/>
      <c r="N92" s="150"/>
      <c r="O92" s="150"/>
      <c r="P92" s="150"/>
      <c r="Q92" s="150"/>
      <c r="R92" s="150"/>
      <c r="S92" s="150"/>
      <c r="T92" s="150"/>
      <c r="U92" s="150"/>
      <c r="V92" s="150"/>
      <c r="W92" s="150"/>
      <c r="X92" s="150"/>
      <c r="Y92" s="150"/>
      <c r="Z92" s="150"/>
      <c r="AA92" s="150"/>
      <c r="AB92" s="150"/>
      <c r="AC92" s="64" t="s">
        <v>500</v>
      </c>
      <c r="AD92" s="150"/>
      <c r="AE92" s="150"/>
      <c r="AF92" s="150"/>
      <c r="AG92" s="150"/>
      <c r="AH92" s="150"/>
      <c r="AI92" s="150"/>
      <c r="AJ92" s="150"/>
      <c r="AK92" s="150"/>
      <c r="AL92" s="150"/>
      <c r="AM92" s="150"/>
      <c r="AN92" s="150"/>
      <c r="AO92" s="150"/>
      <c r="AP92" s="150"/>
      <c r="AQ92" s="150"/>
      <c r="AR92" s="150"/>
      <c r="AS92" s="150"/>
      <c r="AT92" s="150"/>
      <c r="AU92" s="150"/>
      <c r="AV92" s="150"/>
      <c r="AW92" s="150"/>
      <c r="AX92" s="47"/>
      <c r="AY92" s="47"/>
      <c r="AZ92" s="47"/>
      <c r="BA92" s="47"/>
      <c r="BB92" s="47"/>
      <c r="BC92" s="47"/>
      <c r="BD92" s="47"/>
      <c r="BE92" s="47"/>
      <c r="BF92" s="47"/>
      <c r="BG92" s="47"/>
      <c r="BH92" s="47"/>
      <c r="BI92" s="47"/>
      <c r="BJ92" s="47"/>
      <c r="BK92" s="47"/>
      <c r="BL92" s="47"/>
      <c r="BM92" s="47"/>
      <c r="BN92" s="47"/>
    </row>
    <row r="93" spans="1:66" ht="15.75" x14ac:dyDescent="0.25">
      <c r="A93" s="51"/>
      <c r="B93" s="51"/>
      <c r="C93" s="51"/>
      <c r="D93" s="51"/>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47"/>
      <c r="AY93" s="47"/>
      <c r="AZ93" s="47"/>
      <c r="BA93" s="47"/>
      <c r="BB93" s="47"/>
      <c r="BC93" s="47"/>
      <c r="BD93" s="47"/>
      <c r="BE93" s="47"/>
      <c r="BF93" s="47"/>
      <c r="BG93" s="47"/>
      <c r="BH93" s="47"/>
      <c r="BI93" s="47"/>
      <c r="BJ93" s="47"/>
      <c r="BK93" s="47"/>
      <c r="BL93" s="47"/>
      <c r="BM93" s="47"/>
      <c r="BN93" s="47"/>
    </row>
    <row r="94" spans="1:66" ht="15.75" x14ac:dyDescent="0.25">
      <c r="A94" s="150" t="s">
        <v>405</v>
      </c>
      <c r="B94" s="150" t="s">
        <v>262</v>
      </c>
      <c r="C94" s="150" t="s">
        <v>405</v>
      </c>
      <c r="D94" s="150" t="s">
        <v>305</v>
      </c>
      <c r="E94" s="155"/>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71">
        <f>(AD31+AD32*$AC$113+AD35)/(AC31+AC32*$AC$113+AC35)-1</f>
        <v>7.878083921920731E-2</v>
      </c>
      <c r="AE94" s="171">
        <f t="shared" ref="AE94:AV94" si="16">(AE31+AE32*$AC$113+AE35)/(AD31+AD32*$AC$113+AD35)-1</f>
        <v>3.2370359307165586E-3</v>
      </c>
      <c r="AF94" s="171">
        <f t="shared" si="16"/>
        <v>3.2265913386197997E-3</v>
      </c>
      <c r="AG94" s="171">
        <f t="shared" si="16"/>
        <v>3.2162139306082249E-3</v>
      </c>
      <c r="AH94" s="171">
        <f t="shared" si="16"/>
        <v>-6.2610842849308845E-3</v>
      </c>
      <c r="AI94" s="171">
        <f t="shared" si="16"/>
        <v>3.4731277681165906E-3</v>
      </c>
      <c r="AJ94" s="171">
        <f t="shared" si="16"/>
        <v>3.4611069016283746E-3</v>
      </c>
      <c r="AK94" s="171">
        <f t="shared" si="16"/>
        <v>3.4491689591387154E-3</v>
      </c>
      <c r="AL94" s="171">
        <f t="shared" si="16"/>
        <v>3.4373130855416267E-3</v>
      </c>
      <c r="AM94" s="171">
        <f t="shared" si="16"/>
        <v>-7.3391653995346862E-2</v>
      </c>
      <c r="AN94" s="171">
        <f t="shared" si="16"/>
        <v>0</v>
      </c>
      <c r="AO94" s="171">
        <f t="shared" si="16"/>
        <v>0</v>
      </c>
      <c r="AP94" s="171">
        <f t="shared" si="16"/>
        <v>0</v>
      </c>
      <c r="AQ94" s="171">
        <f t="shared" si="16"/>
        <v>0</v>
      </c>
      <c r="AR94" s="171">
        <f t="shared" si="16"/>
        <v>-8.5938187083795525E-2</v>
      </c>
      <c r="AS94" s="171">
        <f t="shared" si="16"/>
        <v>0</v>
      </c>
      <c r="AT94" s="171">
        <f t="shared" si="16"/>
        <v>0</v>
      </c>
      <c r="AU94" s="171">
        <f t="shared" si="16"/>
        <v>0</v>
      </c>
      <c r="AV94" s="171">
        <f t="shared" si="16"/>
        <v>0</v>
      </c>
      <c r="AW94" s="172">
        <v>0</v>
      </c>
      <c r="AX94" s="47"/>
      <c r="AY94" s="47"/>
      <c r="AZ94" s="47"/>
      <c r="BA94" s="47"/>
      <c r="BB94" s="47"/>
      <c r="BC94" s="47"/>
      <c r="BD94" s="47"/>
      <c r="BE94" s="47"/>
      <c r="BF94" s="47"/>
      <c r="BG94" s="47"/>
      <c r="BH94" s="47"/>
      <c r="BI94" s="47"/>
      <c r="BJ94" s="47"/>
      <c r="BK94" s="47"/>
      <c r="BL94" s="47"/>
      <c r="BM94" s="47"/>
      <c r="BN94" s="47"/>
    </row>
    <row r="95" spans="1:66" ht="15.75" x14ac:dyDescent="0.25">
      <c r="A95" s="150" t="s">
        <v>405</v>
      </c>
      <c r="B95" s="150" t="s">
        <v>262</v>
      </c>
      <c r="C95" s="150" t="s">
        <v>405</v>
      </c>
      <c r="D95" s="150" t="s">
        <v>301</v>
      </c>
      <c r="E95" s="155"/>
      <c r="F95" s="150"/>
      <c r="G95" s="150"/>
      <c r="H95" s="150"/>
      <c r="I95" s="150"/>
      <c r="J95" s="150"/>
      <c r="K95" s="150"/>
      <c r="L95" s="150"/>
      <c r="M95" s="150"/>
      <c r="N95" s="150"/>
      <c r="O95" s="150"/>
      <c r="P95" s="150"/>
      <c r="Q95" s="150"/>
      <c r="R95" s="150"/>
      <c r="S95" s="150"/>
      <c r="T95" s="150"/>
      <c r="U95" s="150"/>
      <c r="V95" s="150"/>
      <c r="W95" s="150"/>
      <c r="X95" s="150"/>
      <c r="Y95" s="150"/>
      <c r="Z95" s="150"/>
      <c r="AA95" s="150"/>
      <c r="AB95" s="150"/>
      <c r="AC95" s="150"/>
      <c r="AD95" s="171">
        <f>(AD31+AD32*$AC$113)/(AC31+AC32*$AC$113)-1</f>
        <v>0.10914442561920001</v>
      </c>
      <c r="AE95" s="171">
        <f t="shared" ref="AE95:AV95" si="17">(AE31+AE32*$AC$113)/(AD31+AD32*$AC$113)-1</f>
        <v>0</v>
      </c>
      <c r="AF95" s="171">
        <f t="shared" si="17"/>
        <v>0</v>
      </c>
      <c r="AG95" s="171">
        <f t="shared" si="17"/>
        <v>0</v>
      </c>
      <c r="AH95" s="171">
        <f t="shared" si="17"/>
        <v>-1.3827480402770487E-2</v>
      </c>
      <c r="AI95" s="171">
        <f t="shared" si="17"/>
        <v>0</v>
      </c>
      <c r="AJ95" s="171">
        <f t="shared" si="17"/>
        <v>0</v>
      </c>
      <c r="AK95" s="171">
        <f t="shared" si="17"/>
        <v>0</v>
      </c>
      <c r="AL95" s="171">
        <f t="shared" si="17"/>
        <v>0</v>
      </c>
      <c r="AM95" s="171">
        <f t="shared" si="17"/>
        <v>-0.11315100396622813</v>
      </c>
      <c r="AN95" s="171">
        <f t="shared" si="17"/>
        <v>0</v>
      </c>
      <c r="AO95" s="171">
        <f t="shared" si="17"/>
        <v>0</v>
      </c>
      <c r="AP95" s="171">
        <f t="shared" si="17"/>
        <v>0</v>
      </c>
      <c r="AQ95" s="171">
        <f t="shared" si="17"/>
        <v>0</v>
      </c>
      <c r="AR95" s="171">
        <f t="shared" si="17"/>
        <v>-7.0264957239180137E-2</v>
      </c>
      <c r="AS95" s="171">
        <f t="shared" si="17"/>
        <v>0</v>
      </c>
      <c r="AT95" s="171">
        <f t="shared" si="17"/>
        <v>0</v>
      </c>
      <c r="AU95" s="171">
        <f t="shared" si="17"/>
        <v>0</v>
      </c>
      <c r="AV95" s="171">
        <f t="shared" si="17"/>
        <v>0</v>
      </c>
      <c r="AW95" s="172">
        <v>0</v>
      </c>
      <c r="AX95" s="47"/>
      <c r="AY95" s="47"/>
      <c r="AZ95" s="47"/>
      <c r="BA95" s="47"/>
      <c r="BB95" s="47"/>
      <c r="BC95" s="47"/>
      <c r="BD95" s="47"/>
      <c r="BE95" s="47"/>
      <c r="BF95" s="47"/>
      <c r="BG95" s="47"/>
      <c r="BH95" s="47"/>
      <c r="BI95" s="47"/>
      <c r="BJ95" s="47"/>
      <c r="BK95" s="47"/>
      <c r="BL95" s="47"/>
      <c r="BM95" s="47"/>
      <c r="BN95" s="47"/>
    </row>
    <row r="96" spans="1:66" ht="15.75" x14ac:dyDescent="0.25">
      <c r="A96" s="150" t="s">
        <v>405</v>
      </c>
      <c r="B96" s="150" t="s">
        <v>262</v>
      </c>
      <c r="C96" s="150" t="s">
        <v>405</v>
      </c>
      <c r="D96" s="150" t="s">
        <v>303</v>
      </c>
      <c r="E96" s="155"/>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71">
        <f>(AD35)/(AC35)-1</f>
        <v>1.1257742014708194E-2</v>
      </c>
      <c r="AE96" s="171">
        <f t="shared" ref="AE96:AV96" si="18">(AE35)/(AD35)-1</f>
        <v>1.1132416145739121E-2</v>
      </c>
      <c r="AF96" s="171">
        <f t="shared" si="18"/>
        <v>1.1009849914785486E-2</v>
      </c>
      <c r="AG96" s="171">
        <f t="shared" si="18"/>
        <v>1.088995316486141E-2</v>
      </c>
      <c r="AH96" s="171">
        <f t="shared" si="18"/>
        <v>1.1597511273610639E-2</v>
      </c>
      <c r="AI96" s="171">
        <f t="shared" si="18"/>
        <v>1.146455101397903E-2</v>
      </c>
      <c r="AJ96" s="171">
        <f t="shared" si="18"/>
        <v>1.1334604858357133E-2</v>
      </c>
      <c r="AK96" s="171">
        <f t="shared" si="18"/>
        <v>1.1207571464386445E-2</v>
      </c>
      <c r="AL96" s="171">
        <f t="shared" si="18"/>
        <v>1.1083353982561883E-2</v>
      </c>
      <c r="AM96" s="171">
        <f t="shared" si="18"/>
        <v>1.4080503861134019E-2</v>
      </c>
      <c r="AN96" s="171">
        <f t="shared" si="18"/>
        <v>0</v>
      </c>
      <c r="AO96" s="171">
        <f t="shared" si="18"/>
        <v>0</v>
      </c>
      <c r="AP96" s="171">
        <f t="shared" si="18"/>
        <v>0</v>
      </c>
      <c r="AQ96" s="171">
        <f t="shared" si="18"/>
        <v>0</v>
      </c>
      <c r="AR96" s="171">
        <f t="shared" si="18"/>
        <v>-0.11609367173460639</v>
      </c>
      <c r="AS96" s="171">
        <f t="shared" si="18"/>
        <v>0</v>
      </c>
      <c r="AT96" s="171">
        <f t="shared" si="18"/>
        <v>0</v>
      </c>
      <c r="AU96" s="171">
        <f t="shared" si="18"/>
        <v>0</v>
      </c>
      <c r="AV96" s="171">
        <f t="shared" si="18"/>
        <v>0</v>
      </c>
      <c r="AW96" s="172">
        <v>0</v>
      </c>
      <c r="AX96" s="47"/>
      <c r="AY96" s="47"/>
      <c r="AZ96" s="47"/>
      <c r="BA96" s="47"/>
      <c r="BB96" s="47"/>
      <c r="BC96" s="47"/>
      <c r="BD96" s="47"/>
      <c r="BE96" s="47"/>
      <c r="BF96" s="47"/>
      <c r="BG96" s="47"/>
      <c r="BH96" s="47"/>
      <c r="BI96" s="47"/>
      <c r="BJ96" s="47"/>
      <c r="BK96" s="47"/>
      <c r="BL96" s="47"/>
      <c r="BM96" s="47"/>
      <c r="BN96" s="47"/>
    </row>
    <row r="97" spans="1:67" ht="15.75" x14ac:dyDescent="0.25">
      <c r="A97" s="150" t="s">
        <v>405</v>
      </c>
      <c r="B97" s="150" t="s">
        <v>262</v>
      </c>
      <c r="C97" s="150" t="s">
        <v>405</v>
      </c>
      <c r="D97" s="150" t="s">
        <v>310</v>
      </c>
      <c r="E97" s="155"/>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71">
        <f>(AD37+AD38*$AC$117)/(AC37+AC38*$AC$117)-1</f>
        <v>8.7101910727980236E-3</v>
      </c>
      <c r="AE97" s="171">
        <f t="shared" ref="AE97:AV97" si="19">(AE37+AE38*$AC$117)/(AD37+AD38*$AC$117)-1</f>
        <v>8.6349787579071968E-3</v>
      </c>
      <c r="AF97" s="171">
        <f t="shared" si="19"/>
        <v>8.5610542364302766E-3</v>
      </c>
      <c r="AG97" s="171">
        <f t="shared" si="19"/>
        <v>8.4883847145098557E-3</v>
      </c>
      <c r="AH97" s="171">
        <f t="shared" si="19"/>
        <v>9.6029349386337337E-3</v>
      </c>
      <c r="AI97" s="171">
        <f t="shared" si="19"/>
        <v>9.5115957039262344E-3</v>
      </c>
      <c r="AJ97" s="171">
        <f t="shared" si="19"/>
        <v>9.4219776616768502E-3</v>
      </c>
      <c r="AK97" s="171">
        <f t="shared" si="19"/>
        <v>9.3340326148860786E-3</v>
      </c>
      <c r="AL97" s="171">
        <f t="shared" si="19"/>
        <v>1.3816215798010401E-2</v>
      </c>
      <c r="AM97" s="171">
        <f t="shared" si="19"/>
        <v>-0.17717578877838569</v>
      </c>
      <c r="AN97" s="171">
        <f t="shared" si="19"/>
        <v>0</v>
      </c>
      <c r="AO97" s="171">
        <f t="shared" si="19"/>
        <v>0</v>
      </c>
      <c r="AP97" s="171">
        <f t="shared" si="19"/>
        <v>0</v>
      </c>
      <c r="AQ97" s="171">
        <f t="shared" si="19"/>
        <v>0</v>
      </c>
      <c r="AR97" s="171">
        <f t="shared" si="19"/>
        <v>-0.10833701166993215</v>
      </c>
      <c r="AS97" s="171">
        <f t="shared" si="19"/>
        <v>0</v>
      </c>
      <c r="AT97" s="171">
        <f t="shared" si="19"/>
        <v>0</v>
      </c>
      <c r="AU97" s="171">
        <f t="shared" si="19"/>
        <v>0</v>
      </c>
      <c r="AV97" s="171">
        <f t="shared" si="19"/>
        <v>0</v>
      </c>
      <c r="AW97" s="172"/>
      <c r="AX97" s="47"/>
      <c r="AY97" s="47"/>
      <c r="AZ97" s="47"/>
      <c r="BA97" s="47"/>
      <c r="BB97" s="47"/>
      <c r="BC97" s="47"/>
      <c r="BD97" s="47"/>
      <c r="BE97" s="47"/>
      <c r="BF97" s="47"/>
      <c r="BG97" s="47"/>
      <c r="BH97" s="47"/>
      <c r="BI97" s="47"/>
      <c r="BJ97" s="47"/>
      <c r="BK97" s="47"/>
      <c r="BL97" s="47"/>
      <c r="BM97" s="47"/>
      <c r="BN97" s="47"/>
    </row>
    <row r="98" spans="1:67" ht="15.75" x14ac:dyDescent="0.25">
      <c r="A98" s="150" t="s">
        <v>407</v>
      </c>
      <c r="B98" s="150" t="s">
        <v>262</v>
      </c>
      <c r="C98" s="150" t="s">
        <v>407</v>
      </c>
      <c r="D98" s="150" t="s">
        <v>305</v>
      </c>
      <c r="E98" s="155"/>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71">
        <f>($AC$118*AD40+AD39+$AC$119*AD42+AD41)/($AC$118*AC40+AC39+ $AC$119*AC42+AC41)-1</f>
        <v>4.3198750112460882E-3</v>
      </c>
      <c r="AE98" s="171">
        <f t="shared" ref="AE98:AV98" si="20">($AC$118*AE40+AE39+$AC$119*AE42+AE41)/($AC$118*AD40+AD39+ $AC$119*AD42+AD41)-1</f>
        <v>-6.1022489121942414E-4</v>
      </c>
      <c r="AF98" s="171">
        <f t="shared" si="20"/>
        <v>-6.0589406341293728E-4</v>
      </c>
      <c r="AG98" s="171">
        <f t="shared" si="20"/>
        <v>-6.0806142792857454E-4</v>
      </c>
      <c r="AH98" s="171">
        <f t="shared" si="20"/>
        <v>-1.0383018642902697E-2</v>
      </c>
      <c r="AI98" s="171">
        <f t="shared" si="20"/>
        <v>5.2805770720532053E-6</v>
      </c>
      <c r="AJ98" s="171">
        <f t="shared" si="20"/>
        <v>1.7091108277522693E-6</v>
      </c>
      <c r="AK98" s="171">
        <f t="shared" si="20"/>
        <v>3.4342356205474545E-6</v>
      </c>
      <c r="AL98" s="171">
        <f t="shared" si="20"/>
        <v>2.2932617762538854E-6</v>
      </c>
      <c r="AM98" s="171">
        <f t="shared" si="20"/>
        <v>-0.16092014513572139</v>
      </c>
      <c r="AN98" s="171">
        <f t="shared" si="20"/>
        <v>2.1378973014130054E-6</v>
      </c>
      <c r="AO98" s="171">
        <f t="shared" si="20"/>
        <v>2.2541508519768882E-6</v>
      </c>
      <c r="AP98" s="171">
        <f t="shared" si="20"/>
        <v>1.3010036248317647E-6</v>
      </c>
      <c r="AQ98" s="171">
        <f t="shared" si="20"/>
        <v>1.5516789177993928E-6</v>
      </c>
      <c r="AR98" s="171">
        <f t="shared" si="20"/>
        <v>-9.958727854732996E-2</v>
      </c>
      <c r="AS98" s="171">
        <f t="shared" si="20"/>
        <v>1.773683489858513E-6</v>
      </c>
      <c r="AT98" s="171">
        <f t="shared" si="20"/>
        <v>1.3355805807968579E-6</v>
      </c>
      <c r="AU98" s="171">
        <f t="shared" si="20"/>
        <v>1.3881712208618779E-6</v>
      </c>
      <c r="AV98" s="171">
        <f t="shared" si="20"/>
        <v>1.2558585797961541E-6</v>
      </c>
      <c r="AW98" s="172">
        <v>0</v>
      </c>
      <c r="AX98" s="47"/>
      <c r="AY98" s="47"/>
      <c r="AZ98" s="47"/>
      <c r="BA98" s="47"/>
      <c r="BB98" s="47"/>
      <c r="BC98" s="47"/>
      <c r="BD98" s="47"/>
      <c r="BE98" s="47"/>
      <c r="BF98" s="47"/>
      <c r="BG98" s="47"/>
      <c r="BH98" s="47"/>
      <c r="BI98" s="47"/>
      <c r="BJ98" s="47"/>
      <c r="BK98" s="47"/>
      <c r="BL98" s="47"/>
      <c r="BM98" s="47"/>
      <c r="BN98" s="47"/>
    </row>
    <row r="99" spans="1:67" ht="15.75" x14ac:dyDescent="0.25">
      <c r="A99" s="150" t="s">
        <v>407</v>
      </c>
      <c r="B99" s="150" t="s">
        <v>262</v>
      </c>
      <c r="C99" s="150" t="s">
        <v>407</v>
      </c>
      <c r="D99" s="150" t="s">
        <v>301</v>
      </c>
      <c r="E99" s="155"/>
      <c r="F99" s="150"/>
      <c r="G99" s="150"/>
      <c r="H99" s="150"/>
      <c r="I99" s="150"/>
      <c r="J99" s="150"/>
      <c r="K99" s="150"/>
      <c r="L99" s="150"/>
      <c r="M99" s="150"/>
      <c r="N99" s="150"/>
      <c r="O99" s="150"/>
      <c r="P99" s="150"/>
      <c r="Q99" s="150"/>
      <c r="R99" s="51"/>
      <c r="S99" s="51"/>
      <c r="T99" s="51"/>
      <c r="U99" s="51"/>
      <c r="V99" s="51"/>
      <c r="W99" s="51"/>
      <c r="X99" s="51"/>
      <c r="Y99" s="51"/>
      <c r="Z99" s="51"/>
      <c r="AA99" s="51"/>
      <c r="AB99" s="51"/>
      <c r="AC99" s="51"/>
      <c r="AD99" s="171">
        <f>($AC$118*AD40+AD39)/($AC$118*AC40+AC39)-1</f>
        <v>4.5454238661206681E-3</v>
      </c>
      <c r="AE99" s="171">
        <f t="shared" ref="AE99:AV99" si="21">($AC$118*AE40+AE39)/($AC$118*AD40+AD39)-1</f>
        <v>2.0680555934404765E-6</v>
      </c>
      <c r="AF99" s="171">
        <f t="shared" si="21"/>
        <v>8.848651128268159E-6</v>
      </c>
      <c r="AG99" s="171">
        <f t="shared" si="21"/>
        <v>6.2551866268911738E-6</v>
      </c>
      <c r="AH99" s="171">
        <f t="shared" si="21"/>
        <v>-1.3051756733446607E-2</v>
      </c>
      <c r="AI99" s="171">
        <f t="shared" si="21"/>
        <v>7.6238383328597337E-6</v>
      </c>
      <c r="AJ99" s="171">
        <f t="shared" si="21"/>
        <v>2.4675246539374029E-6</v>
      </c>
      <c r="AK99" s="171">
        <f t="shared" si="21"/>
        <v>4.9581656709207778E-6</v>
      </c>
      <c r="AL99" s="171">
        <f t="shared" si="21"/>
        <v>3.3108836265949293E-6</v>
      </c>
      <c r="AM99" s="171">
        <f t="shared" si="21"/>
        <v>-0.15570316982708454</v>
      </c>
      <c r="AN99" s="171">
        <f t="shared" si="21"/>
        <v>3.0675017312908892E-6</v>
      </c>
      <c r="AO99" s="171">
        <f t="shared" si="21"/>
        <v>3.2343018576685978E-6</v>
      </c>
      <c r="AP99" s="171">
        <f t="shared" si="21"/>
        <v>1.866704844921685E-6</v>
      </c>
      <c r="AQ99" s="171">
        <f t="shared" si="21"/>
        <v>2.2263772827546546E-6</v>
      </c>
      <c r="AR99" s="171">
        <f t="shared" si="21"/>
        <v>-9.5560552361957929E-2</v>
      </c>
      <c r="AS99" s="171">
        <f t="shared" si="21"/>
        <v>2.5335813824689524E-6</v>
      </c>
      <c r="AT99" s="171">
        <f t="shared" si="21"/>
        <v>1.9077809212397767E-6</v>
      </c>
      <c r="AU99" s="171">
        <f t="shared" si="21"/>
        <v>1.9829017385841752E-6</v>
      </c>
      <c r="AV99" s="171">
        <f t="shared" si="21"/>
        <v>1.7939016760948334E-6</v>
      </c>
      <c r="AW99" s="172">
        <v>0</v>
      </c>
      <c r="AX99" s="47"/>
      <c r="AY99" s="47"/>
      <c r="AZ99" s="47"/>
      <c r="BA99" s="47"/>
      <c r="BB99" s="47"/>
      <c r="BC99" s="47"/>
      <c r="BD99" s="47"/>
      <c r="BE99" s="47"/>
      <c r="BF99" s="47"/>
      <c r="BG99" s="47"/>
      <c r="BH99" s="47"/>
      <c r="BI99" s="47"/>
      <c r="BJ99" s="47"/>
      <c r="BK99" s="47"/>
      <c r="BL99" s="47"/>
      <c r="BM99" s="47"/>
      <c r="BN99" s="47"/>
    </row>
    <row r="100" spans="1:67" ht="15.75" x14ac:dyDescent="0.25">
      <c r="A100" s="150" t="s">
        <v>407</v>
      </c>
      <c r="B100" s="150" t="s">
        <v>262</v>
      </c>
      <c r="C100" s="150" t="s">
        <v>407</v>
      </c>
      <c r="D100" s="150" t="s">
        <v>303</v>
      </c>
      <c r="E100" s="155"/>
      <c r="F100" s="150"/>
      <c r="G100" s="150"/>
      <c r="H100" s="150"/>
      <c r="I100" s="150"/>
      <c r="J100" s="150"/>
      <c r="K100" s="150"/>
      <c r="L100" s="150"/>
      <c r="M100" s="150"/>
      <c r="N100" s="150"/>
      <c r="O100" s="150"/>
      <c r="P100" s="150"/>
      <c r="Q100" s="150"/>
      <c r="R100" s="51"/>
      <c r="S100" s="51"/>
      <c r="T100" s="51"/>
      <c r="U100" s="150"/>
      <c r="V100" s="150"/>
      <c r="W100" s="150"/>
      <c r="X100" s="150"/>
      <c r="Y100" s="150"/>
      <c r="Z100" s="150"/>
      <c r="AA100" s="150"/>
      <c r="AB100" s="150"/>
      <c r="AC100" s="150"/>
      <c r="AD100" s="171">
        <f>(+$AC$119*AD42+AD41)/(+ $AC$119*AC42+AC41)-1</f>
        <v>3.8105468848639301E-3</v>
      </c>
      <c r="AE100" s="171">
        <f t="shared" ref="AE100:AV100" si="22">(+$AC$119*AE42+AE41)/(+ $AC$119*AD42+AD41)-1</f>
        <v>-1.9938999574252714E-3</v>
      </c>
      <c r="AF100" s="171">
        <f t="shared" si="22"/>
        <v>-1.997883537325329E-3</v>
      </c>
      <c r="AG100" s="171">
        <f t="shared" si="22"/>
        <v>-2.0018830665476939E-3</v>
      </c>
      <c r="AH100" s="171">
        <f t="shared" si="22"/>
        <v>-4.3157407023363126E-3</v>
      </c>
      <c r="AI100" s="171">
        <f t="shared" si="22"/>
        <v>0</v>
      </c>
      <c r="AJ100" s="171">
        <f t="shared" si="22"/>
        <v>0</v>
      </c>
      <c r="AK100" s="171">
        <f t="shared" si="22"/>
        <v>0</v>
      </c>
      <c r="AL100" s="171">
        <f t="shared" si="22"/>
        <v>0</v>
      </c>
      <c r="AM100" s="171">
        <f t="shared" si="22"/>
        <v>-0.17267689905280303</v>
      </c>
      <c r="AN100" s="171">
        <f t="shared" si="22"/>
        <v>0</v>
      </c>
      <c r="AO100" s="171">
        <f t="shared" si="22"/>
        <v>0</v>
      </c>
      <c r="AP100" s="171">
        <f t="shared" si="22"/>
        <v>0</v>
      </c>
      <c r="AQ100" s="171">
        <f t="shared" si="22"/>
        <v>0</v>
      </c>
      <c r="AR100" s="171">
        <f t="shared" si="22"/>
        <v>-0.10884800951428153</v>
      </c>
      <c r="AS100" s="171">
        <f t="shared" si="22"/>
        <v>0</v>
      </c>
      <c r="AT100" s="171">
        <f t="shared" si="22"/>
        <v>0</v>
      </c>
      <c r="AU100" s="171">
        <f t="shared" si="22"/>
        <v>0</v>
      </c>
      <c r="AV100" s="171">
        <f t="shared" si="22"/>
        <v>0</v>
      </c>
      <c r="AW100" s="172">
        <v>0</v>
      </c>
      <c r="AX100" s="47"/>
      <c r="AY100" s="47"/>
      <c r="AZ100" s="47"/>
      <c r="BA100" s="47"/>
      <c r="BB100" s="47"/>
      <c r="BC100" s="47"/>
      <c r="BD100" s="47"/>
      <c r="BE100" s="47"/>
      <c r="BF100" s="47"/>
      <c r="BG100" s="47"/>
      <c r="BH100" s="47"/>
      <c r="BI100" s="47"/>
      <c r="BJ100" s="47"/>
      <c r="BK100" s="47"/>
      <c r="BL100" s="47"/>
      <c r="BM100" s="47"/>
      <c r="BN100" s="47"/>
    </row>
    <row r="101" spans="1:67" ht="15.75" x14ac:dyDescent="0.25">
      <c r="A101" s="150" t="s">
        <v>407</v>
      </c>
      <c r="B101" s="150" t="s">
        <v>262</v>
      </c>
      <c r="C101" s="150" t="s">
        <v>407</v>
      </c>
      <c r="D101" s="150" t="s">
        <v>310</v>
      </c>
      <c r="E101" s="155"/>
      <c r="F101" s="150"/>
      <c r="G101" s="150"/>
      <c r="H101" s="150"/>
      <c r="I101" s="150"/>
      <c r="J101" s="150"/>
      <c r="K101" s="150"/>
      <c r="L101" s="150"/>
      <c r="M101" s="150"/>
      <c r="N101" s="150"/>
      <c r="O101" s="150"/>
      <c r="P101" s="150"/>
      <c r="Q101" s="150"/>
      <c r="R101" s="51"/>
      <c r="S101" s="51"/>
      <c r="T101" s="51"/>
      <c r="U101" s="150"/>
      <c r="V101" s="150"/>
      <c r="W101" s="150"/>
      <c r="X101" s="150"/>
      <c r="Y101" s="150"/>
      <c r="Z101" s="150"/>
      <c r="AA101" s="150"/>
      <c r="AB101" s="150"/>
      <c r="AC101" s="150"/>
      <c r="AD101" s="171">
        <f>AD44/AC44-1</f>
        <v>-2.4774657792713262E-3</v>
      </c>
      <c r="AE101" s="171">
        <f t="shared" ref="AE101:AV101" si="23">AE44/AD44-1</f>
        <v>-2.4836188600058096E-3</v>
      </c>
      <c r="AF101" s="171">
        <f t="shared" si="23"/>
        <v>-2.489802580652789E-3</v>
      </c>
      <c r="AG101" s="171">
        <f t="shared" si="23"/>
        <v>-2.4960171706456258E-3</v>
      </c>
      <c r="AH101" s="171">
        <f t="shared" si="23"/>
        <v>-1.3710973262105464E-3</v>
      </c>
      <c r="AI101" s="171">
        <f t="shared" si="23"/>
        <v>-1.3729798151640438E-3</v>
      </c>
      <c r="AJ101" s="171">
        <f t="shared" si="23"/>
        <v>-1.3748674804632266E-3</v>
      </c>
      <c r="AK101" s="171">
        <f t="shared" si="23"/>
        <v>-1.3767603434878817E-3</v>
      </c>
      <c r="AL101" s="171">
        <f t="shared" si="23"/>
        <v>3.1709555706203041E-3</v>
      </c>
      <c r="AM101" s="171">
        <f t="shared" si="23"/>
        <v>-0.17233996913209249</v>
      </c>
      <c r="AN101" s="171">
        <f t="shared" si="23"/>
        <v>3.4635108234759571E-6</v>
      </c>
      <c r="AO101" s="171">
        <f t="shared" si="23"/>
        <v>3.6518431074661351E-6</v>
      </c>
      <c r="AP101" s="171">
        <f t="shared" si="23"/>
        <v>2.1076914509254863E-6</v>
      </c>
      <c r="AQ101" s="171">
        <f t="shared" si="23"/>
        <v>2.5137960331100828E-6</v>
      </c>
      <c r="AR101" s="171">
        <f t="shared" si="23"/>
        <v>-0.10789710723483914</v>
      </c>
      <c r="AS101" s="171">
        <f t="shared" si="23"/>
        <v>2.9002174235515099E-6</v>
      </c>
      <c r="AT101" s="171">
        <f t="shared" si="23"/>
        <v>2.183856211424029E-6</v>
      </c>
      <c r="AU101" s="171">
        <f t="shared" si="23"/>
        <v>2.2698471480175897E-6</v>
      </c>
      <c r="AV101" s="171">
        <f t="shared" si="23"/>
        <v>2.0534963258711514E-6</v>
      </c>
      <c r="AW101" s="172"/>
      <c r="AX101" s="47"/>
      <c r="AY101" s="47"/>
      <c r="AZ101" s="47"/>
      <c r="BA101" s="47"/>
      <c r="BB101" s="47"/>
      <c r="BC101" s="47"/>
      <c r="BD101" s="47"/>
      <c r="BE101" s="47"/>
      <c r="BF101" s="47"/>
      <c r="BG101" s="47"/>
      <c r="BH101" s="47"/>
      <c r="BI101" s="47"/>
      <c r="BJ101" s="47"/>
      <c r="BK101" s="47"/>
      <c r="BL101" s="47"/>
      <c r="BM101" s="47"/>
      <c r="BN101" s="47"/>
    </row>
    <row r="102" spans="1:67" ht="15.75" x14ac:dyDescent="0.25">
      <c r="A102" s="150" t="s">
        <v>405</v>
      </c>
      <c r="B102" s="150" t="s">
        <v>265</v>
      </c>
      <c r="C102" s="150" t="s">
        <v>405</v>
      </c>
      <c r="D102" s="150" t="s">
        <v>305</v>
      </c>
      <c r="E102" s="155"/>
      <c r="F102" s="150"/>
      <c r="G102" s="150"/>
      <c r="H102" s="150"/>
      <c r="I102" s="150"/>
      <c r="J102" s="150"/>
      <c r="K102" s="150"/>
      <c r="L102" s="150"/>
      <c r="M102" s="150"/>
      <c r="N102" s="150"/>
      <c r="O102" s="150"/>
      <c r="P102" s="150"/>
      <c r="Q102" s="150"/>
      <c r="R102" s="51"/>
      <c r="S102" s="51"/>
      <c r="T102" s="51"/>
      <c r="U102" s="150"/>
      <c r="V102" s="150"/>
      <c r="W102" s="150"/>
      <c r="X102" s="150"/>
      <c r="Y102" s="150"/>
      <c r="Z102" s="150"/>
      <c r="AA102" s="150"/>
      <c r="AB102" s="150"/>
      <c r="AC102" s="150"/>
      <c r="AD102" s="171">
        <f>($AC$121*AD46+$AC$122*AD47+AD45+AD49)/($AC$121*AC46+$AC$122*AC47+AC45+AC49)-1</f>
        <v>-6.1572236579658934E-3</v>
      </c>
      <c r="AE102" s="171">
        <f t="shared" ref="AE102:AV102" si="24">($AC$121*AE46+$AC$122*AE47+AE45+AE49)/($AC$121*AD46+$AC$122*AD47+AD45+AD49)-1</f>
        <v>-1.1730970702711452E-2</v>
      </c>
      <c r="AF102" s="171">
        <f t="shared" si="24"/>
        <v>-1.1870219904647539E-2</v>
      </c>
      <c r="AG102" s="171">
        <f t="shared" si="24"/>
        <v>-1.201281465629167E-2</v>
      </c>
      <c r="AH102" s="171">
        <f t="shared" si="24"/>
        <v>-1.1453695181381396E-2</v>
      </c>
      <c r="AI102" s="171">
        <f t="shared" si="24"/>
        <v>-1.1586402301592691E-2</v>
      </c>
      <c r="AJ102" s="171">
        <f t="shared" si="24"/>
        <v>-1.1722220666098182E-2</v>
      </c>
      <c r="AK102" s="171">
        <f t="shared" si="24"/>
        <v>-1.1861260984739497E-2</v>
      </c>
      <c r="AL102" s="171">
        <f t="shared" si="24"/>
        <v>-1.0378723836744985E-2</v>
      </c>
      <c r="AM102" s="171">
        <f t="shared" si="24"/>
        <v>-5.7079302064332205E-2</v>
      </c>
      <c r="AN102" s="171">
        <f t="shared" si="24"/>
        <v>0</v>
      </c>
      <c r="AO102" s="171">
        <f t="shared" si="24"/>
        <v>0</v>
      </c>
      <c r="AP102" s="171">
        <f t="shared" si="24"/>
        <v>0</v>
      </c>
      <c r="AQ102" s="171">
        <f t="shared" si="24"/>
        <v>0</v>
      </c>
      <c r="AR102" s="171">
        <f t="shared" si="24"/>
        <v>-8.7932090338180724E-2</v>
      </c>
      <c r="AS102" s="171">
        <f t="shared" si="24"/>
        <v>0</v>
      </c>
      <c r="AT102" s="171">
        <f t="shared" si="24"/>
        <v>0</v>
      </c>
      <c r="AU102" s="171">
        <f t="shared" si="24"/>
        <v>0</v>
      </c>
      <c r="AV102" s="171">
        <f t="shared" si="24"/>
        <v>0</v>
      </c>
      <c r="AW102" s="172">
        <v>0</v>
      </c>
      <c r="AX102" s="47"/>
      <c r="AY102" s="47"/>
      <c r="AZ102" s="47"/>
      <c r="BA102" s="47"/>
      <c r="BB102" s="47"/>
      <c r="BC102" s="47"/>
      <c r="BD102" s="47"/>
      <c r="BE102" s="47"/>
      <c r="BF102" s="47"/>
      <c r="BG102" s="47"/>
      <c r="BH102" s="47"/>
      <c r="BI102" s="47"/>
      <c r="BJ102" s="47"/>
      <c r="BK102" s="47"/>
      <c r="BL102" s="47"/>
      <c r="BM102" s="47"/>
      <c r="BN102" s="47"/>
    </row>
    <row r="103" spans="1:67" ht="15.75" x14ac:dyDescent="0.25">
      <c r="A103" s="150" t="s">
        <v>405</v>
      </c>
      <c r="B103" s="150" t="s">
        <v>265</v>
      </c>
      <c r="C103" s="150" t="s">
        <v>405</v>
      </c>
      <c r="D103" s="150" t="s">
        <v>301</v>
      </c>
      <c r="E103" s="155"/>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71">
        <f>($AC$121*AD46+$AC$122*AD47+AD45)/($AC$121*AC46+$AC$122*AC47+AC45)-1</f>
        <v>2.2388561062879342E-2</v>
      </c>
      <c r="AE103" s="171">
        <f t="shared" ref="AE103:AV103" si="25">($AC$121*AE46+$AC$122*AE47+AE45)/($AC$121*AD46+$AC$122*AD47+AD45)-1</f>
        <v>1.1472169333581084E-2</v>
      </c>
      <c r="AF103" s="171">
        <f t="shared" si="25"/>
        <v>1.1342051399337638E-2</v>
      </c>
      <c r="AG103" s="171">
        <f t="shared" si="25"/>
        <v>1.1214851971837136E-2</v>
      </c>
      <c r="AH103" s="171">
        <f t="shared" si="25"/>
        <v>1.164834600476583E-2</v>
      </c>
      <c r="AI103" s="171">
        <f t="shared" si="25"/>
        <v>1.1514224335726908E-2</v>
      </c>
      <c r="AJ103" s="171">
        <f t="shared" si="25"/>
        <v>1.1383156122483751E-2</v>
      </c>
      <c r="AK103" s="171">
        <f t="shared" si="25"/>
        <v>1.1255038264751827E-2</v>
      </c>
      <c r="AL103" s="171">
        <f t="shared" si="25"/>
        <v>1.1129772252175485E-2</v>
      </c>
      <c r="AM103" s="171">
        <f t="shared" si="25"/>
        <v>1.3115939238830032E-2</v>
      </c>
      <c r="AN103" s="171">
        <f t="shared" si="25"/>
        <v>0</v>
      </c>
      <c r="AO103" s="171">
        <f t="shared" si="25"/>
        <v>0</v>
      </c>
      <c r="AP103" s="171">
        <f t="shared" si="25"/>
        <v>0</v>
      </c>
      <c r="AQ103" s="171">
        <f t="shared" si="25"/>
        <v>0</v>
      </c>
      <c r="AR103" s="171">
        <f t="shared" si="25"/>
        <v>-7.5007761969994813E-2</v>
      </c>
      <c r="AS103" s="171">
        <f t="shared" si="25"/>
        <v>0</v>
      </c>
      <c r="AT103" s="171">
        <f t="shared" si="25"/>
        <v>0</v>
      </c>
      <c r="AU103" s="171">
        <f t="shared" si="25"/>
        <v>0</v>
      </c>
      <c r="AV103" s="171">
        <f t="shared" si="25"/>
        <v>0</v>
      </c>
      <c r="AW103" s="172">
        <v>0</v>
      </c>
      <c r="AX103" s="47"/>
      <c r="AY103" s="47"/>
      <c r="AZ103" s="47"/>
      <c r="BA103" s="47"/>
      <c r="BB103" s="47"/>
      <c r="BC103" s="47"/>
      <c r="BD103" s="47"/>
      <c r="BE103" s="47"/>
      <c r="BF103" s="47"/>
      <c r="BG103" s="47"/>
      <c r="BH103" s="47"/>
      <c r="BI103" s="47"/>
      <c r="BJ103" s="47"/>
      <c r="BK103" s="47"/>
      <c r="BL103" s="47"/>
      <c r="BM103" s="47"/>
      <c r="BN103" s="47"/>
    </row>
    <row r="104" spans="1:67" ht="15.75" x14ac:dyDescent="0.25">
      <c r="A104" s="150" t="s">
        <v>405</v>
      </c>
      <c r="B104" s="150" t="s">
        <v>265</v>
      </c>
      <c r="C104" s="150" t="s">
        <v>405</v>
      </c>
      <c r="D104" s="150" t="s">
        <v>303</v>
      </c>
      <c r="E104" s="155"/>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71">
        <f>(AD49)/(AC49)-1</f>
        <v>-3.6603950308454869E-2</v>
      </c>
      <c r="AE104" s="171">
        <f t="shared" ref="AE104:AV104" si="26">(AE49)/(AD49)-1</f>
        <v>-3.7994706663136757E-2</v>
      </c>
      <c r="AF104" s="171">
        <f t="shared" si="26"/>
        <v>-3.9495319751668201E-2</v>
      </c>
      <c r="AG104" s="171">
        <f t="shared" si="26"/>
        <v>-4.1119341283643696E-2</v>
      </c>
      <c r="AH104" s="171">
        <f t="shared" si="26"/>
        <v>-4.1982797414207296E-2</v>
      </c>
      <c r="AI104" s="171">
        <f t="shared" si="26"/>
        <v>-4.3822592434552554E-2</v>
      </c>
      <c r="AJ104" s="171">
        <f t="shared" si="26"/>
        <v>-4.5831026844830536E-2</v>
      </c>
      <c r="AK104" s="171">
        <f t="shared" si="26"/>
        <v>-4.8032401109501799E-2</v>
      </c>
      <c r="AL104" s="171">
        <f t="shared" si="26"/>
        <v>-4.6130075527775372E-2</v>
      </c>
      <c r="AM104" s="171">
        <f t="shared" si="26"/>
        <v>-0.18076168250503288</v>
      </c>
      <c r="AN104" s="171">
        <f t="shared" si="26"/>
        <v>0</v>
      </c>
      <c r="AO104" s="171">
        <f t="shared" si="26"/>
        <v>0</v>
      </c>
      <c r="AP104" s="171">
        <f t="shared" si="26"/>
        <v>0</v>
      </c>
      <c r="AQ104" s="171">
        <f t="shared" si="26"/>
        <v>0</v>
      </c>
      <c r="AR104" s="171">
        <f t="shared" si="26"/>
        <v>-0.11609367173460639</v>
      </c>
      <c r="AS104" s="171">
        <f t="shared" si="26"/>
        <v>0</v>
      </c>
      <c r="AT104" s="171">
        <f t="shared" si="26"/>
        <v>0</v>
      </c>
      <c r="AU104" s="171">
        <f t="shared" si="26"/>
        <v>0</v>
      </c>
      <c r="AV104" s="171">
        <f t="shared" si="26"/>
        <v>0</v>
      </c>
      <c r="AW104" s="172">
        <v>0</v>
      </c>
      <c r="AX104" s="47"/>
      <c r="AY104" s="47"/>
      <c r="AZ104" s="47"/>
      <c r="BA104" s="47"/>
      <c r="BB104" s="47"/>
      <c r="BC104" s="47"/>
      <c r="BD104" s="47"/>
      <c r="BE104" s="47"/>
      <c r="BF104" s="47"/>
      <c r="BG104" s="47"/>
      <c r="BH104" s="47"/>
      <c r="BI104" s="47"/>
      <c r="BJ104" s="47"/>
      <c r="BK104" s="47"/>
      <c r="BL104" s="47"/>
      <c r="BM104" s="47"/>
      <c r="BN104" s="47"/>
    </row>
    <row r="105" spans="1:67" ht="15.75" x14ac:dyDescent="0.25">
      <c r="A105" s="150" t="s">
        <v>405</v>
      </c>
      <c r="B105" s="150" t="s">
        <v>265</v>
      </c>
      <c r="C105" s="150" t="s">
        <v>405</v>
      </c>
      <c r="D105" s="150" t="s">
        <v>310</v>
      </c>
      <c r="E105" s="155"/>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71">
        <f>($AC$125*AD52+AD51)/($AC$125*AC52+AC51)-1</f>
        <v>-5.3518413678715904E-3</v>
      </c>
      <c r="AE105" s="171">
        <f t="shared" ref="AE105:AV105" si="27">($AC$125*AE52+AE51)/($AC$125*AD52+AD51)-1</f>
        <v>-5.3806376872317374E-3</v>
      </c>
      <c r="AF105" s="171">
        <f t="shared" si="27"/>
        <v>-5.4097455681137996E-3</v>
      </c>
      <c r="AG105" s="171">
        <f t="shared" si="27"/>
        <v>-5.4391700944264043E-3</v>
      </c>
      <c r="AH105" s="171">
        <f t="shared" si="27"/>
        <v>-4.3590256656000914E-3</v>
      </c>
      <c r="AI105" s="171">
        <f t="shared" si="27"/>
        <v>-4.3781099592795636E-3</v>
      </c>
      <c r="AJ105" s="171">
        <f t="shared" si="27"/>
        <v>-4.3973620940581659E-3</v>
      </c>
      <c r="AK105" s="171">
        <f t="shared" si="27"/>
        <v>-4.4167842938895863E-3</v>
      </c>
      <c r="AL105" s="171">
        <f t="shared" si="27"/>
        <v>8.1966696907187497E-5</v>
      </c>
      <c r="AM105" s="171">
        <f t="shared" si="27"/>
        <v>-0.17522080028021458</v>
      </c>
      <c r="AN105" s="171">
        <f t="shared" si="27"/>
        <v>0</v>
      </c>
      <c r="AO105" s="171">
        <f t="shared" si="27"/>
        <v>0</v>
      </c>
      <c r="AP105" s="171">
        <f t="shared" si="27"/>
        <v>0</v>
      </c>
      <c r="AQ105" s="171">
        <f t="shared" si="27"/>
        <v>0</v>
      </c>
      <c r="AR105" s="171">
        <f t="shared" si="27"/>
        <v>-0.10815922653429455</v>
      </c>
      <c r="AS105" s="171">
        <f t="shared" si="27"/>
        <v>0</v>
      </c>
      <c r="AT105" s="171">
        <f t="shared" si="27"/>
        <v>0</v>
      </c>
      <c r="AU105" s="171">
        <f t="shared" si="27"/>
        <v>0</v>
      </c>
      <c r="AV105" s="171">
        <f t="shared" si="27"/>
        <v>0</v>
      </c>
      <c r="AW105" s="172">
        <v>0</v>
      </c>
      <c r="AX105" s="47"/>
      <c r="AY105" s="47"/>
      <c r="AZ105" s="47"/>
      <c r="BA105" s="47"/>
      <c r="BB105" s="47"/>
      <c r="BC105" s="47"/>
      <c r="BD105" s="47"/>
      <c r="BE105" s="47"/>
      <c r="BF105" s="47"/>
      <c r="BG105" s="47"/>
      <c r="BH105" s="47"/>
      <c r="BI105" s="47"/>
      <c r="BJ105" s="47"/>
      <c r="BK105" s="47"/>
      <c r="BL105" s="47"/>
      <c r="BM105" s="47"/>
      <c r="BN105" s="47"/>
    </row>
    <row r="106" spans="1:67" ht="15.75" x14ac:dyDescent="0.25">
      <c r="A106" s="150" t="s">
        <v>407</v>
      </c>
      <c r="B106" s="150" t="s">
        <v>265</v>
      </c>
      <c r="C106" s="150" t="s">
        <v>407</v>
      </c>
      <c r="D106" s="150" t="s">
        <v>305</v>
      </c>
      <c r="E106" s="155"/>
      <c r="F106" s="150"/>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150"/>
      <c r="AC106" s="150"/>
      <c r="AD106" s="171">
        <f>($AC$126*AD54+AD53+AD55)/($AC$126*AC54+AC53+AC55)-1</f>
        <v>-6.8218212968429448E-4</v>
      </c>
      <c r="AE106" s="171">
        <f t="shared" ref="AE106:AV106" si="28">($AC$126*AE54+AE53+AE55)/($AC$126*AD54+AD53+AD55)-1</f>
        <v>-3.1915910857102103E-3</v>
      </c>
      <c r="AF106" s="171">
        <f t="shared" si="28"/>
        <v>-3.1963987080985135E-3</v>
      </c>
      <c r="AG106" s="171">
        <f t="shared" si="28"/>
        <v>-3.2087247373020489E-3</v>
      </c>
      <c r="AH106" s="171">
        <f t="shared" si="28"/>
        <v>-1.2040821155763326E-2</v>
      </c>
      <c r="AI106" s="171">
        <f t="shared" si="28"/>
        <v>6.1171753698019415E-6</v>
      </c>
      <c r="AJ106" s="171">
        <f t="shared" si="28"/>
        <v>1.9798824579808638E-6</v>
      </c>
      <c r="AK106" s="171">
        <f t="shared" si="28"/>
        <v>3.9783148704231053E-6</v>
      </c>
      <c r="AL106" s="171">
        <f t="shared" si="28"/>
        <v>2.6565773201259191E-6</v>
      </c>
      <c r="AM106" s="171">
        <f t="shared" si="28"/>
        <v>-0.15517039132793542</v>
      </c>
      <c r="AN106" s="171">
        <f t="shared" si="28"/>
        <v>2.4597426857564386E-6</v>
      </c>
      <c r="AO106" s="171">
        <f t="shared" si="28"/>
        <v>2.5934965555141076E-6</v>
      </c>
      <c r="AP106" s="171">
        <f t="shared" si="28"/>
        <v>1.4968595698494624E-6</v>
      </c>
      <c r="AQ106" s="171">
        <f t="shared" si="28"/>
        <v>1.7852717226762849E-6</v>
      </c>
      <c r="AR106" s="171">
        <f t="shared" si="28"/>
        <v>-9.5544244331209227E-2</v>
      </c>
      <c r="AS106" s="171">
        <f t="shared" si="28"/>
        <v>2.0315746454002692E-6</v>
      </c>
      <c r="AT106" s="171">
        <f t="shared" si="28"/>
        <v>1.5297717772533304E-6</v>
      </c>
      <c r="AU106" s="171">
        <f t="shared" si="28"/>
        <v>1.5900087007025832E-6</v>
      </c>
      <c r="AV106" s="171">
        <f t="shared" si="28"/>
        <v>1.4384577600168313E-6</v>
      </c>
      <c r="AW106" s="172">
        <v>0</v>
      </c>
      <c r="AX106" s="47"/>
      <c r="AY106" s="47"/>
      <c r="AZ106" s="47"/>
      <c r="BA106" s="47"/>
      <c r="BB106" s="47"/>
      <c r="BC106" s="47"/>
      <c r="BD106" s="47"/>
      <c r="BE106" s="47"/>
      <c r="BF106" s="47"/>
      <c r="BG106" s="47"/>
      <c r="BH106" s="47"/>
      <c r="BI106" s="47"/>
      <c r="BJ106" s="47"/>
      <c r="BK106" s="47"/>
      <c r="BL106" s="47"/>
      <c r="BM106" s="47"/>
      <c r="BN106" s="47"/>
    </row>
    <row r="107" spans="1:67" ht="15.75" x14ac:dyDescent="0.25">
      <c r="A107" s="150" t="s">
        <v>407</v>
      </c>
      <c r="B107" s="150" t="s">
        <v>265</v>
      </c>
      <c r="C107" s="150" t="s">
        <v>407</v>
      </c>
      <c r="D107" s="150" t="s">
        <v>301</v>
      </c>
      <c r="E107" s="155"/>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171">
        <f>($AC$126*AD54+AD53)/($AC$126*AC54+AC53)-1</f>
        <v>3.0446328262496714E-3</v>
      </c>
      <c r="AE107" s="171">
        <f t="shared" ref="AE107:AV107" si="29">($AC$126*AE54+AE53)/($AC$126*AD54+AD53)-1</f>
        <v>1.9890298224023439E-6</v>
      </c>
      <c r="AF107" s="171">
        <f t="shared" si="29"/>
        <v>8.5105218776693192E-6</v>
      </c>
      <c r="AG107" s="171">
        <f t="shared" si="29"/>
        <v>6.0161622221777122E-6</v>
      </c>
      <c r="AH107" s="171">
        <f t="shared" si="29"/>
        <v>-1.2553023474354608E-2</v>
      </c>
      <c r="AI107" s="171">
        <f t="shared" si="29"/>
        <v>7.3288130368887039E-6</v>
      </c>
      <c r="AJ107" s="171">
        <f t="shared" si="29"/>
        <v>2.3720377317903996E-6</v>
      </c>
      <c r="AK107" s="171">
        <f t="shared" si="29"/>
        <v>4.766297737823777E-6</v>
      </c>
      <c r="AL107" s="171">
        <f t="shared" si="29"/>
        <v>3.1827617739121905E-6</v>
      </c>
      <c r="AM107" s="171">
        <f t="shared" si="29"/>
        <v>-0.14967791575421019</v>
      </c>
      <c r="AN107" s="171">
        <f t="shared" si="29"/>
        <v>2.9279037079277259E-6</v>
      </c>
      <c r="AO107" s="171">
        <f t="shared" si="29"/>
        <v>3.087113408239972E-6</v>
      </c>
      <c r="AP107" s="171">
        <f t="shared" si="29"/>
        <v>1.7817540407527588E-6</v>
      </c>
      <c r="AQ107" s="171">
        <f t="shared" si="29"/>
        <v>2.1250585315879533E-6</v>
      </c>
      <c r="AR107" s="171">
        <f t="shared" si="29"/>
        <v>-9.1211758773769636E-2</v>
      </c>
      <c r="AS107" s="171">
        <f t="shared" si="29"/>
        <v>2.4067103998604011E-6</v>
      </c>
      <c r="AT107" s="171">
        <f t="shared" si="29"/>
        <v>1.8122475946569239E-6</v>
      </c>
      <c r="AU107" s="171">
        <f t="shared" si="29"/>
        <v>1.8836068700345265E-6</v>
      </c>
      <c r="AV107" s="171">
        <f t="shared" si="29"/>
        <v>1.7040712561033899E-6</v>
      </c>
      <c r="AW107" s="172">
        <v>0</v>
      </c>
      <c r="AX107" s="47"/>
      <c r="AY107" s="47"/>
      <c r="AZ107" s="47"/>
      <c r="BA107" s="47"/>
      <c r="BB107" s="47"/>
      <c r="BC107" s="47"/>
      <c r="BD107" s="47"/>
      <c r="BE107" s="47"/>
      <c r="BF107" s="47"/>
      <c r="BG107" s="47"/>
      <c r="BH107" s="47"/>
      <c r="BI107" s="47"/>
      <c r="BJ107" s="47"/>
      <c r="BK107" s="47"/>
      <c r="BL107" s="47"/>
      <c r="BM107" s="47"/>
      <c r="BN107" s="47"/>
    </row>
    <row r="108" spans="1:67" ht="15.75" x14ac:dyDescent="0.25">
      <c r="A108" s="150" t="s">
        <v>407</v>
      </c>
      <c r="B108" s="150" t="s">
        <v>265</v>
      </c>
      <c r="C108" s="150" t="s">
        <v>407</v>
      </c>
      <c r="D108" s="150" t="s">
        <v>303</v>
      </c>
      <c r="E108" s="155"/>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150"/>
      <c r="AC108" s="150"/>
      <c r="AD108" s="171">
        <f>(AD55)/(+AC55)-1</f>
        <v>-1.8134336370481341E-2</v>
      </c>
      <c r="AE108" s="171">
        <f t="shared" ref="AE108:AV108" si="30">(AE55)/(+AD55)-1</f>
        <v>-1.8469264220368875E-2</v>
      </c>
      <c r="AF108" s="171">
        <f t="shared" si="30"/>
        <v>-1.8816796608716158E-2</v>
      </c>
      <c r="AG108" s="171">
        <f t="shared" si="30"/>
        <v>-1.9177658712133727E-2</v>
      </c>
      <c r="AH108" s="171">
        <f t="shared" si="30"/>
        <v>-9.44673884131908E-3</v>
      </c>
      <c r="AI108" s="171">
        <f t="shared" si="30"/>
        <v>0</v>
      </c>
      <c r="AJ108" s="171">
        <f t="shared" si="30"/>
        <v>0</v>
      </c>
      <c r="AK108" s="171">
        <f t="shared" si="30"/>
        <v>0</v>
      </c>
      <c r="AL108" s="171">
        <f t="shared" si="30"/>
        <v>0</v>
      </c>
      <c r="AM108" s="171">
        <f t="shared" si="30"/>
        <v>-0.18290065278997925</v>
      </c>
      <c r="AN108" s="171">
        <f t="shared" si="30"/>
        <v>0</v>
      </c>
      <c r="AO108" s="171">
        <f t="shared" si="30"/>
        <v>0</v>
      </c>
      <c r="AP108" s="171">
        <f t="shared" si="30"/>
        <v>0</v>
      </c>
      <c r="AQ108" s="171">
        <f t="shared" si="30"/>
        <v>0</v>
      </c>
      <c r="AR108" s="171">
        <f t="shared" si="30"/>
        <v>-0.11830757766047051</v>
      </c>
      <c r="AS108" s="171">
        <f t="shared" si="30"/>
        <v>0</v>
      </c>
      <c r="AT108" s="171">
        <f t="shared" si="30"/>
        <v>0</v>
      </c>
      <c r="AU108" s="171">
        <f t="shared" si="30"/>
        <v>0</v>
      </c>
      <c r="AV108" s="171">
        <f t="shared" si="30"/>
        <v>0</v>
      </c>
      <c r="AW108" s="172">
        <v>0</v>
      </c>
      <c r="AX108" s="47"/>
      <c r="AY108" s="47"/>
      <c r="AZ108" s="47"/>
      <c r="BA108" s="47"/>
      <c r="BB108" s="47"/>
      <c r="BC108" s="47"/>
      <c r="BD108" s="47"/>
      <c r="BE108" s="47"/>
      <c r="BF108" s="47"/>
      <c r="BG108" s="47"/>
      <c r="BH108" s="47"/>
      <c r="BI108" s="47"/>
      <c r="BJ108" s="47"/>
      <c r="BK108" s="47"/>
      <c r="BL108" s="47"/>
      <c r="BM108" s="47"/>
      <c r="BN108" s="47"/>
    </row>
    <row r="109" spans="1:67" ht="15.75" x14ac:dyDescent="0.25">
      <c r="A109" s="150" t="s">
        <v>407</v>
      </c>
      <c r="B109" s="150" t="s">
        <v>265</v>
      </c>
      <c r="C109" s="150" t="s">
        <v>407</v>
      </c>
      <c r="D109" s="150" t="s">
        <v>310</v>
      </c>
      <c r="E109" s="155"/>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150"/>
      <c r="AC109" s="150"/>
      <c r="AD109" s="171">
        <f>($AC$128*AD58+AD57)/($AC$128*AC58+AC57)-1</f>
        <v>-6.4003316121881149E-2</v>
      </c>
      <c r="AE109" s="171">
        <f t="shared" ref="AE109:AV109" si="31">($AC$128*AE58+AE57)/($AC$128*AD58+AD57)-1</f>
        <v>-6.8379853501933319E-2</v>
      </c>
      <c r="AF109" s="171">
        <f t="shared" si="31"/>
        <v>-7.3398856560768055E-2</v>
      </c>
      <c r="AG109" s="171">
        <f t="shared" si="31"/>
        <v>-7.9213000200211381E-2</v>
      </c>
      <c r="AH109" s="171">
        <f t="shared" si="31"/>
        <v>-8.539059552732664E-2</v>
      </c>
      <c r="AI109" s="171">
        <f t="shared" si="31"/>
        <v>-9.3362910013547684E-2</v>
      </c>
      <c r="AJ109" s="171">
        <f t="shared" si="31"/>
        <v>-0.10297715706175525</v>
      </c>
      <c r="AK109" s="171">
        <f t="shared" si="31"/>
        <v>-0.11479881239640266</v>
      </c>
      <c r="AL109" s="171">
        <f t="shared" si="31"/>
        <v>-0.12581752661835954</v>
      </c>
      <c r="AM109" s="171">
        <f t="shared" si="31"/>
        <v>-0.19054015994846896</v>
      </c>
      <c r="AN109" s="171">
        <f t="shared" si="31"/>
        <v>0</v>
      </c>
      <c r="AO109" s="171">
        <f t="shared" si="31"/>
        <v>0</v>
      </c>
      <c r="AP109" s="171">
        <f t="shared" si="31"/>
        <v>0</v>
      </c>
      <c r="AQ109" s="171">
        <f t="shared" si="31"/>
        <v>0</v>
      </c>
      <c r="AR109" s="171">
        <f t="shared" si="31"/>
        <v>-0.10957535811740571</v>
      </c>
      <c r="AS109" s="171">
        <f t="shared" si="31"/>
        <v>0</v>
      </c>
      <c r="AT109" s="171">
        <f t="shared" si="31"/>
        <v>0</v>
      </c>
      <c r="AU109" s="171">
        <f t="shared" si="31"/>
        <v>0</v>
      </c>
      <c r="AV109" s="171">
        <f t="shared" si="31"/>
        <v>0</v>
      </c>
      <c r="AW109" s="172">
        <v>0</v>
      </c>
      <c r="AX109" s="47"/>
      <c r="AY109" s="47"/>
      <c r="AZ109" s="47"/>
      <c r="BA109" s="47"/>
      <c r="BB109" s="47"/>
      <c r="BC109" s="47"/>
      <c r="BD109" s="47"/>
      <c r="BE109" s="47"/>
      <c r="BF109" s="47"/>
      <c r="BG109" s="47"/>
      <c r="BH109" s="47"/>
      <c r="BI109" s="47"/>
      <c r="BJ109" s="47"/>
      <c r="BK109" s="47"/>
      <c r="BL109" s="47"/>
      <c r="BM109" s="47"/>
      <c r="BN109" s="47"/>
    </row>
    <row r="110" spans="1:67" ht="15.75" x14ac:dyDescent="0.25">
      <c r="A110" s="150"/>
      <c r="B110" s="150"/>
      <c r="C110" s="150"/>
      <c r="D110" s="150"/>
      <c r="E110" s="155"/>
      <c r="F110" s="150"/>
      <c r="G110" s="150"/>
      <c r="H110" s="150"/>
      <c r="I110" s="150"/>
      <c r="J110" s="150"/>
      <c r="K110" s="150"/>
      <c r="L110" s="150"/>
      <c r="M110" s="150"/>
      <c r="N110" s="150"/>
      <c r="O110" s="150"/>
      <c r="P110" s="150"/>
      <c r="Q110" s="150"/>
      <c r="R110" s="150"/>
      <c r="S110" s="150"/>
      <c r="T110" s="150"/>
      <c r="U110" s="150"/>
      <c r="V110" s="150"/>
      <c r="W110" s="150"/>
      <c r="X110" s="150"/>
      <c r="Y110" s="150"/>
      <c r="Z110" s="150"/>
      <c r="AA110" s="150"/>
      <c r="AB110" s="150"/>
      <c r="AC110" s="150"/>
      <c r="AD110" s="150"/>
      <c r="AE110" s="150"/>
      <c r="AF110" s="150"/>
      <c r="AG110" s="150"/>
      <c r="AH110" s="150"/>
      <c r="AI110" s="150"/>
      <c r="AJ110" s="150"/>
      <c r="AK110" s="150"/>
      <c r="AL110" s="150"/>
      <c r="AM110" s="150"/>
      <c r="AN110" s="150"/>
      <c r="AO110" s="150"/>
      <c r="AP110" s="150"/>
      <c r="AQ110" s="150"/>
      <c r="AR110" s="150"/>
      <c r="AS110" s="150"/>
      <c r="AT110" s="150"/>
      <c r="AU110" s="150"/>
      <c r="AV110" s="150"/>
      <c r="AW110" s="150"/>
      <c r="AX110" s="47"/>
      <c r="AY110" s="47"/>
      <c r="AZ110" s="47"/>
      <c r="BA110" s="47"/>
      <c r="BB110" s="47"/>
      <c r="BC110" s="47"/>
      <c r="BD110" s="47"/>
      <c r="BE110" s="47"/>
      <c r="BF110" s="47"/>
      <c r="BG110" s="47"/>
      <c r="BH110" s="47"/>
      <c r="BI110" s="47"/>
      <c r="BJ110" s="47"/>
      <c r="BK110" s="47"/>
      <c r="BL110" s="47"/>
      <c r="BM110" s="47"/>
      <c r="BN110" s="47"/>
    </row>
    <row r="111" spans="1:67" x14ac:dyDescent="0.2">
      <c r="A111" s="150"/>
      <c r="B111" s="62" t="s">
        <v>459</v>
      </c>
      <c r="C111" s="150"/>
      <c r="D111" s="150"/>
      <c r="E111" s="155"/>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150"/>
      <c r="AC111" s="150"/>
      <c r="AD111" s="150"/>
      <c r="AE111" s="150"/>
      <c r="AF111" s="150"/>
      <c r="AG111" s="150"/>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50"/>
    </row>
    <row r="112" spans="1:67" x14ac:dyDescent="0.2">
      <c r="A112" s="51"/>
      <c r="B112" s="64" t="s">
        <v>187</v>
      </c>
      <c r="C112" s="150"/>
      <c r="D112" s="51"/>
      <c r="E112" s="155"/>
      <c r="F112" s="150"/>
      <c r="G112" s="150"/>
      <c r="H112" s="150"/>
      <c r="I112" s="150"/>
      <c r="J112" s="150"/>
      <c r="K112" s="150"/>
      <c r="L112" s="150"/>
      <c r="M112" s="150"/>
      <c r="N112" s="150"/>
      <c r="O112" s="150"/>
      <c r="P112" s="150"/>
      <c r="Q112" s="150"/>
      <c r="R112" s="150"/>
      <c r="S112" s="150"/>
      <c r="T112" s="150"/>
      <c r="U112" s="150"/>
      <c r="V112" s="150"/>
      <c r="W112" s="150"/>
      <c r="X112" s="150"/>
      <c r="Y112" s="150"/>
      <c r="Z112" s="150"/>
      <c r="AA112" s="150"/>
      <c r="AB112" s="150"/>
      <c r="AC112" s="150"/>
      <c r="AD112" s="150"/>
      <c r="AE112" s="150"/>
      <c r="AF112" s="150"/>
      <c r="AG112" s="150"/>
      <c r="AH112" s="150"/>
      <c r="AI112" s="150"/>
      <c r="AJ112" s="150"/>
      <c r="AK112" s="150"/>
      <c r="AL112" s="150"/>
      <c r="AM112" s="150"/>
      <c r="AN112" s="150"/>
      <c r="AO112" s="150"/>
      <c r="AP112" s="150"/>
      <c r="AQ112" s="150"/>
      <c r="AR112" s="150"/>
      <c r="AS112" s="150"/>
      <c r="AT112" s="150"/>
      <c r="AU112" s="150"/>
      <c r="AV112" s="150"/>
      <c r="AW112" s="150"/>
      <c r="AX112" s="150"/>
      <c r="AY112" s="150"/>
      <c r="AZ112" s="150"/>
      <c r="BA112" s="150"/>
      <c r="BB112" s="150"/>
      <c r="BC112" s="150"/>
      <c r="BD112" s="150"/>
      <c r="BE112" s="150"/>
      <c r="BF112" s="150"/>
      <c r="BG112" s="150"/>
      <c r="BH112" s="150"/>
      <c r="BI112" s="150"/>
      <c r="BJ112" s="150"/>
      <c r="BK112" s="150"/>
      <c r="BL112" s="150"/>
      <c r="BM112" s="150"/>
      <c r="BN112" s="150"/>
      <c r="BO112" s="150"/>
    </row>
    <row r="113" spans="1:67" x14ac:dyDescent="0.2">
      <c r="A113" s="150" t="s">
        <v>405</v>
      </c>
      <c r="B113" s="150" t="s">
        <v>262</v>
      </c>
      <c r="C113" s="150" t="s">
        <v>405</v>
      </c>
      <c r="D113" s="150" t="s">
        <v>301</v>
      </c>
      <c r="E113" s="150" t="s">
        <v>465</v>
      </c>
      <c r="F113" s="150"/>
      <c r="G113" s="150"/>
      <c r="H113" s="150"/>
      <c r="I113" s="150"/>
      <c r="J113" s="150"/>
      <c r="K113" s="150"/>
      <c r="L113" s="150"/>
      <c r="M113" s="150"/>
      <c r="N113" s="150"/>
      <c r="O113" s="150"/>
      <c r="P113" s="150"/>
      <c r="Q113" s="150"/>
      <c r="R113" s="150"/>
      <c r="S113" s="150"/>
      <c r="T113" s="150"/>
      <c r="U113" s="150"/>
      <c r="V113" s="150"/>
      <c r="W113" s="150"/>
      <c r="X113" s="150"/>
      <c r="Y113" s="150"/>
      <c r="Z113" s="150"/>
      <c r="AA113" s="150"/>
      <c r="AB113" s="150"/>
      <c r="AC113" s="166">
        <v>133.24263338065424</v>
      </c>
      <c r="AD113" s="166">
        <v>130.87254215836683</v>
      </c>
      <c r="AE113" s="166">
        <v>130.9304572418996</v>
      </c>
      <c r="AF113" s="166">
        <v>128.32012463785938</v>
      </c>
      <c r="AG113" s="166">
        <v>127.36557580042182</v>
      </c>
      <c r="AH113" s="166">
        <v>126.44551181569685</v>
      </c>
      <c r="AI113" s="166">
        <v>124.14959329831383</v>
      </c>
      <c r="AJ113" s="166">
        <v>124.68106583406338</v>
      </c>
      <c r="AK113" s="166">
        <v>123.80768278743128</v>
      </c>
      <c r="AL113" s="166">
        <v>122.95675931515683</v>
      </c>
      <c r="AM113" s="166">
        <v>120.62498921677354</v>
      </c>
      <c r="AN113" s="166">
        <v>119.79286586906213</v>
      </c>
      <c r="AO113" s="166">
        <v>118.98813463210472</v>
      </c>
      <c r="AP113" s="166">
        <v>118.20476724223678</v>
      </c>
      <c r="AQ113" s="166">
        <v>117.44370468514018</v>
      </c>
      <c r="AR113" s="166">
        <v>116.69996220664642</v>
      </c>
      <c r="AS113" s="166">
        <v>115.96840868261178</v>
      </c>
      <c r="AT113" s="166">
        <v>114.69237365956346</v>
      </c>
      <c r="AU113" s="166">
        <v>114.04823695325099</v>
      </c>
      <c r="AV113" s="166">
        <v>113.43247552103075</v>
      </c>
      <c r="AW113" s="167">
        <f>AV113</f>
        <v>113.43247552103075</v>
      </c>
      <c r="AX113" s="150"/>
      <c r="AY113" s="150"/>
      <c r="AZ113" s="150"/>
      <c r="BA113" s="150"/>
      <c r="BB113" s="150"/>
      <c r="BC113" s="150"/>
      <c r="BD113" s="150"/>
      <c r="BE113" s="150"/>
      <c r="BF113" s="150"/>
      <c r="BG113" s="150"/>
      <c r="BH113" s="150"/>
      <c r="BI113" s="150"/>
      <c r="BJ113" s="150"/>
      <c r="BK113" s="150"/>
      <c r="BL113" s="150"/>
      <c r="BM113" s="150"/>
      <c r="BN113" s="150"/>
      <c r="BO113" s="150"/>
    </row>
    <row r="114" spans="1:67" x14ac:dyDescent="0.2">
      <c r="A114" s="150" t="s">
        <v>405</v>
      </c>
      <c r="B114" s="150" t="s">
        <v>262</v>
      </c>
      <c r="C114" s="150" t="s">
        <v>405</v>
      </c>
      <c r="D114" s="150" t="s">
        <v>301</v>
      </c>
      <c r="E114" s="155" t="s">
        <v>468</v>
      </c>
      <c r="F114" s="150"/>
      <c r="G114" s="150"/>
      <c r="H114" s="150"/>
      <c r="I114" s="150"/>
      <c r="J114" s="150"/>
      <c r="K114" s="150"/>
      <c r="L114" s="150"/>
      <c r="M114" s="150"/>
      <c r="N114" s="150"/>
      <c r="O114" s="150"/>
      <c r="P114" s="150"/>
      <c r="Q114" s="150"/>
      <c r="R114" s="150"/>
      <c r="S114" s="150"/>
      <c r="T114" s="150"/>
      <c r="U114" s="150"/>
      <c r="V114" s="150"/>
      <c r="W114" s="150"/>
      <c r="X114" s="150"/>
      <c r="Y114" s="150"/>
      <c r="Z114" s="150"/>
      <c r="AA114" s="150"/>
      <c r="AB114" s="150"/>
      <c r="AC114" s="166">
        <v>0</v>
      </c>
      <c r="AD114" s="166">
        <v>0</v>
      </c>
      <c r="AE114" s="166">
        <v>0</v>
      </c>
      <c r="AF114" s="166">
        <v>0</v>
      </c>
      <c r="AG114" s="166">
        <v>0</v>
      </c>
      <c r="AH114" s="166">
        <v>0</v>
      </c>
      <c r="AI114" s="166">
        <v>0</v>
      </c>
      <c r="AJ114" s="166">
        <v>0</v>
      </c>
      <c r="AK114" s="166">
        <v>0</v>
      </c>
      <c r="AL114" s="166">
        <v>0</v>
      </c>
      <c r="AM114" s="166">
        <v>0</v>
      </c>
      <c r="AN114" s="166">
        <v>0</v>
      </c>
      <c r="AO114" s="166">
        <v>0</v>
      </c>
      <c r="AP114" s="166">
        <v>0</v>
      </c>
      <c r="AQ114" s="166">
        <v>0</v>
      </c>
      <c r="AR114" s="166">
        <v>0</v>
      </c>
      <c r="AS114" s="166">
        <v>0</v>
      </c>
      <c r="AT114" s="166">
        <v>0</v>
      </c>
      <c r="AU114" s="166">
        <v>0</v>
      </c>
      <c r="AV114" s="166">
        <v>0</v>
      </c>
      <c r="AW114" s="167">
        <f t="shared" ref="AW114:AW128" si="32">AV114</f>
        <v>0</v>
      </c>
      <c r="AX114" s="150"/>
      <c r="AY114" s="150"/>
      <c r="AZ114" s="150"/>
      <c r="BA114" s="150"/>
      <c r="BB114" s="150"/>
      <c r="BC114" s="150"/>
      <c r="BD114" s="150"/>
      <c r="BE114" s="150"/>
      <c r="BF114" s="150"/>
      <c r="BG114" s="150"/>
      <c r="BH114" s="150"/>
      <c r="BI114" s="150"/>
      <c r="BJ114" s="150"/>
      <c r="BK114" s="150"/>
      <c r="BL114" s="150"/>
      <c r="BM114" s="150"/>
      <c r="BN114" s="150"/>
      <c r="BO114" s="150"/>
    </row>
    <row r="115" spans="1:67" x14ac:dyDescent="0.2">
      <c r="A115" s="150" t="s">
        <v>405</v>
      </c>
      <c r="B115" s="150" t="s">
        <v>262</v>
      </c>
      <c r="C115" s="150" t="s">
        <v>405</v>
      </c>
      <c r="D115" s="150" t="s">
        <v>301</v>
      </c>
      <c r="E115" s="155" t="s">
        <v>470</v>
      </c>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150"/>
      <c r="AC115" s="166">
        <v>0</v>
      </c>
      <c r="AD115" s="166">
        <v>0</v>
      </c>
      <c r="AE115" s="166">
        <v>0</v>
      </c>
      <c r="AF115" s="166">
        <v>0</v>
      </c>
      <c r="AG115" s="166">
        <v>0</v>
      </c>
      <c r="AH115" s="166">
        <v>0</v>
      </c>
      <c r="AI115" s="166">
        <v>0</v>
      </c>
      <c r="AJ115" s="166">
        <v>0</v>
      </c>
      <c r="AK115" s="166">
        <v>0</v>
      </c>
      <c r="AL115" s="166">
        <v>0</v>
      </c>
      <c r="AM115" s="166">
        <v>0</v>
      </c>
      <c r="AN115" s="166">
        <v>0</v>
      </c>
      <c r="AO115" s="166">
        <v>0</v>
      </c>
      <c r="AP115" s="166">
        <v>0</v>
      </c>
      <c r="AQ115" s="166">
        <v>0</v>
      </c>
      <c r="AR115" s="166">
        <v>0</v>
      </c>
      <c r="AS115" s="166">
        <v>0</v>
      </c>
      <c r="AT115" s="166">
        <v>0</v>
      </c>
      <c r="AU115" s="166">
        <v>0</v>
      </c>
      <c r="AV115" s="166">
        <v>0</v>
      </c>
      <c r="AW115" s="167">
        <f t="shared" si="32"/>
        <v>0</v>
      </c>
      <c r="AX115" s="150"/>
      <c r="AY115" s="150"/>
      <c r="AZ115" s="150"/>
      <c r="BA115" s="150"/>
      <c r="BB115" s="150"/>
      <c r="BC115" s="150"/>
      <c r="BD115" s="150"/>
      <c r="BE115" s="150"/>
      <c r="BF115" s="150"/>
      <c r="BG115" s="150"/>
      <c r="BH115" s="150"/>
      <c r="BI115" s="150"/>
      <c r="BJ115" s="150"/>
      <c r="BK115" s="150"/>
      <c r="BL115" s="150"/>
      <c r="BM115" s="150"/>
      <c r="BN115" s="150"/>
      <c r="BO115" s="150"/>
    </row>
    <row r="116" spans="1:67" x14ac:dyDescent="0.2">
      <c r="A116" s="150" t="s">
        <v>405</v>
      </c>
      <c r="B116" s="150" t="s">
        <v>262</v>
      </c>
      <c r="C116" s="150" t="s">
        <v>405</v>
      </c>
      <c r="D116" s="150" t="s">
        <v>303</v>
      </c>
      <c r="E116" s="155" t="s">
        <v>472</v>
      </c>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66">
        <v>97.951688667390371</v>
      </c>
      <c r="AD116" s="166">
        <v>96.209345157445028</v>
      </c>
      <c r="AE116" s="166">
        <v>96.251920721192263</v>
      </c>
      <c r="AF116" s="166">
        <v>94.332966704283663</v>
      </c>
      <c r="AG116" s="166">
        <v>93.631241827116241</v>
      </c>
      <c r="AH116" s="166">
        <v>92.954868066711825</v>
      </c>
      <c r="AI116" s="166">
        <v>91.267051711582297</v>
      </c>
      <c r="AJ116" s="166">
        <v>91.65775723155113</v>
      </c>
      <c r="AK116" s="166">
        <v>91.015700390579795</v>
      </c>
      <c r="AL116" s="166">
        <v>90.3901544303924</v>
      </c>
      <c r="AM116" s="166">
        <v>88.675982224952236</v>
      </c>
      <c r="AN116" s="166">
        <v>88.064256945889042</v>
      </c>
      <c r="AO116" s="166">
        <v>87.472668641279483</v>
      </c>
      <c r="AP116" s="166">
        <v>86.896785706983835</v>
      </c>
      <c r="AQ116" s="166">
        <v>86.337299897091711</v>
      </c>
      <c r="AR116" s="166">
        <v>85.790546730678273</v>
      </c>
      <c r="AS116" s="166">
        <v>85.252754124725669</v>
      </c>
      <c r="AT116" s="166">
        <v>84.314692618921896</v>
      </c>
      <c r="AU116" s="166">
        <v>83.841163414979292</v>
      </c>
      <c r="AV116" s="166">
        <v>83.388493945966971</v>
      </c>
      <c r="AW116" s="167">
        <f t="shared" si="32"/>
        <v>83.388493945966971</v>
      </c>
      <c r="AX116" s="150"/>
      <c r="AY116" s="150"/>
      <c r="AZ116" s="150"/>
      <c r="BA116" s="150"/>
      <c r="BB116" s="150"/>
      <c r="BC116" s="150"/>
      <c r="BD116" s="150"/>
      <c r="BE116" s="150"/>
      <c r="BF116" s="150"/>
      <c r="BG116" s="150"/>
      <c r="BH116" s="150"/>
      <c r="BI116" s="150"/>
      <c r="BJ116" s="150"/>
      <c r="BK116" s="150"/>
      <c r="BL116" s="150"/>
      <c r="BM116" s="150"/>
      <c r="BN116" s="150"/>
      <c r="BO116" s="150"/>
    </row>
    <row r="117" spans="1:67" x14ac:dyDescent="0.2">
      <c r="A117" s="150" t="s">
        <v>405</v>
      </c>
      <c r="B117" s="150" t="s">
        <v>262</v>
      </c>
      <c r="C117" s="150" t="s">
        <v>405</v>
      </c>
      <c r="D117" s="150" t="s">
        <v>310</v>
      </c>
      <c r="E117" s="155" t="s">
        <v>476</v>
      </c>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66">
        <v>63.285332173300645</v>
      </c>
      <c r="AD117" s="166">
        <v>63.518788754833842</v>
      </c>
      <c r="AE117" s="166">
        <v>63.315334289132622</v>
      </c>
      <c r="AF117" s="166">
        <v>62.825865069138132</v>
      </c>
      <c r="AG117" s="166">
        <v>62.206403098357626</v>
      </c>
      <c r="AH117" s="166">
        <v>61.606911264828398</v>
      </c>
      <c r="AI117" s="166">
        <v>61.20295495855293</v>
      </c>
      <c r="AJ117" s="166">
        <v>61.171405146482648</v>
      </c>
      <c r="AK117" s="166">
        <v>61.362122687904922</v>
      </c>
      <c r="AL117" s="166">
        <v>61.69955374302284</v>
      </c>
      <c r="AM117" s="166">
        <v>62.119143736076218</v>
      </c>
      <c r="AN117" s="166">
        <v>62.516645844098598</v>
      </c>
      <c r="AO117" s="166">
        <v>62.933514379735371</v>
      </c>
      <c r="AP117" s="166">
        <v>63.45726082734101</v>
      </c>
      <c r="AQ117" s="166">
        <v>64.083662870455697</v>
      </c>
      <c r="AR117" s="166">
        <v>64.781608014461611</v>
      </c>
      <c r="AS117" s="166">
        <v>65.286210837717761</v>
      </c>
      <c r="AT117" s="166">
        <v>65.525811042587506</v>
      </c>
      <c r="AU117" s="166">
        <v>65.611736400735779</v>
      </c>
      <c r="AV117" s="166">
        <v>65.615800309312306</v>
      </c>
      <c r="AW117" s="167">
        <f t="shared" si="32"/>
        <v>65.615800309312306</v>
      </c>
      <c r="AX117" s="150"/>
      <c r="AY117" s="150"/>
      <c r="AZ117" s="150"/>
      <c r="BA117" s="150"/>
      <c r="BB117" s="150"/>
      <c r="BC117" s="150"/>
      <c r="BD117" s="150"/>
      <c r="BE117" s="150"/>
      <c r="BF117" s="150"/>
      <c r="BG117" s="150"/>
      <c r="BH117" s="150"/>
      <c r="BI117" s="150"/>
      <c r="BJ117" s="150"/>
      <c r="BK117" s="150"/>
      <c r="BL117" s="150"/>
      <c r="BM117" s="150"/>
      <c r="BN117" s="150"/>
      <c r="BO117" s="150"/>
    </row>
    <row r="118" spans="1:67" x14ac:dyDescent="0.2">
      <c r="A118" s="150" t="s">
        <v>407</v>
      </c>
      <c r="B118" s="150" t="s">
        <v>262</v>
      </c>
      <c r="C118" s="150" t="s">
        <v>407</v>
      </c>
      <c r="D118" s="150" t="s">
        <v>301</v>
      </c>
      <c r="E118" s="155" t="s">
        <v>476</v>
      </c>
      <c r="F118" s="150"/>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150"/>
      <c r="AC118" s="166">
        <v>946.63522913784834</v>
      </c>
      <c r="AD118" s="166">
        <v>944.75608962439071</v>
      </c>
      <c r="AE118" s="166">
        <v>948.76571570384965</v>
      </c>
      <c r="AF118" s="166">
        <v>936.54922401113686</v>
      </c>
      <c r="AG118" s="166">
        <v>923.17479464394307</v>
      </c>
      <c r="AH118" s="166">
        <v>910.50362986974699</v>
      </c>
      <c r="AI118" s="166">
        <v>898.52528910626188</v>
      </c>
      <c r="AJ118" s="166">
        <v>886.96688129728079</v>
      </c>
      <c r="AK118" s="166">
        <v>875.6605181395189</v>
      </c>
      <c r="AL118" s="166">
        <v>864.67108778784313</v>
      </c>
      <c r="AM118" s="166">
        <v>853.91863681816892</v>
      </c>
      <c r="AN118" s="166">
        <v>843.41395758521662</v>
      </c>
      <c r="AO118" s="166">
        <v>833.13687474852838</v>
      </c>
      <c r="AP118" s="166">
        <v>823.07248431484913</v>
      </c>
      <c r="AQ118" s="166">
        <v>813.29575898270082</v>
      </c>
      <c r="AR118" s="166">
        <v>803.82041674399068</v>
      </c>
      <c r="AS118" s="166">
        <v>794.7099536102487</v>
      </c>
      <c r="AT118" s="166">
        <v>785.88605886926632</v>
      </c>
      <c r="AU118" s="166">
        <v>777.36656882932596</v>
      </c>
      <c r="AV118" s="166">
        <v>769.12435845205675</v>
      </c>
      <c r="AW118" s="167">
        <f t="shared" si="32"/>
        <v>769.12435845205675</v>
      </c>
      <c r="AX118" s="150"/>
      <c r="AY118" s="150"/>
      <c r="AZ118" s="150"/>
      <c r="BA118" s="150"/>
      <c r="BB118" s="150"/>
      <c r="BC118" s="150"/>
      <c r="BD118" s="150"/>
      <c r="BE118" s="150"/>
      <c r="BF118" s="150"/>
      <c r="BG118" s="150"/>
      <c r="BH118" s="150"/>
      <c r="BI118" s="150"/>
      <c r="BJ118" s="150"/>
      <c r="BK118" s="150"/>
      <c r="BL118" s="150"/>
      <c r="BM118" s="150"/>
      <c r="BN118" s="150"/>
      <c r="BO118" s="150"/>
    </row>
    <row r="119" spans="1:67" x14ac:dyDescent="0.2">
      <c r="A119" s="150" t="s">
        <v>407</v>
      </c>
      <c r="B119" s="150" t="s">
        <v>262</v>
      </c>
      <c r="C119" s="150" t="s">
        <v>407</v>
      </c>
      <c r="D119" s="150" t="s">
        <v>303</v>
      </c>
      <c r="E119" s="155" t="s">
        <v>472</v>
      </c>
      <c r="F119" s="150"/>
      <c r="G119" s="150"/>
      <c r="H119" s="150"/>
      <c r="I119" s="150"/>
      <c r="J119" s="150"/>
      <c r="K119" s="150"/>
      <c r="L119" s="150"/>
      <c r="M119" s="150"/>
      <c r="N119" s="150"/>
      <c r="O119" s="150"/>
      <c r="P119" s="150"/>
      <c r="Q119" s="150"/>
      <c r="R119" s="150"/>
      <c r="S119" s="150"/>
      <c r="T119" s="150"/>
      <c r="U119" s="150"/>
      <c r="V119" s="150"/>
      <c r="W119" s="150"/>
      <c r="X119" s="150"/>
      <c r="Y119" s="150"/>
      <c r="Z119" s="150"/>
      <c r="AA119" s="150"/>
      <c r="AB119" s="150"/>
      <c r="AC119" s="166">
        <v>454.12375916141428</v>
      </c>
      <c r="AD119" s="166">
        <v>453.21677844234227</v>
      </c>
      <c r="AE119" s="166">
        <v>455.11451168584722</v>
      </c>
      <c r="AF119" s="166">
        <v>449.37848386637825</v>
      </c>
      <c r="AG119" s="166">
        <v>443.10067438820857</v>
      </c>
      <c r="AH119" s="166">
        <v>437.15390464500325</v>
      </c>
      <c r="AI119" s="166">
        <v>431.5083207193203</v>
      </c>
      <c r="AJ119" s="166">
        <v>426.05494055589423</v>
      </c>
      <c r="AK119" s="166">
        <v>420.70084900226067</v>
      </c>
      <c r="AL119" s="166">
        <v>415.48722468059901</v>
      </c>
      <c r="AM119" s="166">
        <v>410.36820163245039</v>
      </c>
      <c r="AN119" s="166">
        <v>405.37463854857305</v>
      </c>
      <c r="AO119" s="166">
        <v>400.47529410509895</v>
      </c>
      <c r="AP119" s="166">
        <v>395.63776974092383</v>
      </c>
      <c r="AQ119" s="166">
        <v>390.91011777175237</v>
      </c>
      <c r="AR119" s="166">
        <v>386.30913078953427</v>
      </c>
      <c r="AS119" s="166">
        <v>381.8918651148926</v>
      </c>
      <c r="AT119" s="166">
        <v>377.63261844346306</v>
      </c>
      <c r="AU119" s="166">
        <v>373.47129339851563</v>
      </c>
      <c r="AV119" s="166">
        <v>369.44283842192328</v>
      </c>
      <c r="AW119" s="167">
        <f t="shared" si="32"/>
        <v>369.44283842192328</v>
      </c>
      <c r="AX119" s="150"/>
      <c r="AY119" s="150"/>
      <c r="AZ119" s="150"/>
      <c r="BA119" s="150"/>
      <c r="BB119" s="150"/>
      <c r="BC119" s="150"/>
      <c r="BD119" s="150"/>
      <c r="BE119" s="150"/>
      <c r="BF119" s="150"/>
      <c r="BG119" s="150"/>
      <c r="BH119" s="150"/>
      <c r="BI119" s="150"/>
      <c r="BJ119" s="150"/>
      <c r="BK119" s="150"/>
      <c r="BL119" s="150"/>
      <c r="BM119" s="150"/>
      <c r="BN119" s="150"/>
      <c r="BO119" s="150"/>
    </row>
    <row r="120" spans="1:67" x14ac:dyDescent="0.2">
      <c r="A120" s="150" t="s">
        <v>407</v>
      </c>
      <c r="B120" s="150" t="s">
        <v>262</v>
      </c>
      <c r="C120" s="150" t="s">
        <v>407</v>
      </c>
      <c r="D120" s="150" t="s">
        <v>310</v>
      </c>
      <c r="E120" s="155" t="s">
        <v>476</v>
      </c>
      <c r="F120" s="150"/>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150"/>
      <c r="AC120" s="166">
        <v>0</v>
      </c>
      <c r="AD120" s="166">
        <v>0</v>
      </c>
      <c r="AE120" s="166">
        <v>0</v>
      </c>
      <c r="AF120" s="166">
        <v>0</v>
      </c>
      <c r="AG120" s="166">
        <v>0</v>
      </c>
      <c r="AH120" s="166">
        <v>0</v>
      </c>
      <c r="AI120" s="166">
        <v>0</v>
      </c>
      <c r="AJ120" s="166">
        <v>0</v>
      </c>
      <c r="AK120" s="166">
        <v>0</v>
      </c>
      <c r="AL120" s="166">
        <v>0</v>
      </c>
      <c r="AM120" s="166">
        <v>0</v>
      </c>
      <c r="AN120" s="166">
        <v>0</v>
      </c>
      <c r="AO120" s="166">
        <v>0</v>
      </c>
      <c r="AP120" s="166">
        <v>0</v>
      </c>
      <c r="AQ120" s="166">
        <v>0</v>
      </c>
      <c r="AR120" s="166">
        <v>0</v>
      </c>
      <c r="AS120" s="166">
        <v>0</v>
      </c>
      <c r="AT120" s="166">
        <v>0</v>
      </c>
      <c r="AU120" s="166">
        <v>0</v>
      </c>
      <c r="AV120" s="166">
        <v>0</v>
      </c>
      <c r="AW120" s="167">
        <f t="shared" si="32"/>
        <v>0</v>
      </c>
      <c r="AX120" s="150"/>
      <c r="AY120" s="150"/>
      <c r="AZ120" s="150"/>
      <c r="BA120" s="150"/>
      <c r="BB120" s="150"/>
      <c r="BC120" s="150"/>
      <c r="BD120" s="150"/>
      <c r="BE120" s="150"/>
      <c r="BF120" s="150"/>
      <c r="BG120" s="150"/>
      <c r="BH120" s="150"/>
      <c r="BI120" s="150"/>
      <c r="BJ120" s="150"/>
      <c r="BK120" s="150"/>
      <c r="BL120" s="150"/>
      <c r="BM120" s="150"/>
      <c r="BN120" s="150"/>
      <c r="BO120" s="150"/>
    </row>
    <row r="121" spans="1:67" x14ac:dyDescent="0.2">
      <c r="A121" s="150" t="s">
        <v>405</v>
      </c>
      <c r="B121" s="150" t="s">
        <v>265</v>
      </c>
      <c r="C121" s="150" t="s">
        <v>405</v>
      </c>
      <c r="D121" s="150" t="s">
        <v>301</v>
      </c>
      <c r="E121" s="150" t="s">
        <v>465</v>
      </c>
      <c r="F121" s="150"/>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66">
        <v>151.69557811001695</v>
      </c>
      <c r="AD121" s="166">
        <v>150.8131004246452</v>
      </c>
      <c r="AE121" s="166">
        <v>149.27265598558674</v>
      </c>
      <c r="AF121" s="166">
        <v>148.88853768937167</v>
      </c>
      <c r="AG121" s="166">
        <v>148.68546175229565</v>
      </c>
      <c r="AH121" s="166">
        <v>148.00299604443001</v>
      </c>
      <c r="AI121" s="166">
        <v>147.39044968338055</v>
      </c>
      <c r="AJ121" s="166">
        <v>146.65887160420652</v>
      </c>
      <c r="AK121" s="166">
        <v>146.20875280609891</v>
      </c>
      <c r="AL121" s="166">
        <v>145.13685322790656</v>
      </c>
      <c r="AM121" s="166">
        <v>144.37596094683801</v>
      </c>
      <c r="AN121" s="166">
        <v>143.63593283603137</v>
      </c>
      <c r="AO121" s="166">
        <v>143.20256386257466</v>
      </c>
      <c r="AP121" s="166">
        <v>142.20398195315397</v>
      </c>
      <c r="AQ121" s="166">
        <v>141.53353009691222</v>
      </c>
      <c r="AR121" s="166">
        <v>140.92450771160904</v>
      </c>
      <c r="AS121" s="166">
        <v>140.65986022385155</v>
      </c>
      <c r="AT121" s="166">
        <v>139.4281786131647</v>
      </c>
      <c r="AU121" s="166">
        <v>138.89159006550341</v>
      </c>
      <c r="AV121" s="166">
        <v>138.38242984277764</v>
      </c>
      <c r="AW121" s="167">
        <f t="shared" si="32"/>
        <v>138.38242984277764</v>
      </c>
      <c r="AX121" s="150"/>
      <c r="AY121" s="150"/>
      <c r="AZ121" s="150"/>
      <c r="BA121" s="150"/>
      <c r="BB121" s="150"/>
      <c r="BC121" s="150"/>
      <c r="BD121" s="150"/>
      <c r="BE121" s="150"/>
      <c r="BF121" s="150"/>
      <c r="BG121" s="150"/>
      <c r="BH121" s="150"/>
      <c r="BI121" s="150"/>
      <c r="BJ121" s="150"/>
      <c r="BK121" s="150"/>
      <c r="BL121" s="150"/>
      <c r="BM121" s="150"/>
      <c r="BN121" s="150"/>
      <c r="BO121" s="150"/>
    </row>
    <row r="122" spans="1:67" x14ac:dyDescent="0.2">
      <c r="A122" s="150" t="s">
        <v>405</v>
      </c>
      <c r="B122" s="150" t="s">
        <v>265</v>
      </c>
      <c r="C122" s="150" t="s">
        <v>405</v>
      </c>
      <c r="D122" s="150" t="s">
        <v>301</v>
      </c>
      <c r="E122" s="155" t="s">
        <v>468</v>
      </c>
      <c r="F122" s="150"/>
      <c r="G122" s="150"/>
      <c r="H122" s="150"/>
      <c r="I122" s="150"/>
      <c r="J122" s="150"/>
      <c r="K122" s="150"/>
      <c r="L122" s="150"/>
      <c r="M122" s="150"/>
      <c r="N122" s="150"/>
      <c r="O122" s="150"/>
      <c r="P122" s="150"/>
      <c r="Q122" s="150"/>
      <c r="R122" s="150"/>
      <c r="S122" s="150"/>
      <c r="T122" s="150"/>
      <c r="U122" s="150"/>
      <c r="V122" s="150"/>
      <c r="W122" s="150"/>
      <c r="X122" s="150"/>
      <c r="Y122" s="150"/>
      <c r="Z122" s="150"/>
      <c r="AA122" s="150"/>
      <c r="AB122" s="150"/>
      <c r="AC122" s="166">
        <v>7.9900276804753503</v>
      </c>
      <c r="AD122" s="166">
        <v>6.9069868847918272</v>
      </c>
      <c r="AE122" s="166">
        <v>5.0164414368564536</v>
      </c>
      <c r="AF122" s="166">
        <v>4.5450235278652187</v>
      </c>
      <c r="AG122" s="166">
        <v>4.2957939687264712</v>
      </c>
      <c r="AH122" s="166">
        <v>3.4582224181640981</v>
      </c>
      <c r="AI122" s="166">
        <v>2.9561798733522124</v>
      </c>
      <c r="AJ122" s="166">
        <v>2.6635486416826026</v>
      </c>
      <c r="AK122" s="166">
        <v>2.48350112243957</v>
      </c>
      <c r="AL122" s="166">
        <v>2.0547412911626211</v>
      </c>
      <c r="AM122" s="166">
        <v>1.7503843787351911</v>
      </c>
      <c r="AN122" s="166">
        <v>1.4543731344125419</v>
      </c>
      <c r="AO122" s="166">
        <v>1.2810255450298698</v>
      </c>
      <c r="AP122" s="166">
        <v>0.88159278126158824</v>
      </c>
      <c r="AQ122" s="166">
        <v>0.61341203876487782</v>
      </c>
      <c r="AR122" s="166">
        <v>0.369803084643614</v>
      </c>
      <c r="AS122" s="166">
        <v>0.26394408954062243</v>
      </c>
      <c r="AT122" s="166">
        <v>0</v>
      </c>
      <c r="AU122" s="166">
        <v>0</v>
      </c>
      <c r="AV122" s="166">
        <v>0</v>
      </c>
      <c r="AW122" s="167">
        <f t="shared" si="32"/>
        <v>0</v>
      </c>
      <c r="AX122" s="150"/>
      <c r="AY122" s="150"/>
      <c r="AZ122" s="150"/>
      <c r="BA122" s="150"/>
      <c r="BB122" s="150"/>
      <c r="BC122" s="150"/>
      <c r="BD122" s="150"/>
      <c r="BE122" s="150"/>
      <c r="BF122" s="150"/>
      <c r="BG122" s="150"/>
      <c r="BH122" s="150"/>
      <c r="BI122" s="150"/>
      <c r="BJ122" s="150"/>
      <c r="BK122" s="150"/>
      <c r="BL122" s="150"/>
      <c r="BM122" s="150"/>
      <c r="BN122" s="150"/>
      <c r="BO122" s="150"/>
    </row>
    <row r="123" spans="1:67" x14ac:dyDescent="0.2">
      <c r="A123" s="150" t="s">
        <v>405</v>
      </c>
      <c r="B123" s="150" t="s">
        <v>265</v>
      </c>
      <c r="C123" s="150" t="s">
        <v>405</v>
      </c>
      <c r="D123" s="150" t="s">
        <v>301</v>
      </c>
      <c r="E123" s="155" t="s">
        <v>470</v>
      </c>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66">
        <v>0</v>
      </c>
      <c r="AD123" s="166">
        <v>0</v>
      </c>
      <c r="AE123" s="166">
        <v>0</v>
      </c>
      <c r="AF123" s="166">
        <v>0</v>
      </c>
      <c r="AG123" s="166">
        <v>0</v>
      </c>
      <c r="AH123" s="166">
        <v>0</v>
      </c>
      <c r="AI123" s="166">
        <v>0</v>
      </c>
      <c r="AJ123" s="166">
        <v>0</v>
      </c>
      <c r="AK123" s="166">
        <v>0</v>
      </c>
      <c r="AL123" s="166">
        <v>0</v>
      </c>
      <c r="AM123" s="166">
        <v>0</v>
      </c>
      <c r="AN123" s="166">
        <v>0</v>
      </c>
      <c r="AO123" s="166">
        <v>0</v>
      </c>
      <c r="AP123" s="166">
        <v>0</v>
      </c>
      <c r="AQ123" s="166">
        <v>0</v>
      </c>
      <c r="AR123" s="166">
        <v>0</v>
      </c>
      <c r="AS123" s="166">
        <v>0</v>
      </c>
      <c r="AT123" s="166">
        <v>0</v>
      </c>
      <c r="AU123" s="166">
        <v>0</v>
      </c>
      <c r="AV123" s="166">
        <v>0</v>
      </c>
      <c r="AW123" s="167">
        <f t="shared" si="32"/>
        <v>0</v>
      </c>
      <c r="AX123" s="150"/>
      <c r="AY123" s="150"/>
      <c r="AZ123" s="150"/>
      <c r="BA123" s="150"/>
      <c r="BB123" s="150"/>
      <c r="BC123" s="150"/>
      <c r="BD123" s="150"/>
      <c r="BE123" s="150"/>
      <c r="BF123" s="150"/>
      <c r="BG123" s="150"/>
      <c r="BH123" s="150"/>
      <c r="BI123" s="150"/>
      <c r="BJ123" s="150"/>
      <c r="BK123" s="150"/>
      <c r="BL123" s="150"/>
      <c r="BM123" s="150"/>
      <c r="BN123" s="150"/>
      <c r="BO123" s="150"/>
    </row>
    <row r="124" spans="1:67" x14ac:dyDescent="0.2">
      <c r="A124" s="150" t="s">
        <v>405</v>
      </c>
      <c r="B124" s="150" t="s">
        <v>265</v>
      </c>
      <c r="C124" s="150" t="s">
        <v>405</v>
      </c>
      <c r="D124" s="150" t="s">
        <v>303</v>
      </c>
      <c r="E124" s="155" t="s">
        <v>472</v>
      </c>
      <c r="F124" s="150"/>
      <c r="G124" s="150"/>
      <c r="H124" s="150"/>
      <c r="I124" s="150"/>
      <c r="J124" s="150"/>
      <c r="K124" s="150"/>
      <c r="L124" s="150"/>
      <c r="M124" s="150"/>
      <c r="N124" s="150"/>
      <c r="O124" s="150"/>
      <c r="P124" s="150"/>
      <c r="Q124" s="150"/>
      <c r="R124" s="150"/>
      <c r="S124" s="150"/>
      <c r="T124" s="150"/>
      <c r="U124" s="150"/>
      <c r="V124" s="150"/>
      <c r="W124" s="150"/>
      <c r="X124" s="150"/>
      <c r="Y124" s="150" t="s">
        <v>501</v>
      </c>
      <c r="Z124" s="150"/>
      <c r="AA124" s="150"/>
      <c r="AB124" s="150"/>
      <c r="AC124" s="166">
        <v>117.39091570164769</v>
      </c>
      <c r="AD124" s="166">
        <v>115.94598888324484</v>
      </c>
      <c r="AE124" s="166">
        <v>113.42373872423093</v>
      </c>
      <c r="AF124" s="166">
        <v>112.79480176997063</v>
      </c>
      <c r="AG124" s="166">
        <v>112.46229492870154</v>
      </c>
      <c r="AH124" s="166">
        <v>111.34485817049055</v>
      </c>
      <c r="AI124" s="166">
        <v>110.52548179876155</v>
      </c>
      <c r="AJ124" s="166">
        <v>109.77254687845424</v>
      </c>
      <c r="AK124" s="166">
        <v>109.30928783471062</v>
      </c>
      <c r="AL124" s="166">
        <v>108.2060964646317</v>
      </c>
      <c r="AM124" s="166">
        <v>107.42299157765144</v>
      </c>
      <c r="AN124" s="166">
        <v>106.66135994529793</v>
      </c>
      <c r="AO124" s="166">
        <v>106.21533970114072</v>
      </c>
      <c r="AP124" s="166">
        <v>105.18760635073897</v>
      </c>
      <c r="AQ124" s="166">
        <v>104.497582101353</v>
      </c>
      <c r="AR124" s="166">
        <v>103.87078062356498</v>
      </c>
      <c r="AS124" s="166">
        <v>103.59840732428682</v>
      </c>
      <c r="AT124" s="166">
        <v>102.49891642385481</v>
      </c>
      <c r="AU124" s="166">
        <v>102.10444993044013</v>
      </c>
      <c r="AV124" s="166">
        <v>101.7301470338907</v>
      </c>
      <c r="AW124" s="167">
        <f t="shared" si="32"/>
        <v>101.7301470338907</v>
      </c>
      <c r="AX124" s="150"/>
      <c r="AY124" s="150"/>
      <c r="AZ124" s="150"/>
      <c r="BA124" s="150"/>
      <c r="BB124" s="150"/>
      <c r="BC124" s="150"/>
      <c r="BD124" s="150"/>
      <c r="BE124" s="150"/>
      <c r="BF124" s="150"/>
      <c r="BG124" s="150"/>
      <c r="BH124" s="150"/>
      <c r="BI124" s="150"/>
      <c r="BJ124" s="150"/>
      <c r="BK124" s="150"/>
      <c r="BL124" s="150"/>
      <c r="BM124" s="150"/>
      <c r="BN124" s="150"/>
      <c r="BO124" s="150"/>
    </row>
    <row r="125" spans="1:67" x14ac:dyDescent="0.2">
      <c r="A125" s="150" t="s">
        <v>405</v>
      </c>
      <c r="B125" s="150" t="s">
        <v>265</v>
      </c>
      <c r="C125" s="150" t="s">
        <v>405</v>
      </c>
      <c r="D125" s="150" t="s">
        <v>310</v>
      </c>
      <c r="E125" s="155" t="s">
        <v>476</v>
      </c>
      <c r="F125" s="150"/>
      <c r="G125" s="150"/>
      <c r="H125" s="150"/>
      <c r="I125" s="150"/>
      <c r="J125" s="150"/>
      <c r="K125" s="150"/>
      <c r="L125" s="150"/>
      <c r="M125" s="150"/>
      <c r="N125" s="150"/>
      <c r="O125" s="150"/>
      <c r="P125" s="150"/>
      <c r="Q125" s="150"/>
      <c r="R125" s="150"/>
      <c r="S125" s="150"/>
      <c r="T125" s="150"/>
      <c r="U125" s="150"/>
      <c r="V125" s="150"/>
      <c r="W125" s="150"/>
      <c r="X125" s="150"/>
      <c r="Y125" s="150"/>
      <c r="Z125" s="150"/>
      <c r="AA125" s="150"/>
      <c r="AB125" s="150"/>
      <c r="AC125" s="166">
        <v>121.86152603617398</v>
      </c>
      <c r="AD125" s="166">
        <v>120.01160337697544</v>
      </c>
      <c r="AE125" s="166">
        <v>116.95594883502993</v>
      </c>
      <c r="AF125" s="166">
        <v>114.66732432087197</v>
      </c>
      <c r="AG125" s="166">
        <v>112.80967430446599</v>
      </c>
      <c r="AH125" s="166">
        <v>111.3536251925038</v>
      </c>
      <c r="AI125" s="166">
        <v>110.27697647425563</v>
      </c>
      <c r="AJ125" s="166">
        <v>109.26082753179607</v>
      </c>
      <c r="AK125" s="166">
        <v>107.92323829436916</v>
      </c>
      <c r="AL125" s="166">
        <v>106.68228495991369</v>
      </c>
      <c r="AM125" s="166">
        <v>105.64442383008557</v>
      </c>
      <c r="AN125" s="166">
        <v>104.7550728877856</v>
      </c>
      <c r="AO125" s="166">
        <v>104.02127153476697</v>
      </c>
      <c r="AP125" s="166">
        <v>103.43694799046061</v>
      </c>
      <c r="AQ125" s="166">
        <v>102.96542551308575</v>
      </c>
      <c r="AR125" s="166">
        <v>102.48081320538829</v>
      </c>
      <c r="AS125" s="166">
        <v>101.88152483764281</v>
      </c>
      <c r="AT125" s="166">
        <v>101.21863033094485</v>
      </c>
      <c r="AU125" s="166">
        <v>100.70138854954867</v>
      </c>
      <c r="AV125" s="166">
        <v>100.37357549548169</v>
      </c>
      <c r="AW125" s="167">
        <f t="shared" si="32"/>
        <v>100.37357549548169</v>
      </c>
      <c r="AX125" s="150"/>
      <c r="AY125" s="150"/>
      <c r="AZ125" s="150"/>
      <c r="BA125" s="150"/>
      <c r="BB125" s="150"/>
      <c r="BC125" s="150"/>
      <c r="BD125" s="150"/>
      <c r="BE125" s="150"/>
      <c r="BF125" s="150"/>
      <c r="BG125" s="150"/>
      <c r="BH125" s="150"/>
      <c r="BI125" s="150"/>
      <c r="BJ125" s="150"/>
      <c r="BK125" s="150"/>
      <c r="BL125" s="150"/>
      <c r="BM125" s="150"/>
      <c r="BN125" s="150"/>
      <c r="BO125" s="150"/>
    </row>
    <row r="126" spans="1:67" x14ac:dyDescent="0.2">
      <c r="A126" s="150" t="s">
        <v>407</v>
      </c>
      <c r="B126" s="150" t="s">
        <v>265</v>
      </c>
      <c r="C126" s="150" t="s">
        <v>407</v>
      </c>
      <c r="D126" s="150" t="s">
        <v>301</v>
      </c>
      <c r="E126" s="155" t="s">
        <v>476</v>
      </c>
      <c r="F126" s="150"/>
      <c r="G126" s="150"/>
      <c r="H126" s="150"/>
      <c r="I126" s="150"/>
      <c r="J126" s="150"/>
      <c r="K126" s="150"/>
      <c r="L126" s="150"/>
      <c r="M126" s="150"/>
      <c r="N126" s="150"/>
      <c r="O126" s="150"/>
      <c r="P126" s="150"/>
      <c r="Q126" s="150"/>
      <c r="R126" s="150"/>
      <c r="S126" s="150"/>
      <c r="T126" s="150"/>
      <c r="U126" s="150"/>
      <c r="V126" s="150"/>
      <c r="W126" s="150"/>
      <c r="X126" s="150"/>
      <c r="Y126" s="150"/>
      <c r="Z126" s="150"/>
      <c r="AA126" s="150"/>
      <c r="AB126" s="150"/>
      <c r="AC126" s="166">
        <v>721.91081696183778</v>
      </c>
      <c r="AD126" s="166">
        <v>725.26314061491541</v>
      </c>
      <c r="AE126" s="166">
        <v>720.38675976632203</v>
      </c>
      <c r="AF126" s="166">
        <v>722.38717380811977</v>
      </c>
      <c r="AG126" s="166">
        <v>722.97270777527478</v>
      </c>
      <c r="AH126" s="166">
        <v>715.12355392202323</v>
      </c>
      <c r="AI126" s="166">
        <v>707.10324870306999</v>
      </c>
      <c r="AJ126" s="166">
        <v>700.62391442557316</v>
      </c>
      <c r="AK126" s="166">
        <v>696.12019036745801</v>
      </c>
      <c r="AL126" s="166">
        <v>687.87815145965703</v>
      </c>
      <c r="AM126" s="166">
        <v>681.73049016159177</v>
      </c>
      <c r="AN126" s="166">
        <v>676.6414581467385</v>
      </c>
      <c r="AO126" s="166">
        <v>674.73844482879599</v>
      </c>
      <c r="AP126" s="166">
        <v>669.50819507426456</v>
      </c>
      <c r="AQ126" s="166">
        <v>666.40240091028261</v>
      </c>
      <c r="AR126" s="166">
        <v>663.10981119008693</v>
      </c>
      <c r="AS126" s="166">
        <v>662.73126309413988</v>
      </c>
      <c r="AT126" s="166">
        <v>659.53219841068676</v>
      </c>
      <c r="AU126" s="166">
        <v>658.85039903993788</v>
      </c>
      <c r="AV126" s="166">
        <v>659.25179707460791</v>
      </c>
      <c r="AW126" s="167">
        <f t="shared" si="32"/>
        <v>659.25179707460791</v>
      </c>
      <c r="AX126" s="150"/>
      <c r="AY126" s="150"/>
      <c r="AZ126" s="150"/>
      <c r="BA126" s="150"/>
      <c r="BB126" s="150"/>
      <c r="BC126" s="150"/>
      <c r="BD126" s="150"/>
      <c r="BE126" s="150"/>
      <c r="BF126" s="150"/>
      <c r="BG126" s="150"/>
      <c r="BH126" s="150"/>
      <c r="BI126" s="150"/>
      <c r="BJ126" s="150"/>
      <c r="BK126" s="150"/>
      <c r="BL126" s="150"/>
      <c r="BM126" s="150"/>
      <c r="BN126" s="150"/>
      <c r="BO126" s="150"/>
    </row>
    <row r="127" spans="1:67" x14ac:dyDescent="0.2">
      <c r="A127" s="150" t="s">
        <v>407</v>
      </c>
      <c r="B127" s="150" t="s">
        <v>265</v>
      </c>
      <c r="C127" s="150" t="s">
        <v>407</v>
      </c>
      <c r="D127" s="150" t="s">
        <v>303</v>
      </c>
      <c r="E127" s="155" t="s">
        <v>472</v>
      </c>
      <c r="F127" s="150"/>
      <c r="G127" s="150"/>
      <c r="H127" s="150"/>
      <c r="I127" s="150"/>
      <c r="J127" s="150"/>
      <c r="K127" s="150"/>
      <c r="L127" s="150"/>
      <c r="M127" s="150"/>
      <c r="N127" s="150"/>
      <c r="O127" s="150"/>
      <c r="P127" s="150"/>
      <c r="Q127" s="150"/>
      <c r="R127" s="150"/>
      <c r="S127" s="150"/>
      <c r="T127" s="150"/>
      <c r="U127" s="150"/>
      <c r="V127" s="150"/>
      <c r="W127" s="150"/>
      <c r="X127" s="150"/>
      <c r="Y127" s="150" t="s">
        <v>501</v>
      </c>
      <c r="Z127" s="150"/>
      <c r="AA127" s="150"/>
      <c r="AB127" s="150"/>
      <c r="AC127" s="166">
        <v>346.31803664921296</v>
      </c>
      <c r="AD127" s="166">
        <v>347.92199565831874</v>
      </c>
      <c r="AE127" s="166">
        <v>345.5631490149018</v>
      </c>
      <c r="AF127" s="166">
        <v>346.61846340556093</v>
      </c>
      <c r="AG127" s="166">
        <v>347.00870976774053</v>
      </c>
      <c r="AH127" s="166">
        <v>343.34739988389288</v>
      </c>
      <c r="AI127" s="166">
        <v>339.57968587231744</v>
      </c>
      <c r="AJ127" s="166">
        <v>336.54501256690907</v>
      </c>
      <c r="AK127" s="166">
        <v>334.44279949657823</v>
      </c>
      <c r="AL127" s="166">
        <v>330.53560840063506</v>
      </c>
      <c r="AM127" s="166">
        <v>327.61963866727592</v>
      </c>
      <c r="AN127" s="166">
        <v>325.21786491243779</v>
      </c>
      <c r="AO127" s="166">
        <v>324.33575481626639</v>
      </c>
      <c r="AP127" s="166">
        <v>321.82187373564062</v>
      </c>
      <c r="AQ127" s="166">
        <v>320.30591349580385</v>
      </c>
      <c r="AR127" s="166">
        <v>318.68483238643705</v>
      </c>
      <c r="AS127" s="166">
        <v>318.470502330079</v>
      </c>
      <c r="AT127" s="166">
        <v>316.91727855810331</v>
      </c>
      <c r="AU127" s="166">
        <v>316.53240639886275</v>
      </c>
      <c r="AV127" s="166">
        <v>316.66641742588752</v>
      </c>
      <c r="AW127" s="167">
        <f t="shared" si="32"/>
        <v>316.66641742588752</v>
      </c>
      <c r="AX127" s="150"/>
      <c r="AY127" s="150"/>
      <c r="AZ127" s="150"/>
      <c r="BA127" s="150"/>
      <c r="BB127" s="150"/>
      <c r="BC127" s="150"/>
      <c r="BD127" s="150"/>
      <c r="BE127" s="150"/>
      <c r="BF127" s="150"/>
      <c r="BG127" s="150"/>
      <c r="BH127" s="150"/>
      <c r="BI127" s="150"/>
      <c r="BJ127" s="150"/>
      <c r="BK127" s="150"/>
      <c r="BL127" s="150"/>
      <c r="BM127" s="150"/>
      <c r="BN127" s="150"/>
      <c r="BO127" s="150"/>
    </row>
    <row r="128" spans="1:67" x14ac:dyDescent="0.2">
      <c r="A128" s="150" t="s">
        <v>407</v>
      </c>
      <c r="B128" s="150" t="s">
        <v>265</v>
      </c>
      <c r="C128" s="150" t="s">
        <v>407</v>
      </c>
      <c r="D128" s="150" t="s">
        <v>310</v>
      </c>
      <c r="E128" s="155" t="s">
        <v>476</v>
      </c>
      <c r="F128" s="150"/>
      <c r="G128" s="150"/>
      <c r="H128" s="150"/>
      <c r="I128" s="150"/>
      <c r="J128" s="150"/>
      <c r="K128" s="150"/>
      <c r="L128" s="150"/>
      <c r="M128" s="150"/>
      <c r="N128" s="150"/>
      <c r="O128" s="150"/>
      <c r="P128" s="150"/>
      <c r="Q128" s="150"/>
      <c r="R128" s="150"/>
      <c r="S128" s="150"/>
      <c r="T128" s="150"/>
      <c r="U128" s="150"/>
      <c r="V128" s="150"/>
      <c r="W128" s="150"/>
      <c r="X128" s="150"/>
      <c r="Y128" s="150"/>
      <c r="Z128" s="150"/>
      <c r="AA128" s="150"/>
      <c r="AB128" s="150"/>
      <c r="AC128" s="166">
        <v>0</v>
      </c>
      <c r="AD128" s="166">
        <v>0</v>
      </c>
      <c r="AE128" s="166">
        <v>0</v>
      </c>
      <c r="AF128" s="166">
        <v>0</v>
      </c>
      <c r="AG128" s="166">
        <v>0</v>
      </c>
      <c r="AH128" s="166">
        <v>0</v>
      </c>
      <c r="AI128" s="166">
        <v>0</v>
      </c>
      <c r="AJ128" s="166">
        <v>0</v>
      </c>
      <c r="AK128" s="166">
        <v>0</v>
      </c>
      <c r="AL128" s="166">
        <v>0</v>
      </c>
      <c r="AM128" s="166">
        <v>0</v>
      </c>
      <c r="AN128" s="166">
        <v>0</v>
      </c>
      <c r="AO128" s="166">
        <v>0</v>
      </c>
      <c r="AP128" s="166">
        <v>0</v>
      </c>
      <c r="AQ128" s="166">
        <v>0</v>
      </c>
      <c r="AR128" s="166">
        <v>0</v>
      </c>
      <c r="AS128" s="166">
        <v>0</v>
      </c>
      <c r="AT128" s="166">
        <v>0</v>
      </c>
      <c r="AU128" s="166">
        <v>0</v>
      </c>
      <c r="AV128" s="166">
        <v>0</v>
      </c>
      <c r="AW128" s="167">
        <f t="shared" si="32"/>
        <v>0</v>
      </c>
      <c r="AX128" s="150"/>
      <c r="AY128" s="150"/>
      <c r="AZ128" s="150"/>
      <c r="BA128" s="150"/>
      <c r="BB128" s="150"/>
      <c r="BC128" s="150"/>
      <c r="BD128" s="150"/>
      <c r="BE128" s="150"/>
      <c r="BF128" s="150"/>
      <c r="BG128" s="150"/>
      <c r="BH128" s="150"/>
      <c r="BI128" s="150"/>
      <c r="BJ128" s="150"/>
      <c r="BK128" s="150"/>
      <c r="BL128" s="150"/>
      <c r="BM128" s="150"/>
      <c r="BN128" s="150"/>
      <c r="BO128" s="150"/>
    </row>
    <row r="132" spans="1:64" customFormat="1" ht="11.25" x14ac:dyDescent="0.2">
      <c r="A132" s="126"/>
      <c r="B132" s="127" t="s">
        <v>45</v>
      </c>
      <c r="C132" s="127"/>
      <c r="D132" s="127"/>
      <c r="E132" s="127"/>
      <c r="F132" s="127"/>
      <c r="G132" s="128"/>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0084B-A427-4D90-905F-FD480857F3F5}">
  <sheetPr codeName="Sheet5">
    <tabColor rgb="FFFF6565"/>
  </sheetPr>
  <dimension ref="A1:BY267"/>
  <sheetViews>
    <sheetView showGridLines="0" zoomScale="85" zoomScaleNormal="85" workbookViewId="0">
      <pane xSplit="2" ySplit="7" topLeftCell="C8" activePane="bottomRight" state="frozen"/>
      <selection pane="topRight" activeCell="C1" sqref="C1"/>
      <selection pane="bottomLeft" activeCell="A8" sqref="A8"/>
      <selection pane="bottomRight"/>
    </sheetView>
  </sheetViews>
  <sheetFormatPr defaultColWidth="11" defaultRowHeight="15" outlineLevelCol="1" x14ac:dyDescent="0.2"/>
  <cols>
    <col min="1" max="1" width="4.6640625" style="48" customWidth="1"/>
    <col min="2" max="2" width="8.1640625" style="48" customWidth="1"/>
    <col min="3" max="3" width="13.6640625" style="48" bestFit="1" customWidth="1"/>
    <col min="4" max="4" width="11.1640625" style="48" bestFit="1" customWidth="1"/>
    <col min="5" max="8" width="12" style="48" customWidth="1"/>
    <col min="9" max="11" width="12" style="48" customWidth="1" outlineLevel="1"/>
    <col min="12" max="12" width="12" style="48" hidden="1" customWidth="1" outlineLevel="1"/>
    <col min="13" max="14" width="10.1640625" style="48" hidden="1" customWidth="1" outlineLevel="1"/>
    <col min="15" max="15" width="12.6640625" style="48" hidden="1" customWidth="1" outlineLevel="1"/>
    <col min="16" max="18" width="11.6640625" style="48" hidden="1" customWidth="1" outlineLevel="1"/>
    <col min="19" max="26" width="12.6640625" style="48" hidden="1" customWidth="1" outlineLevel="1"/>
    <col min="27" max="27" width="14.83203125" style="48" customWidth="1" outlineLevel="1"/>
    <col min="28" max="53" width="15.83203125" style="48" bestFit="1" customWidth="1"/>
    <col min="54" max="64" width="15.83203125" style="51" bestFit="1" customWidth="1"/>
    <col min="65" max="65" width="12" style="51" bestFit="1" customWidth="1"/>
    <col min="66" max="77" width="11.1640625" style="51" bestFit="1" customWidth="1"/>
    <col min="78" max="16384" width="11" style="51"/>
  </cols>
  <sheetData>
    <row r="1" spans="1:77" ht="12.75" x14ac:dyDescent="0.2">
      <c r="A1" s="51"/>
      <c r="B1" s="52" t="s">
        <v>502</v>
      </c>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row>
    <row r="2" spans="1:77" ht="12.75" hidden="1" x14ac:dyDescent="0.2">
      <c r="A2" s="51"/>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row>
    <row r="3" spans="1:77" ht="12.75" hidden="1" x14ac:dyDescent="0.2">
      <c r="A3" s="51"/>
      <c r="B3" s="51"/>
      <c r="C3" s="51"/>
      <c r="D3" s="51"/>
      <c r="E3" s="51"/>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row>
    <row r="4" spans="1:77" ht="12.75" x14ac:dyDescent="0.2">
      <c r="A4" s="51"/>
      <c r="B4" s="51"/>
      <c r="C4" s="51" t="s">
        <v>426</v>
      </c>
      <c r="D4" s="51"/>
      <c r="E4" s="51"/>
      <c r="F4" s="51"/>
      <c r="G4" s="51"/>
      <c r="H4" s="51"/>
      <c r="I4" s="54">
        <f t="shared" ref="I4:AC4" si="0">J4-1</f>
        <v>-20</v>
      </c>
      <c r="J4" s="54">
        <f t="shared" si="0"/>
        <v>-19</v>
      </c>
      <c r="K4" s="54">
        <f t="shared" si="0"/>
        <v>-18</v>
      </c>
      <c r="L4" s="54">
        <f t="shared" si="0"/>
        <v>-17</v>
      </c>
      <c r="M4" s="54">
        <f t="shared" si="0"/>
        <v>-16</v>
      </c>
      <c r="N4" s="54">
        <f t="shared" si="0"/>
        <v>-15</v>
      </c>
      <c r="O4" s="54">
        <f t="shared" si="0"/>
        <v>-14</v>
      </c>
      <c r="P4" s="54">
        <f t="shared" si="0"/>
        <v>-13</v>
      </c>
      <c r="Q4" s="54">
        <f t="shared" si="0"/>
        <v>-12</v>
      </c>
      <c r="R4" s="54">
        <f t="shared" si="0"/>
        <v>-11</v>
      </c>
      <c r="S4" s="54">
        <f t="shared" si="0"/>
        <v>-10</v>
      </c>
      <c r="T4" s="54">
        <f t="shared" si="0"/>
        <v>-9</v>
      </c>
      <c r="U4" s="54">
        <f t="shared" si="0"/>
        <v>-8</v>
      </c>
      <c r="V4" s="54">
        <f t="shared" si="0"/>
        <v>-7</v>
      </c>
      <c r="W4" s="54">
        <f t="shared" si="0"/>
        <v>-6</v>
      </c>
      <c r="X4" s="54">
        <f t="shared" si="0"/>
        <v>-5</v>
      </c>
      <c r="Y4" s="54">
        <f t="shared" si="0"/>
        <v>-4</v>
      </c>
      <c r="Z4" s="54">
        <f t="shared" si="0"/>
        <v>-3</v>
      </c>
      <c r="AA4" s="54">
        <f t="shared" si="0"/>
        <v>-2</v>
      </c>
      <c r="AB4" s="54">
        <f t="shared" si="0"/>
        <v>-1</v>
      </c>
      <c r="AC4" s="54">
        <f t="shared" si="0"/>
        <v>0</v>
      </c>
      <c r="AD4" s="54">
        <v>1</v>
      </c>
      <c r="AE4" s="54">
        <f t="shared" ref="AE4:AT5" si="1">AD4+1</f>
        <v>2</v>
      </c>
      <c r="AF4" s="54">
        <f t="shared" si="1"/>
        <v>3</v>
      </c>
      <c r="AG4" s="54">
        <f t="shared" si="1"/>
        <v>4</v>
      </c>
      <c r="AH4" s="54">
        <f t="shared" si="1"/>
        <v>5</v>
      </c>
      <c r="AI4" s="54">
        <f t="shared" si="1"/>
        <v>6</v>
      </c>
      <c r="AJ4" s="54">
        <f t="shared" si="1"/>
        <v>7</v>
      </c>
      <c r="AK4" s="54">
        <f t="shared" si="1"/>
        <v>8</v>
      </c>
      <c r="AL4" s="54">
        <f t="shared" si="1"/>
        <v>9</v>
      </c>
      <c r="AM4" s="54">
        <f t="shared" si="1"/>
        <v>10</v>
      </c>
      <c r="AN4" s="54">
        <f t="shared" si="1"/>
        <v>11</v>
      </c>
      <c r="AO4" s="54">
        <f t="shared" si="1"/>
        <v>12</v>
      </c>
      <c r="AP4" s="54">
        <f t="shared" si="1"/>
        <v>13</v>
      </c>
      <c r="AQ4" s="54">
        <f t="shared" si="1"/>
        <v>14</v>
      </c>
      <c r="AR4" s="54">
        <f t="shared" si="1"/>
        <v>15</v>
      </c>
      <c r="AS4" s="54">
        <f t="shared" si="1"/>
        <v>16</v>
      </c>
      <c r="AT4" s="54">
        <f t="shared" si="1"/>
        <v>17</v>
      </c>
      <c r="AU4" s="54">
        <f t="shared" ref="AU4:BJ5" si="2">AT4+1</f>
        <v>18</v>
      </c>
      <c r="AV4" s="54">
        <f t="shared" si="2"/>
        <v>19</v>
      </c>
      <c r="AW4" s="54">
        <f t="shared" si="2"/>
        <v>20</v>
      </c>
      <c r="AX4" s="54">
        <f t="shared" si="2"/>
        <v>21</v>
      </c>
      <c r="AY4" s="54">
        <f t="shared" si="2"/>
        <v>22</v>
      </c>
      <c r="AZ4" s="54">
        <f t="shared" si="2"/>
        <v>23</v>
      </c>
      <c r="BA4" s="54">
        <f t="shared" si="2"/>
        <v>24</v>
      </c>
      <c r="BB4" s="54">
        <f t="shared" si="2"/>
        <v>25</v>
      </c>
      <c r="BC4" s="54">
        <f t="shared" si="2"/>
        <v>26</v>
      </c>
      <c r="BD4" s="54">
        <f t="shared" si="2"/>
        <v>27</v>
      </c>
      <c r="BE4" s="54">
        <f t="shared" si="2"/>
        <v>28</v>
      </c>
      <c r="BF4" s="54">
        <f t="shared" si="2"/>
        <v>29</v>
      </c>
      <c r="BG4" s="54">
        <f t="shared" si="2"/>
        <v>30</v>
      </c>
      <c r="BH4" s="54">
        <f t="shared" si="2"/>
        <v>31</v>
      </c>
      <c r="BI4" s="54">
        <f t="shared" si="2"/>
        <v>32</v>
      </c>
      <c r="BJ4" s="54">
        <f t="shared" si="2"/>
        <v>33</v>
      </c>
      <c r="BK4" s="54">
        <f t="shared" ref="BK4:BL5" si="3">BJ4+1</f>
        <v>34</v>
      </c>
      <c r="BL4" s="54">
        <f t="shared" si="3"/>
        <v>35</v>
      </c>
    </row>
    <row r="5" spans="1:77" ht="12.75" x14ac:dyDescent="0.2">
      <c r="A5" s="51"/>
      <c r="B5" s="51"/>
      <c r="C5" s="51" t="s">
        <v>427</v>
      </c>
      <c r="D5" s="51"/>
      <c r="E5" s="51"/>
      <c r="F5" s="51"/>
      <c r="G5" s="51"/>
      <c r="H5" s="51"/>
      <c r="I5" s="54">
        <v>2003</v>
      </c>
      <c r="J5" s="54">
        <f>I5+1</f>
        <v>2004</v>
      </c>
      <c r="K5" s="54">
        <f t="shared" ref="K5:AP5" si="4">J5+1</f>
        <v>2005</v>
      </c>
      <c r="L5" s="54">
        <f t="shared" si="4"/>
        <v>2006</v>
      </c>
      <c r="M5" s="54">
        <f t="shared" si="4"/>
        <v>2007</v>
      </c>
      <c r="N5" s="54">
        <f t="shared" si="4"/>
        <v>2008</v>
      </c>
      <c r="O5" s="54">
        <f t="shared" si="4"/>
        <v>2009</v>
      </c>
      <c r="P5" s="54">
        <f t="shared" si="4"/>
        <v>2010</v>
      </c>
      <c r="Q5" s="54">
        <f t="shared" si="4"/>
        <v>2011</v>
      </c>
      <c r="R5" s="54">
        <f t="shared" si="4"/>
        <v>2012</v>
      </c>
      <c r="S5" s="54">
        <f t="shared" si="4"/>
        <v>2013</v>
      </c>
      <c r="T5" s="54">
        <f t="shared" si="4"/>
        <v>2014</v>
      </c>
      <c r="U5" s="54">
        <f t="shared" si="4"/>
        <v>2015</v>
      </c>
      <c r="V5" s="54">
        <f t="shared" si="4"/>
        <v>2016</v>
      </c>
      <c r="W5" s="54">
        <f t="shared" si="4"/>
        <v>2017</v>
      </c>
      <c r="X5" s="54">
        <f t="shared" si="4"/>
        <v>2018</v>
      </c>
      <c r="Y5" s="54">
        <f t="shared" si="4"/>
        <v>2019</v>
      </c>
      <c r="Z5" s="54">
        <f t="shared" si="4"/>
        <v>2020</v>
      </c>
      <c r="AA5" s="54">
        <f t="shared" si="4"/>
        <v>2021</v>
      </c>
      <c r="AB5" s="54">
        <f t="shared" si="4"/>
        <v>2022</v>
      </c>
      <c r="AC5" s="54">
        <f t="shared" si="4"/>
        <v>2023</v>
      </c>
      <c r="AD5" s="54">
        <f t="shared" si="4"/>
        <v>2024</v>
      </c>
      <c r="AE5" s="54">
        <f t="shared" si="4"/>
        <v>2025</v>
      </c>
      <c r="AF5" s="54">
        <f t="shared" si="4"/>
        <v>2026</v>
      </c>
      <c r="AG5" s="54">
        <f t="shared" si="4"/>
        <v>2027</v>
      </c>
      <c r="AH5" s="54">
        <f t="shared" si="4"/>
        <v>2028</v>
      </c>
      <c r="AI5" s="54">
        <f t="shared" si="4"/>
        <v>2029</v>
      </c>
      <c r="AJ5" s="54">
        <f t="shared" si="4"/>
        <v>2030</v>
      </c>
      <c r="AK5" s="54">
        <f t="shared" si="4"/>
        <v>2031</v>
      </c>
      <c r="AL5" s="54">
        <f t="shared" si="4"/>
        <v>2032</v>
      </c>
      <c r="AM5" s="54">
        <f t="shared" si="4"/>
        <v>2033</v>
      </c>
      <c r="AN5" s="54">
        <f t="shared" si="4"/>
        <v>2034</v>
      </c>
      <c r="AO5" s="54">
        <f t="shared" si="4"/>
        <v>2035</v>
      </c>
      <c r="AP5" s="54">
        <f t="shared" si="4"/>
        <v>2036</v>
      </c>
      <c r="AQ5" s="54">
        <f t="shared" si="1"/>
        <v>2037</v>
      </c>
      <c r="AR5" s="54">
        <f t="shared" si="1"/>
        <v>2038</v>
      </c>
      <c r="AS5" s="54">
        <f t="shared" si="1"/>
        <v>2039</v>
      </c>
      <c r="AT5" s="54">
        <f t="shared" si="1"/>
        <v>2040</v>
      </c>
      <c r="AU5" s="54">
        <f t="shared" si="2"/>
        <v>2041</v>
      </c>
      <c r="AV5" s="54">
        <f t="shared" si="2"/>
        <v>2042</v>
      </c>
      <c r="AW5" s="54">
        <f t="shared" si="2"/>
        <v>2043</v>
      </c>
      <c r="AX5" s="54">
        <f t="shared" si="2"/>
        <v>2044</v>
      </c>
      <c r="AY5" s="54">
        <f t="shared" si="2"/>
        <v>2045</v>
      </c>
      <c r="AZ5" s="54">
        <f t="shared" si="2"/>
        <v>2046</v>
      </c>
      <c r="BA5" s="54">
        <f t="shared" si="2"/>
        <v>2047</v>
      </c>
      <c r="BB5" s="54">
        <f t="shared" si="2"/>
        <v>2048</v>
      </c>
      <c r="BC5" s="54">
        <f t="shared" si="2"/>
        <v>2049</v>
      </c>
      <c r="BD5" s="54">
        <f t="shared" si="2"/>
        <v>2050</v>
      </c>
      <c r="BE5" s="54">
        <f t="shared" si="2"/>
        <v>2051</v>
      </c>
      <c r="BF5" s="54">
        <f t="shared" si="2"/>
        <v>2052</v>
      </c>
      <c r="BG5" s="54">
        <f t="shared" si="2"/>
        <v>2053</v>
      </c>
      <c r="BH5" s="54">
        <f t="shared" si="2"/>
        <v>2054</v>
      </c>
      <c r="BI5" s="54">
        <f t="shared" si="2"/>
        <v>2055</v>
      </c>
      <c r="BJ5" s="54">
        <f t="shared" si="2"/>
        <v>2056</v>
      </c>
      <c r="BK5" s="54">
        <f t="shared" si="3"/>
        <v>2057</v>
      </c>
      <c r="BL5" s="54">
        <f t="shared" si="3"/>
        <v>2058</v>
      </c>
    </row>
    <row r="6" spans="1:77" ht="12.75" x14ac:dyDescent="0.2">
      <c r="A6" s="51"/>
      <c r="B6" s="51"/>
      <c r="C6" s="51" t="s">
        <v>428</v>
      </c>
      <c r="D6" s="51"/>
      <c r="E6" s="51"/>
      <c r="F6" s="51"/>
      <c r="G6" s="51"/>
      <c r="H6" s="51"/>
      <c r="I6" s="54">
        <v>2004</v>
      </c>
      <c r="J6" s="54">
        <f t="shared" ref="J6:BL6" si="5">I6+1</f>
        <v>2005</v>
      </c>
      <c r="K6" s="54">
        <f t="shared" si="5"/>
        <v>2006</v>
      </c>
      <c r="L6" s="54">
        <f t="shared" si="5"/>
        <v>2007</v>
      </c>
      <c r="M6" s="54">
        <f t="shared" si="5"/>
        <v>2008</v>
      </c>
      <c r="N6" s="54">
        <f t="shared" si="5"/>
        <v>2009</v>
      </c>
      <c r="O6" s="54">
        <f t="shared" si="5"/>
        <v>2010</v>
      </c>
      <c r="P6" s="54">
        <f t="shared" si="5"/>
        <v>2011</v>
      </c>
      <c r="Q6" s="54">
        <f t="shared" si="5"/>
        <v>2012</v>
      </c>
      <c r="R6" s="54">
        <f t="shared" si="5"/>
        <v>2013</v>
      </c>
      <c r="S6" s="54">
        <f t="shared" si="5"/>
        <v>2014</v>
      </c>
      <c r="T6" s="54">
        <f t="shared" si="5"/>
        <v>2015</v>
      </c>
      <c r="U6" s="54">
        <f t="shared" si="5"/>
        <v>2016</v>
      </c>
      <c r="V6" s="54">
        <f t="shared" si="5"/>
        <v>2017</v>
      </c>
      <c r="W6" s="54">
        <f t="shared" si="5"/>
        <v>2018</v>
      </c>
      <c r="X6" s="54">
        <f t="shared" si="5"/>
        <v>2019</v>
      </c>
      <c r="Y6" s="54">
        <f t="shared" si="5"/>
        <v>2020</v>
      </c>
      <c r="Z6" s="54">
        <f t="shared" si="5"/>
        <v>2021</v>
      </c>
      <c r="AA6" s="54">
        <f t="shared" si="5"/>
        <v>2022</v>
      </c>
      <c r="AB6" s="54">
        <f t="shared" si="5"/>
        <v>2023</v>
      </c>
      <c r="AC6" s="54">
        <f t="shared" si="5"/>
        <v>2024</v>
      </c>
      <c r="AD6" s="54">
        <f t="shared" si="5"/>
        <v>2025</v>
      </c>
      <c r="AE6" s="54">
        <f t="shared" si="5"/>
        <v>2026</v>
      </c>
      <c r="AF6" s="54">
        <f t="shared" si="5"/>
        <v>2027</v>
      </c>
      <c r="AG6" s="54">
        <f t="shared" si="5"/>
        <v>2028</v>
      </c>
      <c r="AH6" s="54">
        <f t="shared" si="5"/>
        <v>2029</v>
      </c>
      <c r="AI6" s="54">
        <f t="shared" si="5"/>
        <v>2030</v>
      </c>
      <c r="AJ6" s="54">
        <f t="shared" si="5"/>
        <v>2031</v>
      </c>
      <c r="AK6" s="54">
        <f t="shared" si="5"/>
        <v>2032</v>
      </c>
      <c r="AL6" s="54">
        <f t="shared" si="5"/>
        <v>2033</v>
      </c>
      <c r="AM6" s="54">
        <f t="shared" si="5"/>
        <v>2034</v>
      </c>
      <c r="AN6" s="54">
        <f t="shared" si="5"/>
        <v>2035</v>
      </c>
      <c r="AO6" s="54">
        <f t="shared" si="5"/>
        <v>2036</v>
      </c>
      <c r="AP6" s="54">
        <f t="shared" si="5"/>
        <v>2037</v>
      </c>
      <c r="AQ6" s="54">
        <f t="shared" si="5"/>
        <v>2038</v>
      </c>
      <c r="AR6" s="54">
        <f t="shared" si="5"/>
        <v>2039</v>
      </c>
      <c r="AS6" s="54">
        <f t="shared" si="5"/>
        <v>2040</v>
      </c>
      <c r="AT6" s="54">
        <f t="shared" si="5"/>
        <v>2041</v>
      </c>
      <c r="AU6" s="54">
        <f t="shared" si="5"/>
        <v>2042</v>
      </c>
      <c r="AV6" s="54">
        <f t="shared" si="5"/>
        <v>2043</v>
      </c>
      <c r="AW6" s="54">
        <f t="shared" si="5"/>
        <v>2044</v>
      </c>
      <c r="AX6" s="54">
        <f t="shared" si="5"/>
        <v>2045</v>
      </c>
      <c r="AY6" s="54">
        <f t="shared" si="5"/>
        <v>2046</v>
      </c>
      <c r="AZ6" s="54">
        <f t="shared" si="5"/>
        <v>2047</v>
      </c>
      <c r="BA6" s="54">
        <f t="shared" si="5"/>
        <v>2048</v>
      </c>
      <c r="BB6" s="54">
        <f t="shared" si="5"/>
        <v>2049</v>
      </c>
      <c r="BC6" s="54">
        <f t="shared" si="5"/>
        <v>2050</v>
      </c>
      <c r="BD6" s="54">
        <f t="shared" si="5"/>
        <v>2051</v>
      </c>
      <c r="BE6" s="54">
        <f t="shared" si="5"/>
        <v>2052</v>
      </c>
      <c r="BF6" s="54">
        <f t="shared" si="5"/>
        <v>2053</v>
      </c>
      <c r="BG6" s="54">
        <f t="shared" si="5"/>
        <v>2054</v>
      </c>
      <c r="BH6" s="54">
        <f t="shared" si="5"/>
        <v>2055</v>
      </c>
      <c r="BI6" s="54">
        <f t="shared" si="5"/>
        <v>2056</v>
      </c>
      <c r="BJ6" s="54">
        <f t="shared" si="5"/>
        <v>2057</v>
      </c>
      <c r="BK6" s="54">
        <f t="shared" si="5"/>
        <v>2058</v>
      </c>
      <c r="BL6" s="54">
        <f t="shared" si="5"/>
        <v>2059</v>
      </c>
    </row>
    <row r="7" spans="1:77" ht="12.75" x14ac:dyDescent="0.2">
      <c r="A7" s="55"/>
      <c r="B7" s="56"/>
      <c r="C7" s="55" t="s">
        <v>429</v>
      </c>
      <c r="D7" s="55"/>
      <c r="E7" s="55"/>
      <c r="F7" s="58"/>
      <c r="G7" s="55"/>
      <c r="H7" s="55"/>
      <c r="I7" s="59" t="s">
        <v>430</v>
      </c>
      <c r="J7" s="59" t="s">
        <v>431</v>
      </c>
      <c r="K7" s="60" t="s">
        <v>432</v>
      </c>
      <c r="L7" s="60" t="s">
        <v>433</v>
      </c>
      <c r="M7" s="60" t="s">
        <v>434</v>
      </c>
      <c r="N7" s="60" t="s">
        <v>435</v>
      </c>
      <c r="O7" s="60" t="s">
        <v>436</v>
      </c>
      <c r="P7" s="60" t="s">
        <v>437</v>
      </c>
      <c r="Q7" s="60" t="s">
        <v>438</v>
      </c>
      <c r="R7" s="60" t="s">
        <v>439</v>
      </c>
      <c r="S7" s="60" t="s">
        <v>440</v>
      </c>
      <c r="T7" s="60" t="s">
        <v>441</v>
      </c>
      <c r="U7" s="60" t="s">
        <v>442</v>
      </c>
      <c r="V7" s="60" t="s">
        <v>443</v>
      </c>
      <c r="W7" s="60" t="s">
        <v>444</v>
      </c>
      <c r="X7" s="60" t="s">
        <v>445</v>
      </c>
      <c r="Y7" s="60" t="s">
        <v>446</v>
      </c>
      <c r="Z7" s="60" t="s">
        <v>447</v>
      </c>
      <c r="AA7" s="60" t="s">
        <v>448</v>
      </c>
      <c r="AB7" s="60" t="s">
        <v>449</v>
      </c>
      <c r="AC7" s="60" t="s">
        <v>450</v>
      </c>
      <c r="AD7" s="60" t="s">
        <v>11</v>
      </c>
      <c r="AE7" s="60" t="s">
        <v>12</v>
      </c>
      <c r="AF7" s="60" t="s">
        <v>13</v>
      </c>
      <c r="AG7" s="60" t="s">
        <v>14</v>
      </c>
      <c r="AH7" s="60" t="s">
        <v>15</v>
      </c>
      <c r="AI7" s="60" t="s">
        <v>16</v>
      </c>
      <c r="AJ7" s="60" t="s">
        <v>17</v>
      </c>
      <c r="AK7" s="60" t="s">
        <v>18</v>
      </c>
      <c r="AL7" s="60" t="s">
        <v>19</v>
      </c>
      <c r="AM7" s="60" t="str">
        <f>AM5&amp;"-"&amp;RIGHT(AM6,2)</f>
        <v>2033-34</v>
      </c>
      <c r="AN7" s="60" t="str">
        <f t="shared" ref="AN7:BL7" si="6">AN5&amp;"-"&amp;RIGHT(AN6,2)</f>
        <v>2034-35</v>
      </c>
      <c r="AO7" s="60" t="str">
        <f t="shared" si="6"/>
        <v>2035-36</v>
      </c>
      <c r="AP7" s="60" t="str">
        <f t="shared" si="6"/>
        <v>2036-37</v>
      </c>
      <c r="AQ7" s="60" t="str">
        <f t="shared" si="6"/>
        <v>2037-38</v>
      </c>
      <c r="AR7" s="60" t="str">
        <f t="shared" si="6"/>
        <v>2038-39</v>
      </c>
      <c r="AS7" s="60" t="str">
        <f t="shared" si="6"/>
        <v>2039-40</v>
      </c>
      <c r="AT7" s="60" t="str">
        <f t="shared" si="6"/>
        <v>2040-41</v>
      </c>
      <c r="AU7" s="60" t="str">
        <f t="shared" si="6"/>
        <v>2041-42</v>
      </c>
      <c r="AV7" s="60" t="str">
        <f t="shared" si="6"/>
        <v>2042-43</v>
      </c>
      <c r="AW7" s="60" t="str">
        <f t="shared" si="6"/>
        <v>2043-44</v>
      </c>
      <c r="AX7" s="60" t="str">
        <f t="shared" si="6"/>
        <v>2044-45</v>
      </c>
      <c r="AY7" s="60" t="str">
        <f t="shared" si="6"/>
        <v>2045-46</v>
      </c>
      <c r="AZ7" s="60" t="str">
        <f t="shared" si="6"/>
        <v>2046-47</v>
      </c>
      <c r="BA7" s="60" t="str">
        <f t="shared" si="6"/>
        <v>2047-48</v>
      </c>
      <c r="BB7" s="60" t="str">
        <f t="shared" si="6"/>
        <v>2048-49</v>
      </c>
      <c r="BC7" s="60" t="str">
        <f t="shared" si="6"/>
        <v>2049-50</v>
      </c>
      <c r="BD7" s="60" t="str">
        <f t="shared" si="6"/>
        <v>2050-51</v>
      </c>
      <c r="BE7" s="60" t="str">
        <f t="shared" si="6"/>
        <v>2051-52</v>
      </c>
      <c r="BF7" s="60" t="str">
        <f t="shared" si="6"/>
        <v>2052-53</v>
      </c>
      <c r="BG7" s="60" t="str">
        <f t="shared" si="6"/>
        <v>2053-54</v>
      </c>
      <c r="BH7" s="60" t="str">
        <f t="shared" si="6"/>
        <v>2054-55</v>
      </c>
      <c r="BI7" s="60" t="str">
        <f t="shared" si="6"/>
        <v>2055-56</v>
      </c>
      <c r="BJ7" s="60" t="str">
        <f t="shared" si="6"/>
        <v>2056-57</v>
      </c>
      <c r="BK7" s="60" t="str">
        <f t="shared" si="6"/>
        <v>2057-58</v>
      </c>
      <c r="BL7" s="60" t="str">
        <f t="shared" si="6"/>
        <v>2058-59</v>
      </c>
    </row>
    <row r="8" spans="1:77" x14ac:dyDescent="0.2">
      <c r="A8" s="51"/>
      <c r="B8" s="65" t="s">
        <v>503</v>
      </c>
      <c r="C8" s="65"/>
      <c r="D8" s="51"/>
      <c r="E8" s="51"/>
      <c r="G8" s="51"/>
      <c r="H8" s="51"/>
      <c r="I8" s="51"/>
      <c r="J8" s="51"/>
      <c r="K8" s="51"/>
      <c r="L8" s="51"/>
      <c r="M8" s="51"/>
      <c r="N8" s="51"/>
      <c r="O8" s="51"/>
      <c r="P8" s="51"/>
      <c r="Q8" s="51"/>
      <c r="R8" s="51"/>
      <c r="S8" s="51"/>
      <c r="T8" s="51"/>
      <c r="U8" s="51"/>
      <c r="V8" s="51"/>
      <c r="W8" s="51" t="s">
        <v>504</v>
      </c>
      <c r="X8" s="51"/>
      <c r="Y8" s="51"/>
      <c r="Z8" s="51"/>
      <c r="AA8" s="51"/>
      <c r="AB8" s="51"/>
      <c r="AC8" s="51"/>
      <c r="AD8" s="173"/>
      <c r="AE8" s="173"/>
      <c r="AF8" s="173"/>
      <c r="AG8" s="173"/>
      <c r="AH8" s="173"/>
      <c r="AI8" s="173"/>
      <c r="AJ8" s="173"/>
      <c r="AK8" s="173"/>
      <c r="AL8" s="173"/>
      <c r="AM8" s="173"/>
      <c r="AN8" s="173"/>
      <c r="AO8" s="173"/>
      <c r="AP8" s="173"/>
      <c r="AQ8" s="173"/>
      <c r="AR8" s="173"/>
      <c r="AS8" s="173"/>
      <c r="AT8" s="173"/>
      <c r="AU8" s="173"/>
      <c r="AV8" s="173"/>
      <c r="AW8" s="173"/>
      <c r="AX8" s="173"/>
      <c r="AY8" s="173"/>
      <c r="AZ8" s="173"/>
      <c r="BA8" s="173"/>
      <c r="BB8" s="173"/>
      <c r="BC8" s="173"/>
      <c r="BD8" s="173"/>
      <c r="BE8" s="173"/>
      <c r="BF8" s="173"/>
      <c r="BG8" s="173"/>
      <c r="BH8" s="173"/>
      <c r="BI8" s="173"/>
      <c r="BJ8" s="173"/>
      <c r="BK8" s="173"/>
      <c r="BL8" s="173"/>
    </row>
    <row r="9" spans="1:77" ht="51" x14ac:dyDescent="0.2">
      <c r="A9" s="51"/>
      <c r="B9" s="51"/>
      <c r="C9" s="64" t="s">
        <v>505</v>
      </c>
      <c r="D9" s="64" t="s">
        <v>506</v>
      </c>
      <c r="E9" s="64" t="s">
        <v>507</v>
      </c>
      <c r="F9" s="66" t="s">
        <v>508</v>
      </c>
      <c r="G9" s="51"/>
      <c r="H9" s="51"/>
      <c r="I9" s="51"/>
      <c r="J9" s="51"/>
      <c r="K9" s="51"/>
      <c r="L9" s="51"/>
      <c r="M9" s="51"/>
      <c r="N9" s="51"/>
      <c r="O9" s="51"/>
      <c r="P9" s="51"/>
      <c r="Q9" s="51"/>
      <c r="R9" s="51" t="s">
        <v>101</v>
      </c>
      <c r="S9" s="67" t="s">
        <v>509</v>
      </c>
      <c r="T9" s="67" t="s">
        <v>509</v>
      </c>
      <c r="U9" s="67" t="s">
        <v>509</v>
      </c>
      <c r="V9" s="67" t="s">
        <v>509</v>
      </c>
      <c r="W9" s="67" t="s">
        <v>509</v>
      </c>
      <c r="X9" s="67" t="s">
        <v>509</v>
      </c>
      <c r="Y9" s="67" t="s">
        <v>509</v>
      </c>
      <c r="Z9" s="67" t="s">
        <v>509</v>
      </c>
      <c r="AA9" s="67" t="s">
        <v>509</v>
      </c>
      <c r="AB9" s="68" t="s">
        <v>510</v>
      </c>
      <c r="AC9" s="68" t="s">
        <v>510</v>
      </c>
      <c r="AD9" s="68" t="s">
        <v>510</v>
      </c>
      <c r="AE9" s="68" t="s">
        <v>510</v>
      </c>
      <c r="AF9" s="68" t="s">
        <v>510</v>
      </c>
      <c r="AG9" s="68" t="s">
        <v>510</v>
      </c>
      <c r="AH9" s="68" t="s">
        <v>510</v>
      </c>
      <c r="AI9" s="68" t="s">
        <v>510</v>
      </c>
      <c r="AJ9" s="68" t="s">
        <v>510</v>
      </c>
      <c r="AK9" s="68" t="s">
        <v>510</v>
      </c>
      <c r="AL9" s="68" t="s">
        <v>510</v>
      </c>
      <c r="AM9" s="68" t="s">
        <v>510</v>
      </c>
      <c r="AN9" s="68" t="s">
        <v>510</v>
      </c>
      <c r="AO9" s="68" t="s">
        <v>510</v>
      </c>
      <c r="AP9" s="68" t="s">
        <v>510</v>
      </c>
      <c r="AQ9" s="68" t="s">
        <v>510</v>
      </c>
      <c r="AR9" s="68" t="s">
        <v>510</v>
      </c>
      <c r="AS9" s="68" t="s">
        <v>510</v>
      </c>
      <c r="AT9" s="68" t="s">
        <v>510</v>
      </c>
      <c r="AU9" s="68" t="s">
        <v>510</v>
      </c>
      <c r="AV9" s="68" t="s">
        <v>510</v>
      </c>
      <c r="AW9" s="68" t="s">
        <v>510</v>
      </c>
      <c r="AX9" s="68" t="s">
        <v>510</v>
      </c>
      <c r="AY9" s="68" t="s">
        <v>510</v>
      </c>
      <c r="AZ9" s="68" t="s">
        <v>510</v>
      </c>
      <c r="BA9" s="68" t="s">
        <v>510</v>
      </c>
      <c r="BB9" s="68" t="s">
        <v>510</v>
      </c>
      <c r="BC9" s="68" t="s">
        <v>510</v>
      </c>
      <c r="BD9" s="68" t="s">
        <v>510</v>
      </c>
      <c r="BE9" s="68" t="s">
        <v>510</v>
      </c>
      <c r="BF9" s="68" t="s">
        <v>510</v>
      </c>
      <c r="BG9" s="68" t="s">
        <v>510</v>
      </c>
      <c r="BH9" s="68" t="s">
        <v>510</v>
      </c>
      <c r="BI9" s="68" t="s">
        <v>510</v>
      </c>
      <c r="BJ9" s="68" t="s">
        <v>510</v>
      </c>
      <c r="BK9" s="68" t="s">
        <v>510</v>
      </c>
      <c r="BL9" s="68" t="s">
        <v>510</v>
      </c>
    </row>
    <row r="10" spans="1:77" ht="12.75" x14ac:dyDescent="0.2">
      <c r="A10" s="51"/>
      <c r="B10" s="51"/>
      <c r="C10" s="64"/>
      <c r="D10" s="64"/>
      <c r="E10" s="64"/>
      <c r="F10" s="51"/>
      <c r="G10" s="51"/>
      <c r="H10" s="51"/>
      <c r="I10" s="51"/>
      <c r="J10" s="51"/>
      <c r="K10" s="51"/>
      <c r="L10" s="51"/>
      <c r="M10" s="51"/>
      <c r="N10" s="51"/>
      <c r="O10" s="51"/>
      <c r="P10" s="51"/>
      <c r="Q10" s="51"/>
      <c r="R10" s="51"/>
      <c r="S10" s="51"/>
      <c r="T10" s="51"/>
      <c r="U10" s="51"/>
      <c r="V10" s="51"/>
      <c r="W10" s="51"/>
      <c r="X10" s="51"/>
      <c r="Y10" s="51"/>
      <c r="Z10" s="51"/>
      <c r="AA10" s="51"/>
      <c r="AB10" s="51"/>
      <c r="AC10" s="51"/>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c r="BB10" s="173"/>
      <c r="BC10" s="173"/>
      <c r="BD10" s="173"/>
      <c r="BE10" s="173"/>
      <c r="BF10" s="173"/>
      <c r="BG10" s="173"/>
      <c r="BH10" s="173"/>
      <c r="BI10" s="173"/>
      <c r="BJ10" s="173"/>
      <c r="BK10" s="173"/>
      <c r="BL10" s="173"/>
    </row>
    <row r="11" spans="1:77" ht="12.75" x14ac:dyDescent="0.2">
      <c r="A11" s="51"/>
      <c r="B11" s="51"/>
      <c r="C11" s="64" t="s">
        <v>511</v>
      </c>
      <c r="D11" s="64"/>
      <c r="E11" s="64"/>
      <c r="F11" s="51"/>
      <c r="G11" s="51"/>
      <c r="H11" s="51"/>
      <c r="I11" s="51"/>
      <c r="J11" s="51"/>
      <c r="K11" s="51"/>
      <c r="L11" s="51"/>
      <c r="M11" s="51"/>
      <c r="N11" s="51"/>
      <c r="O11" s="51"/>
      <c r="P11" s="51"/>
      <c r="Q11" s="51"/>
      <c r="R11" s="51"/>
      <c r="S11" s="51"/>
      <c r="T11" s="51"/>
      <c r="U11" s="51"/>
      <c r="V11" s="51"/>
      <c r="W11" s="51"/>
      <c r="X11" s="51"/>
      <c r="Y11" s="51"/>
      <c r="Z11" s="51"/>
      <c r="AA11" s="51"/>
      <c r="AB11" s="51"/>
      <c r="AC11" s="51"/>
      <c r="AD11" s="173"/>
      <c r="AE11" s="173"/>
      <c r="AF11" s="173"/>
      <c r="AG11" s="173"/>
      <c r="AH11" s="173"/>
      <c r="AI11" s="173"/>
      <c r="AJ11" s="173"/>
      <c r="AK11" s="173"/>
      <c r="AL11" s="173"/>
      <c r="AM11" s="173"/>
      <c r="AN11" s="173"/>
      <c r="AO11" s="173"/>
      <c r="AP11" s="173"/>
      <c r="AQ11" s="173"/>
      <c r="AR11" s="173"/>
      <c r="AS11" s="173"/>
      <c r="AT11" s="173"/>
      <c r="AU11" s="173"/>
      <c r="AV11" s="173"/>
      <c r="AW11" s="173"/>
      <c r="AX11" s="173"/>
      <c r="AY11" s="173"/>
      <c r="AZ11" s="173"/>
      <c r="BA11" s="173"/>
      <c r="BB11" s="173"/>
      <c r="BC11" s="173"/>
      <c r="BD11" s="173"/>
      <c r="BE11" s="173"/>
      <c r="BF11" s="173"/>
      <c r="BG11" s="173"/>
      <c r="BH11" s="173"/>
      <c r="BI11" s="173"/>
      <c r="BJ11" s="173"/>
      <c r="BK11" s="173"/>
      <c r="BL11" s="173"/>
    </row>
    <row r="12" spans="1:77" ht="12.75" x14ac:dyDescent="0.2">
      <c r="A12" s="51" t="str" cm="1">
        <f t="array" ref="A12">INDEX(TariffCode, MATCH(1,(C12=TariffZone)*(D12=TariffProduct),0))</f>
        <v>SW</v>
      </c>
      <c r="B12" s="51" t="str">
        <f>IF($D12="Water",IF(C12="Standard",Assumptions!$H$90,Assumptions!$H$93),"")</f>
        <v>SA</v>
      </c>
      <c r="C12" s="150" t="s">
        <v>287</v>
      </c>
      <c r="D12" s="150" t="s">
        <v>301</v>
      </c>
      <c r="E12" s="150" t="s">
        <v>405</v>
      </c>
      <c r="F12" s="51" t="s">
        <v>262</v>
      </c>
      <c r="G12" s="51" t="s">
        <v>259</v>
      </c>
      <c r="H12" s="51"/>
      <c r="I12" s="51"/>
      <c r="J12" s="51"/>
      <c r="K12" s="51"/>
      <c r="L12" s="51"/>
      <c r="M12" s="51"/>
      <c r="N12" s="51"/>
      <c r="O12" s="51"/>
      <c r="P12" s="51"/>
      <c r="Q12" s="51"/>
      <c r="R12" s="51"/>
      <c r="S12" s="174">
        <v>356706.42620107636</v>
      </c>
      <c r="T12" s="174">
        <v>365824.58990544488</v>
      </c>
      <c r="U12" s="174">
        <v>378072.87751706608</v>
      </c>
      <c r="V12" s="174">
        <v>389759.57768944302</v>
      </c>
      <c r="W12" s="174">
        <v>398310.38656987814</v>
      </c>
      <c r="X12" s="174">
        <v>407724.59298660315</v>
      </c>
      <c r="Y12" s="174">
        <v>416729.46105149429</v>
      </c>
      <c r="Z12" s="174">
        <v>426448.76290708967</v>
      </c>
      <c r="AA12" s="175">
        <v>432405.35087455431</v>
      </c>
      <c r="AB12" s="176">
        <v>443171.44625943055</v>
      </c>
      <c r="AC12" s="174">
        <v>453756.35955853458</v>
      </c>
      <c r="AD12" s="174">
        <v>463173.34148197202</v>
      </c>
      <c r="AE12" s="174">
        <v>472913.91982669238</v>
      </c>
      <c r="AF12" s="174">
        <v>480955.82830081356</v>
      </c>
      <c r="AG12" s="174">
        <v>489005.03187875694</v>
      </c>
      <c r="AH12" s="174">
        <v>496932.93887266499</v>
      </c>
      <c r="AI12" s="174">
        <v>504570.51520868222</v>
      </c>
      <c r="AJ12" s="174">
        <v>512281.6517308316</v>
      </c>
      <c r="AK12" s="174">
        <v>520178.73598924035</v>
      </c>
      <c r="AL12" s="174">
        <v>528260.67932363506</v>
      </c>
      <c r="AM12" s="174">
        <v>536710.09388412163</v>
      </c>
      <c r="AN12" s="174">
        <v>545490.43885926041</v>
      </c>
      <c r="AO12" s="174">
        <v>554571.32881168835</v>
      </c>
      <c r="AP12" s="174">
        <v>564033.46542148583</v>
      </c>
      <c r="AQ12" s="174">
        <v>573806.11691211094</v>
      </c>
      <c r="AR12" s="174">
        <v>583929.96931953053</v>
      </c>
      <c r="AS12" s="174">
        <v>594350.3012332971</v>
      </c>
      <c r="AT12" s="174">
        <v>604938.12180611945</v>
      </c>
      <c r="AU12" s="174">
        <v>615671.70627290849</v>
      </c>
      <c r="AV12" s="174">
        <v>626640.17914291727</v>
      </c>
      <c r="AW12" s="174">
        <v>637808.94034995371</v>
      </c>
      <c r="AX12" s="174">
        <v>649099.18799972953</v>
      </c>
      <c r="AY12" s="174">
        <v>660470.99406827684</v>
      </c>
      <c r="AZ12" s="174">
        <v>671702.10383788985</v>
      </c>
      <c r="BA12" s="174">
        <v>682996.99287451059</v>
      </c>
      <c r="BB12" s="174">
        <v>694379.40416148771</v>
      </c>
      <c r="BC12" s="174">
        <v>705848.10104742786</v>
      </c>
      <c r="BD12" s="174">
        <v>717436.81720283232</v>
      </c>
      <c r="BE12" s="174">
        <v>729574.99392997846</v>
      </c>
      <c r="BF12" s="174">
        <v>741587.79608448572</v>
      </c>
      <c r="BG12" s="174">
        <v>753204.53355108749</v>
      </c>
      <c r="BH12" s="174">
        <v>764629.91153128305</v>
      </c>
      <c r="BI12" s="174">
        <v>776072.68858073931</v>
      </c>
      <c r="BJ12" s="174">
        <v>787485.3845448792</v>
      </c>
      <c r="BK12" s="174">
        <v>799452.56922010379</v>
      </c>
      <c r="BL12" s="174">
        <v>811646.43897803966</v>
      </c>
      <c r="BM12" s="51">
        <v>823999.56003796379</v>
      </c>
      <c r="BN12" s="51">
        <v>836698.17563306342</v>
      </c>
      <c r="BO12" s="51">
        <v>845808.53584714467</v>
      </c>
      <c r="BP12" s="51">
        <v>854849.47674894193</v>
      </c>
      <c r="BQ12" s="51">
        <v>863460.74480435322</v>
      </c>
      <c r="BR12" s="51">
        <v>870862.80802049721</v>
      </c>
      <c r="BS12" s="51">
        <v>877285.91453176271</v>
      </c>
      <c r="BT12" s="51">
        <v>883397.30574004306</v>
      </c>
      <c r="BU12" s="51">
        <v>889208.26189861726</v>
      </c>
      <c r="BV12" s="51">
        <v>894713.44220078667</v>
      </c>
      <c r="BW12" s="51">
        <v>899932.21440711804</v>
      </c>
      <c r="BX12" s="51">
        <v>904861.64400844648</v>
      </c>
      <c r="BY12" s="51">
        <v>909519.33805983758</v>
      </c>
    </row>
    <row r="13" spans="1:77" ht="12.75" x14ac:dyDescent="0.2">
      <c r="A13" s="51" t="str" cm="1">
        <f t="array" ref="A13">INDEX(TariffCode, MATCH(1,(C13=TariffZone)*(D13=TariffProduct),0))</f>
        <v>GW</v>
      </c>
      <c r="B13" s="51" t="str">
        <f>IF($D13="Water",IF(C13="Standard",Assumptions!$H$90,Assumptions!$H$93),"")</f>
        <v>GA</v>
      </c>
      <c r="C13" s="150" t="s">
        <v>290</v>
      </c>
      <c r="D13" s="150" t="s">
        <v>301</v>
      </c>
      <c r="E13" s="150" t="s">
        <v>405</v>
      </c>
      <c r="F13" s="51" t="s">
        <v>262</v>
      </c>
      <c r="G13" s="51" t="s">
        <v>259</v>
      </c>
      <c r="H13" s="51"/>
      <c r="I13" s="51"/>
      <c r="J13" s="51"/>
      <c r="K13" s="51"/>
      <c r="L13" s="51"/>
      <c r="M13" s="51"/>
      <c r="N13" s="51"/>
      <c r="O13" s="51"/>
      <c r="P13" s="51"/>
      <c r="Q13" s="51"/>
      <c r="R13" s="51"/>
      <c r="S13" s="174">
        <v>0</v>
      </c>
      <c r="T13" s="174">
        <v>0</v>
      </c>
      <c r="U13" s="174">
        <v>0</v>
      </c>
      <c r="V13" s="174">
        <v>0</v>
      </c>
      <c r="W13" s="174">
        <v>0</v>
      </c>
      <c r="X13" s="174">
        <v>0</v>
      </c>
      <c r="Y13" s="174">
        <v>0</v>
      </c>
      <c r="Z13" s="174">
        <v>0</v>
      </c>
      <c r="AA13" s="175">
        <v>0</v>
      </c>
      <c r="AB13" s="176">
        <v>0</v>
      </c>
      <c r="AC13" s="174">
        <v>0</v>
      </c>
      <c r="AD13" s="174">
        <v>0</v>
      </c>
      <c r="AE13" s="174">
        <v>0</v>
      </c>
      <c r="AF13" s="174">
        <v>0</v>
      </c>
      <c r="AG13" s="174">
        <v>0</v>
      </c>
      <c r="AH13" s="174">
        <v>0</v>
      </c>
      <c r="AI13" s="174">
        <v>0</v>
      </c>
      <c r="AJ13" s="174">
        <v>0</v>
      </c>
      <c r="AK13" s="174">
        <v>0</v>
      </c>
      <c r="AL13" s="174">
        <v>0</v>
      </c>
      <c r="AM13" s="174">
        <v>0</v>
      </c>
      <c r="AN13" s="174">
        <v>0</v>
      </c>
      <c r="AO13" s="174">
        <v>0</v>
      </c>
      <c r="AP13" s="174">
        <v>0</v>
      </c>
      <c r="AQ13" s="174">
        <v>0</v>
      </c>
      <c r="AR13" s="174">
        <v>0</v>
      </c>
      <c r="AS13" s="174">
        <v>0</v>
      </c>
      <c r="AT13" s="174">
        <v>0</v>
      </c>
      <c r="AU13" s="174">
        <v>0</v>
      </c>
      <c r="AV13" s="174">
        <v>0</v>
      </c>
      <c r="AW13" s="174">
        <v>0</v>
      </c>
      <c r="AX13" s="174">
        <v>0</v>
      </c>
      <c r="AY13" s="174">
        <v>0</v>
      </c>
      <c r="AZ13" s="174">
        <v>0</v>
      </c>
      <c r="BA13" s="174">
        <v>0</v>
      </c>
      <c r="BB13" s="174">
        <v>0</v>
      </c>
      <c r="BC13" s="174">
        <v>0</v>
      </c>
      <c r="BD13" s="174">
        <v>0</v>
      </c>
      <c r="BE13" s="174">
        <v>0</v>
      </c>
      <c r="BF13" s="174">
        <v>0</v>
      </c>
      <c r="BG13" s="174">
        <v>0</v>
      </c>
      <c r="BH13" s="174">
        <v>0</v>
      </c>
      <c r="BI13" s="174">
        <v>0</v>
      </c>
      <c r="BJ13" s="174">
        <v>0</v>
      </c>
      <c r="BK13" s="174">
        <v>0</v>
      </c>
      <c r="BL13" s="174">
        <v>0</v>
      </c>
      <c r="BM13" s="51">
        <v>0</v>
      </c>
      <c r="BN13" s="51">
        <v>0</v>
      </c>
      <c r="BO13" s="51">
        <v>0</v>
      </c>
      <c r="BP13" s="51">
        <v>0</v>
      </c>
      <c r="BQ13" s="51">
        <v>0</v>
      </c>
      <c r="BR13" s="51">
        <v>0</v>
      </c>
      <c r="BS13" s="51">
        <v>0</v>
      </c>
      <c r="BT13" s="51">
        <v>0</v>
      </c>
      <c r="BU13" s="51">
        <v>0</v>
      </c>
      <c r="BV13" s="51">
        <v>0</v>
      </c>
      <c r="BW13" s="51">
        <v>0</v>
      </c>
      <c r="BX13" s="51">
        <v>0</v>
      </c>
      <c r="BY13" s="51">
        <v>0</v>
      </c>
    </row>
    <row r="14" spans="1:77" ht="12.75" x14ac:dyDescent="0.2">
      <c r="A14" s="51" t="str" cm="1">
        <f t="array" ref="A14">INDEX(TariffCode, MATCH(1,(C14=TariffZone)*(D14=TariffProduct),0))</f>
        <v>SS</v>
      </c>
      <c r="B14" s="51" t="str">
        <f>IF($D14="Water",IF(C14="Standard",Assumptions!$H$90,Assumptions!$H$93),"")</f>
        <v/>
      </c>
      <c r="C14" s="150" t="s">
        <v>287</v>
      </c>
      <c r="D14" s="150" t="s">
        <v>303</v>
      </c>
      <c r="E14" s="150" t="s">
        <v>405</v>
      </c>
      <c r="F14" s="51" t="s">
        <v>262</v>
      </c>
      <c r="G14" s="51" t="s">
        <v>259</v>
      </c>
      <c r="H14" s="51"/>
      <c r="I14" s="51"/>
      <c r="J14" s="51"/>
      <c r="K14" s="51"/>
      <c r="L14" s="51"/>
      <c r="M14" s="51"/>
      <c r="N14" s="51"/>
      <c r="O14" s="51"/>
      <c r="P14" s="51"/>
      <c r="Q14" s="51"/>
      <c r="R14" s="51"/>
      <c r="S14" s="174">
        <v>355934.6132381697</v>
      </c>
      <c r="T14" s="174">
        <v>365056.84212119918</v>
      </c>
      <c r="U14" s="174">
        <v>377309.1825054767</v>
      </c>
      <c r="V14" s="174">
        <v>389004.00322799111</v>
      </c>
      <c r="W14" s="174">
        <v>397559.35215858271</v>
      </c>
      <c r="X14" s="174">
        <v>406964.43215447129</v>
      </c>
      <c r="Y14" s="174">
        <v>415979.10994076624</v>
      </c>
      <c r="Z14" s="174">
        <v>425689.68768638588</v>
      </c>
      <c r="AA14" s="175">
        <v>431647.96352850419</v>
      </c>
      <c r="AB14" s="176">
        <v>442066.22695679334</v>
      </c>
      <c r="AC14" s="174">
        <v>452651.14025589742</v>
      </c>
      <c r="AD14" s="174">
        <v>462068.12217933481</v>
      </c>
      <c r="AE14" s="174">
        <v>471808.70052405522</v>
      </c>
      <c r="AF14" s="174">
        <v>479850.60899817641</v>
      </c>
      <c r="AG14" s="174">
        <v>487899.81257611973</v>
      </c>
      <c r="AH14" s="174">
        <v>495827.71957002778</v>
      </c>
      <c r="AI14" s="174">
        <v>503465.29590604501</v>
      </c>
      <c r="AJ14" s="174">
        <v>511176.43242819438</v>
      </c>
      <c r="AK14" s="174">
        <v>519073.51668660319</v>
      </c>
      <c r="AL14" s="174">
        <v>527155.46002099791</v>
      </c>
      <c r="AM14" s="174">
        <v>535604.87458148447</v>
      </c>
      <c r="AN14" s="174">
        <v>544385.21955662314</v>
      </c>
      <c r="AO14" s="174">
        <v>553466.1095090512</v>
      </c>
      <c r="AP14" s="174">
        <v>562928.24611884868</v>
      </c>
      <c r="AQ14" s="174">
        <v>572700.89760947367</v>
      </c>
      <c r="AR14" s="174">
        <v>582824.75001689326</v>
      </c>
      <c r="AS14" s="174">
        <v>593245.08193065994</v>
      </c>
      <c r="AT14" s="174">
        <v>603832.90250348218</v>
      </c>
      <c r="AU14" s="174">
        <v>614566.48697027133</v>
      </c>
      <c r="AV14" s="174">
        <v>625534.95984028</v>
      </c>
      <c r="AW14" s="174">
        <v>636703.72104731656</v>
      </c>
      <c r="AX14" s="174">
        <v>647993.96869709226</v>
      </c>
      <c r="AY14" s="174">
        <v>659365.7747656398</v>
      </c>
      <c r="AZ14" s="174">
        <v>670596.88453525258</v>
      </c>
      <c r="BA14" s="174">
        <v>681891.77357187332</v>
      </c>
      <c r="BB14" s="174">
        <v>693274.18485885067</v>
      </c>
      <c r="BC14" s="174">
        <v>704742.88174479059</v>
      </c>
      <c r="BD14" s="174">
        <v>716331.59790019505</v>
      </c>
      <c r="BE14" s="174">
        <v>728469.77462734131</v>
      </c>
      <c r="BF14" s="174">
        <v>740482.57678184845</v>
      </c>
      <c r="BG14" s="174">
        <v>752099.31424845033</v>
      </c>
      <c r="BH14" s="174">
        <v>763524.69222864578</v>
      </c>
      <c r="BI14" s="174">
        <v>774967.46927810204</v>
      </c>
      <c r="BJ14" s="174">
        <v>786380.16524224216</v>
      </c>
      <c r="BK14" s="174">
        <v>798347.34991746652</v>
      </c>
      <c r="BL14" s="174">
        <v>810541.21967540251</v>
      </c>
      <c r="BM14" s="51">
        <v>822894.34073532652</v>
      </c>
      <c r="BN14" s="51">
        <v>835592.95633042627</v>
      </c>
      <c r="BO14" s="51">
        <v>844703.3165445074</v>
      </c>
      <c r="BP14" s="51">
        <v>853744.25744630478</v>
      </c>
      <c r="BQ14" s="51">
        <v>862355.52550171595</v>
      </c>
      <c r="BR14" s="51">
        <v>869757.58871785994</v>
      </c>
      <c r="BS14" s="51">
        <v>876180.69522912556</v>
      </c>
      <c r="BT14" s="51">
        <v>882292.08643740602</v>
      </c>
      <c r="BU14" s="51">
        <v>888103.04259597999</v>
      </c>
      <c r="BV14" s="51">
        <v>893608.2228981494</v>
      </c>
      <c r="BW14" s="51">
        <v>898826.99510448077</v>
      </c>
      <c r="BX14" s="51">
        <v>903756.42470580945</v>
      </c>
      <c r="BY14" s="51">
        <v>908414.11875720043</v>
      </c>
    </row>
    <row r="15" spans="1:77" ht="12.75" x14ac:dyDescent="0.2">
      <c r="A15" s="51" t="str" cm="1">
        <f t="array" ref="A15">INDEX(TariffCode, MATCH(1,(C15=TariffZone)*(D15=TariffProduct),0))</f>
        <v>GS</v>
      </c>
      <c r="B15" s="51" t="str">
        <f>IF($D15="Water",IF(C15="Standard",Assumptions!$H$90,Assumptions!$H$93),"")</f>
        <v/>
      </c>
      <c r="C15" s="150" t="s">
        <v>290</v>
      </c>
      <c r="D15" s="150" t="s">
        <v>303</v>
      </c>
      <c r="E15" s="150" t="s">
        <v>405</v>
      </c>
      <c r="F15" s="51" t="s">
        <v>262</v>
      </c>
      <c r="G15" s="51" t="s">
        <v>259</v>
      </c>
      <c r="H15" s="51"/>
      <c r="I15" s="51"/>
      <c r="J15" s="51"/>
      <c r="K15" s="51"/>
      <c r="L15" s="51"/>
      <c r="M15" s="51"/>
      <c r="N15" s="51"/>
      <c r="O15" s="51"/>
      <c r="P15" s="51"/>
      <c r="Q15" s="51"/>
      <c r="R15" s="51"/>
      <c r="S15" s="174">
        <v>0</v>
      </c>
      <c r="T15" s="174">
        <v>0</v>
      </c>
      <c r="U15" s="174">
        <v>0</v>
      </c>
      <c r="V15" s="174">
        <v>0</v>
      </c>
      <c r="W15" s="174">
        <v>0</v>
      </c>
      <c r="X15" s="174">
        <v>0</v>
      </c>
      <c r="Y15" s="174">
        <v>0</v>
      </c>
      <c r="Z15" s="174">
        <v>0</v>
      </c>
      <c r="AA15" s="175">
        <v>0</v>
      </c>
      <c r="AB15" s="176">
        <v>0</v>
      </c>
      <c r="AC15" s="174">
        <v>0</v>
      </c>
      <c r="AD15" s="174">
        <v>0</v>
      </c>
      <c r="AE15" s="174">
        <v>0</v>
      </c>
      <c r="AF15" s="174">
        <v>0</v>
      </c>
      <c r="AG15" s="174">
        <v>0</v>
      </c>
      <c r="AH15" s="174">
        <v>0</v>
      </c>
      <c r="AI15" s="174">
        <v>0</v>
      </c>
      <c r="AJ15" s="174">
        <v>0</v>
      </c>
      <c r="AK15" s="174">
        <v>0</v>
      </c>
      <c r="AL15" s="174">
        <v>0</v>
      </c>
      <c r="AM15" s="174">
        <v>0</v>
      </c>
      <c r="AN15" s="174">
        <v>0</v>
      </c>
      <c r="AO15" s="174">
        <v>0</v>
      </c>
      <c r="AP15" s="174">
        <v>0</v>
      </c>
      <c r="AQ15" s="174">
        <v>0</v>
      </c>
      <c r="AR15" s="174">
        <v>0</v>
      </c>
      <c r="AS15" s="174">
        <v>0</v>
      </c>
      <c r="AT15" s="174">
        <v>0</v>
      </c>
      <c r="AU15" s="174">
        <v>0</v>
      </c>
      <c r="AV15" s="174">
        <v>0</v>
      </c>
      <c r="AW15" s="174">
        <v>0</v>
      </c>
      <c r="AX15" s="174">
        <v>0</v>
      </c>
      <c r="AY15" s="174">
        <v>0</v>
      </c>
      <c r="AZ15" s="174">
        <v>0</v>
      </c>
      <c r="BA15" s="174">
        <v>0</v>
      </c>
      <c r="BB15" s="174">
        <v>0</v>
      </c>
      <c r="BC15" s="174">
        <v>0</v>
      </c>
      <c r="BD15" s="174">
        <v>0</v>
      </c>
      <c r="BE15" s="174">
        <v>0</v>
      </c>
      <c r="BF15" s="174">
        <v>0</v>
      </c>
      <c r="BG15" s="174">
        <v>0</v>
      </c>
      <c r="BH15" s="174">
        <v>0</v>
      </c>
      <c r="BI15" s="174">
        <v>0</v>
      </c>
      <c r="BJ15" s="174">
        <v>0</v>
      </c>
      <c r="BK15" s="174">
        <v>0</v>
      </c>
      <c r="BL15" s="174">
        <v>0</v>
      </c>
      <c r="BM15" s="51">
        <v>0</v>
      </c>
      <c r="BN15" s="51">
        <v>0</v>
      </c>
      <c r="BO15" s="51">
        <v>0</v>
      </c>
      <c r="BP15" s="51">
        <v>0</v>
      </c>
      <c r="BQ15" s="51">
        <v>0</v>
      </c>
      <c r="BR15" s="51">
        <v>0</v>
      </c>
      <c r="BS15" s="51">
        <v>0</v>
      </c>
      <c r="BT15" s="51">
        <v>0</v>
      </c>
      <c r="BU15" s="51">
        <v>0</v>
      </c>
      <c r="BV15" s="51">
        <v>0</v>
      </c>
      <c r="BW15" s="51">
        <v>0</v>
      </c>
      <c r="BX15" s="51">
        <v>0</v>
      </c>
      <c r="BY15" s="51">
        <v>0</v>
      </c>
    </row>
    <row r="16" spans="1:77" ht="12.75" x14ac:dyDescent="0.2">
      <c r="A16" s="51" t="str" cm="1">
        <f t="array" ref="A16">INDEX(TariffCode, MATCH(1,(C16=TariffZone)*(D16=TariffProduct),0))</f>
        <v>WR</v>
      </c>
      <c r="B16" s="51" t="str">
        <f>IF($D16="Water",IF(C16="Standard",Assumptions!$H$90,Assumptions!$H$93),"")</f>
        <v/>
      </c>
      <c r="C16" s="150" t="s">
        <v>283</v>
      </c>
      <c r="D16" s="150" t="s">
        <v>310</v>
      </c>
      <c r="E16" s="150" t="s">
        <v>405</v>
      </c>
      <c r="F16" s="51" t="s">
        <v>262</v>
      </c>
      <c r="G16" s="51" t="s">
        <v>259</v>
      </c>
      <c r="H16" s="51"/>
      <c r="I16" s="51"/>
      <c r="J16" s="51"/>
      <c r="K16" s="51"/>
      <c r="L16" s="51"/>
      <c r="M16" s="51"/>
      <c r="N16" s="51"/>
      <c r="O16" s="51"/>
      <c r="P16" s="51"/>
      <c r="Q16" s="51"/>
      <c r="R16" s="51"/>
      <c r="S16" s="174">
        <v>1114.5473466793771</v>
      </c>
      <c r="T16" s="174">
        <v>1137.5473466793771</v>
      </c>
      <c r="U16" s="174">
        <v>1198.5473466793771</v>
      </c>
      <c r="V16" s="174">
        <v>1200.5473466793769</v>
      </c>
      <c r="W16" s="174">
        <v>1235.5473466793771</v>
      </c>
      <c r="X16" s="174">
        <v>1326.5473466793771</v>
      </c>
      <c r="Y16" s="174">
        <v>1402.5473466793771</v>
      </c>
      <c r="Z16" s="174">
        <v>1441.5473466793771</v>
      </c>
      <c r="AA16" s="175">
        <v>1551.5473466793769</v>
      </c>
      <c r="AB16" s="176">
        <v>0</v>
      </c>
      <c r="AC16" s="174">
        <v>0</v>
      </c>
      <c r="AD16" s="174">
        <v>0</v>
      </c>
      <c r="AE16" s="174">
        <v>0</v>
      </c>
      <c r="AF16" s="174">
        <v>0</v>
      </c>
      <c r="AG16" s="174">
        <v>0</v>
      </c>
      <c r="AH16" s="174">
        <v>0</v>
      </c>
      <c r="AI16" s="174">
        <v>0</v>
      </c>
      <c r="AJ16" s="174">
        <v>0</v>
      </c>
      <c r="AK16" s="174">
        <v>0</v>
      </c>
      <c r="AL16" s="174">
        <v>0</v>
      </c>
      <c r="AM16" s="174">
        <v>0</v>
      </c>
      <c r="AN16" s="174">
        <v>0</v>
      </c>
      <c r="AO16" s="174">
        <v>0</v>
      </c>
      <c r="AP16" s="174">
        <v>0</v>
      </c>
      <c r="AQ16" s="174">
        <v>0</v>
      </c>
      <c r="AR16" s="174">
        <v>0</v>
      </c>
      <c r="AS16" s="174">
        <v>0</v>
      </c>
      <c r="AT16" s="174">
        <v>0</v>
      </c>
      <c r="AU16" s="174">
        <v>0</v>
      </c>
      <c r="AV16" s="174">
        <v>0</v>
      </c>
      <c r="AW16" s="174">
        <v>0</v>
      </c>
      <c r="AX16" s="174">
        <v>0</v>
      </c>
      <c r="AY16" s="174">
        <v>0</v>
      </c>
      <c r="AZ16" s="174">
        <v>0</v>
      </c>
      <c r="BA16" s="174">
        <v>0</v>
      </c>
      <c r="BB16" s="174">
        <v>0</v>
      </c>
      <c r="BC16" s="174">
        <v>0</v>
      </c>
      <c r="BD16" s="174">
        <v>0</v>
      </c>
      <c r="BE16" s="174">
        <v>0</v>
      </c>
      <c r="BF16" s="174">
        <v>0</v>
      </c>
      <c r="BG16" s="174">
        <v>0</v>
      </c>
      <c r="BH16" s="174">
        <v>0</v>
      </c>
      <c r="BI16" s="174">
        <v>0</v>
      </c>
      <c r="BJ16" s="174">
        <v>0</v>
      </c>
      <c r="BK16" s="174">
        <v>0</v>
      </c>
      <c r="BL16" s="174">
        <v>0</v>
      </c>
      <c r="BM16" s="51">
        <v>0</v>
      </c>
      <c r="BN16" s="51">
        <v>0</v>
      </c>
      <c r="BO16" s="51">
        <v>0</v>
      </c>
      <c r="BP16" s="51">
        <v>0</v>
      </c>
      <c r="BQ16" s="51">
        <v>0</v>
      </c>
      <c r="BR16" s="51">
        <v>0</v>
      </c>
      <c r="BS16" s="51">
        <v>0</v>
      </c>
      <c r="BT16" s="51">
        <v>0</v>
      </c>
      <c r="BU16" s="51">
        <v>0</v>
      </c>
      <c r="BV16" s="51">
        <v>0</v>
      </c>
      <c r="BW16" s="51">
        <v>0</v>
      </c>
      <c r="BX16" s="51">
        <v>0</v>
      </c>
      <c r="BY16" s="51">
        <v>0</v>
      </c>
    </row>
    <row r="17" spans="1:77" ht="12.75" x14ac:dyDescent="0.2">
      <c r="A17" s="51" t="str" cm="1">
        <f t="array" ref="A17">INDEX(TariffCode, MATCH(1,(C17=TariffZone)*(D17=TariffProduct),0))</f>
        <v>GR</v>
      </c>
      <c r="B17" s="51" t="str">
        <f>IF($D17="Water",IF(C17="Standard",Assumptions!$H$90,Assumptions!$H$93),"")</f>
        <v/>
      </c>
      <c r="C17" s="150" t="s">
        <v>312</v>
      </c>
      <c r="D17" s="150" t="s">
        <v>310</v>
      </c>
      <c r="E17" s="150" t="s">
        <v>405</v>
      </c>
      <c r="F17" s="51" t="s">
        <v>262</v>
      </c>
      <c r="G17" s="51" t="s">
        <v>259</v>
      </c>
      <c r="H17" s="51"/>
      <c r="I17" s="51"/>
      <c r="J17" s="51"/>
      <c r="K17" s="51"/>
      <c r="L17" s="51"/>
      <c r="M17" s="51"/>
      <c r="N17" s="51"/>
      <c r="O17" s="51"/>
      <c r="P17" s="51"/>
      <c r="Q17" s="51"/>
      <c r="R17" s="51"/>
      <c r="S17" s="174">
        <v>0</v>
      </c>
      <c r="T17" s="174">
        <v>0</v>
      </c>
      <c r="U17" s="174">
        <v>0</v>
      </c>
      <c r="V17" s="174">
        <v>0</v>
      </c>
      <c r="W17" s="174">
        <v>0</v>
      </c>
      <c r="X17" s="174">
        <v>0</v>
      </c>
      <c r="Y17" s="174">
        <v>0</v>
      </c>
      <c r="Z17" s="174">
        <v>0</v>
      </c>
      <c r="AA17" s="175">
        <v>0</v>
      </c>
      <c r="AB17" s="176">
        <v>0</v>
      </c>
      <c r="AC17" s="174">
        <v>0</v>
      </c>
      <c r="AD17" s="174">
        <v>0</v>
      </c>
      <c r="AE17" s="174">
        <v>0</v>
      </c>
      <c r="AF17" s="174">
        <v>0</v>
      </c>
      <c r="AG17" s="174">
        <v>0</v>
      </c>
      <c r="AH17" s="174">
        <v>0</v>
      </c>
      <c r="AI17" s="174">
        <v>0</v>
      </c>
      <c r="AJ17" s="174">
        <v>0</v>
      </c>
      <c r="AK17" s="174">
        <v>0</v>
      </c>
      <c r="AL17" s="174">
        <v>0</v>
      </c>
      <c r="AM17" s="174">
        <v>0</v>
      </c>
      <c r="AN17" s="174">
        <v>0</v>
      </c>
      <c r="AO17" s="174">
        <v>0</v>
      </c>
      <c r="AP17" s="174">
        <v>0</v>
      </c>
      <c r="AQ17" s="174">
        <v>0</v>
      </c>
      <c r="AR17" s="174">
        <v>0</v>
      </c>
      <c r="AS17" s="174">
        <v>0</v>
      </c>
      <c r="AT17" s="174">
        <v>0</v>
      </c>
      <c r="AU17" s="174">
        <v>0</v>
      </c>
      <c r="AV17" s="174">
        <v>0</v>
      </c>
      <c r="AW17" s="174">
        <v>0</v>
      </c>
      <c r="AX17" s="174">
        <v>0</v>
      </c>
      <c r="AY17" s="174">
        <v>0</v>
      </c>
      <c r="AZ17" s="174">
        <v>0</v>
      </c>
      <c r="BA17" s="174">
        <v>0</v>
      </c>
      <c r="BB17" s="174">
        <v>0</v>
      </c>
      <c r="BC17" s="174">
        <v>0</v>
      </c>
      <c r="BD17" s="174">
        <v>0</v>
      </c>
      <c r="BE17" s="174">
        <v>0</v>
      </c>
      <c r="BF17" s="174">
        <v>0</v>
      </c>
      <c r="BG17" s="174">
        <v>0</v>
      </c>
      <c r="BH17" s="174">
        <v>0</v>
      </c>
      <c r="BI17" s="174">
        <v>0</v>
      </c>
      <c r="BJ17" s="174">
        <v>0</v>
      </c>
      <c r="BK17" s="174">
        <v>0</v>
      </c>
      <c r="BL17" s="174">
        <v>0</v>
      </c>
      <c r="BM17" s="51">
        <v>0</v>
      </c>
      <c r="BN17" s="51">
        <v>0</v>
      </c>
      <c r="BO17" s="51">
        <v>0</v>
      </c>
      <c r="BP17" s="51">
        <v>0</v>
      </c>
      <c r="BQ17" s="51">
        <v>0</v>
      </c>
      <c r="BR17" s="51">
        <v>0</v>
      </c>
      <c r="BS17" s="51">
        <v>0</v>
      </c>
      <c r="BT17" s="51">
        <v>0</v>
      </c>
      <c r="BU17" s="51">
        <v>0</v>
      </c>
      <c r="BV17" s="51">
        <v>0</v>
      </c>
      <c r="BW17" s="51">
        <v>0</v>
      </c>
      <c r="BX17" s="51">
        <v>0</v>
      </c>
      <c r="BY17" s="51">
        <v>0</v>
      </c>
    </row>
    <row r="18" spans="1:77" ht="12.75" x14ac:dyDescent="0.2">
      <c r="A18" s="51" t="str" cm="1">
        <f t="array" ref="A18">INDEX(TariffCode, MATCH(1,(C18=TariffZone)*(D18=TariffProduct),0))</f>
        <v>SW</v>
      </c>
      <c r="B18" s="51" t="str">
        <f>IF($D18="Water",IF(C18="Standard",Assumptions!$H$90,Assumptions!$H$93),"")</f>
        <v>SA</v>
      </c>
      <c r="C18" s="150" t="s">
        <v>287</v>
      </c>
      <c r="D18" s="150" t="s">
        <v>301</v>
      </c>
      <c r="E18" s="150" t="s">
        <v>407</v>
      </c>
      <c r="F18" s="51" t="s">
        <v>262</v>
      </c>
      <c r="G18" s="51" t="s">
        <v>259</v>
      </c>
      <c r="H18" s="51"/>
      <c r="I18" s="51"/>
      <c r="J18" s="51"/>
      <c r="K18" s="51"/>
      <c r="L18" s="51"/>
      <c r="M18" s="51"/>
      <c r="N18" s="51"/>
      <c r="O18" s="51"/>
      <c r="P18" s="51"/>
      <c r="Q18" s="51"/>
      <c r="R18" s="51"/>
      <c r="S18" s="174">
        <v>36222.214615542514</v>
      </c>
      <c r="T18" s="174">
        <v>36806.778523802284</v>
      </c>
      <c r="U18" s="174">
        <v>37515.924876881843</v>
      </c>
      <c r="V18" s="174">
        <v>38015.48366719958</v>
      </c>
      <c r="W18" s="174">
        <v>38453.828183957376</v>
      </c>
      <c r="X18" s="174">
        <v>38810.20364406101</v>
      </c>
      <c r="Y18" s="174">
        <v>39439.565067820484</v>
      </c>
      <c r="Z18" s="174">
        <v>39210.859304720951</v>
      </c>
      <c r="AA18" s="175">
        <v>39410.580778767115</v>
      </c>
      <c r="AB18" s="176">
        <v>41012.902298092398</v>
      </c>
      <c r="AC18" s="174">
        <v>41970.401822676649</v>
      </c>
      <c r="AD18" s="174">
        <v>42815.03524061785</v>
      </c>
      <c r="AE18" s="174">
        <v>43699.218910422031</v>
      </c>
      <c r="AF18" s="174">
        <v>44439.922449644895</v>
      </c>
      <c r="AG18" s="174">
        <v>45176.796725671513</v>
      </c>
      <c r="AH18" s="174">
        <v>45897.397975948275</v>
      </c>
      <c r="AI18" s="174">
        <v>46593.726913812468</v>
      </c>
      <c r="AJ18" s="174">
        <v>47303.35930677085</v>
      </c>
      <c r="AK18" s="174">
        <v>48031.407305852532</v>
      </c>
      <c r="AL18" s="174">
        <v>48774.588546335093</v>
      </c>
      <c r="AM18" s="174">
        <v>49543.159792489758</v>
      </c>
      <c r="AN18" s="174">
        <v>50335.874051741361</v>
      </c>
      <c r="AO18" s="174">
        <v>51159.361241686784</v>
      </c>
      <c r="AP18" s="174">
        <v>52017.92894500558</v>
      </c>
      <c r="AQ18" s="174">
        <v>52902.047728207464</v>
      </c>
      <c r="AR18" s="174">
        <v>53807.46129017252</v>
      </c>
      <c r="AS18" s="174">
        <v>54714.82566556966</v>
      </c>
      <c r="AT18" s="174">
        <v>55636.208212241516</v>
      </c>
      <c r="AU18" s="174">
        <v>56568.431241224134</v>
      </c>
      <c r="AV18" s="174">
        <v>57514.723111257277</v>
      </c>
      <c r="AW18" s="174">
        <v>58471.980594235334</v>
      </c>
      <c r="AX18" s="174">
        <v>59437.706701440562</v>
      </c>
      <c r="AY18" s="174">
        <v>60416.096216227517</v>
      </c>
      <c r="AZ18" s="174">
        <v>61388.571084499468</v>
      </c>
      <c r="BA18" s="174">
        <v>62369.667833712847</v>
      </c>
      <c r="BB18" s="174">
        <v>63367.818379320859</v>
      </c>
      <c r="BC18" s="174">
        <v>64375.843307079551</v>
      </c>
      <c r="BD18" s="174">
        <v>65397.126989479853</v>
      </c>
      <c r="BE18" s="174">
        <v>66468.952982946837</v>
      </c>
      <c r="BF18" s="174">
        <v>67525.050996918872</v>
      </c>
      <c r="BG18" s="174">
        <v>68546.214963132748</v>
      </c>
      <c r="BH18" s="174">
        <v>69551.750756908732</v>
      </c>
      <c r="BI18" s="174">
        <v>70557.095736499468</v>
      </c>
      <c r="BJ18" s="174">
        <v>71554.901980827766</v>
      </c>
      <c r="BK18" s="174">
        <v>72591.754657714599</v>
      </c>
      <c r="BL18" s="174">
        <v>73663.748748190832</v>
      </c>
      <c r="BM18" s="51">
        <v>74745.256874678322</v>
      </c>
      <c r="BN18" s="51">
        <v>75850.571417126455</v>
      </c>
      <c r="BO18" s="51">
        <v>76629.911670217305</v>
      </c>
      <c r="BP18" s="51">
        <v>77402.470557468783</v>
      </c>
      <c r="BQ18" s="51">
        <v>78138.797266617214</v>
      </c>
      <c r="BR18" s="51">
        <v>78778.243881348564</v>
      </c>
      <c r="BS18" s="51">
        <v>79345.40710490488</v>
      </c>
      <c r="BT18" s="51">
        <v>79885.045725566451</v>
      </c>
      <c r="BU18" s="51">
        <v>80398.155794823673</v>
      </c>
      <c r="BV18" s="51">
        <v>80884.265717017697</v>
      </c>
      <c r="BW18" s="51">
        <v>81345.085674208196</v>
      </c>
      <c r="BX18" s="51">
        <v>81780.356547901203</v>
      </c>
      <c r="BY18" s="51">
        <v>82191.633049060198</v>
      </c>
    </row>
    <row r="19" spans="1:77" ht="12.75" x14ac:dyDescent="0.2">
      <c r="A19" s="51" t="str" cm="1">
        <f t="array" ref="A19">INDEX(TariffCode, MATCH(1,(C19=TariffZone)*(D19=TariffProduct),0))</f>
        <v>GW</v>
      </c>
      <c r="B19" s="51" t="str">
        <f>IF($D19="Water",IF(C19="Standard",Assumptions!$H$90,Assumptions!$H$93),"")</f>
        <v>GA</v>
      </c>
      <c r="C19" s="150" t="s">
        <v>290</v>
      </c>
      <c r="D19" s="150" t="s">
        <v>301</v>
      </c>
      <c r="E19" s="150" t="s">
        <v>407</v>
      </c>
      <c r="F19" s="51" t="s">
        <v>262</v>
      </c>
      <c r="G19" s="51" t="s">
        <v>259</v>
      </c>
      <c r="H19" s="51"/>
      <c r="I19" s="51"/>
      <c r="J19" s="51"/>
      <c r="K19" s="51"/>
      <c r="L19" s="51"/>
      <c r="M19" s="51"/>
      <c r="N19" s="51"/>
      <c r="O19" s="51"/>
      <c r="P19" s="51"/>
      <c r="Q19" s="51"/>
      <c r="R19" s="51"/>
      <c r="S19" s="174">
        <v>0</v>
      </c>
      <c r="T19" s="174">
        <v>0</v>
      </c>
      <c r="U19" s="174">
        <v>0</v>
      </c>
      <c r="V19" s="174">
        <v>0</v>
      </c>
      <c r="W19" s="174">
        <v>0</v>
      </c>
      <c r="X19" s="174">
        <v>0</v>
      </c>
      <c r="Y19" s="174">
        <v>0</v>
      </c>
      <c r="Z19" s="174">
        <v>0</v>
      </c>
      <c r="AA19" s="175">
        <v>0</v>
      </c>
      <c r="AB19" s="176">
        <v>0</v>
      </c>
      <c r="AC19" s="174">
        <v>0</v>
      </c>
      <c r="AD19" s="174">
        <v>0</v>
      </c>
      <c r="AE19" s="174">
        <v>0</v>
      </c>
      <c r="AF19" s="174">
        <v>0</v>
      </c>
      <c r="AG19" s="174">
        <v>0</v>
      </c>
      <c r="AH19" s="174">
        <v>0</v>
      </c>
      <c r="AI19" s="174">
        <v>0</v>
      </c>
      <c r="AJ19" s="174">
        <v>0</v>
      </c>
      <c r="AK19" s="174">
        <v>0</v>
      </c>
      <c r="AL19" s="174">
        <v>0</v>
      </c>
      <c r="AM19" s="174">
        <v>0</v>
      </c>
      <c r="AN19" s="174">
        <v>0</v>
      </c>
      <c r="AO19" s="174">
        <v>0</v>
      </c>
      <c r="AP19" s="174">
        <v>0</v>
      </c>
      <c r="AQ19" s="174">
        <v>0</v>
      </c>
      <c r="AR19" s="174">
        <v>0</v>
      </c>
      <c r="AS19" s="174">
        <v>0</v>
      </c>
      <c r="AT19" s="174">
        <v>0</v>
      </c>
      <c r="AU19" s="174">
        <v>0</v>
      </c>
      <c r="AV19" s="174">
        <v>0</v>
      </c>
      <c r="AW19" s="174">
        <v>0</v>
      </c>
      <c r="AX19" s="174">
        <v>0</v>
      </c>
      <c r="AY19" s="174">
        <v>0</v>
      </c>
      <c r="AZ19" s="174">
        <v>0</v>
      </c>
      <c r="BA19" s="174">
        <v>0</v>
      </c>
      <c r="BB19" s="174">
        <v>0</v>
      </c>
      <c r="BC19" s="174">
        <v>0</v>
      </c>
      <c r="BD19" s="174">
        <v>0</v>
      </c>
      <c r="BE19" s="174">
        <v>0</v>
      </c>
      <c r="BF19" s="174">
        <v>0</v>
      </c>
      <c r="BG19" s="174">
        <v>0</v>
      </c>
      <c r="BH19" s="174">
        <v>0</v>
      </c>
      <c r="BI19" s="174">
        <v>0</v>
      </c>
      <c r="BJ19" s="174">
        <v>0</v>
      </c>
      <c r="BK19" s="174">
        <v>0</v>
      </c>
      <c r="BL19" s="174">
        <v>0</v>
      </c>
      <c r="BM19" s="51">
        <v>0</v>
      </c>
      <c r="BN19" s="51">
        <v>0</v>
      </c>
      <c r="BO19" s="51">
        <v>0</v>
      </c>
      <c r="BP19" s="51">
        <v>0</v>
      </c>
      <c r="BQ19" s="51">
        <v>0</v>
      </c>
      <c r="BR19" s="51">
        <v>0</v>
      </c>
      <c r="BS19" s="51">
        <v>0</v>
      </c>
      <c r="BT19" s="51">
        <v>0</v>
      </c>
      <c r="BU19" s="51">
        <v>0</v>
      </c>
      <c r="BV19" s="51">
        <v>0</v>
      </c>
      <c r="BW19" s="51">
        <v>0</v>
      </c>
      <c r="BX19" s="51">
        <v>0</v>
      </c>
      <c r="BY19" s="51">
        <v>0</v>
      </c>
    </row>
    <row r="20" spans="1:77" ht="12.75" x14ac:dyDescent="0.2">
      <c r="A20" s="51" t="str" cm="1">
        <f t="array" ref="A20">INDEX(TariffCode, MATCH(1,(C20=TariffZone)*(D20=TariffProduct),0))</f>
        <v>SS</v>
      </c>
      <c r="B20" s="51" t="str">
        <f>IF($D20="Water",IF(C20="Standard",Assumptions!$H$90,Assumptions!$H$93),"")</f>
        <v/>
      </c>
      <c r="C20" s="150" t="s">
        <v>287</v>
      </c>
      <c r="D20" s="150" t="s">
        <v>303</v>
      </c>
      <c r="E20" s="150" t="s">
        <v>407</v>
      </c>
      <c r="F20" s="51" t="s">
        <v>262</v>
      </c>
      <c r="G20" s="51" t="s">
        <v>259</v>
      </c>
      <c r="H20" s="51"/>
      <c r="I20" s="51"/>
      <c r="J20" s="51"/>
      <c r="K20" s="51"/>
      <c r="L20" s="51"/>
      <c r="M20" s="51"/>
      <c r="N20" s="51"/>
      <c r="O20" s="51"/>
      <c r="P20" s="51"/>
      <c r="Q20" s="51"/>
      <c r="R20" s="51"/>
      <c r="S20" s="174">
        <v>34388.356207623197</v>
      </c>
      <c r="T20" s="174">
        <v>34971.928792387567</v>
      </c>
      <c r="U20" s="174">
        <v>35657.16914987599</v>
      </c>
      <c r="V20" s="174">
        <v>36157.878492068288</v>
      </c>
      <c r="W20" s="174">
        <v>36620.362615270933</v>
      </c>
      <c r="X20" s="174">
        <v>36986.36148684271</v>
      </c>
      <c r="Y20" s="174">
        <v>37618.539306183338</v>
      </c>
      <c r="Z20" s="174">
        <v>37385.144777115842</v>
      </c>
      <c r="AA20" s="175">
        <v>37560.044279495261</v>
      </c>
      <c r="AB20" s="176">
        <v>38802.772486214082</v>
      </c>
      <c r="AC20" s="174">
        <v>39760.272010798333</v>
      </c>
      <c r="AD20" s="174">
        <v>40604.905428739527</v>
      </c>
      <c r="AE20" s="174">
        <v>41489.089098543714</v>
      </c>
      <c r="AF20" s="174">
        <v>42229.792637766579</v>
      </c>
      <c r="AG20" s="174">
        <v>42966.666913793197</v>
      </c>
      <c r="AH20" s="174">
        <v>43687.268164069959</v>
      </c>
      <c r="AI20" s="174">
        <v>44383.597101934145</v>
      </c>
      <c r="AJ20" s="174">
        <v>45093.229494892534</v>
      </c>
      <c r="AK20" s="174">
        <v>45821.277493974208</v>
      </c>
      <c r="AL20" s="174">
        <v>46564.458734456777</v>
      </c>
      <c r="AM20" s="174">
        <v>47333.029980611434</v>
      </c>
      <c r="AN20" s="174">
        <v>48125.744239863037</v>
      </c>
      <c r="AO20" s="174">
        <v>48949.231429808468</v>
      </c>
      <c r="AP20" s="174">
        <v>49807.799133127264</v>
      </c>
      <c r="AQ20" s="174">
        <v>50691.917916329141</v>
      </c>
      <c r="AR20" s="174">
        <v>51597.331478294203</v>
      </c>
      <c r="AS20" s="174">
        <v>52504.695853691344</v>
      </c>
      <c r="AT20" s="174">
        <v>53426.078400363192</v>
      </c>
      <c r="AU20" s="174">
        <v>54358.301429345811</v>
      </c>
      <c r="AV20" s="174">
        <v>55304.593299378961</v>
      </c>
      <c r="AW20" s="174">
        <v>56261.850782357018</v>
      </c>
      <c r="AX20" s="174">
        <v>57227.576889562239</v>
      </c>
      <c r="AY20" s="174">
        <v>58205.966404349201</v>
      </c>
      <c r="AZ20" s="174">
        <v>59178.441272621152</v>
      </c>
      <c r="BA20" s="174">
        <v>60159.538021834524</v>
      </c>
      <c r="BB20" s="174">
        <v>61157.688567442543</v>
      </c>
      <c r="BC20" s="174">
        <v>62165.713495201235</v>
      </c>
      <c r="BD20" s="174">
        <v>63186.997177601537</v>
      </c>
      <c r="BE20" s="174">
        <v>64258.823171068514</v>
      </c>
      <c r="BF20" s="174">
        <v>65314.921185040548</v>
      </c>
      <c r="BG20" s="174">
        <v>66336.085151254432</v>
      </c>
      <c r="BH20" s="174">
        <v>67341.620945030416</v>
      </c>
      <c r="BI20" s="174">
        <v>68346.965924621152</v>
      </c>
      <c r="BJ20" s="174">
        <v>69344.772168949436</v>
      </c>
      <c r="BK20" s="174">
        <v>70381.624845836282</v>
      </c>
      <c r="BL20" s="174">
        <v>71453.618936312516</v>
      </c>
      <c r="BM20" s="51">
        <v>72535.127062800006</v>
      </c>
      <c r="BN20" s="51">
        <v>73640.441605248139</v>
      </c>
      <c r="BO20" s="51">
        <v>74419.781858338989</v>
      </c>
      <c r="BP20" s="51">
        <v>75192.340745590482</v>
      </c>
      <c r="BQ20" s="51">
        <v>75928.667454738898</v>
      </c>
      <c r="BR20" s="51">
        <v>76568.114069470234</v>
      </c>
      <c r="BS20" s="51">
        <v>77135.277293026564</v>
      </c>
      <c r="BT20" s="51">
        <v>77674.915913688121</v>
      </c>
      <c r="BU20" s="51">
        <v>78188.025982945343</v>
      </c>
      <c r="BV20" s="51">
        <v>78674.135905139367</v>
      </c>
      <c r="BW20" s="51">
        <v>79134.955862329865</v>
      </c>
      <c r="BX20" s="51">
        <v>79570.226736022873</v>
      </c>
      <c r="BY20" s="51">
        <v>79981.503237181882</v>
      </c>
    </row>
    <row r="21" spans="1:77" ht="12.75" x14ac:dyDescent="0.2">
      <c r="A21" s="51" t="str" cm="1">
        <f t="array" ref="A21">INDEX(TariffCode, MATCH(1,(C21=TariffZone)*(D21=TariffProduct),0))</f>
        <v>GS</v>
      </c>
      <c r="B21" s="51" t="str">
        <f>IF($D21="Water",IF(C21="Standard",Assumptions!$H$90,Assumptions!$H$93),"")</f>
        <v/>
      </c>
      <c r="C21" s="150" t="s">
        <v>290</v>
      </c>
      <c r="D21" s="150" t="s">
        <v>303</v>
      </c>
      <c r="E21" s="150" t="s">
        <v>407</v>
      </c>
      <c r="F21" s="51" t="s">
        <v>262</v>
      </c>
      <c r="G21" s="51" t="s">
        <v>259</v>
      </c>
      <c r="H21" s="51"/>
      <c r="I21" s="51"/>
      <c r="J21" s="51"/>
      <c r="K21" s="51"/>
      <c r="L21" s="51"/>
      <c r="M21" s="51"/>
      <c r="N21" s="51"/>
      <c r="O21" s="51"/>
      <c r="P21" s="51"/>
      <c r="Q21" s="51"/>
      <c r="R21" s="51"/>
      <c r="S21" s="174">
        <v>0</v>
      </c>
      <c r="T21" s="174">
        <v>0</v>
      </c>
      <c r="U21" s="174">
        <v>0</v>
      </c>
      <c r="V21" s="174">
        <v>0</v>
      </c>
      <c r="W21" s="174">
        <v>0</v>
      </c>
      <c r="X21" s="174">
        <v>0</v>
      </c>
      <c r="Y21" s="174">
        <v>0</v>
      </c>
      <c r="Z21" s="174">
        <v>0</v>
      </c>
      <c r="AA21" s="175">
        <v>0</v>
      </c>
      <c r="AB21" s="176">
        <v>0</v>
      </c>
      <c r="AC21" s="174">
        <v>0</v>
      </c>
      <c r="AD21" s="174">
        <v>0</v>
      </c>
      <c r="AE21" s="174">
        <v>0</v>
      </c>
      <c r="AF21" s="174">
        <v>0</v>
      </c>
      <c r="AG21" s="174">
        <v>0</v>
      </c>
      <c r="AH21" s="174">
        <v>0</v>
      </c>
      <c r="AI21" s="174">
        <v>0</v>
      </c>
      <c r="AJ21" s="174">
        <v>0</v>
      </c>
      <c r="AK21" s="174">
        <v>0</v>
      </c>
      <c r="AL21" s="174">
        <v>0</v>
      </c>
      <c r="AM21" s="174">
        <v>0</v>
      </c>
      <c r="AN21" s="174">
        <v>0</v>
      </c>
      <c r="AO21" s="174">
        <v>0</v>
      </c>
      <c r="AP21" s="174">
        <v>0</v>
      </c>
      <c r="AQ21" s="174">
        <v>0</v>
      </c>
      <c r="AR21" s="174">
        <v>0</v>
      </c>
      <c r="AS21" s="174">
        <v>0</v>
      </c>
      <c r="AT21" s="174">
        <v>0</v>
      </c>
      <c r="AU21" s="174">
        <v>0</v>
      </c>
      <c r="AV21" s="174">
        <v>0</v>
      </c>
      <c r="AW21" s="174">
        <v>0</v>
      </c>
      <c r="AX21" s="174">
        <v>0</v>
      </c>
      <c r="AY21" s="174">
        <v>0</v>
      </c>
      <c r="AZ21" s="174">
        <v>0</v>
      </c>
      <c r="BA21" s="174">
        <v>0</v>
      </c>
      <c r="BB21" s="174">
        <v>0</v>
      </c>
      <c r="BC21" s="174">
        <v>0</v>
      </c>
      <c r="BD21" s="174">
        <v>0</v>
      </c>
      <c r="BE21" s="174">
        <v>0</v>
      </c>
      <c r="BF21" s="174">
        <v>0</v>
      </c>
      <c r="BG21" s="174">
        <v>0</v>
      </c>
      <c r="BH21" s="174">
        <v>0</v>
      </c>
      <c r="BI21" s="174">
        <v>0</v>
      </c>
      <c r="BJ21" s="174">
        <v>0</v>
      </c>
      <c r="BK21" s="174">
        <v>0</v>
      </c>
      <c r="BL21" s="174">
        <v>0</v>
      </c>
      <c r="BM21" s="51">
        <v>0</v>
      </c>
      <c r="BN21" s="51">
        <v>0</v>
      </c>
      <c r="BO21" s="51">
        <v>0</v>
      </c>
      <c r="BP21" s="51">
        <v>0</v>
      </c>
      <c r="BQ21" s="51">
        <v>0</v>
      </c>
      <c r="BR21" s="51">
        <v>0</v>
      </c>
      <c r="BS21" s="51">
        <v>0</v>
      </c>
      <c r="BT21" s="51">
        <v>0</v>
      </c>
      <c r="BU21" s="51">
        <v>0</v>
      </c>
      <c r="BV21" s="51">
        <v>0</v>
      </c>
      <c r="BW21" s="51">
        <v>0</v>
      </c>
      <c r="BX21" s="51">
        <v>0</v>
      </c>
      <c r="BY21" s="51">
        <v>0</v>
      </c>
    </row>
    <row r="22" spans="1:77" ht="12.75" x14ac:dyDescent="0.2">
      <c r="A22" s="51" t="str" cm="1">
        <f t="array" ref="A22">INDEX(TariffCode, MATCH(1,(C22=TariffZone)*(D22=TariffProduct),0))</f>
        <v>WR</v>
      </c>
      <c r="B22" s="51" t="str">
        <f>IF($D22="Water",IF(C22="Standard",Assumptions!$H$90,Assumptions!$H$93),"")</f>
        <v/>
      </c>
      <c r="C22" s="150" t="s">
        <v>283</v>
      </c>
      <c r="D22" s="150" t="s">
        <v>310</v>
      </c>
      <c r="E22" s="150" t="s">
        <v>407</v>
      </c>
      <c r="F22" s="51" t="s">
        <v>262</v>
      </c>
      <c r="G22" s="51" t="s">
        <v>259</v>
      </c>
      <c r="H22" s="51"/>
      <c r="I22" s="51"/>
      <c r="J22" s="51"/>
      <c r="K22" s="51"/>
      <c r="L22" s="51"/>
      <c r="M22" s="51"/>
      <c r="N22" s="51"/>
      <c r="O22" s="51"/>
      <c r="P22" s="51"/>
      <c r="Q22" s="51"/>
      <c r="R22" s="51"/>
      <c r="S22" s="174">
        <v>38.5368305990146</v>
      </c>
      <c r="T22" s="174">
        <v>41.5368305990146</v>
      </c>
      <c r="U22" s="174">
        <v>43.084177278391785</v>
      </c>
      <c r="V22" s="174">
        <v>46.084177278391799</v>
      </c>
      <c r="W22" s="174">
        <v>46.084177278391799</v>
      </c>
      <c r="X22" s="174">
        <v>47.5368305990146</v>
      </c>
      <c r="Y22" s="174">
        <v>47.5368305990146</v>
      </c>
      <c r="Z22" s="174">
        <v>49.5368305990146</v>
      </c>
      <c r="AA22" s="175">
        <v>49.5368305990146</v>
      </c>
      <c r="AB22" s="176">
        <v>0</v>
      </c>
      <c r="AC22" s="174">
        <v>0</v>
      </c>
      <c r="AD22" s="174">
        <v>0</v>
      </c>
      <c r="AE22" s="174">
        <v>0</v>
      </c>
      <c r="AF22" s="174">
        <v>0</v>
      </c>
      <c r="AG22" s="174">
        <v>0</v>
      </c>
      <c r="AH22" s="174">
        <v>0</v>
      </c>
      <c r="AI22" s="174">
        <v>0</v>
      </c>
      <c r="AJ22" s="174">
        <v>0</v>
      </c>
      <c r="AK22" s="174">
        <v>0</v>
      </c>
      <c r="AL22" s="174">
        <v>0</v>
      </c>
      <c r="AM22" s="174">
        <v>0</v>
      </c>
      <c r="AN22" s="174">
        <v>0</v>
      </c>
      <c r="AO22" s="174">
        <v>0</v>
      </c>
      <c r="AP22" s="174">
        <v>0</v>
      </c>
      <c r="AQ22" s="174">
        <v>0</v>
      </c>
      <c r="AR22" s="174">
        <v>0</v>
      </c>
      <c r="AS22" s="174">
        <v>0</v>
      </c>
      <c r="AT22" s="174">
        <v>0</v>
      </c>
      <c r="AU22" s="174">
        <v>0</v>
      </c>
      <c r="AV22" s="174">
        <v>0</v>
      </c>
      <c r="AW22" s="174">
        <v>0</v>
      </c>
      <c r="AX22" s="174">
        <v>0</v>
      </c>
      <c r="AY22" s="174">
        <v>0</v>
      </c>
      <c r="AZ22" s="174">
        <v>0</v>
      </c>
      <c r="BA22" s="174">
        <v>0</v>
      </c>
      <c r="BB22" s="174">
        <v>0</v>
      </c>
      <c r="BC22" s="174">
        <v>0</v>
      </c>
      <c r="BD22" s="174">
        <v>0</v>
      </c>
      <c r="BE22" s="174">
        <v>0</v>
      </c>
      <c r="BF22" s="174">
        <v>0</v>
      </c>
      <c r="BG22" s="174">
        <v>0</v>
      </c>
      <c r="BH22" s="174">
        <v>0</v>
      </c>
      <c r="BI22" s="174">
        <v>0</v>
      </c>
      <c r="BJ22" s="174">
        <v>0</v>
      </c>
      <c r="BK22" s="174">
        <v>0</v>
      </c>
      <c r="BL22" s="174">
        <v>0</v>
      </c>
      <c r="BM22" s="51">
        <v>0</v>
      </c>
      <c r="BN22" s="51">
        <v>0</v>
      </c>
      <c r="BO22" s="51">
        <v>0</v>
      </c>
      <c r="BP22" s="51">
        <v>0</v>
      </c>
      <c r="BQ22" s="51">
        <v>0</v>
      </c>
      <c r="BR22" s="51">
        <v>0</v>
      </c>
      <c r="BS22" s="51">
        <v>0</v>
      </c>
      <c r="BT22" s="51">
        <v>0</v>
      </c>
      <c r="BU22" s="51">
        <v>0</v>
      </c>
      <c r="BV22" s="51">
        <v>0</v>
      </c>
      <c r="BW22" s="51">
        <v>0</v>
      </c>
      <c r="BX22" s="51">
        <v>0</v>
      </c>
      <c r="BY22" s="51">
        <v>0</v>
      </c>
    </row>
    <row r="23" spans="1:77" ht="12.75" x14ac:dyDescent="0.2">
      <c r="A23" s="51" t="str" cm="1">
        <f t="array" ref="A23">INDEX(TariffCode, MATCH(1,(C23=TariffZone)*(D23=TariffProduct),0))</f>
        <v>GR</v>
      </c>
      <c r="B23" s="51" t="str">
        <f>IF($D23="Water",IF(C23="Standard",Assumptions!$H$90,Assumptions!$H$93),"")</f>
        <v/>
      </c>
      <c r="C23" s="150" t="s">
        <v>312</v>
      </c>
      <c r="D23" s="150" t="s">
        <v>310</v>
      </c>
      <c r="E23" s="150" t="s">
        <v>407</v>
      </c>
      <c r="F23" s="51" t="s">
        <v>262</v>
      </c>
      <c r="G23" s="51" t="s">
        <v>259</v>
      </c>
      <c r="H23" s="51"/>
      <c r="I23" s="51"/>
      <c r="J23" s="51"/>
      <c r="K23" s="51"/>
      <c r="L23" s="51"/>
      <c r="M23" s="51"/>
      <c r="N23" s="51"/>
      <c r="O23" s="51"/>
      <c r="P23" s="51"/>
      <c r="Q23" s="51"/>
      <c r="R23" s="51"/>
      <c r="S23" s="174">
        <v>0</v>
      </c>
      <c r="T23" s="174">
        <v>0</v>
      </c>
      <c r="U23" s="174">
        <v>0</v>
      </c>
      <c r="V23" s="174">
        <v>0</v>
      </c>
      <c r="W23" s="174">
        <v>0</v>
      </c>
      <c r="X23" s="174">
        <v>0</v>
      </c>
      <c r="Y23" s="174">
        <v>0</v>
      </c>
      <c r="Z23" s="174">
        <v>0</v>
      </c>
      <c r="AA23" s="175">
        <v>0</v>
      </c>
      <c r="AB23" s="176">
        <v>19</v>
      </c>
      <c r="AC23" s="174">
        <v>19</v>
      </c>
      <c r="AD23" s="174">
        <v>19</v>
      </c>
      <c r="AE23" s="174">
        <v>19</v>
      </c>
      <c r="AF23" s="174">
        <v>19</v>
      </c>
      <c r="AG23" s="174">
        <v>19</v>
      </c>
      <c r="AH23" s="174">
        <v>19</v>
      </c>
      <c r="AI23" s="174">
        <v>19</v>
      </c>
      <c r="AJ23" s="174">
        <v>19</v>
      </c>
      <c r="AK23" s="174">
        <v>19</v>
      </c>
      <c r="AL23" s="174">
        <v>19</v>
      </c>
      <c r="AM23" s="174">
        <v>19</v>
      </c>
      <c r="AN23" s="174">
        <v>19</v>
      </c>
      <c r="AO23" s="174">
        <v>19</v>
      </c>
      <c r="AP23" s="174">
        <v>19</v>
      </c>
      <c r="AQ23" s="174">
        <v>19</v>
      </c>
      <c r="AR23" s="174">
        <v>19</v>
      </c>
      <c r="AS23" s="174">
        <v>19</v>
      </c>
      <c r="AT23" s="174">
        <v>19</v>
      </c>
      <c r="AU23" s="174">
        <v>19</v>
      </c>
      <c r="AV23" s="174">
        <v>19</v>
      </c>
      <c r="AW23" s="174">
        <v>19</v>
      </c>
      <c r="AX23" s="174">
        <v>19</v>
      </c>
      <c r="AY23" s="174">
        <v>19</v>
      </c>
      <c r="AZ23" s="174">
        <v>19</v>
      </c>
      <c r="BA23" s="174">
        <v>19</v>
      </c>
      <c r="BB23" s="174">
        <v>19</v>
      </c>
      <c r="BC23" s="174">
        <v>19</v>
      </c>
      <c r="BD23" s="174">
        <v>19</v>
      </c>
      <c r="BE23" s="174">
        <v>19</v>
      </c>
      <c r="BF23" s="174">
        <v>19</v>
      </c>
      <c r="BG23" s="174">
        <v>19</v>
      </c>
      <c r="BH23" s="174">
        <v>19</v>
      </c>
      <c r="BI23" s="174">
        <v>19</v>
      </c>
      <c r="BJ23" s="174">
        <v>19</v>
      </c>
      <c r="BK23" s="174">
        <v>19</v>
      </c>
      <c r="BL23" s="174">
        <v>19</v>
      </c>
      <c r="BM23" s="51">
        <v>19</v>
      </c>
      <c r="BN23" s="51">
        <v>19</v>
      </c>
      <c r="BO23" s="51">
        <v>19</v>
      </c>
      <c r="BP23" s="51">
        <v>19</v>
      </c>
      <c r="BQ23" s="51">
        <v>19</v>
      </c>
      <c r="BR23" s="51">
        <v>19</v>
      </c>
      <c r="BS23" s="51">
        <v>19</v>
      </c>
      <c r="BT23" s="51">
        <v>19</v>
      </c>
      <c r="BU23" s="51">
        <v>19</v>
      </c>
      <c r="BV23" s="51">
        <v>19</v>
      </c>
      <c r="BW23" s="51">
        <v>19</v>
      </c>
      <c r="BX23" s="51">
        <v>19</v>
      </c>
      <c r="BY23" s="51">
        <v>19</v>
      </c>
    </row>
    <row r="24" spans="1:77" ht="12.75" x14ac:dyDescent="0.2">
      <c r="A24" s="51" t="str" cm="1">
        <f t="array" ref="A24">INDEX(TariffCode, MATCH(1,(C24=TariffZone)*(D24=TariffProduct),0))</f>
        <v>SW</v>
      </c>
      <c r="B24" s="51" t="str">
        <f>IF($D24="Water",IF(C24="Standard",Assumptions!$H$90,Assumptions!$H$93),"")</f>
        <v>SA</v>
      </c>
      <c r="C24" s="150" t="s">
        <v>287</v>
      </c>
      <c r="D24" s="150" t="s">
        <v>301</v>
      </c>
      <c r="E24" s="150" t="s">
        <v>405</v>
      </c>
      <c r="F24" s="51" t="s">
        <v>265</v>
      </c>
      <c r="G24" s="51" t="s">
        <v>259</v>
      </c>
      <c r="H24" s="51"/>
      <c r="I24" s="51"/>
      <c r="J24" s="51"/>
      <c r="K24" s="51"/>
      <c r="L24" s="51"/>
      <c r="M24" s="51"/>
      <c r="N24" s="51"/>
      <c r="O24" s="51"/>
      <c r="P24" s="51"/>
      <c r="Q24" s="51"/>
      <c r="R24" s="51"/>
      <c r="S24" s="174">
        <v>30733</v>
      </c>
      <c r="T24" s="174">
        <v>37022</v>
      </c>
      <c r="U24" s="174">
        <v>40042</v>
      </c>
      <c r="V24" s="174">
        <v>41989</v>
      </c>
      <c r="W24" s="174">
        <v>43363</v>
      </c>
      <c r="X24" s="174">
        <v>44957</v>
      </c>
      <c r="Y24" s="174">
        <v>46750</v>
      </c>
      <c r="Z24" s="174">
        <v>48402</v>
      </c>
      <c r="AA24" s="175">
        <v>49786</v>
      </c>
      <c r="AB24" s="176">
        <v>40350.138718743226</v>
      </c>
      <c r="AC24" s="174">
        <v>41151.494950132561</v>
      </c>
      <c r="AD24" s="174">
        <v>41792.832384439876</v>
      </c>
      <c r="AE24" s="174">
        <v>42561.661714150308</v>
      </c>
      <c r="AF24" s="174">
        <v>43252.833790881559</v>
      </c>
      <c r="AG24" s="174">
        <v>44009.775407666501</v>
      </c>
      <c r="AH24" s="174">
        <v>44893.491824119716</v>
      </c>
      <c r="AI24" s="174">
        <v>45786.622773780604</v>
      </c>
      <c r="AJ24" s="174">
        <v>46632.552036527952</v>
      </c>
      <c r="AK24" s="174">
        <v>47364.003272226939</v>
      </c>
      <c r="AL24" s="174">
        <v>48013.35845632173</v>
      </c>
      <c r="AM24" s="174">
        <v>48615.996997581868</v>
      </c>
      <c r="AN24" s="174">
        <v>49239.505932580425</v>
      </c>
      <c r="AO24" s="174">
        <v>49841.285599175812</v>
      </c>
      <c r="AP24" s="174">
        <v>50409.253611339751</v>
      </c>
      <c r="AQ24" s="174">
        <v>50983.605521481717</v>
      </c>
      <c r="AR24" s="174">
        <v>51563.536157964991</v>
      </c>
      <c r="AS24" s="174">
        <v>52128.028455662818</v>
      </c>
      <c r="AT24" s="174">
        <v>52739.817436735713</v>
      </c>
      <c r="AU24" s="174">
        <v>53387.258917523766</v>
      </c>
      <c r="AV24" s="174">
        <v>54108.877358464073</v>
      </c>
      <c r="AW24" s="174">
        <v>54972.75074032574</v>
      </c>
      <c r="AX24" s="174">
        <v>55979.935792145901</v>
      </c>
      <c r="AY24" s="174">
        <v>57109.138026191053</v>
      </c>
      <c r="AZ24" s="174">
        <v>58206.960411098131</v>
      </c>
      <c r="BA24" s="174">
        <v>59255.644301268781</v>
      </c>
      <c r="BB24" s="174">
        <v>60226.739705645872</v>
      </c>
      <c r="BC24" s="174">
        <v>61181.371078912416</v>
      </c>
      <c r="BD24" s="174">
        <v>62188.117632344249</v>
      </c>
      <c r="BE24" s="174">
        <v>63216.374086086995</v>
      </c>
      <c r="BF24" s="174">
        <v>64244.875551624129</v>
      </c>
      <c r="BG24" s="174">
        <v>65229.090826929627</v>
      </c>
      <c r="BH24" s="174">
        <v>66254.069936379237</v>
      </c>
      <c r="BI24" s="174">
        <v>67363.825033282134</v>
      </c>
      <c r="BJ24" s="174">
        <v>68538.01405165749</v>
      </c>
      <c r="BK24" s="174">
        <v>69579.197443129029</v>
      </c>
      <c r="BL24" s="174">
        <v>70581.126640642906</v>
      </c>
      <c r="BM24" s="51">
        <v>71564.607563913902</v>
      </c>
      <c r="BN24" s="51">
        <v>72489.388539280131</v>
      </c>
      <c r="BO24" s="51">
        <v>73230.046388735907</v>
      </c>
      <c r="BP24" s="51">
        <v>74055.897614522371</v>
      </c>
      <c r="BQ24" s="51">
        <v>75064.223787823488</v>
      </c>
      <c r="BR24" s="51">
        <v>75934.722814292487</v>
      </c>
      <c r="BS24" s="51">
        <v>76469.135229973952</v>
      </c>
      <c r="BT24" s="51">
        <v>76977.612449379027</v>
      </c>
      <c r="BU24" s="51">
        <v>77461.093007061892</v>
      </c>
      <c r="BV24" s="51">
        <v>77919.132539628015</v>
      </c>
      <c r="BW24" s="51">
        <v>78353.342474771882</v>
      </c>
      <c r="BX24" s="51">
        <v>78763.478656782245</v>
      </c>
      <c r="BY24" s="51">
        <v>79151.006019926834</v>
      </c>
    </row>
    <row r="25" spans="1:77" ht="12.75" x14ac:dyDescent="0.2">
      <c r="A25" s="51" t="str" cm="1">
        <f t="array" ref="A25">INDEX(TariffCode, MATCH(1,(C25=TariffZone)*(D25=TariffProduct),0))</f>
        <v>GW</v>
      </c>
      <c r="B25" s="51" t="str">
        <f>IF($D25="Water",IF(C25="Standard",Assumptions!$H$90,Assumptions!$H$93),"")</f>
        <v>GA</v>
      </c>
      <c r="C25" s="150" t="s">
        <v>290</v>
      </c>
      <c r="D25" s="150" t="s">
        <v>301</v>
      </c>
      <c r="E25" s="150" t="s">
        <v>405</v>
      </c>
      <c r="F25" s="51" t="s">
        <v>265</v>
      </c>
      <c r="G25" s="51" t="s">
        <v>259</v>
      </c>
      <c r="H25" s="51"/>
      <c r="I25" s="51"/>
      <c r="J25" s="51"/>
      <c r="K25" s="51"/>
      <c r="L25" s="51"/>
      <c r="M25" s="51"/>
      <c r="N25" s="51"/>
      <c r="O25" s="51"/>
      <c r="P25" s="51"/>
      <c r="Q25" s="51"/>
      <c r="R25" s="51"/>
      <c r="S25" s="174">
        <v>0</v>
      </c>
      <c r="T25" s="174">
        <v>0</v>
      </c>
      <c r="U25" s="174">
        <v>0</v>
      </c>
      <c r="V25" s="174">
        <v>0</v>
      </c>
      <c r="W25" s="174">
        <v>0</v>
      </c>
      <c r="X25" s="174">
        <v>0</v>
      </c>
      <c r="Y25" s="174">
        <v>0</v>
      </c>
      <c r="Z25" s="174">
        <v>0</v>
      </c>
      <c r="AA25" s="175">
        <v>0</v>
      </c>
      <c r="AB25" s="176">
        <v>0</v>
      </c>
      <c r="AC25" s="174">
        <v>0</v>
      </c>
      <c r="AD25" s="174">
        <v>0</v>
      </c>
      <c r="AE25" s="174">
        <v>0</v>
      </c>
      <c r="AF25" s="174">
        <v>0</v>
      </c>
      <c r="AG25" s="174">
        <v>0</v>
      </c>
      <c r="AH25" s="174">
        <v>0</v>
      </c>
      <c r="AI25" s="174">
        <v>0</v>
      </c>
      <c r="AJ25" s="174">
        <v>0</v>
      </c>
      <c r="AK25" s="174">
        <v>0</v>
      </c>
      <c r="AL25" s="174">
        <v>0</v>
      </c>
      <c r="AM25" s="174">
        <v>0</v>
      </c>
      <c r="AN25" s="174">
        <v>0</v>
      </c>
      <c r="AO25" s="174">
        <v>0</v>
      </c>
      <c r="AP25" s="174">
        <v>0</v>
      </c>
      <c r="AQ25" s="174">
        <v>0</v>
      </c>
      <c r="AR25" s="174">
        <v>0</v>
      </c>
      <c r="AS25" s="174">
        <v>0</v>
      </c>
      <c r="AT25" s="174">
        <v>0</v>
      </c>
      <c r="AU25" s="174">
        <v>0</v>
      </c>
      <c r="AV25" s="174">
        <v>0</v>
      </c>
      <c r="AW25" s="174">
        <v>0</v>
      </c>
      <c r="AX25" s="174">
        <v>0</v>
      </c>
      <c r="AY25" s="174">
        <v>0</v>
      </c>
      <c r="AZ25" s="174">
        <v>0</v>
      </c>
      <c r="BA25" s="174">
        <v>0</v>
      </c>
      <c r="BB25" s="174">
        <v>0</v>
      </c>
      <c r="BC25" s="174">
        <v>0</v>
      </c>
      <c r="BD25" s="174">
        <v>0</v>
      </c>
      <c r="BE25" s="174">
        <v>0</v>
      </c>
      <c r="BF25" s="174">
        <v>0</v>
      </c>
      <c r="BG25" s="174">
        <v>0</v>
      </c>
      <c r="BH25" s="174">
        <v>0</v>
      </c>
      <c r="BI25" s="174">
        <v>0</v>
      </c>
      <c r="BJ25" s="174">
        <v>0</v>
      </c>
      <c r="BK25" s="174">
        <v>0</v>
      </c>
      <c r="BL25" s="174">
        <v>0</v>
      </c>
      <c r="BM25" s="51">
        <v>0</v>
      </c>
      <c r="BN25" s="51">
        <v>0</v>
      </c>
      <c r="BO25" s="51">
        <v>0</v>
      </c>
      <c r="BP25" s="51">
        <v>0</v>
      </c>
      <c r="BQ25" s="51">
        <v>0</v>
      </c>
      <c r="BR25" s="51">
        <v>0</v>
      </c>
      <c r="BS25" s="51">
        <v>0</v>
      </c>
      <c r="BT25" s="51">
        <v>0</v>
      </c>
      <c r="BU25" s="51">
        <v>0</v>
      </c>
      <c r="BV25" s="51">
        <v>0</v>
      </c>
      <c r="BW25" s="51">
        <v>0</v>
      </c>
      <c r="BX25" s="51">
        <v>0</v>
      </c>
      <c r="BY25" s="51">
        <v>0</v>
      </c>
    </row>
    <row r="26" spans="1:77" ht="12.75" x14ac:dyDescent="0.2">
      <c r="A26" s="51" t="str" cm="1">
        <f t="array" ref="A26">INDEX(TariffCode, MATCH(1,(C26=TariffZone)*(D26=TariffProduct),0))</f>
        <v>SS</v>
      </c>
      <c r="B26" s="51" t="str">
        <f>IF($D26="Water",IF(C26="Standard",Assumptions!$H$90,Assumptions!$H$93),"")</f>
        <v/>
      </c>
      <c r="C26" s="150" t="s">
        <v>287</v>
      </c>
      <c r="D26" s="150" t="s">
        <v>303</v>
      </c>
      <c r="E26" s="150" t="s">
        <v>405</v>
      </c>
      <c r="F26" s="51" t="s">
        <v>265</v>
      </c>
      <c r="G26" s="51" t="s">
        <v>259</v>
      </c>
      <c r="H26" s="51"/>
      <c r="I26" s="51"/>
      <c r="J26" s="51"/>
      <c r="K26" s="51"/>
      <c r="L26" s="51"/>
      <c r="M26" s="51"/>
      <c r="N26" s="51"/>
      <c r="O26" s="51"/>
      <c r="P26" s="51"/>
      <c r="Q26" s="51"/>
      <c r="R26" s="51"/>
      <c r="S26" s="174">
        <v>28963</v>
      </c>
      <c r="T26" s="174">
        <v>34941</v>
      </c>
      <c r="U26" s="174">
        <v>38077</v>
      </c>
      <c r="V26" s="174">
        <v>39961</v>
      </c>
      <c r="W26" s="174">
        <v>41299</v>
      </c>
      <c r="X26" s="174">
        <v>43133</v>
      </c>
      <c r="Y26" s="174">
        <v>44797</v>
      </c>
      <c r="Z26" s="174">
        <v>46438</v>
      </c>
      <c r="AA26" s="175">
        <v>47811</v>
      </c>
      <c r="AB26" s="176">
        <v>38358.855893624139</v>
      </c>
      <c r="AC26" s="174">
        <v>39160.212125013481</v>
      </c>
      <c r="AD26" s="174">
        <v>39801.549559320789</v>
      </c>
      <c r="AE26" s="174">
        <v>40570.378889031221</v>
      </c>
      <c r="AF26" s="174">
        <v>41261.550965762479</v>
      </c>
      <c r="AG26" s="174">
        <v>42018.492582547406</v>
      </c>
      <c r="AH26" s="174">
        <v>42902.208999000635</v>
      </c>
      <c r="AI26" s="174">
        <v>43795.339948661524</v>
      </c>
      <c r="AJ26" s="174">
        <v>44641.269211408871</v>
      </c>
      <c r="AK26" s="174">
        <v>45372.720447107858</v>
      </c>
      <c r="AL26" s="174">
        <v>46022.07563120265</v>
      </c>
      <c r="AM26" s="174">
        <v>46624.714172462773</v>
      </c>
      <c r="AN26" s="174">
        <v>47248.223107461337</v>
      </c>
      <c r="AO26" s="174">
        <v>47850.002774056731</v>
      </c>
      <c r="AP26" s="174">
        <v>48417.970786220656</v>
      </c>
      <c r="AQ26" s="174">
        <v>48992.322696362629</v>
      </c>
      <c r="AR26" s="174">
        <v>49572.25333284591</v>
      </c>
      <c r="AS26" s="174">
        <v>50136.745630543737</v>
      </c>
      <c r="AT26" s="174">
        <v>50748.534611616618</v>
      </c>
      <c r="AU26" s="174">
        <v>51395.976092404686</v>
      </c>
      <c r="AV26" s="174">
        <v>52117.594533344993</v>
      </c>
      <c r="AW26" s="174">
        <v>52981.467915206653</v>
      </c>
      <c r="AX26" s="174">
        <v>53988.652967026821</v>
      </c>
      <c r="AY26" s="174">
        <v>55117.855201071972</v>
      </c>
      <c r="AZ26" s="174">
        <v>56215.677585979036</v>
      </c>
      <c r="BA26" s="174">
        <v>57264.361476149694</v>
      </c>
      <c r="BB26" s="174">
        <v>58235.456880526777</v>
      </c>
      <c r="BC26" s="174">
        <v>59190.088253793336</v>
      </c>
      <c r="BD26" s="174">
        <v>60196.834807225161</v>
      </c>
      <c r="BE26" s="174">
        <v>61225.091260967914</v>
      </c>
      <c r="BF26" s="174">
        <v>62253.592726505041</v>
      </c>
      <c r="BG26" s="174">
        <v>63237.808001810539</v>
      </c>
      <c r="BH26" s="174">
        <v>64262.78711126015</v>
      </c>
      <c r="BI26" s="174">
        <v>65372.542208163039</v>
      </c>
      <c r="BJ26" s="174">
        <v>66546.73122653841</v>
      </c>
      <c r="BK26" s="174">
        <v>67587.914618009934</v>
      </c>
      <c r="BL26" s="174">
        <v>68589.843815523811</v>
      </c>
      <c r="BM26" s="51">
        <v>69573.324738794821</v>
      </c>
      <c r="BN26" s="51">
        <v>70498.105714161036</v>
      </c>
      <c r="BO26" s="51">
        <v>71238.763563616812</v>
      </c>
      <c r="BP26" s="51">
        <v>72064.614789403277</v>
      </c>
      <c r="BQ26" s="51">
        <v>73072.940962704393</v>
      </c>
      <c r="BR26" s="51">
        <v>73943.439989173407</v>
      </c>
      <c r="BS26" s="51">
        <v>74477.852404854872</v>
      </c>
      <c r="BT26" s="51">
        <v>74986.329624259961</v>
      </c>
      <c r="BU26" s="51">
        <v>75469.810181942812</v>
      </c>
      <c r="BV26" s="51">
        <v>75927.84971450892</v>
      </c>
      <c r="BW26" s="51">
        <v>76362.059649652801</v>
      </c>
      <c r="BX26" s="51">
        <v>76772.195831663164</v>
      </c>
      <c r="BY26" s="51">
        <v>77159.723194807753</v>
      </c>
    </row>
    <row r="27" spans="1:77" ht="12.75" x14ac:dyDescent="0.2">
      <c r="A27" s="51" t="str" cm="1">
        <f t="array" ref="A27">INDEX(TariffCode, MATCH(1,(C27=TariffZone)*(D27=TariffProduct),0))</f>
        <v>GS</v>
      </c>
      <c r="B27" s="51" t="str">
        <f>IF($D27="Water",IF(C27="Standard",Assumptions!$H$90,Assumptions!$H$93),"")</f>
        <v/>
      </c>
      <c r="C27" s="150" t="s">
        <v>290</v>
      </c>
      <c r="D27" s="150" t="s">
        <v>303</v>
      </c>
      <c r="E27" s="150" t="s">
        <v>405</v>
      </c>
      <c r="F27" s="51" t="s">
        <v>265</v>
      </c>
      <c r="G27" s="51" t="s">
        <v>259</v>
      </c>
      <c r="H27" s="51"/>
      <c r="I27" s="51"/>
      <c r="J27" s="51"/>
      <c r="K27" s="51"/>
      <c r="L27" s="51"/>
      <c r="M27" s="51"/>
      <c r="N27" s="51"/>
      <c r="O27" s="51"/>
      <c r="P27" s="51"/>
      <c r="Q27" s="51"/>
      <c r="R27" s="51"/>
      <c r="S27" s="174">
        <v>0</v>
      </c>
      <c r="T27" s="174">
        <v>0</v>
      </c>
      <c r="U27" s="174">
        <v>0</v>
      </c>
      <c r="V27" s="174">
        <v>0</v>
      </c>
      <c r="W27" s="174">
        <v>0</v>
      </c>
      <c r="X27" s="174">
        <v>0</v>
      </c>
      <c r="Y27" s="174">
        <v>0</v>
      </c>
      <c r="Z27" s="174">
        <v>0</v>
      </c>
      <c r="AA27" s="175">
        <v>0</v>
      </c>
      <c r="AB27" s="176">
        <v>0</v>
      </c>
      <c r="AC27" s="174">
        <v>0</v>
      </c>
      <c r="AD27" s="174">
        <v>0</v>
      </c>
      <c r="AE27" s="174">
        <v>0</v>
      </c>
      <c r="AF27" s="174">
        <v>0</v>
      </c>
      <c r="AG27" s="174">
        <v>0</v>
      </c>
      <c r="AH27" s="174">
        <v>0</v>
      </c>
      <c r="AI27" s="174">
        <v>0</v>
      </c>
      <c r="AJ27" s="174">
        <v>0</v>
      </c>
      <c r="AK27" s="174">
        <v>0</v>
      </c>
      <c r="AL27" s="174">
        <v>0</v>
      </c>
      <c r="AM27" s="174">
        <v>0</v>
      </c>
      <c r="AN27" s="174">
        <v>0</v>
      </c>
      <c r="AO27" s="174">
        <v>0</v>
      </c>
      <c r="AP27" s="174">
        <v>0</v>
      </c>
      <c r="AQ27" s="174">
        <v>0</v>
      </c>
      <c r="AR27" s="174">
        <v>0</v>
      </c>
      <c r="AS27" s="174">
        <v>0</v>
      </c>
      <c r="AT27" s="174">
        <v>0</v>
      </c>
      <c r="AU27" s="174">
        <v>0</v>
      </c>
      <c r="AV27" s="174">
        <v>0</v>
      </c>
      <c r="AW27" s="174">
        <v>0</v>
      </c>
      <c r="AX27" s="174">
        <v>0</v>
      </c>
      <c r="AY27" s="174">
        <v>0</v>
      </c>
      <c r="AZ27" s="174">
        <v>0</v>
      </c>
      <c r="BA27" s="174">
        <v>0</v>
      </c>
      <c r="BB27" s="174">
        <v>0</v>
      </c>
      <c r="BC27" s="174">
        <v>0</v>
      </c>
      <c r="BD27" s="174">
        <v>0</v>
      </c>
      <c r="BE27" s="174">
        <v>0</v>
      </c>
      <c r="BF27" s="174">
        <v>0</v>
      </c>
      <c r="BG27" s="174">
        <v>0</v>
      </c>
      <c r="BH27" s="174">
        <v>0</v>
      </c>
      <c r="BI27" s="174">
        <v>0</v>
      </c>
      <c r="BJ27" s="174">
        <v>0</v>
      </c>
      <c r="BK27" s="174">
        <v>0</v>
      </c>
      <c r="BL27" s="174">
        <v>0</v>
      </c>
      <c r="BM27" s="51">
        <v>0</v>
      </c>
      <c r="BN27" s="51">
        <v>0</v>
      </c>
      <c r="BO27" s="51">
        <v>0</v>
      </c>
      <c r="BP27" s="51">
        <v>0</v>
      </c>
      <c r="BQ27" s="51">
        <v>0</v>
      </c>
      <c r="BR27" s="51">
        <v>0</v>
      </c>
      <c r="BS27" s="51">
        <v>0</v>
      </c>
      <c r="BT27" s="51">
        <v>0</v>
      </c>
      <c r="BU27" s="51">
        <v>0</v>
      </c>
      <c r="BV27" s="51">
        <v>0</v>
      </c>
      <c r="BW27" s="51">
        <v>0</v>
      </c>
      <c r="BX27" s="51">
        <v>0</v>
      </c>
      <c r="BY27" s="51">
        <v>0</v>
      </c>
    </row>
    <row r="28" spans="1:77" ht="12.75" x14ac:dyDescent="0.2">
      <c r="A28" s="51" t="str" cm="1">
        <f t="array" ref="A28">INDEX(TariffCode, MATCH(1,(C28=TariffZone)*(D28=TariffProduct),0))</f>
        <v>WR</v>
      </c>
      <c r="B28" s="51" t="str">
        <f>IF($D28="Water",IF(C28="Standard",Assumptions!$H$90,Assumptions!$H$93),"")</f>
        <v/>
      </c>
      <c r="C28" s="150" t="s">
        <v>283</v>
      </c>
      <c r="D28" s="150" t="s">
        <v>310</v>
      </c>
      <c r="E28" s="150" t="s">
        <v>405</v>
      </c>
      <c r="F28" s="51" t="s">
        <v>265</v>
      </c>
      <c r="G28" s="51" t="s">
        <v>259</v>
      </c>
      <c r="H28" s="51"/>
      <c r="I28" s="51"/>
      <c r="J28" s="51"/>
      <c r="K28" s="51"/>
      <c r="L28" s="51"/>
      <c r="M28" s="51"/>
      <c r="N28" s="51"/>
      <c r="O28" s="51"/>
      <c r="P28" s="51"/>
      <c r="Q28" s="51"/>
      <c r="R28" s="51"/>
      <c r="S28" s="174">
        <v>0</v>
      </c>
      <c r="T28" s="174">
        <v>0</v>
      </c>
      <c r="U28" s="174">
        <v>0</v>
      </c>
      <c r="V28" s="174">
        <v>0</v>
      </c>
      <c r="W28" s="174">
        <v>0</v>
      </c>
      <c r="X28" s="174">
        <v>0</v>
      </c>
      <c r="Y28" s="174">
        <v>0</v>
      </c>
      <c r="Z28" s="174">
        <v>0</v>
      </c>
      <c r="AA28" s="175">
        <v>0</v>
      </c>
      <c r="AB28" s="176">
        <v>0</v>
      </c>
      <c r="AC28" s="174">
        <v>0</v>
      </c>
      <c r="AD28" s="174">
        <v>0</v>
      </c>
      <c r="AE28" s="174">
        <v>0</v>
      </c>
      <c r="AF28" s="174">
        <v>0</v>
      </c>
      <c r="AG28" s="174">
        <v>0</v>
      </c>
      <c r="AH28" s="174">
        <v>0</v>
      </c>
      <c r="AI28" s="174">
        <v>0</v>
      </c>
      <c r="AJ28" s="174">
        <v>0</v>
      </c>
      <c r="AK28" s="174">
        <v>0</v>
      </c>
      <c r="AL28" s="174">
        <v>0</v>
      </c>
      <c r="AM28" s="174">
        <v>0</v>
      </c>
      <c r="AN28" s="174">
        <v>0</v>
      </c>
      <c r="AO28" s="174">
        <v>0</v>
      </c>
      <c r="AP28" s="174">
        <v>0</v>
      </c>
      <c r="AQ28" s="174">
        <v>0</v>
      </c>
      <c r="AR28" s="174">
        <v>0</v>
      </c>
      <c r="AS28" s="174">
        <v>0</v>
      </c>
      <c r="AT28" s="174">
        <v>0</v>
      </c>
      <c r="AU28" s="174">
        <v>0</v>
      </c>
      <c r="AV28" s="174">
        <v>0</v>
      </c>
      <c r="AW28" s="174">
        <v>0</v>
      </c>
      <c r="AX28" s="174">
        <v>0</v>
      </c>
      <c r="AY28" s="174">
        <v>0</v>
      </c>
      <c r="AZ28" s="174">
        <v>0</v>
      </c>
      <c r="BA28" s="174">
        <v>0</v>
      </c>
      <c r="BB28" s="174">
        <v>0</v>
      </c>
      <c r="BC28" s="174">
        <v>0</v>
      </c>
      <c r="BD28" s="174">
        <v>0</v>
      </c>
      <c r="BE28" s="174">
        <v>0</v>
      </c>
      <c r="BF28" s="174">
        <v>0</v>
      </c>
      <c r="BG28" s="174">
        <v>0</v>
      </c>
      <c r="BH28" s="174">
        <v>0</v>
      </c>
      <c r="BI28" s="174">
        <v>0</v>
      </c>
      <c r="BJ28" s="174">
        <v>0</v>
      </c>
      <c r="BK28" s="174">
        <v>0</v>
      </c>
      <c r="BL28" s="174">
        <v>0</v>
      </c>
      <c r="BM28" s="51">
        <v>0</v>
      </c>
      <c r="BN28" s="51">
        <v>0</v>
      </c>
      <c r="BO28" s="51">
        <v>0</v>
      </c>
      <c r="BP28" s="51">
        <v>0</v>
      </c>
      <c r="BQ28" s="51">
        <v>0</v>
      </c>
      <c r="BR28" s="51">
        <v>0</v>
      </c>
      <c r="BS28" s="51">
        <v>0</v>
      </c>
      <c r="BT28" s="51">
        <v>0</v>
      </c>
      <c r="BU28" s="51">
        <v>0</v>
      </c>
      <c r="BV28" s="51">
        <v>0</v>
      </c>
      <c r="BW28" s="51">
        <v>0</v>
      </c>
      <c r="BX28" s="51">
        <v>0</v>
      </c>
      <c r="BY28" s="51">
        <v>0</v>
      </c>
    </row>
    <row r="29" spans="1:77" ht="12.75" x14ac:dyDescent="0.2">
      <c r="A29" s="51" t="str" cm="1">
        <f t="array" ref="A29">INDEX(TariffCode, MATCH(1,(C29=TariffZone)*(D29=TariffProduct),0))</f>
        <v>GR</v>
      </c>
      <c r="B29" s="51" t="str">
        <f>IF($D29="Water",IF(C29="Standard",Assumptions!$H$90,Assumptions!$H$93),"")</f>
        <v/>
      </c>
      <c r="C29" s="150" t="s">
        <v>312</v>
      </c>
      <c r="D29" s="150" t="s">
        <v>310</v>
      </c>
      <c r="E29" s="150" t="s">
        <v>405</v>
      </c>
      <c r="F29" s="51" t="s">
        <v>265</v>
      </c>
      <c r="G29" s="51" t="s">
        <v>259</v>
      </c>
      <c r="H29" s="51"/>
      <c r="I29" s="51"/>
      <c r="J29" s="51"/>
      <c r="K29" s="51"/>
      <c r="L29" s="51"/>
      <c r="M29" s="51"/>
      <c r="N29" s="51"/>
      <c r="O29" s="51"/>
      <c r="P29" s="51"/>
      <c r="Q29" s="51"/>
      <c r="R29" s="51"/>
      <c r="S29" s="174">
        <v>784</v>
      </c>
      <c r="T29" s="174">
        <v>1006</v>
      </c>
      <c r="U29" s="174">
        <v>1102</v>
      </c>
      <c r="V29" s="174">
        <v>1136</v>
      </c>
      <c r="W29" s="174">
        <v>1167</v>
      </c>
      <c r="X29" s="174">
        <v>1176</v>
      </c>
      <c r="Y29" s="174">
        <v>1181</v>
      </c>
      <c r="Z29" s="174">
        <v>1216</v>
      </c>
      <c r="AA29" s="175">
        <v>1387</v>
      </c>
      <c r="AB29" s="176">
        <v>0</v>
      </c>
      <c r="AC29" s="174">
        <v>0</v>
      </c>
      <c r="AD29" s="174">
        <v>0</v>
      </c>
      <c r="AE29" s="174">
        <v>0</v>
      </c>
      <c r="AF29" s="174">
        <v>0</v>
      </c>
      <c r="AG29" s="174">
        <v>0</v>
      </c>
      <c r="AH29" s="174">
        <v>0</v>
      </c>
      <c r="AI29" s="174">
        <v>0</v>
      </c>
      <c r="AJ29" s="174">
        <v>0</v>
      </c>
      <c r="AK29" s="174">
        <v>0</v>
      </c>
      <c r="AL29" s="174">
        <v>0</v>
      </c>
      <c r="AM29" s="174">
        <v>0</v>
      </c>
      <c r="AN29" s="174">
        <v>0</v>
      </c>
      <c r="AO29" s="174">
        <v>0</v>
      </c>
      <c r="AP29" s="174">
        <v>0</v>
      </c>
      <c r="AQ29" s="174">
        <v>0</v>
      </c>
      <c r="AR29" s="174">
        <v>0</v>
      </c>
      <c r="AS29" s="174">
        <v>0</v>
      </c>
      <c r="AT29" s="174">
        <v>0</v>
      </c>
      <c r="AU29" s="174">
        <v>0</v>
      </c>
      <c r="AV29" s="174">
        <v>0</v>
      </c>
      <c r="AW29" s="174">
        <v>0</v>
      </c>
      <c r="AX29" s="174">
        <v>0</v>
      </c>
      <c r="AY29" s="174">
        <v>0</v>
      </c>
      <c r="AZ29" s="174">
        <v>0</v>
      </c>
      <c r="BA29" s="174">
        <v>0</v>
      </c>
      <c r="BB29" s="174">
        <v>0</v>
      </c>
      <c r="BC29" s="174">
        <v>0</v>
      </c>
      <c r="BD29" s="174">
        <v>0</v>
      </c>
      <c r="BE29" s="174">
        <v>0</v>
      </c>
      <c r="BF29" s="174">
        <v>0</v>
      </c>
      <c r="BG29" s="174">
        <v>0</v>
      </c>
      <c r="BH29" s="174">
        <v>0</v>
      </c>
      <c r="BI29" s="174">
        <v>0</v>
      </c>
      <c r="BJ29" s="174">
        <v>0</v>
      </c>
      <c r="BK29" s="174">
        <v>0</v>
      </c>
      <c r="BL29" s="174">
        <v>0</v>
      </c>
      <c r="BM29" s="51">
        <v>0</v>
      </c>
      <c r="BN29" s="51">
        <v>0</v>
      </c>
      <c r="BO29" s="51">
        <v>0</v>
      </c>
      <c r="BP29" s="51">
        <v>0</v>
      </c>
      <c r="BQ29" s="51">
        <v>0</v>
      </c>
      <c r="BR29" s="51">
        <v>0</v>
      </c>
      <c r="BS29" s="51">
        <v>0</v>
      </c>
      <c r="BT29" s="51">
        <v>0</v>
      </c>
      <c r="BU29" s="51">
        <v>0</v>
      </c>
      <c r="BV29" s="51">
        <v>0</v>
      </c>
      <c r="BW29" s="51">
        <v>0</v>
      </c>
      <c r="BX29" s="51">
        <v>0</v>
      </c>
      <c r="BY29" s="51">
        <v>0</v>
      </c>
    </row>
    <row r="30" spans="1:77" ht="12.75" x14ac:dyDescent="0.2">
      <c r="A30" s="51" t="str" cm="1">
        <f t="array" ref="A30">INDEX(TariffCode, MATCH(1,(C30=TariffZone)*(D30=TariffProduct),0))</f>
        <v>SW</v>
      </c>
      <c r="B30" s="51" t="str">
        <f>IF($D30="Water",IF(C30="Standard",Assumptions!$H$90,Assumptions!$H$93),"")</f>
        <v>SA</v>
      </c>
      <c r="C30" s="150" t="s">
        <v>287</v>
      </c>
      <c r="D30" s="150" t="s">
        <v>301</v>
      </c>
      <c r="E30" s="150" t="s">
        <v>407</v>
      </c>
      <c r="F30" s="51" t="s">
        <v>265</v>
      </c>
      <c r="G30" s="51" t="s">
        <v>259</v>
      </c>
      <c r="H30" s="51"/>
      <c r="I30" s="51"/>
      <c r="J30" s="51"/>
      <c r="K30" s="51"/>
      <c r="L30" s="51"/>
      <c r="M30" s="51"/>
      <c r="N30" s="51"/>
      <c r="O30" s="51"/>
      <c r="P30" s="51"/>
      <c r="Q30" s="51"/>
      <c r="R30" s="51"/>
      <c r="S30" s="174">
        <v>863</v>
      </c>
      <c r="T30" s="174">
        <v>1592</v>
      </c>
      <c r="U30" s="174">
        <v>1874</v>
      </c>
      <c r="V30" s="174">
        <v>1987</v>
      </c>
      <c r="W30" s="174">
        <v>2072</v>
      </c>
      <c r="X30" s="174">
        <v>2201</v>
      </c>
      <c r="Y30" s="174">
        <v>2326</v>
      </c>
      <c r="Z30" s="174">
        <v>2411</v>
      </c>
      <c r="AA30" s="175">
        <v>2453</v>
      </c>
      <c r="AB30" s="176">
        <v>1724.0302674111076</v>
      </c>
      <c r="AC30" s="174">
        <v>1782.4721998053783</v>
      </c>
      <c r="AD30" s="174">
        <v>1841.070107342186</v>
      </c>
      <c r="AE30" s="174">
        <v>1909.0695147156132</v>
      </c>
      <c r="AF30" s="174">
        <v>1968.2255727010556</v>
      </c>
      <c r="AG30" s="174">
        <v>2036.0408259347539</v>
      </c>
      <c r="AH30" s="174">
        <v>2127.8291112812367</v>
      </c>
      <c r="AI30" s="174">
        <v>2230.6468452482954</v>
      </c>
      <c r="AJ30" s="174">
        <v>2322.941706036223</v>
      </c>
      <c r="AK30" s="174">
        <v>2407.0555992066511</v>
      </c>
      <c r="AL30" s="174">
        <v>2490.5892195757528</v>
      </c>
      <c r="AM30" s="174">
        <v>2574.2892597186055</v>
      </c>
      <c r="AN30" s="174">
        <v>2658.903654263489</v>
      </c>
      <c r="AO30" s="174">
        <v>2744.3056064097959</v>
      </c>
      <c r="AP30" s="174">
        <v>2832.8010799023396</v>
      </c>
      <c r="AQ30" s="174">
        <v>2929.615606160567</v>
      </c>
      <c r="AR30" s="174">
        <v>3030.3453230825171</v>
      </c>
      <c r="AS30" s="174">
        <v>3139.9419362285616</v>
      </c>
      <c r="AT30" s="174">
        <v>3260.1384108880916</v>
      </c>
      <c r="AU30" s="174">
        <v>3377.8848530178548</v>
      </c>
      <c r="AV30" s="174">
        <v>3492.1944027492991</v>
      </c>
      <c r="AW30" s="174">
        <v>3602.3046934411022</v>
      </c>
      <c r="AX30" s="174">
        <v>3713.6348501627954</v>
      </c>
      <c r="AY30" s="174">
        <v>3831.3945969000583</v>
      </c>
      <c r="AZ30" s="174">
        <v>3945.0016075381213</v>
      </c>
      <c r="BA30" s="174">
        <v>4057.0873404974545</v>
      </c>
      <c r="BB30" s="174">
        <v>4163.5298945865115</v>
      </c>
      <c r="BC30" s="174">
        <v>4267.3878788881575</v>
      </c>
      <c r="BD30" s="174">
        <v>4367.1026694908714</v>
      </c>
      <c r="BE30" s="174">
        <v>4460.8642175742016</v>
      </c>
      <c r="BF30" s="174">
        <v>4549.6484929898133</v>
      </c>
      <c r="BG30" s="174">
        <v>4639.2792910697199</v>
      </c>
      <c r="BH30" s="174">
        <v>4725.6416850755904</v>
      </c>
      <c r="BI30" s="174">
        <v>4797.5187397832515</v>
      </c>
      <c r="BJ30" s="174">
        <v>4868.5943339618425</v>
      </c>
      <c r="BK30" s="174">
        <v>4935.2824196608635</v>
      </c>
      <c r="BL30" s="174">
        <v>5000.6501850410932</v>
      </c>
      <c r="BM30" s="51">
        <v>5063.1985222727199</v>
      </c>
      <c r="BN30" s="51">
        <v>5121.0781705670088</v>
      </c>
      <c r="BO30" s="51">
        <v>5164.146731048364</v>
      </c>
      <c r="BP30" s="51">
        <v>5211.7341515890548</v>
      </c>
      <c r="BQ30" s="51">
        <v>5261.9889984139991</v>
      </c>
      <c r="BR30" s="51">
        <v>5320.3564947902232</v>
      </c>
      <c r="BS30" s="51">
        <v>5374.3664385791335</v>
      </c>
      <c r="BT30" s="51">
        <v>5425.7552634495078</v>
      </c>
      <c r="BU30" s="51">
        <v>5474.6178216110411</v>
      </c>
      <c r="BV30" s="51">
        <v>5520.9092038489453</v>
      </c>
      <c r="BW30" s="51">
        <v>5564.7922677553124</v>
      </c>
      <c r="BX30" s="51">
        <v>5606.2423379374031</v>
      </c>
      <c r="BY30" s="51">
        <v>5645.4074667516634</v>
      </c>
    </row>
    <row r="31" spans="1:77" ht="12.75" x14ac:dyDescent="0.2">
      <c r="A31" s="51" t="str" cm="1">
        <f t="array" ref="A31">INDEX(TariffCode, MATCH(1,(C31=TariffZone)*(D31=TariffProduct),0))</f>
        <v>GW</v>
      </c>
      <c r="B31" s="51" t="str">
        <f>IF($D31="Water",IF(C31="Standard",Assumptions!$H$90,Assumptions!$H$93),"")</f>
        <v>GA</v>
      </c>
      <c r="C31" s="150" t="s">
        <v>290</v>
      </c>
      <c r="D31" s="150" t="s">
        <v>301</v>
      </c>
      <c r="E31" s="150" t="s">
        <v>407</v>
      </c>
      <c r="F31" s="51" t="s">
        <v>265</v>
      </c>
      <c r="G31" s="51" t="s">
        <v>259</v>
      </c>
      <c r="H31" s="51"/>
      <c r="I31" s="51"/>
      <c r="J31" s="51"/>
      <c r="K31" s="51"/>
      <c r="L31" s="51"/>
      <c r="M31" s="51"/>
      <c r="N31" s="51"/>
      <c r="O31" s="51"/>
      <c r="P31" s="51"/>
      <c r="Q31" s="51"/>
      <c r="R31" s="51"/>
      <c r="S31" s="174">
        <v>0</v>
      </c>
      <c r="T31" s="174">
        <v>0</v>
      </c>
      <c r="U31" s="174">
        <v>0</v>
      </c>
      <c r="V31" s="174">
        <v>0</v>
      </c>
      <c r="W31" s="174">
        <v>0</v>
      </c>
      <c r="X31" s="174">
        <v>0</v>
      </c>
      <c r="Y31" s="174">
        <v>0</v>
      </c>
      <c r="Z31" s="174">
        <v>0</v>
      </c>
      <c r="AA31" s="175">
        <v>0</v>
      </c>
      <c r="AB31" s="176">
        <v>0</v>
      </c>
      <c r="AC31" s="174">
        <v>0</v>
      </c>
      <c r="AD31" s="174">
        <v>0</v>
      </c>
      <c r="AE31" s="174">
        <v>0</v>
      </c>
      <c r="AF31" s="174">
        <v>0</v>
      </c>
      <c r="AG31" s="174">
        <v>0</v>
      </c>
      <c r="AH31" s="174">
        <v>0</v>
      </c>
      <c r="AI31" s="174">
        <v>0</v>
      </c>
      <c r="AJ31" s="174">
        <v>0</v>
      </c>
      <c r="AK31" s="174">
        <v>0</v>
      </c>
      <c r="AL31" s="174">
        <v>0</v>
      </c>
      <c r="AM31" s="174">
        <v>0</v>
      </c>
      <c r="AN31" s="174">
        <v>0</v>
      </c>
      <c r="AO31" s="174">
        <v>0</v>
      </c>
      <c r="AP31" s="174">
        <v>0</v>
      </c>
      <c r="AQ31" s="174">
        <v>0</v>
      </c>
      <c r="AR31" s="174">
        <v>0</v>
      </c>
      <c r="AS31" s="174">
        <v>0</v>
      </c>
      <c r="AT31" s="174">
        <v>0</v>
      </c>
      <c r="AU31" s="174">
        <v>0</v>
      </c>
      <c r="AV31" s="174">
        <v>0</v>
      </c>
      <c r="AW31" s="174">
        <v>0</v>
      </c>
      <c r="AX31" s="174">
        <v>0</v>
      </c>
      <c r="AY31" s="174">
        <v>0</v>
      </c>
      <c r="AZ31" s="174">
        <v>0</v>
      </c>
      <c r="BA31" s="174">
        <v>0</v>
      </c>
      <c r="BB31" s="174">
        <v>0</v>
      </c>
      <c r="BC31" s="174">
        <v>0</v>
      </c>
      <c r="BD31" s="174">
        <v>0</v>
      </c>
      <c r="BE31" s="174">
        <v>0</v>
      </c>
      <c r="BF31" s="174">
        <v>0</v>
      </c>
      <c r="BG31" s="174">
        <v>0</v>
      </c>
      <c r="BH31" s="174">
        <v>0</v>
      </c>
      <c r="BI31" s="174">
        <v>0</v>
      </c>
      <c r="BJ31" s="174">
        <v>0</v>
      </c>
      <c r="BK31" s="174">
        <v>0</v>
      </c>
      <c r="BL31" s="174">
        <v>0</v>
      </c>
      <c r="BM31" s="51">
        <v>0</v>
      </c>
      <c r="BN31" s="51">
        <v>0</v>
      </c>
      <c r="BO31" s="51">
        <v>0</v>
      </c>
      <c r="BP31" s="51">
        <v>0</v>
      </c>
      <c r="BQ31" s="51">
        <v>0</v>
      </c>
      <c r="BR31" s="51">
        <v>0</v>
      </c>
      <c r="BS31" s="51">
        <v>0</v>
      </c>
      <c r="BT31" s="51">
        <v>0</v>
      </c>
      <c r="BU31" s="51">
        <v>0</v>
      </c>
      <c r="BV31" s="51">
        <v>0</v>
      </c>
      <c r="BW31" s="51">
        <v>0</v>
      </c>
      <c r="BX31" s="51">
        <v>0</v>
      </c>
      <c r="BY31" s="51">
        <v>0</v>
      </c>
    </row>
    <row r="32" spans="1:77" ht="12.75" x14ac:dyDescent="0.2">
      <c r="A32" s="51" t="str" cm="1">
        <f t="array" ref="A32">INDEX(TariffCode, MATCH(1,(C32=TariffZone)*(D32=TariffProduct),0))</f>
        <v>SS</v>
      </c>
      <c r="B32" s="51" t="str">
        <f>IF($D32="Water",IF(C32="Standard",Assumptions!$H$90,Assumptions!$H$93),"")</f>
        <v/>
      </c>
      <c r="C32" s="150" t="s">
        <v>287</v>
      </c>
      <c r="D32" s="150" t="s">
        <v>303</v>
      </c>
      <c r="E32" s="150" t="s">
        <v>407</v>
      </c>
      <c r="F32" s="51" t="s">
        <v>265</v>
      </c>
      <c r="G32" s="51" t="s">
        <v>259</v>
      </c>
      <c r="H32" s="51"/>
      <c r="I32" s="51"/>
      <c r="J32" s="51"/>
      <c r="K32" s="51"/>
      <c r="L32" s="51"/>
      <c r="M32" s="51"/>
      <c r="N32" s="51"/>
      <c r="O32" s="51"/>
      <c r="P32" s="51"/>
      <c r="Q32" s="51"/>
      <c r="R32" s="51"/>
      <c r="S32" s="174">
        <v>786</v>
      </c>
      <c r="T32" s="174">
        <v>1472</v>
      </c>
      <c r="U32" s="174">
        <v>1686</v>
      </c>
      <c r="V32" s="174">
        <v>1781</v>
      </c>
      <c r="W32" s="174">
        <v>1877</v>
      </c>
      <c r="X32" s="174">
        <v>1933</v>
      </c>
      <c r="Y32" s="174">
        <v>2033</v>
      </c>
      <c r="Z32" s="174">
        <v>2076</v>
      </c>
      <c r="AA32" s="175">
        <v>2112</v>
      </c>
      <c r="AB32" s="176">
        <v>1434.3006171025565</v>
      </c>
      <c r="AC32" s="174">
        <v>1492.7425494968272</v>
      </c>
      <c r="AD32" s="174">
        <v>1551.3404570336347</v>
      </c>
      <c r="AE32" s="174">
        <v>1619.3398644070621</v>
      </c>
      <c r="AF32" s="174">
        <v>1678.4959223925043</v>
      </c>
      <c r="AG32" s="174">
        <v>1746.3111756262028</v>
      </c>
      <c r="AH32" s="174">
        <v>1838.0994609726858</v>
      </c>
      <c r="AI32" s="174">
        <v>1940.9171949397441</v>
      </c>
      <c r="AJ32" s="174">
        <v>2033.2120557276719</v>
      </c>
      <c r="AK32" s="174">
        <v>2117.3259488980998</v>
      </c>
      <c r="AL32" s="174">
        <v>2200.8595692672016</v>
      </c>
      <c r="AM32" s="174">
        <v>2284.5596094100547</v>
      </c>
      <c r="AN32" s="174">
        <v>2369.1740039549377</v>
      </c>
      <c r="AO32" s="174">
        <v>2454.5759561012446</v>
      </c>
      <c r="AP32" s="174">
        <v>2543.0714295937883</v>
      </c>
      <c r="AQ32" s="174">
        <v>2639.8859558520162</v>
      </c>
      <c r="AR32" s="174">
        <v>2740.6156727739663</v>
      </c>
      <c r="AS32" s="174">
        <v>2850.2122859200099</v>
      </c>
      <c r="AT32" s="174">
        <v>2970.4087605795403</v>
      </c>
      <c r="AU32" s="174">
        <v>3088.155202709303</v>
      </c>
      <c r="AV32" s="174">
        <v>3202.4647524407474</v>
      </c>
      <c r="AW32" s="174">
        <v>3312.5750431325505</v>
      </c>
      <c r="AX32" s="174">
        <v>3423.9051998542445</v>
      </c>
      <c r="AY32" s="174">
        <v>3541.664946591507</v>
      </c>
      <c r="AZ32" s="174">
        <v>3655.27195722957</v>
      </c>
      <c r="BA32" s="174">
        <v>3767.3576901889037</v>
      </c>
      <c r="BB32" s="174">
        <v>3873.8002442779607</v>
      </c>
      <c r="BC32" s="174">
        <v>3977.6582285796067</v>
      </c>
      <c r="BD32" s="174">
        <v>4077.3730191823206</v>
      </c>
      <c r="BE32" s="174">
        <v>4171.1345672656498</v>
      </c>
      <c r="BF32" s="174">
        <v>4259.9188426812625</v>
      </c>
      <c r="BG32" s="174">
        <v>4349.549640761169</v>
      </c>
      <c r="BH32" s="174">
        <v>4435.9120347670387</v>
      </c>
      <c r="BI32" s="174">
        <v>4507.7890894746997</v>
      </c>
      <c r="BJ32" s="174">
        <v>4578.8646836532907</v>
      </c>
      <c r="BK32" s="174">
        <v>4645.5527693523127</v>
      </c>
      <c r="BL32" s="174">
        <v>4710.9205347325415</v>
      </c>
      <c r="BM32" s="51">
        <v>4773.4688719641681</v>
      </c>
      <c r="BN32" s="51">
        <v>4831.348520258457</v>
      </c>
      <c r="BO32" s="51">
        <v>4874.4170807398123</v>
      </c>
      <c r="BP32" s="51">
        <v>4922.0045012805031</v>
      </c>
      <c r="BQ32" s="51">
        <v>4972.2593481054482</v>
      </c>
      <c r="BR32" s="51">
        <v>5030.6268444816724</v>
      </c>
      <c r="BS32" s="51">
        <v>5084.6367882705817</v>
      </c>
      <c r="BT32" s="51">
        <v>5136.0256131409569</v>
      </c>
      <c r="BU32" s="51">
        <v>5184.8881713024894</v>
      </c>
      <c r="BV32" s="51">
        <v>5231.1795535403944</v>
      </c>
      <c r="BW32" s="51">
        <v>5275.0626174467607</v>
      </c>
      <c r="BX32" s="51">
        <v>5316.5126876288523</v>
      </c>
      <c r="BY32" s="51">
        <v>5355.6778164431116</v>
      </c>
    </row>
    <row r="33" spans="1:77" ht="12.75" x14ac:dyDescent="0.2">
      <c r="A33" s="51" t="str" cm="1">
        <f t="array" ref="A33">INDEX(TariffCode, MATCH(1,(C33=TariffZone)*(D33=TariffProduct),0))</f>
        <v>GS</v>
      </c>
      <c r="B33" s="51" t="str">
        <f>IF($D33="Water",IF(C33="Standard",Assumptions!$H$90,Assumptions!$H$93),"")</f>
        <v/>
      </c>
      <c r="C33" s="150" t="s">
        <v>290</v>
      </c>
      <c r="D33" s="150" t="s">
        <v>303</v>
      </c>
      <c r="E33" s="150" t="s">
        <v>407</v>
      </c>
      <c r="F33" s="51" t="s">
        <v>265</v>
      </c>
      <c r="G33" s="51" t="s">
        <v>259</v>
      </c>
      <c r="H33" s="51"/>
      <c r="I33" s="51"/>
      <c r="J33" s="51"/>
      <c r="K33" s="51"/>
      <c r="L33" s="51"/>
      <c r="M33" s="51"/>
      <c r="N33" s="51"/>
      <c r="O33" s="51"/>
      <c r="P33" s="51"/>
      <c r="Q33" s="51"/>
      <c r="R33" s="51"/>
      <c r="S33" s="174">
        <v>0</v>
      </c>
      <c r="T33" s="174">
        <v>0</v>
      </c>
      <c r="U33" s="174">
        <v>0</v>
      </c>
      <c r="V33" s="174">
        <v>0</v>
      </c>
      <c r="W33" s="174">
        <v>0</v>
      </c>
      <c r="X33" s="174">
        <v>0</v>
      </c>
      <c r="Y33" s="174">
        <v>0</v>
      </c>
      <c r="Z33" s="174">
        <v>0</v>
      </c>
      <c r="AA33" s="175">
        <v>0</v>
      </c>
      <c r="AB33" s="176">
        <v>0</v>
      </c>
      <c r="AC33" s="174">
        <v>0</v>
      </c>
      <c r="AD33" s="174">
        <v>0</v>
      </c>
      <c r="AE33" s="174">
        <v>0</v>
      </c>
      <c r="AF33" s="174">
        <v>0</v>
      </c>
      <c r="AG33" s="174">
        <v>0</v>
      </c>
      <c r="AH33" s="174">
        <v>0</v>
      </c>
      <c r="AI33" s="174">
        <v>0</v>
      </c>
      <c r="AJ33" s="174">
        <v>0</v>
      </c>
      <c r="AK33" s="174">
        <v>0</v>
      </c>
      <c r="AL33" s="174">
        <v>0</v>
      </c>
      <c r="AM33" s="174">
        <v>0</v>
      </c>
      <c r="AN33" s="174">
        <v>0</v>
      </c>
      <c r="AO33" s="174">
        <v>0</v>
      </c>
      <c r="AP33" s="174">
        <v>0</v>
      </c>
      <c r="AQ33" s="174">
        <v>0</v>
      </c>
      <c r="AR33" s="174">
        <v>0</v>
      </c>
      <c r="AS33" s="174">
        <v>0</v>
      </c>
      <c r="AT33" s="174">
        <v>0</v>
      </c>
      <c r="AU33" s="174">
        <v>0</v>
      </c>
      <c r="AV33" s="174">
        <v>0</v>
      </c>
      <c r="AW33" s="174">
        <v>0</v>
      </c>
      <c r="AX33" s="174">
        <v>0</v>
      </c>
      <c r="AY33" s="174">
        <v>0</v>
      </c>
      <c r="AZ33" s="174">
        <v>0</v>
      </c>
      <c r="BA33" s="174">
        <v>0</v>
      </c>
      <c r="BB33" s="174">
        <v>0</v>
      </c>
      <c r="BC33" s="174">
        <v>0</v>
      </c>
      <c r="BD33" s="174">
        <v>0</v>
      </c>
      <c r="BE33" s="174">
        <v>0</v>
      </c>
      <c r="BF33" s="174">
        <v>0</v>
      </c>
      <c r="BG33" s="174">
        <v>0</v>
      </c>
      <c r="BH33" s="174">
        <v>0</v>
      </c>
      <c r="BI33" s="174">
        <v>0</v>
      </c>
      <c r="BJ33" s="174">
        <v>0</v>
      </c>
      <c r="BK33" s="174">
        <v>0</v>
      </c>
      <c r="BL33" s="174">
        <v>0</v>
      </c>
      <c r="BM33" s="51">
        <v>0</v>
      </c>
      <c r="BN33" s="51">
        <v>0</v>
      </c>
      <c r="BO33" s="51">
        <v>0</v>
      </c>
      <c r="BP33" s="51">
        <v>0</v>
      </c>
      <c r="BQ33" s="51">
        <v>0</v>
      </c>
      <c r="BR33" s="51">
        <v>0</v>
      </c>
      <c r="BS33" s="51">
        <v>0</v>
      </c>
      <c r="BT33" s="51">
        <v>0</v>
      </c>
      <c r="BU33" s="51">
        <v>0</v>
      </c>
      <c r="BV33" s="51">
        <v>0</v>
      </c>
      <c r="BW33" s="51">
        <v>0</v>
      </c>
      <c r="BX33" s="51">
        <v>0</v>
      </c>
      <c r="BY33" s="51">
        <v>0</v>
      </c>
    </row>
    <row r="34" spans="1:77" ht="12.75" x14ac:dyDescent="0.2">
      <c r="A34" s="51" t="str" cm="1">
        <f t="array" ref="A34">INDEX(TariffCode, MATCH(1,(C34=TariffZone)*(D34=TariffProduct),0))</f>
        <v>WR</v>
      </c>
      <c r="B34" s="51" t="str">
        <f>IF($D34="Water",IF(C34="Standard",Assumptions!$H$90,Assumptions!$H$93),"")</f>
        <v/>
      </c>
      <c r="C34" s="150" t="s">
        <v>283</v>
      </c>
      <c r="D34" s="150" t="s">
        <v>310</v>
      </c>
      <c r="E34" s="150" t="s">
        <v>407</v>
      </c>
      <c r="F34" s="51" t="s">
        <v>265</v>
      </c>
      <c r="G34" s="51" t="s">
        <v>259</v>
      </c>
      <c r="H34" s="51"/>
      <c r="I34" s="51"/>
      <c r="J34" s="51"/>
      <c r="K34" s="51"/>
      <c r="L34" s="51"/>
      <c r="M34" s="51"/>
      <c r="N34" s="51"/>
      <c r="O34" s="51"/>
      <c r="P34" s="51"/>
      <c r="Q34" s="51"/>
      <c r="R34" s="51"/>
      <c r="S34" s="174">
        <v>0</v>
      </c>
      <c r="T34" s="174">
        <v>0</v>
      </c>
      <c r="U34" s="174">
        <v>0</v>
      </c>
      <c r="V34" s="174">
        <v>0</v>
      </c>
      <c r="W34" s="174">
        <v>0</v>
      </c>
      <c r="X34" s="174">
        <v>0</v>
      </c>
      <c r="Y34" s="174">
        <v>0</v>
      </c>
      <c r="Z34" s="174">
        <v>0</v>
      </c>
      <c r="AA34" s="175">
        <v>0</v>
      </c>
      <c r="AB34" s="176">
        <v>0</v>
      </c>
      <c r="AC34" s="174">
        <v>0</v>
      </c>
      <c r="AD34" s="174">
        <v>0</v>
      </c>
      <c r="AE34" s="174">
        <v>0</v>
      </c>
      <c r="AF34" s="174">
        <v>0</v>
      </c>
      <c r="AG34" s="174">
        <v>0</v>
      </c>
      <c r="AH34" s="174">
        <v>0</v>
      </c>
      <c r="AI34" s="174">
        <v>0</v>
      </c>
      <c r="AJ34" s="174">
        <v>0</v>
      </c>
      <c r="AK34" s="174">
        <v>0</v>
      </c>
      <c r="AL34" s="174">
        <v>0</v>
      </c>
      <c r="AM34" s="174">
        <v>0</v>
      </c>
      <c r="AN34" s="174">
        <v>0</v>
      </c>
      <c r="AO34" s="174">
        <v>0</v>
      </c>
      <c r="AP34" s="174">
        <v>0</v>
      </c>
      <c r="AQ34" s="174">
        <v>0</v>
      </c>
      <c r="AR34" s="174">
        <v>0</v>
      </c>
      <c r="AS34" s="174">
        <v>0</v>
      </c>
      <c r="AT34" s="174">
        <v>0</v>
      </c>
      <c r="AU34" s="174">
        <v>0</v>
      </c>
      <c r="AV34" s="174">
        <v>0</v>
      </c>
      <c r="AW34" s="174">
        <v>0</v>
      </c>
      <c r="AX34" s="174">
        <v>0</v>
      </c>
      <c r="AY34" s="174">
        <v>0</v>
      </c>
      <c r="AZ34" s="174">
        <v>0</v>
      </c>
      <c r="BA34" s="174">
        <v>0</v>
      </c>
      <c r="BB34" s="174">
        <v>0</v>
      </c>
      <c r="BC34" s="174">
        <v>0</v>
      </c>
      <c r="BD34" s="174">
        <v>0</v>
      </c>
      <c r="BE34" s="174">
        <v>0</v>
      </c>
      <c r="BF34" s="174">
        <v>0</v>
      </c>
      <c r="BG34" s="174">
        <v>0</v>
      </c>
      <c r="BH34" s="174">
        <v>0</v>
      </c>
      <c r="BI34" s="174">
        <v>0</v>
      </c>
      <c r="BJ34" s="174">
        <v>0</v>
      </c>
      <c r="BK34" s="174">
        <v>0</v>
      </c>
      <c r="BL34" s="174">
        <v>0</v>
      </c>
      <c r="BM34" s="51">
        <v>0</v>
      </c>
      <c r="BN34" s="51">
        <v>0</v>
      </c>
      <c r="BO34" s="51">
        <v>0</v>
      </c>
      <c r="BP34" s="51">
        <v>0</v>
      </c>
      <c r="BQ34" s="51">
        <v>0</v>
      </c>
      <c r="BR34" s="51">
        <v>0</v>
      </c>
      <c r="BS34" s="51">
        <v>0</v>
      </c>
      <c r="BT34" s="51">
        <v>0</v>
      </c>
      <c r="BU34" s="51">
        <v>0</v>
      </c>
      <c r="BV34" s="51">
        <v>0</v>
      </c>
      <c r="BW34" s="51">
        <v>0</v>
      </c>
      <c r="BX34" s="51">
        <v>0</v>
      </c>
      <c r="BY34" s="51">
        <v>0</v>
      </c>
    </row>
    <row r="35" spans="1:77" ht="12.75" x14ac:dyDescent="0.2">
      <c r="A35" s="51" t="str" cm="1">
        <f t="array" ref="A35">INDEX(TariffCode, MATCH(1,(C35=TariffZone)*(D35=TariffProduct),0))</f>
        <v>GR</v>
      </c>
      <c r="B35" s="51" t="str">
        <f>IF($D35="Water",IF(C35="Standard",Assumptions!$H$90,Assumptions!$H$93),"")</f>
        <v/>
      </c>
      <c r="C35" s="150" t="s">
        <v>312</v>
      </c>
      <c r="D35" s="150" t="s">
        <v>310</v>
      </c>
      <c r="E35" s="150" t="s">
        <v>407</v>
      </c>
      <c r="F35" s="51" t="s">
        <v>265</v>
      </c>
      <c r="G35" s="51" t="s">
        <v>259</v>
      </c>
      <c r="H35" s="51"/>
      <c r="I35" s="51"/>
      <c r="J35" s="51"/>
      <c r="K35" s="51"/>
      <c r="L35" s="51"/>
      <c r="M35" s="51"/>
      <c r="N35" s="51"/>
      <c r="O35" s="51"/>
      <c r="P35" s="51"/>
      <c r="Q35" s="51"/>
      <c r="R35" s="51"/>
      <c r="S35" s="174">
        <v>1</v>
      </c>
      <c r="T35" s="174">
        <v>4</v>
      </c>
      <c r="U35" s="174">
        <v>8</v>
      </c>
      <c r="V35" s="174">
        <v>15</v>
      </c>
      <c r="W35" s="174">
        <v>15</v>
      </c>
      <c r="X35" s="174">
        <v>16</v>
      </c>
      <c r="Y35" s="174">
        <v>19</v>
      </c>
      <c r="Z35" s="174">
        <v>22</v>
      </c>
      <c r="AA35" s="175">
        <v>23</v>
      </c>
      <c r="AB35" s="176">
        <v>0</v>
      </c>
      <c r="AC35" s="174">
        <v>0</v>
      </c>
      <c r="AD35" s="174">
        <v>0</v>
      </c>
      <c r="AE35" s="174">
        <v>0</v>
      </c>
      <c r="AF35" s="174">
        <v>0</v>
      </c>
      <c r="AG35" s="174">
        <v>0</v>
      </c>
      <c r="AH35" s="174">
        <v>0</v>
      </c>
      <c r="AI35" s="174">
        <v>0</v>
      </c>
      <c r="AJ35" s="174">
        <v>0</v>
      </c>
      <c r="AK35" s="174">
        <v>0</v>
      </c>
      <c r="AL35" s="174">
        <v>0</v>
      </c>
      <c r="AM35" s="174">
        <v>0</v>
      </c>
      <c r="AN35" s="174">
        <v>0</v>
      </c>
      <c r="AO35" s="174">
        <v>0</v>
      </c>
      <c r="AP35" s="174">
        <v>0</v>
      </c>
      <c r="AQ35" s="174">
        <v>0</v>
      </c>
      <c r="AR35" s="174">
        <v>0</v>
      </c>
      <c r="AS35" s="174">
        <v>0</v>
      </c>
      <c r="AT35" s="174">
        <v>0</v>
      </c>
      <c r="AU35" s="174">
        <v>0</v>
      </c>
      <c r="AV35" s="174">
        <v>0</v>
      </c>
      <c r="AW35" s="174">
        <v>0</v>
      </c>
      <c r="AX35" s="174">
        <v>0</v>
      </c>
      <c r="AY35" s="174">
        <v>0</v>
      </c>
      <c r="AZ35" s="174">
        <v>0</v>
      </c>
      <c r="BA35" s="174">
        <v>0</v>
      </c>
      <c r="BB35" s="174">
        <v>0</v>
      </c>
      <c r="BC35" s="174">
        <v>0</v>
      </c>
      <c r="BD35" s="174">
        <v>0</v>
      </c>
      <c r="BE35" s="174">
        <v>0</v>
      </c>
      <c r="BF35" s="174">
        <v>0</v>
      </c>
      <c r="BG35" s="174">
        <v>0</v>
      </c>
      <c r="BH35" s="174">
        <v>0</v>
      </c>
      <c r="BI35" s="174">
        <v>0</v>
      </c>
      <c r="BJ35" s="174">
        <v>0</v>
      </c>
      <c r="BK35" s="174">
        <v>0</v>
      </c>
      <c r="BL35" s="174">
        <v>0</v>
      </c>
      <c r="BM35" s="51">
        <v>0</v>
      </c>
      <c r="BN35" s="51">
        <v>0</v>
      </c>
      <c r="BO35" s="51">
        <v>0</v>
      </c>
      <c r="BP35" s="51">
        <v>0</v>
      </c>
      <c r="BQ35" s="51">
        <v>0</v>
      </c>
      <c r="BR35" s="51">
        <v>0</v>
      </c>
      <c r="BS35" s="51">
        <v>0</v>
      </c>
      <c r="BT35" s="51">
        <v>0</v>
      </c>
      <c r="BU35" s="51">
        <v>0</v>
      </c>
      <c r="BV35" s="51">
        <v>0</v>
      </c>
      <c r="BW35" s="51">
        <v>0</v>
      </c>
      <c r="BX35" s="51">
        <v>0</v>
      </c>
      <c r="BY35" s="51">
        <v>0</v>
      </c>
    </row>
    <row r="36" spans="1:77" ht="12.75" x14ac:dyDescent="0.2">
      <c r="A36" s="51" t="str" cm="1">
        <f t="array" ref="A36">INDEX(TariffCode, MATCH(1,(C36=TariffZone)*(D36=TariffProduct),0))</f>
        <v>SW</v>
      </c>
      <c r="B36" s="51" t="str">
        <f>IF($D36="Water",IF(C36="Standard",Assumptions!$H$90,Assumptions!$H$93),"")</f>
        <v>SA</v>
      </c>
      <c r="C36" s="150" t="s">
        <v>287</v>
      </c>
      <c r="D36" s="150" t="s">
        <v>301</v>
      </c>
      <c r="E36" s="150" t="s">
        <v>405</v>
      </c>
      <c r="F36" s="51" t="s">
        <v>262</v>
      </c>
      <c r="G36" s="51" t="s">
        <v>256</v>
      </c>
      <c r="H36" s="51"/>
      <c r="I36" s="51"/>
      <c r="J36" s="51"/>
      <c r="K36" s="51"/>
      <c r="L36" s="51"/>
      <c r="M36" s="51"/>
      <c r="N36" s="51"/>
      <c r="O36" s="51"/>
      <c r="P36" s="51"/>
      <c r="Q36" s="51"/>
      <c r="R36" s="51"/>
      <c r="S36" s="174">
        <v>8444.5357048054721</v>
      </c>
      <c r="T36" s="174">
        <v>9699.3720954095534</v>
      </c>
      <c r="U36" s="174">
        <v>11582.083237671866</v>
      </c>
      <c r="V36" s="174">
        <v>14650.382721542534</v>
      </c>
      <c r="W36" s="174">
        <v>19878.573767008624</v>
      </c>
      <c r="X36" s="174">
        <v>23849.369287275145</v>
      </c>
      <c r="Y36" s="174">
        <v>29024.501296020884</v>
      </c>
      <c r="Z36" s="174">
        <v>35928.199597590305</v>
      </c>
      <c r="AA36" s="175">
        <v>39211.611546286629</v>
      </c>
      <c r="AB36" s="176">
        <v>40320.553740568037</v>
      </c>
      <c r="AC36" s="174">
        <v>43468.653881260405</v>
      </c>
      <c r="AD36" s="174">
        <v>46883.085014144825</v>
      </c>
      <c r="AE36" s="174">
        <v>50536.237539626149</v>
      </c>
      <c r="AF36" s="174">
        <v>53912.450949301347</v>
      </c>
      <c r="AG36" s="174">
        <v>57298.299859833911</v>
      </c>
      <c r="AH36" s="174">
        <v>60562.500672731599</v>
      </c>
      <c r="AI36" s="174">
        <v>63868.143570884946</v>
      </c>
      <c r="AJ36" s="174">
        <v>67085.721542824584</v>
      </c>
      <c r="AK36" s="174">
        <v>70475.6100198692</v>
      </c>
      <c r="AL36" s="174">
        <v>73954.119266019392</v>
      </c>
      <c r="AM36" s="174">
        <v>77377.875382803468</v>
      </c>
      <c r="AN36" s="174">
        <v>80721.974941021093</v>
      </c>
      <c r="AO36" s="174">
        <v>83976.280480467656</v>
      </c>
      <c r="AP36" s="174">
        <v>87039.040248795674</v>
      </c>
      <c r="AQ36" s="174">
        <v>89866.470973220043</v>
      </c>
      <c r="AR36" s="174">
        <v>92419.457909695368</v>
      </c>
      <c r="AS36" s="174">
        <v>94707.021764596153</v>
      </c>
      <c r="AT36" s="174">
        <v>96826.307360627121</v>
      </c>
      <c r="AU36" s="174">
        <v>98667.192119950414</v>
      </c>
      <c r="AV36" s="174">
        <v>100202.53249332975</v>
      </c>
      <c r="AW36" s="174">
        <v>101500.93048665173</v>
      </c>
      <c r="AX36" s="174">
        <v>102624.76885073051</v>
      </c>
      <c r="AY36" s="174">
        <v>103651.33234233729</v>
      </c>
      <c r="AZ36" s="174">
        <v>104559.87062126443</v>
      </c>
      <c r="BA36" s="174">
        <v>105442.92704686322</v>
      </c>
      <c r="BB36" s="174">
        <v>106337.57261105886</v>
      </c>
      <c r="BC36" s="174">
        <v>107207.88954861317</v>
      </c>
      <c r="BD36" s="174">
        <v>108051.05997903767</v>
      </c>
      <c r="BE36" s="174">
        <v>108879.34781953841</v>
      </c>
      <c r="BF36" s="174">
        <v>109834.94913724309</v>
      </c>
      <c r="BG36" s="174">
        <v>111031.28646229762</v>
      </c>
      <c r="BH36" s="174">
        <v>112206.09841511025</v>
      </c>
      <c r="BI36" s="174">
        <v>113332.90498095551</v>
      </c>
      <c r="BJ36" s="174">
        <v>114328.01172612185</v>
      </c>
      <c r="BK36" s="174">
        <v>114864.74290846329</v>
      </c>
      <c r="BL36" s="174">
        <v>115302.72871971702</v>
      </c>
      <c r="BM36" s="51">
        <v>115704.68612160176</v>
      </c>
      <c r="BN36" s="51">
        <v>116068.38927143914</v>
      </c>
      <c r="BO36" s="51">
        <v>116385.99468274858</v>
      </c>
      <c r="BP36" s="51">
        <v>116701.93953300375</v>
      </c>
      <c r="BQ36" s="51">
        <v>117039.16968273852</v>
      </c>
      <c r="BR36" s="51">
        <v>117805.81315003606</v>
      </c>
      <c r="BS36" s="51">
        <v>118969.49359518432</v>
      </c>
      <c r="BT36" s="51">
        <v>120076.70027613374</v>
      </c>
      <c r="BU36" s="51">
        <v>121129.47684732829</v>
      </c>
      <c r="BV36" s="51">
        <v>122126.85570962929</v>
      </c>
      <c r="BW36" s="51">
        <v>123072.34573903214</v>
      </c>
      <c r="BX36" s="51">
        <v>123965.41528765889</v>
      </c>
      <c r="BY36" s="51">
        <v>124809.25424277781</v>
      </c>
    </row>
    <row r="37" spans="1:77" ht="12.75" x14ac:dyDescent="0.2">
      <c r="A37" s="51" t="str" cm="1">
        <f t="array" ref="A37">INDEX(TariffCode, MATCH(1,(C37=TariffZone)*(D37=TariffProduct),0))</f>
        <v>GW</v>
      </c>
      <c r="B37" s="51" t="str">
        <f>IF($D37="Water",IF(C37="Standard",Assumptions!$H$90,Assumptions!$H$93),"")</f>
        <v>GA</v>
      </c>
      <c r="C37" s="150" t="s">
        <v>290</v>
      </c>
      <c r="D37" s="150" t="s">
        <v>301</v>
      </c>
      <c r="E37" s="150" t="s">
        <v>405</v>
      </c>
      <c r="F37" s="51" t="s">
        <v>262</v>
      </c>
      <c r="G37" s="51" t="s">
        <v>256</v>
      </c>
      <c r="H37" s="51"/>
      <c r="I37" s="51"/>
      <c r="J37" s="51"/>
      <c r="K37" s="51"/>
      <c r="L37" s="51"/>
      <c r="M37" s="51"/>
      <c r="N37" s="51"/>
      <c r="O37" s="51"/>
      <c r="P37" s="51"/>
      <c r="Q37" s="51"/>
      <c r="R37" s="51"/>
      <c r="S37" s="174">
        <v>0</v>
      </c>
      <c r="T37" s="174">
        <v>0</v>
      </c>
      <c r="U37" s="174">
        <v>0</v>
      </c>
      <c r="V37" s="174">
        <v>0</v>
      </c>
      <c r="W37" s="174">
        <v>0</v>
      </c>
      <c r="X37" s="174">
        <v>0</v>
      </c>
      <c r="Y37" s="174">
        <v>0</v>
      </c>
      <c r="Z37" s="174">
        <v>0</v>
      </c>
      <c r="AA37" s="175">
        <v>0</v>
      </c>
      <c r="AB37" s="176">
        <v>0</v>
      </c>
      <c r="AC37" s="174">
        <v>0</v>
      </c>
      <c r="AD37" s="174">
        <v>0</v>
      </c>
      <c r="AE37" s="174">
        <v>0</v>
      </c>
      <c r="AF37" s="174">
        <v>0</v>
      </c>
      <c r="AG37" s="174">
        <v>0</v>
      </c>
      <c r="AH37" s="174">
        <v>0</v>
      </c>
      <c r="AI37" s="174">
        <v>0</v>
      </c>
      <c r="AJ37" s="174">
        <v>0</v>
      </c>
      <c r="AK37" s="174">
        <v>0</v>
      </c>
      <c r="AL37" s="174">
        <v>0</v>
      </c>
      <c r="AM37" s="174">
        <v>0</v>
      </c>
      <c r="AN37" s="174">
        <v>0</v>
      </c>
      <c r="AO37" s="174">
        <v>0</v>
      </c>
      <c r="AP37" s="174">
        <v>0</v>
      </c>
      <c r="AQ37" s="174">
        <v>0</v>
      </c>
      <c r="AR37" s="174">
        <v>0</v>
      </c>
      <c r="AS37" s="174">
        <v>0</v>
      </c>
      <c r="AT37" s="174">
        <v>0</v>
      </c>
      <c r="AU37" s="174">
        <v>0</v>
      </c>
      <c r="AV37" s="174">
        <v>0</v>
      </c>
      <c r="AW37" s="174">
        <v>0</v>
      </c>
      <c r="AX37" s="174">
        <v>0</v>
      </c>
      <c r="AY37" s="174">
        <v>0</v>
      </c>
      <c r="AZ37" s="174">
        <v>0</v>
      </c>
      <c r="BA37" s="174">
        <v>0</v>
      </c>
      <c r="BB37" s="174">
        <v>0</v>
      </c>
      <c r="BC37" s="174">
        <v>0</v>
      </c>
      <c r="BD37" s="174">
        <v>0</v>
      </c>
      <c r="BE37" s="174">
        <v>0</v>
      </c>
      <c r="BF37" s="174">
        <v>0</v>
      </c>
      <c r="BG37" s="174">
        <v>0</v>
      </c>
      <c r="BH37" s="174">
        <v>0</v>
      </c>
      <c r="BI37" s="174">
        <v>0</v>
      </c>
      <c r="BJ37" s="174">
        <v>0</v>
      </c>
      <c r="BK37" s="174">
        <v>0</v>
      </c>
      <c r="BL37" s="174">
        <v>0</v>
      </c>
      <c r="BM37" s="51">
        <v>0</v>
      </c>
      <c r="BN37" s="51">
        <v>0</v>
      </c>
      <c r="BO37" s="51">
        <v>0</v>
      </c>
      <c r="BP37" s="51">
        <v>0</v>
      </c>
      <c r="BQ37" s="51">
        <v>0</v>
      </c>
      <c r="BR37" s="51">
        <v>0</v>
      </c>
      <c r="BS37" s="51">
        <v>0</v>
      </c>
      <c r="BT37" s="51">
        <v>0</v>
      </c>
      <c r="BU37" s="51">
        <v>0</v>
      </c>
      <c r="BV37" s="51">
        <v>0</v>
      </c>
      <c r="BW37" s="51">
        <v>0</v>
      </c>
      <c r="BX37" s="51">
        <v>0</v>
      </c>
      <c r="BY37" s="51">
        <v>0</v>
      </c>
    </row>
    <row r="38" spans="1:77" ht="12.75" x14ac:dyDescent="0.2">
      <c r="A38" s="51" t="str" cm="1">
        <f t="array" ref="A38">INDEX(TariffCode, MATCH(1,(C38=TariffZone)*(D38=TariffProduct),0))</f>
        <v>SS</v>
      </c>
      <c r="B38" s="51" t="str">
        <f>IF($D38="Water",IF(C38="Standard",Assumptions!$H$90,Assumptions!$H$93),"")</f>
        <v/>
      </c>
      <c r="C38" s="150" t="s">
        <v>287</v>
      </c>
      <c r="D38" s="150" t="s">
        <v>303</v>
      </c>
      <c r="E38" s="150" t="s">
        <v>405</v>
      </c>
      <c r="F38" s="51" t="s">
        <v>262</v>
      </c>
      <c r="G38" s="51" t="s">
        <v>256</v>
      </c>
      <c r="H38" s="51"/>
      <c r="I38" s="51"/>
      <c r="J38" s="51"/>
      <c r="K38" s="51"/>
      <c r="L38" s="51"/>
      <c r="M38" s="51"/>
      <c r="N38" s="51"/>
      <c r="O38" s="51"/>
      <c r="P38" s="51"/>
      <c r="Q38" s="51"/>
      <c r="R38" s="51"/>
      <c r="S38" s="174">
        <v>8049.3487274316776</v>
      </c>
      <c r="T38" s="174">
        <v>9300.1199385701111</v>
      </c>
      <c r="U38" s="174">
        <v>11174.778307273771</v>
      </c>
      <c r="V38" s="174">
        <v>14242.957239850957</v>
      </c>
      <c r="W38" s="174">
        <v>19467.608234541593</v>
      </c>
      <c r="X38" s="174">
        <v>23437.530176286207</v>
      </c>
      <c r="Y38" s="174">
        <v>28610.852462626979</v>
      </c>
      <c r="Z38" s="174">
        <v>35511.274874773422</v>
      </c>
      <c r="AA38" s="175">
        <v>38790.998948539782</v>
      </c>
      <c r="AB38" s="176">
        <v>40258.773043205845</v>
      </c>
      <c r="AC38" s="174">
        <v>43406.873183898213</v>
      </c>
      <c r="AD38" s="174">
        <v>46821.304316782633</v>
      </c>
      <c r="AE38" s="174">
        <v>50474.45684226395</v>
      </c>
      <c r="AF38" s="174">
        <v>53850.670251939155</v>
      </c>
      <c r="AG38" s="174">
        <v>57236.519162471719</v>
      </c>
      <c r="AH38" s="174">
        <v>60500.7199753694</v>
      </c>
      <c r="AI38" s="174">
        <v>63806.362873522747</v>
      </c>
      <c r="AJ38" s="174">
        <v>67023.940845462377</v>
      </c>
      <c r="AK38" s="174">
        <v>70413.829322507008</v>
      </c>
      <c r="AL38" s="174">
        <v>73892.3385686572</v>
      </c>
      <c r="AM38" s="174">
        <v>77316.094685441261</v>
      </c>
      <c r="AN38" s="174">
        <v>80660.194243658902</v>
      </c>
      <c r="AO38" s="174">
        <v>83914.49978310545</v>
      </c>
      <c r="AP38" s="174">
        <v>86977.259551433468</v>
      </c>
      <c r="AQ38" s="174">
        <v>89804.690275857865</v>
      </c>
      <c r="AR38" s="174">
        <v>92357.677212333161</v>
      </c>
      <c r="AS38" s="174">
        <v>94645.241067233947</v>
      </c>
      <c r="AT38" s="174">
        <v>96764.526663264915</v>
      </c>
      <c r="AU38" s="174">
        <v>98605.411422588222</v>
      </c>
      <c r="AV38" s="174">
        <v>100140.75179596756</v>
      </c>
      <c r="AW38" s="174">
        <v>101439.14978928954</v>
      </c>
      <c r="AX38" s="174">
        <v>102562.98815336832</v>
      </c>
      <c r="AY38" s="174">
        <v>103589.5516449751</v>
      </c>
      <c r="AZ38" s="174">
        <v>104498.08992390224</v>
      </c>
      <c r="BA38" s="174">
        <v>105381.14634950101</v>
      </c>
      <c r="BB38" s="174">
        <v>106275.79191369667</v>
      </c>
      <c r="BC38" s="174">
        <v>107146.10885125097</v>
      </c>
      <c r="BD38" s="174">
        <v>107989.27928167548</v>
      </c>
      <c r="BE38" s="174">
        <v>108817.56712217623</v>
      </c>
      <c r="BF38" s="174">
        <v>109773.16843988089</v>
      </c>
      <c r="BG38" s="174">
        <v>110969.50576493541</v>
      </c>
      <c r="BH38" s="174">
        <v>112144.31771774804</v>
      </c>
      <c r="BI38" s="174">
        <v>113271.12428359331</v>
      </c>
      <c r="BJ38" s="174">
        <v>114266.23102875968</v>
      </c>
      <c r="BK38" s="174">
        <v>114802.9622111011</v>
      </c>
      <c r="BL38" s="174">
        <v>115240.94802235483</v>
      </c>
      <c r="BM38" s="51">
        <v>115642.90542423958</v>
      </c>
      <c r="BN38" s="51">
        <v>116006.60857407693</v>
      </c>
      <c r="BO38" s="51">
        <v>116324.21398538639</v>
      </c>
      <c r="BP38" s="51">
        <v>116640.15883564155</v>
      </c>
      <c r="BQ38" s="51">
        <v>116977.38898537634</v>
      </c>
      <c r="BR38" s="51">
        <v>117744.03245267386</v>
      </c>
      <c r="BS38" s="51">
        <v>118907.71289782213</v>
      </c>
      <c r="BT38" s="51">
        <v>120014.91957877154</v>
      </c>
      <c r="BU38" s="51">
        <v>121067.6961499661</v>
      </c>
      <c r="BV38" s="51">
        <v>122065.0750122671</v>
      </c>
      <c r="BW38" s="51">
        <v>123010.56504166995</v>
      </c>
      <c r="BX38" s="51">
        <v>123903.63459029669</v>
      </c>
      <c r="BY38" s="51">
        <v>124747.47354541562</v>
      </c>
    </row>
    <row r="39" spans="1:77" ht="12.75" x14ac:dyDescent="0.2">
      <c r="A39" s="51" t="str" cm="1">
        <f t="array" ref="A39">INDEX(TariffCode, MATCH(1,(C39=TariffZone)*(D39=TariffProduct),0))</f>
        <v>GS</v>
      </c>
      <c r="B39" s="51" t="str">
        <f>IF($D39="Water",IF(C39="Standard",Assumptions!$H$90,Assumptions!$H$93),"")</f>
        <v/>
      </c>
      <c r="C39" s="150" t="s">
        <v>290</v>
      </c>
      <c r="D39" s="150" t="s">
        <v>303</v>
      </c>
      <c r="E39" s="150" t="s">
        <v>405</v>
      </c>
      <c r="F39" s="51" t="s">
        <v>262</v>
      </c>
      <c r="G39" s="51" t="s">
        <v>256</v>
      </c>
      <c r="H39" s="51"/>
      <c r="I39" s="51"/>
      <c r="J39" s="51"/>
      <c r="K39" s="51"/>
      <c r="L39" s="51"/>
      <c r="M39" s="51"/>
      <c r="N39" s="51"/>
      <c r="O39" s="51"/>
      <c r="P39" s="51"/>
      <c r="Q39" s="51"/>
      <c r="R39" s="51"/>
      <c r="S39" s="174">
        <v>0</v>
      </c>
      <c r="T39" s="174">
        <v>0</v>
      </c>
      <c r="U39" s="174">
        <v>0</v>
      </c>
      <c r="V39" s="174">
        <v>0</v>
      </c>
      <c r="W39" s="174">
        <v>0</v>
      </c>
      <c r="X39" s="174">
        <v>0</v>
      </c>
      <c r="Y39" s="174">
        <v>0</v>
      </c>
      <c r="Z39" s="174">
        <v>0</v>
      </c>
      <c r="AA39" s="175">
        <v>0</v>
      </c>
      <c r="AB39" s="176">
        <v>0</v>
      </c>
      <c r="AC39" s="174">
        <v>0</v>
      </c>
      <c r="AD39" s="174">
        <v>0</v>
      </c>
      <c r="AE39" s="174">
        <v>0</v>
      </c>
      <c r="AF39" s="174">
        <v>0</v>
      </c>
      <c r="AG39" s="174">
        <v>0</v>
      </c>
      <c r="AH39" s="174">
        <v>0</v>
      </c>
      <c r="AI39" s="174">
        <v>0</v>
      </c>
      <c r="AJ39" s="174">
        <v>0</v>
      </c>
      <c r="AK39" s="174">
        <v>0</v>
      </c>
      <c r="AL39" s="174">
        <v>0</v>
      </c>
      <c r="AM39" s="174">
        <v>0</v>
      </c>
      <c r="AN39" s="174">
        <v>0</v>
      </c>
      <c r="AO39" s="174">
        <v>0</v>
      </c>
      <c r="AP39" s="174">
        <v>0</v>
      </c>
      <c r="AQ39" s="174">
        <v>0</v>
      </c>
      <c r="AR39" s="174">
        <v>0</v>
      </c>
      <c r="AS39" s="174">
        <v>0</v>
      </c>
      <c r="AT39" s="174">
        <v>0</v>
      </c>
      <c r="AU39" s="174">
        <v>0</v>
      </c>
      <c r="AV39" s="174">
        <v>0</v>
      </c>
      <c r="AW39" s="174">
        <v>0</v>
      </c>
      <c r="AX39" s="174">
        <v>0</v>
      </c>
      <c r="AY39" s="174">
        <v>0</v>
      </c>
      <c r="AZ39" s="174">
        <v>0</v>
      </c>
      <c r="BA39" s="174">
        <v>0</v>
      </c>
      <c r="BB39" s="174">
        <v>0</v>
      </c>
      <c r="BC39" s="174">
        <v>0</v>
      </c>
      <c r="BD39" s="174">
        <v>0</v>
      </c>
      <c r="BE39" s="174">
        <v>0</v>
      </c>
      <c r="BF39" s="174">
        <v>0</v>
      </c>
      <c r="BG39" s="174">
        <v>0</v>
      </c>
      <c r="BH39" s="174">
        <v>0</v>
      </c>
      <c r="BI39" s="174">
        <v>0</v>
      </c>
      <c r="BJ39" s="174">
        <v>0</v>
      </c>
      <c r="BK39" s="174">
        <v>0</v>
      </c>
      <c r="BL39" s="174">
        <v>0</v>
      </c>
      <c r="BM39" s="51">
        <v>0</v>
      </c>
      <c r="BN39" s="51">
        <v>0</v>
      </c>
      <c r="BO39" s="51">
        <v>0</v>
      </c>
      <c r="BP39" s="51">
        <v>0</v>
      </c>
      <c r="BQ39" s="51">
        <v>0</v>
      </c>
      <c r="BR39" s="51">
        <v>0</v>
      </c>
      <c r="BS39" s="51">
        <v>0</v>
      </c>
      <c r="BT39" s="51">
        <v>0</v>
      </c>
      <c r="BU39" s="51">
        <v>0</v>
      </c>
      <c r="BV39" s="51">
        <v>0</v>
      </c>
      <c r="BW39" s="51">
        <v>0</v>
      </c>
      <c r="BX39" s="51">
        <v>0</v>
      </c>
      <c r="BY39" s="51">
        <v>0</v>
      </c>
    </row>
    <row r="40" spans="1:77" ht="12.75" x14ac:dyDescent="0.2">
      <c r="A40" s="51" t="str" cm="1">
        <f t="array" ref="A40">INDEX(TariffCode, MATCH(1,(C40=TariffZone)*(D40=TariffProduct),0))</f>
        <v>WR</v>
      </c>
      <c r="B40" s="51" t="str">
        <f>IF($D40="Water",IF(C40="Standard",Assumptions!$H$90,Assumptions!$H$93),"")</f>
        <v/>
      </c>
      <c r="C40" s="150" t="s">
        <v>283</v>
      </c>
      <c r="D40" s="150" t="s">
        <v>310</v>
      </c>
      <c r="E40" s="150" t="s">
        <v>405</v>
      </c>
      <c r="F40" s="51" t="s">
        <v>262</v>
      </c>
      <c r="G40" s="51" t="s">
        <v>256</v>
      </c>
      <c r="H40" s="51"/>
      <c r="I40" s="51"/>
      <c r="J40" s="51"/>
      <c r="K40" s="51"/>
      <c r="L40" s="51"/>
      <c r="M40" s="51"/>
      <c r="N40" s="51"/>
      <c r="O40" s="51"/>
      <c r="P40" s="51"/>
      <c r="Q40" s="51"/>
      <c r="R40" s="51"/>
      <c r="S40" s="174">
        <v>1755.4526533206226</v>
      </c>
      <c r="T40" s="174">
        <v>1928.4526533206226</v>
      </c>
      <c r="U40" s="174">
        <v>2579.4526533206231</v>
      </c>
      <c r="V40" s="174">
        <v>4705.4526533206235</v>
      </c>
      <c r="W40" s="174">
        <v>9187.4526533206226</v>
      </c>
      <c r="X40" s="174">
        <v>12942.452653320621</v>
      </c>
      <c r="Y40" s="174">
        <v>17597.452653320626</v>
      </c>
      <c r="Z40" s="174">
        <v>24213.45265332063</v>
      </c>
      <c r="AA40" s="175">
        <v>26818.452653320637</v>
      </c>
      <c r="AB40" s="176">
        <v>31764</v>
      </c>
      <c r="AC40" s="174">
        <v>34815.793641339871</v>
      </c>
      <c r="AD40" s="174">
        <v>38200.037382983239</v>
      </c>
      <c r="AE40" s="174">
        <v>41648.541661213829</v>
      </c>
      <c r="AF40" s="174">
        <v>44598.804840082645</v>
      </c>
      <c r="AG40" s="174">
        <v>47469.447415080445</v>
      </c>
      <c r="AH40" s="174">
        <v>50245.955240029944</v>
      </c>
      <c r="AI40" s="174">
        <v>53027.062981888237</v>
      </c>
      <c r="AJ40" s="174">
        <v>55759.362503866112</v>
      </c>
      <c r="AK40" s="174">
        <v>58585.229051547241</v>
      </c>
      <c r="AL40" s="174">
        <v>61443.012723836859</v>
      </c>
      <c r="AM40" s="174">
        <v>64266.656434779245</v>
      </c>
      <c r="AN40" s="174">
        <v>67048.444368980243</v>
      </c>
      <c r="AO40" s="174">
        <v>69647.530821053049</v>
      </c>
      <c r="AP40" s="174">
        <v>71962.086017646434</v>
      </c>
      <c r="AQ40" s="174">
        <v>74036.046956759383</v>
      </c>
      <c r="AR40" s="174">
        <v>75910.142916461031</v>
      </c>
      <c r="AS40" s="174">
        <v>77605.086114401944</v>
      </c>
      <c r="AT40" s="174">
        <v>79243.21213859017</v>
      </c>
      <c r="AU40" s="174">
        <v>80718.486027247942</v>
      </c>
      <c r="AV40" s="174">
        <v>82016.178896678612</v>
      </c>
      <c r="AW40" s="174">
        <v>83134.760251444706</v>
      </c>
      <c r="AX40" s="174">
        <v>84091.481459044415</v>
      </c>
      <c r="AY40" s="174">
        <v>84972.250031340809</v>
      </c>
      <c r="AZ40" s="174">
        <v>85756.978190765716</v>
      </c>
      <c r="BA40" s="174">
        <v>86518.447356648598</v>
      </c>
      <c r="BB40" s="174">
        <v>87281.695030759263</v>
      </c>
      <c r="BC40" s="174">
        <v>88021.424705237354</v>
      </c>
      <c r="BD40" s="174">
        <v>88742.225398112481</v>
      </c>
      <c r="BE40" s="174">
        <v>89451.992094587345</v>
      </c>
      <c r="BF40" s="174">
        <v>90279.792464063124</v>
      </c>
      <c r="BG40" s="174">
        <v>91361.130988600969</v>
      </c>
      <c r="BH40" s="174">
        <v>92428.598096006026</v>
      </c>
      <c r="BI40" s="174">
        <v>93451.670396694768</v>
      </c>
      <c r="BJ40" s="174">
        <v>94397.719144748349</v>
      </c>
      <c r="BK40" s="174">
        <v>94916.934780188676</v>
      </c>
      <c r="BL40" s="174">
        <v>95333.860536193533</v>
      </c>
      <c r="BM40" s="51">
        <v>95715.587854744357</v>
      </c>
      <c r="BN40" s="51">
        <v>96056.318475703229</v>
      </c>
      <c r="BO40" s="51">
        <v>96282.998274668673</v>
      </c>
      <c r="BP40" s="51">
        <v>96493.68263901904</v>
      </c>
      <c r="BQ40" s="51">
        <v>96734.280304336848</v>
      </c>
      <c r="BR40" s="51">
        <v>97371.312557888596</v>
      </c>
      <c r="BS40" s="51">
        <v>98356.608951863149</v>
      </c>
      <c r="BT40" s="51">
        <v>99294.088613631873</v>
      </c>
      <c r="BU40" s="51">
        <v>100185.48191974412</v>
      </c>
      <c r="BV40" s="51">
        <v>101029.96959722391</v>
      </c>
      <c r="BW40" s="51">
        <v>101830.5226359845</v>
      </c>
      <c r="BX40" s="51">
        <v>102586.69088603914</v>
      </c>
      <c r="BY40" s="51">
        <v>103301.17524730903</v>
      </c>
    </row>
    <row r="41" spans="1:77" ht="12.75" x14ac:dyDescent="0.2">
      <c r="A41" s="51" t="str" cm="1">
        <f t="array" ref="A41">INDEX(TariffCode, MATCH(1,(C41=TariffZone)*(D41=TariffProduct),0))</f>
        <v>GR</v>
      </c>
      <c r="B41" s="51" t="str">
        <f>IF($D41="Water",IF(C41="Standard",Assumptions!$H$90,Assumptions!$H$93),"")</f>
        <v/>
      </c>
      <c r="C41" s="150" t="s">
        <v>312</v>
      </c>
      <c r="D41" s="150" t="s">
        <v>310</v>
      </c>
      <c r="E41" s="150" t="s">
        <v>405</v>
      </c>
      <c r="F41" s="51" t="s">
        <v>262</v>
      </c>
      <c r="G41" s="51" t="s">
        <v>256</v>
      </c>
      <c r="H41" s="51"/>
      <c r="I41" s="51"/>
      <c r="J41" s="51"/>
      <c r="K41" s="51"/>
      <c r="L41" s="51"/>
      <c r="M41" s="51"/>
      <c r="N41" s="51"/>
      <c r="O41" s="51"/>
      <c r="P41" s="51"/>
      <c r="Q41" s="51"/>
      <c r="R41" s="51"/>
      <c r="S41" s="174">
        <v>0</v>
      </c>
      <c r="T41" s="174">
        <v>0</v>
      </c>
      <c r="U41" s="174">
        <v>0</v>
      </c>
      <c r="V41" s="174">
        <v>0</v>
      </c>
      <c r="W41" s="174">
        <v>0</v>
      </c>
      <c r="X41" s="174">
        <v>0</v>
      </c>
      <c r="Y41" s="174">
        <v>0</v>
      </c>
      <c r="Z41" s="174">
        <v>0</v>
      </c>
      <c r="AA41" s="175">
        <v>0</v>
      </c>
      <c r="AB41" s="176">
        <v>0</v>
      </c>
      <c r="AC41" s="174">
        <v>0</v>
      </c>
      <c r="AD41" s="174">
        <v>0</v>
      </c>
      <c r="AE41" s="174">
        <v>0</v>
      </c>
      <c r="AF41" s="174">
        <v>0</v>
      </c>
      <c r="AG41" s="174">
        <v>0</v>
      </c>
      <c r="AH41" s="174">
        <v>0</v>
      </c>
      <c r="AI41" s="174">
        <v>0</v>
      </c>
      <c r="AJ41" s="174">
        <v>0</v>
      </c>
      <c r="AK41" s="174">
        <v>0</v>
      </c>
      <c r="AL41" s="174">
        <v>0</v>
      </c>
      <c r="AM41" s="174">
        <v>0</v>
      </c>
      <c r="AN41" s="174">
        <v>0</v>
      </c>
      <c r="AO41" s="174">
        <v>0</v>
      </c>
      <c r="AP41" s="174">
        <v>0</v>
      </c>
      <c r="AQ41" s="174">
        <v>0</v>
      </c>
      <c r="AR41" s="174">
        <v>0</v>
      </c>
      <c r="AS41" s="174">
        <v>0</v>
      </c>
      <c r="AT41" s="174">
        <v>0</v>
      </c>
      <c r="AU41" s="174">
        <v>0</v>
      </c>
      <c r="AV41" s="174">
        <v>0</v>
      </c>
      <c r="AW41" s="174">
        <v>0</v>
      </c>
      <c r="AX41" s="174">
        <v>0</v>
      </c>
      <c r="AY41" s="174">
        <v>0</v>
      </c>
      <c r="AZ41" s="174">
        <v>0</v>
      </c>
      <c r="BA41" s="174">
        <v>0</v>
      </c>
      <c r="BB41" s="174">
        <v>0</v>
      </c>
      <c r="BC41" s="174">
        <v>0</v>
      </c>
      <c r="BD41" s="174">
        <v>0</v>
      </c>
      <c r="BE41" s="174">
        <v>0</v>
      </c>
      <c r="BF41" s="174">
        <v>0</v>
      </c>
      <c r="BG41" s="174">
        <v>0</v>
      </c>
      <c r="BH41" s="174">
        <v>0</v>
      </c>
      <c r="BI41" s="174">
        <v>0</v>
      </c>
      <c r="BJ41" s="174">
        <v>0</v>
      </c>
      <c r="BK41" s="174">
        <v>0</v>
      </c>
      <c r="BL41" s="174">
        <v>0</v>
      </c>
      <c r="BM41" s="51">
        <v>0</v>
      </c>
      <c r="BN41" s="51">
        <v>0</v>
      </c>
      <c r="BO41" s="51">
        <v>0</v>
      </c>
      <c r="BP41" s="51">
        <v>0</v>
      </c>
      <c r="BQ41" s="51">
        <v>0</v>
      </c>
      <c r="BR41" s="51">
        <v>0</v>
      </c>
      <c r="BS41" s="51">
        <v>0</v>
      </c>
      <c r="BT41" s="51">
        <v>0</v>
      </c>
      <c r="BU41" s="51">
        <v>0</v>
      </c>
      <c r="BV41" s="51">
        <v>0</v>
      </c>
      <c r="BW41" s="51">
        <v>0</v>
      </c>
      <c r="BX41" s="51">
        <v>0</v>
      </c>
      <c r="BY41" s="51">
        <v>0</v>
      </c>
    </row>
    <row r="42" spans="1:77" ht="12.75" x14ac:dyDescent="0.2">
      <c r="A42" s="51" t="str" cm="1">
        <f t="array" ref="A42">INDEX(TariffCode, MATCH(1,(C42=TariffZone)*(D42=TariffProduct),0))</f>
        <v>SW</v>
      </c>
      <c r="B42" s="51" t="str">
        <f>IF($D42="Water",IF(C42="Standard",Assumptions!$H$90,Assumptions!$H$93),"")</f>
        <v>SA</v>
      </c>
      <c r="C42" s="150" t="s">
        <v>287</v>
      </c>
      <c r="D42" s="150" t="s">
        <v>301</v>
      </c>
      <c r="E42" s="150" t="s">
        <v>407</v>
      </c>
      <c r="F42" s="51" t="s">
        <v>262</v>
      </c>
      <c r="G42" s="51" t="s">
        <v>256</v>
      </c>
      <c r="H42" s="51"/>
      <c r="I42" s="51"/>
      <c r="J42" s="51"/>
      <c r="K42" s="51"/>
      <c r="L42" s="51"/>
      <c r="M42" s="51"/>
      <c r="N42" s="51"/>
      <c r="O42" s="51"/>
      <c r="P42" s="51"/>
      <c r="Q42" s="51"/>
      <c r="R42" s="51"/>
      <c r="S42" s="174">
        <v>1810.7050526909377</v>
      </c>
      <c r="T42" s="174">
        <v>1892.1439432936766</v>
      </c>
      <c r="U42" s="174">
        <v>2060.9961451443578</v>
      </c>
      <c r="V42" s="174">
        <v>2254.4434089725737</v>
      </c>
      <c r="W42" s="174">
        <v>2400.1052335189429</v>
      </c>
      <c r="X42" s="174">
        <v>2749.7334106916196</v>
      </c>
      <c r="Y42" s="174">
        <v>2996.3760142772289</v>
      </c>
      <c r="Z42" s="174">
        <v>3427.1053912778802</v>
      </c>
      <c r="AA42" s="175">
        <v>3642.39120628212</v>
      </c>
      <c r="AB42" s="176">
        <v>2614.0977019076013</v>
      </c>
      <c r="AC42" s="174">
        <v>2735.7631772018012</v>
      </c>
      <c r="AD42" s="174">
        <v>2868.6421516162927</v>
      </c>
      <c r="AE42" s="174">
        <v>3003.6549915359196</v>
      </c>
      <c r="AF42" s="174">
        <v>3118.1707629934253</v>
      </c>
      <c r="AG42" s="174">
        <v>3233.3814789500188</v>
      </c>
      <c r="AH42" s="174">
        <v>3351.8054553551838</v>
      </c>
      <c r="AI42" s="174">
        <v>3477.1921420643039</v>
      </c>
      <c r="AJ42" s="174">
        <v>3595.4385287724813</v>
      </c>
      <c r="AK42" s="174">
        <v>3718.187836581722</v>
      </c>
      <c r="AL42" s="174">
        <v>3841.7008996421573</v>
      </c>
      <c r="AM42" s="174">
        <v>3964.5588093606693</v>
      </c>
      <c r="AN42" s="174">
        <v>4086.8096396655528</v>
      </c>
      <c r="AO42" s="174">
        <v>4204.6388062752267</v>
      </c>
      <c r="AP42" s="174">
        <v>4316.3130957604808</v>
      </c>
      <c r="AQ42" s="174">
        <v>4420.9682966159708</v>
      </c>
      <c r="AR42" s="174">
        <v>4519.699028279364</v>
      </c>
      <c r="AS42" s="174">
        <v>4619.9228261744838</v>
      </c>
      <c r="AT42" s="174">
        <v>4719.694537753222</v>
      </c>
      <c r="AU42" s="174">
        <v>4817.2189825407686</v>
      </c>
      <c r="AV42" s="174">
        <v>4911.8432423526147</v>
      </c>
      <c r="AW42" s="174">
        <v>5006.3645265338118</v>
      </c>
      <c r="AX42" s="174">
        <v>5103.3562128811409</v>
      </c>
      <c r="AY42" s="174">
        <v>5203.3265262554141</v>
      </c>
      <c r="AZ42" s="174">
        <v>5302.8864312282776</v>
      </c>
      <c r="BA42" s="174">
        <v>5405.5729886157969</v>
      </c>
      <c r="BB42" s="174">
        <v>5511.6263984955121</v>
      </c>
      <c r="BC42" s="174">
        <v>5619.5233382431534</v>
      </c>
      <c r="BD42" s="174">
        <v>5726.633926096405</v>
      </c>
      <c r="BE42" s="174">
        <v>5817.837225833242</v>
      </c>
      <c r="BF42" s="174">
        <v>5913.8622030934885</v>
      </c>
      <c r="BG42" s="174">
        <v>6011.7022420469675</v>
      </c>
      <c r="BH42" s="174">
        <v>6107.2586917928529</v>
      </c>
      <c r="BI42" s="174">
        <v>6200.9878660952736</v>
      </c>
      <c r="BJ42" s="174">
        <v>6299.2284006405698</v>
      </c>
      <c r="BK42" s="174">
        <v>6386.6190795011098</v>
      </c>
      <c r="BL42" s="174">
        <v>6468.2156921468286</v>
      </c>
      <c r="BM42" s="51">
        <v>6547.4066772431024</v>
      </c>
      <c r="BN42" s="51">
        <v>6624.2593343442641</v>
      </c>
      <c r="BO42" s="51">
        <v>6690.8567107028575</v>
      </c>
      <c r="BP42" s="51">
        <v>6758.4050164849932</v>
      </c>
      <c r="BQ42" s="51">
        <v>6822.2596817188387</v>
      </c>
      <c r="BR42" s="51">
        <v>6887.0314495149742</v>
      </c>
      <c r="BS42" s="51">
        <v>6951.2027445896692</v>
      </c>
      <c r="BT42" s="51">
        <v>7012.2597872925298</v>
      </c>
      <c r="BU42" s="51">
        <v>7070.315275188299</v>
      </c>
      <c r="BV42" s="51">
        <v>7125.3158499086567</v>
      </c>
      <c r="BW42" s="51">
        <v>7177.4550088332289</v>
      </c>
      <c r="BX42" s="51">
        <v>7226.7034341772287</v>
      </c>
      <c r="BY42" s="51">
        <v>7273.2370326494101</v>
      </c>
    </row>
    <row r="43" spans="1:77" ht="12.75" x14ac:dyDescent="0.2">
      <c r="A43" s="51" t="str" cm="1">
        <f t="array" ref="A43">INDEX(TariffCode, MATCH(1,(C43=TariffZone)*(D43=TariffProduct),0))</f>
        <v>GW</v>
      </c>
      <c r="B43" s="51" t="str">
        <f>IF($D43="Water",IF(C43="Standard",Assumptions!$H$90,Assumptions!$H$93),"")</f>
        <v>GA</v>
      </c>
      <c r="C43" s="150" t="s">
        <v>290</v>
      </c>
      <c r="D43" s="150" t="s">
        <v>301</v>
      </c>
      <c r="E43" s="150" t="s">
        <v>407</v>
      </c>
      <c r="F43" s="51" t="s">
        <v>262</v>
      </c>
      <c r="G43" s="51" t="s">
        <v>256</v>
      </c>
      <c r="H43" s="51"/>
      <c r="I43" s="51"/>
      <c r="J43" s="51"/>
      <c r="K43" s="51"/>
      <c r="L43" s="51"/>
      <c r="M43" s="51"/>
      <c r="N43" s="51"/>
      <c r="O43" s="51"/>
      <c r="P43" s="51"/>
      <c r="Q43" s="51"/>
      <c r="R43" s="51"/>
      <c r="S43" s="174">
        <v>0</v>
      </c>
      <c r="T43" s="174">
        <v>0</v>
      </c>
      <c r="U43" s="174">
        <v>0</v>
      </c>
      <c r="V43" s="174">
        <v>0</v>
      </c>
      <c r="W43" s="174">
        <v>0</v>
      </c>
      <c r="X43" s="174">
        <v>0</v>
      </c>
      <c r="Y43" s="174">
        <v>0</v>
      </c>
      <c r="Z43" s="174">
        <v>0</v>
      </c>
      <c r="AA43" s="175">
        <v>0</v>
      </c>
      <c r="AB43" s="176">
        <v>0</v>
      </c>
      <c r="AC43" s="174">
        <v>0</v>
      </c>
      <c r="AD43" s="174">
        <v>0</v>
      </c>
      <c r="AE43" s="174">
        <v>0</v>
      </c>
      <c r="AF43" s="174">
        <v>0</v>
      </c>
      <c r="AG43" s="174">
        <v>0</v>
      </c>
      <c r="AH43" s="174">
        <v>0</v>
      </c>
      <c r="AI43" s="174">
        <v>0</v>
      </c>
      <c r="AJ43" s="174">
        <v>0</v>
      </c>
      <c r="AK43" s="174">
        <v>0</v>
      </c>
      <c r="AL43" s="174">
        <v>0</v>
      </c>
      <c r="AM43" s="174">
        <v>0</v>
      </c>
      <c r="AN43" s="174">
        <v>0</v>
      </c>
      <c r="AO43" s="174">
        <v>0</v>
      </c>
      <c r="AP43" s="174">
        <v>0</v>
      </c>
      <c r="AQ43" s="174">
        <v>0</v>
      </c>
      <c r="AR43" s="174">
        <v>0</v>
      </c>
      <c r="AS43" s="174">
        <v>0</v>
      </c>
      <c r="AT43" s="174">
        <v>0</v>
      </c>
      <c r="AU43" s="174">
        <v>0</v>
      </c>
      <c r="AV43" s="174">
        <v>0</v>
      </c>
      <c r="AW43" s="174">
        <v>0</v>
      </c>
      <c r="AX43" s="174">
        <v>0</v>
      </c>
      <c r="AY43" s="174">
        <v>0</v>
      </c>
      <c r="AZ43" s="174">
        <v>0</v>
      </c>
      <c r="BA43" s="174">
        <v>0</v>
      </c>
      <c r="BB43" s="174">
        <v>0</v>
      </c>
      <c r="BC43" s="174">
        <v>0</v>
      </c>
      <c r="BD43" s="174">
        <v>0</v>
      </c>
      <c r="BE43" s="174">
        <v>0</v>
      </c>
      <c r="BF43" s="174">
        <v>0</v>
      </c>
      <c r="BG43" s="174">
        <v>0</v>
      </c>
      <c r="BH43" s="174">
        <v>0</v>
      </c>
      <c r="BI43" s="174">
        <v>0</v>
      </c>
      <c r="BJ43" s="174">
        <v>0</v>
      </c>
      <c r="BK43" s="174">
        <v>0</v>
      </c>
      <c r="BL43" s="174">
        <v>0</v>
      </c>
      <c r="BM43" s="51">
        <v>0</v>
      </c>
      <c r="BN43" s="51">
        <v>0</v>
      </c>
      <c r="BO43" s="51">
        <v>0</v>
      </c>
      <c r="BP43" s="51">
        <v>0</v>
      </c>
      <c r="BQ43" s="51">
        <v>0</v>
      </c>
      <c r="BR43" s="51">
        <v>0</v>
      </c>
      <c r="BS43" s="51">
        <v>0</v>
      </c>
      <c r="BT43" s="51">
        <v>0</v>
      </c>
      <c r="BU43" s="51">
        <v>0</v>
      </c>
      <c r="BV43" s="51">
        <v>0</v>
      </c>
      <c r="BW43" s="51">
        <v>0</v>
      </c>
      <c r="BX43" s="51">
        <v>0</v>
      </c>
      <c r="BY43" s="51">
        <v>0</v>
      </c>
    </row>
    <row r="44" spans="1:77" ht="12.75" x14ac:dyDescent="0.2">
      <c r="A44" s="51" t="str" cm="1">
        <f t="array" ref="A44">INDEX(TariffCode, MATCH(1,(C44=TariffZone)*(D44=TariffProduct),0))</f>
        <v>SS</v>
      </c>
      <c r="B44" s="51" t="str">
        <f>IF($D44="Water",IF(C44="Standard",Assumptions!$H$90,Assumptions!$H$93),"")</f>
        <v/>
      </c>
      <c r="C44" s="150" t="s">
        <v>287</v>
      </c>
      <c r="D44" s="150" t="s">
        <v>303</v>
      </c>
      <c r="E44" s="150" t="s">
        <v>407</v>
      </c>
      <c r="F44" s="51" t="s">
        <v>262</v>
      </c>
      <c r="G44" s="51" t="s">
        <v>256</v>
      </c>
      <c r="H44" s="51"/>
      <c r="I44" s="51"/>
      <c r="J44" s="51"/>
      <c r="K44" s="51"/>
      <c r="L44" s="51"/>
      <c r="M44" s="51"/>
      <c r="N44" s="51"/>
      <c r="O44" s="51"/>
      <c r="P44" s="51"/>
      <c r="Q44" s="51"/>
      <c r="R44" s="51"/>
      <c r="S44" s="174">
        <v>1390.5662151686652</v>
      </c>
      <c r="T44" s="174">
        <v>1465.9961766101208</v>
      </c>
      <c r="U44" s="174">
        <v>1621.7542395924172</v>
      </c>
      <c r="V44" s="174">
        <v>1808.0505602270864</v>
      </c>
      <c r="W44" s="174">
        <v>1953.572258118568</v>
      </c>
      <c r="X44" s="174">
        <v>2298.5768933540626</v>
      </c>
      <c r="Y44" s="174">
        <v>2534.4028016412472</v>
      </c>
      <c r="Z44" s="174">
        <v>2960.8220349505414</v>
      </c>
      <c r="AA44" s="175">
        <v>3163.9302617581134</v>
      </c>
      <c r="AB44" s="176">
        <v>2473.2275137859156</v>
      </c>
      <c r="AC44" s="174">
        <v>2594.8929890801155</v>
      </c>
      <c r="AD44" s="174">
        <v>2727.771963494607</v>
      </c>
      <c r="AE44" s="174">
        <v>2862.7848034142339</v>
      </c>
      <c r="AF44" s="174">
        <v>2977.3005748717396</v>
      </c>
      <c r="AG44" s="174">
        <v>3092.5112908283331</v>
      </c>
      <c r="AH44" s="174">
        <v>3210.9352672334981</v>
      </c>
      <c r="AI44" s="174">
        <v>3336.3219539426182</v>
      </c>
      <c r="AJ44" s="174">
        <v>3454.5683406507956</v>
      </c>
      <c r="AK44" s="174">
        <v>3577.3176484600363</v>
      </c>
      <c r="AL44" s="174">
        <v>3700.8307115204716</v>
      </c>
      <c r="AM44" s="174">
        <v>3823.6886212389836</v>
      </c>
      <c r="AN44" s="174">
        <v>3945.9394515438676</v>
      </c>
      <c r="AO44" s="174">
        <v>4063.768618153541</v>
      </c>
      <c r="AP44" s="174">
        <v>4175.4429076387951</v>
      </c>
      <c r="AQ44" s="174">
        <v>4280.098108494285</v>
      </c>
      <c r="AR44" s="174">
        <v>4378.8288401576783</v>
      </c>
      <c r="AS44" s="174">
        <v>4479.052638052799</v>
      </c>
      <c r="AT44" s="174">
        <v>4578.8243496315363</v>
      </c>
      <c r="AU44" s="174">
        <v>4676.3487944190838</v>
      </c>
      <c r="AV44" s="174">
        <v>4770.9730542309289</v>
      </c>
      <c r="AW44" s="174">
        <v>4865.4943384121261</v>
      </c>
      <c r="AX44" s="174">
        <v>4962.4860247594552</v>
      </c>
      <c r="AY44" s="174">
        <v>5062.4563381337284</v>
      </c>
      <c r="AZ44" s="174">
        <v>5162.0162431065919</v>
      </c>
      <c r="BA44" s="174">
        <v>5264.7028004941103</v>
      </c>
      <c r="BB44" s="174">
        <v>5370.7562103738273</v>
      </c>
      <c r="BC44" s="174">
        <v>5478.6531501214668</v>
      </c>
      <c r="BD44" s="174">
        <v>5585.7637379747184</v>
      </c>
      <c r="BE44" s="174">
        <v>5676.9670377115572</v>
      </c>
      <c r="BF44" s="174">
        <v>5772.9920149718027</v>
      </c>
      <c r="BG44" s="174">
        <v>5870.8320539252818</v>
      </c>
      <c r="BH44" s="174">
        <v>5966.3885036711681</v>
      </c>
      <c r="BI44" s="174">
        <v>6060.1176779735879</v>
      </c>
      <c r="BJ44" s="174">
        <v>6158.3582125188841</v>
      </c>
      <c r="BK44" s="174">
        <v>6245.7488913794232</v>
      </c>
      <c r="BL44" s="174">
        <v>6327.345504025142</v>
      </c>
      <c r="BM44" s="51">
        <v>6406.5364891214158</v>
      </c>
      <c r="BN44" s="51">
        <v>6483.3891462225793</v>
      </c>
      <c r="BO44" s="51">
        <v>6549.9865225811718</v>
      </c>
      <c r="BP44" s="51">
        <v>6617.5348283633066</v>
      </c>
      <c r="BQ44" s="51">
        <v>6681.3894935971521</v>
      </c>
      <c r="BR44" s="51">
        <v>6746.1612613932894</v>
      </c>
      <c r="BS44" s="51">
        <v>6810.3325564679835</v>
      </c>
      <c r="BT44" s="51">
        <v>6871.389599170845</v>
      </c>
      <c r="BU44" s="51">
        <v>6929.4450870666133</v>
      </c>
      <c r="BV44" s="51">
        <v>6984.44566178697</v>
      </c>
      <c r="BW44" s="51">
        <v>7036.5848207115432</v>
      </c>
      <c r="BX44" s="51">
        <v>7085.8332460555421</v>
      </c>
      <c r="BY44" s="51">
        <v>7132.3668445277244</v>
      </c>
    </row>
    <row r="45" spans="1:77" ht="12.75" x14ac:dyDescent="0.2">
      <c r="A45" s="51" t="str" cm="1">
        <f t="array" ref="A45">INDEX(TariffCode, MATCH(1,(C45=TariffZone)*(D45=TariffProduct),0))</f>
        <v>GS</v>
      </c>
      <c r="B45" s="51" t="str">
        <f>IF($D45="Water",IF(C45="Standard",Assumptions!$H$90,Assumptions!$H$93),"")</f>
        <v/>
      </c>
      <c r="C45" s="150" t="s">
        <v>290</v>
      </c>
      <c r="D45" s="150" t="s">
        <v>303</v>
      </c>
      <c r="E45" s="150" t="s">
        <v>407</v>
      </c>
      <c r="F45" s="51" t="s">
        <v>262</v>
      </c>
      <c r="G45" s="51" t="s">
        <v>256</v>
      </c>
      <c r="H45" s="51"/>
      <c r="I45" s="51"/>
      <c r="J45" s="51"/>
      <c r="K45" s="51"/>
      <c r="L45" s="51"/>
      <c r="M45" s="51"/>
      <c r="N45" s="51"/>
      <c r="O45" s="51"/>
      <c r="P45" s="51"/>
      <c r="Q45" s="51"/>
      <c r="R45" s="51"/>
      <c r="S45" s="174">
        <v>0</v>
      </c>
      <c r="T45" s="174">
        <v>0</v>
      </c>
      <c r="U45" s="174">
        <v>0</v>
      </c>
      <c r="V45" s="174">
        <v>0</v>
      </c>
      <c r="W45" s="174">
        <v>0</v>
      </c>
      <c r="X45" s="174">
        <v>0</v>
      </c>
      <c r="Y45" s="174">
        <v>0</v>
      </c>
      <c r="Z45" s="174">
        <v>0</v>
      </c>
      <c r="AA45" s="175">
        <v>0</v>
      </c>
      <c r="AB45" s="176">
        <v>0</v>
      </c>
      <c r="AC45" s="174">
        <v>0</v>
      </c>
      <c r="AD45" s="174">
        <v>0</v>
      </c>
      <c r="AE45" s="174">
        <v>0</v>
      </c>
      <c r="AF45" s="174">
        <v>0</v>
      </c>
      <c r="AG45" s="174">
        <v>0</v>
      </c>
      <c r="AH45" s="174">
        <v>0</v>
      </c>
      <c r="AI45" s="174">
        <v>0</v>
      </c>
      <c r="AJ45" s="174">
        <v>0</v>
      </c>
      <c r="AK45" s="174">
        <v>0</v>
      </c>
      <c r="AL45" s="174">
        <v>0</v>
      </c>
      <c r="AM45" s="174">
        <v>0</v>
      </c>
      <c r="AN45" s="174">
        <v>0</v>
      </c>
      <c r="AO45" s="174">
        <v>0</v>
      </c>
      <c r="AP45" s="174">
        <v>0</v>
      </c>
      <c r="AQ45" s="174">
        <v>0</v>
      </c>
      <c r="AR45" s="174">
        <v>0</v>
      </c>
      <c r="AS45" s="174">
        <v>0</v>
      </c>
      <c r="AT45" s="174">
        <v>0</v>
      </c>
      <c r="AU45" s="174">
        <v>0</v>
      </c>
      <c r="AV45" s="174">
        <v>0</v>
      </c>
      <c r="AW45" s="174">
        <v>0</v>
      </c>
      <c r="AX45" s="174">
        <v>0</v>
      </c>
      <c r="AY45" s="174">
        <v>0</v>
      </c>
      <c r="AZ45" s="174">
        <v>0</v>
      </c>
      <c r="BA45" s="174">
        <v>0</v>
      </c>
      <c r="BB45" s="174">
        <v>0</v>
      </c>
      <c r="BC45" s="174">
        <v>0</v>
      </c>
      <c r="BD45" s="174">
        <v>0</v>
      </c>
      <c r="BE45" s="174">
        <v>0</v>
      </c>
      <c r="BF45" s="174">
        <v>0</v>
      </c>
      <c r="BG45" s="174">
        <v>0</v>
      </c>
      <c r="BH45" s="174">
        <v>0</v>
      </c>
      <c r="BI45" s="174">
        <v>0</v>
      </c>
      <c r="BJ45" s="174">
        <v>0</v>
      </c>
      <c r="BK45" s="174">
        <v>0</v>
      </c>
      <c r="BL45" s="174">
        <v>0</v>
      </c>
      <c r="BM45" s="51">
        <v>0</v>
      </c>
      <c r="BN45" s="51">
        <v>0</v>
      </c>
      <c r="BO45" s="51">
        <v>0</v>
      </c>
      <c r="BP45" s="51">
        <v>0</v>
      </c>
      <c r="BQ45" s="51">
        <v>0</v>
      </c>
      <c r="BR45" s="51">
        <v>0</v>
      </c>
      <c r="BS45" s="51">
        <v>0</v>
      </c>
      <c r="BT45" s="51">
        <v>0</v>
      </c>
      <c r="BU45" s="51">
        <v>0</v>
      </c>
      <c r="BV45" s="51">
        <v>0</v>
      </c>
      <c r="BW45" s="51">
        <v>0</v>
      </c>
      <c r="BX45" s="51">
        <v>0</v>
      </c>
      <c r="BY45" s="51">
        <v>0</v>
      </c>
    </row>
    <row r="46" spans="1:77" ht="12.75" x14ac:dyDescent="0.2">
      <c r="A46" s="51" t="str" cm="1">
        <f t="array" ref="A46">INDEX(TariffCode, MATCH(1,(C46=TariffZone)*(D46=TariffProduct),0))</f>
        <v>WR</v>
      </c>
      <c r="B46" s="51" t="str">
        <f>IF($D46="Water",IF(C46="Standard",Assumptions!$H$90,Assumptions!$H$93),"")</f>
        <v/>
      </c>
      <c r="C46" s="150" t="s">
        <v>283</v>
      </c>
      <c r="D46" s="150" t="s">
        <v>310</v>
      </c>
      <c r="E46" s="150" t="s">
        <v>407</v>
      </c>
      <c r="F46" s="51" t="s">
        <v>262</v>
      </c>
      <c r="G46" s="51" t="s">
        <v>256</v>
      </c>
      <c r="H46" s="51"/>
      <c r="I46" s="51"/>
      <c r="J46" s="51"/>
      <c r="K46" s="51"/>
      <c r="L46" s="51"/>
      <c r="M46" s="51"/>
      <c r="N46" s="51"/>
      <c r="O46" s="51"/>
      <c r="P46" s="51"/>
      <c r="Q46" s="51"/>
      <c r="R46" s="51"/>
      <c r="S46" s="174">
        <v>23.462972866542749</v>
      </c>
      <c r="T46" s="174">
        <v>24.462972866542749</v>
      </c>
      <c r="U46" s="174">
        <v>27.915626187165568</v>
      </c>
      <c r="V46" s="174">
        <v>30.915626187165564</v>
      </c>
      <c r="W46" s="174">
        <v>33.915626187165572</v>
      </c>
      <c r="X46" s="174">
        <v>41.462972866542749</v>
      </c>
      <c r="Y46" s="174">
        <v>58.462972866542763</v>
      </c>
      <c r="Z46" s="174">
        <v>68.462972866542742</v>
      </c>
      <c r="AA46" s="175">
        <v>79.462972866542756</v>
      </c>
      <c r="AB46" s="176">
        <v>134</v>
      </c>
      <c r="AC46" s="174">
        <v>134</v>
      </c>
      <c r="AD46" s="174">
        <v>134</v>
      </c>
      <c r="AE46" s="174">
        <v>134</v>
      </c>
      <c r="AF46" s="174">
        <v>134</v>
      </c>
      <c r="AG46" s="174">
        <v>134</v>
      </c>
      <c r="AH46" s="174">
        <v>134</v>
      </c>
      <c r="AI46" s="174">
        <v>134</v>
      </c>
      <c r="AJ46" s="174">
        <v>134</v>
      </c>
      <c r="AK46" s="174">
        <v>134</v>
      </c>
      <c r="AL46" s="174">
        <v>134</v>
      </c>
      <c r="AM46" s="174">
        <v>134</v>
      </c>
      <c r="AN46" s="174">
        <v>134</v>
      </c>
      <c r="AO46" s="174">
        <v>134</v>
      </c>
      <c r="AP46" s="174">
        <v>134</v>
      </c>
      <c r="AQ46" s="174">
        <v>134</v>
      </c>
      <c r="AR46" s="174">
        <v>134</v>
      </c>
      <c r="AS46" s="174">
        <v>134</v>
      </c>
      <c r="AT46" s="174">
        <v>134</v>
      </c>
      <c r="AU46" s="174">
        <v>134</v>
      </c>
      <c r="AV46" s="174">
        <v>134</v>
      </c>
      <c r="AW46" s="174">
        <v>134</v>
      </c>
      <c r="AX46" s="174">
        <v>134</v>
      </c>
      <c r="AY46" s="174">
        <v>134</v>
      </c>
      <c r="AZ46" s="174">
        <v>134</v>
      </c>
      <c r="BA46" s="174">
        <v>134</v>
      </c>
      <c r="BB46" s="174">
        <v>134</v>
      </c>
      <c r="BC46" s="174">
        <v>134</v>
      </c>
      <c r="BD46" s="174">
        <v>134</v>
      </c>
      <c r="BE46" s="174">
        <v>134</v>
      </c>
      <c r="BF46" s="174">
        <v>134</v>
      </c>
      <c r="BG46" s="174">
        <v>134</v>
      </c>
      <c r="BH46" s="174">
        <v>134</v>
      </c>
      <c r="BI46" s="174">
        <v>134</v>
      </c>
      <c r="BJ46" s="174">
        <v>134</v>
      </c>
      <c r="BK46" s="174">
        <v>134</v>
      </c>
      <c r="BL46" s="174">
        <v>134</v>
      </c>
      <c r="BM46" s="51">
        <v>134</v>
      </c>
      <c r="BN46" s="51">
        <v>134</v>
      </c>
      <c r="BO46" s="51">
        <v>134</v>
      </c>
      <c r="BP46" s="51">
        <v>134</v>
      </c>
      <c r="BQ46" s="51">
        <v>134</v>
      </c>
      <c r="BR46" s="51">
        <v>134</v>
      </c>
      <c r="BS46" s="51">
        <v>134</v>
      </c>
      <c r="BT46" s="51">
        <v>134</v>
      </c>
      <c r="BU46" s="51">
        <v>134</v>
      </c>
      <c r="BV46" s="51">
        <v>134</v>
      </c>
      <c r="BW46" s="51">
        <v>134</v>
      </c>
      <c r="BX46" s="51">
        <v>134</v>
      </c>
      <c r="BY46" s="51">
        <v>134</v>
      </c>
    </row>
    <row r="47" spans="1:77" ht="12.75" x14ac:dyDescent="0.2">
      <c r="A47" s="51" t="str" cm="1">
        <f t="array" ref="A47">INDEX(TariffCode, MATCH(1,(C47=TariffZone)*(D47=TariffProduct),0))</f>
        <v>GR</v>
      </c>
      <c r="B47" s="51" t="str">
        <f>IF($D47="Water",IF(C47="Standard",Assumptions!$H$90,Assumptions!$H$93),"")</f>
        <v/>
      </c>
      <c r="C47" s="150" t="s">
        <v>312</v>
      </c>
      <c r="D47" s="150" t="s">
        <v>310</v>
      </c>
      <c r="E47" s="150" t="s">
        <v>407</v>
      </c>
      <c r="F47" s="51" t="s">
        <v>262</v>
      </c>
      <c r="G47" s="51" t="s">
        <v>256</v>
      </c>
      <c r="H47" s="51"/>
      <c r="I47" s="51"/>
      <c r="J47" s="51"/>
      <c r="K47" s="51"/>
      <c r="L47" s="51"/>
      <c r="M47" s="51"/>
      <c r="N47" s="51"/>
      <c r="O47" s="51"/>
      <c r="P47" s="51"/>
      <c r="Q47" s="51"/>
      <c r="R47" s="51"/>
      <c r="S47" s="174">
        <v>0</v>
      </c>
      <c r="T47" s="174">
        <v>0</v>
      </c>
      <c r="U47" s="174">
        <v>0</v>
      </c>
      <c r="V47" s="174">
        <v>0</v>
      </c>
      <c r="W47" s="174">
        <v>0</v>
      </c>
      <c r="X47" s="174">
        <v>0</v>
      </c>
      <c r="Y47" s="174">
        <v>0</v>
      </c>
      <c r="Z47" s="174">
        <v>0</v>
      </c>
      <c r="AA47" s="175">
        <v>0</v>
      </c>
      <c r="AB47" s="176">
        <v>0</v>
      </c>
      <c r="AC47" s="174">
        <v>0</v>
      </c>
      <c r="AD47" s="174">
        <v>0</v>
      </c>
      <c r="AE47" s="174">
        <v>0</v>
      </c>
      <c r="AF47" s="174">
        <v>0</v>
      </c>
      <c r="AG47" s="174">
        <v>0</v>
      </c>
      <c r="AH47" s="174">
        <v>0</v>
      </c>
      <c r="AI47" s="174">
        <v>0</v>
      </c>
      <c r="AJ47" s="174">
        <v>0</v>
      </c>
      <c r="AK47" s="174">
        <v>0</v>
      </c>
      <c r="AL47" s="174">
        <v>0</v>
      </c>
      <c r="AM47" s="174">
        <v>0</v>
      </c>
      <c r="AN47" s="174">
        <v>0</v>
      </c>
      <c r="AO47" s="174">
        <v>0</v>
      </c>
      <c r="AP47" s="174">
        <v>0</v>
      </c>
      <c r="AQ47" s="174">
        <v>0</v>
      </c>
      <c r="AR47" s="174">
        <v>0</v>
      </c>
      <c r="AS47" s="174">
        <v>0</v>
      </c>
      <c r="AT47" s="174">
        <v>0</v>
      </c>
      <c r="AU47" s="174">
        <v>0</v>
      </c>
      <c r="AV47" s="174">
        <v>0</v>
      </c>
      <c r="AW47" s="174">
        <v>0</v>
      </c>
      <c r="AX47" s="174">
        <v>0</v>
      </c>
      <c r="AY47" s="174">
        <v>0</v>
      </c>
      <c r="AZ47" s="174">
        <v>0</v>
      </c>
      <c r="BA47" s="174">
        <v>0</v>
      </c>
      <c r="BB47" s="174">
        <v>0</v>
      </c>
      <c r="BC47" s="174">
        <v>0</v>
      </c>
      <c r="BD47" s="174">
        <v>0</v>
      </c>
      <c r="BE47" s="174">
        <v>0</v>
      </c>
      <c r="BF47" s="174">
        <v>0</v>
      </c>
      <c r="BG47" s="174">
        <v>0</v>
      </c>
      <c r="BH47" s="174">
        <v>0</v>
      </c>
      <c r="BI47" s="174">
        <v>0</v>
      </c>
      <c r="BJ47" s="174">
        <v>0</v>
      </c>
      <c r="BK47" s="174">
        <v>0</v>
      </c>
      <c r="BL47" s="174">
        <v>0</v>
      </c>
      <c r="BM47" s="51">
        <v>0</v>
      </c>
      <c r="BN47" s="51">
        <v>0</v>
      </c>
      <c r="BO47" s="51">
        <v>0</v>
      </c>
      <c r="BP47" s="51">
        <v>0</v>
      </c>
      <c r="BQ47" s="51">
        <v>0</v>
      </c>
      <c r="BR47" s="51">
        <v>0</v>
      </c>
      <c r="BS47" s="51">
        <v>0</v>
      </c>
      <c r="BT47" s="51">
        <v>0</v>
      </c>
      <c r="BU47" s="51">
        <v>0</v>
      </c>
      <c r="BV47" s="51">
        <v>0</v>
      </c>
      <c r="BW47" s="51">
        <v>0</v>
      </c>
      <c r="BX47" s="51">
        <v>0</v>
      </c>
      <c r="BY47" s="51">
        <v>0</v>
      </c>
    </row>
    <row r="48" spans="1:77" ht="12.75" x14ac:dyDescent="0.2">
      <c r="A48" s="51" t="str" cm="1">
        <f t="array" ref="A48">INDEX(TariffCode, MATCH(1,(C48=TariffZone)*(D48=TariffProduct),0))</f>
        <v>SW</v>
      </c>
      <c r="B48" s="51" t="str">
        <f>IF($D48="Water",IF(C48="Standard",Assumptions!$H$90,Assumptions!$H$93),"")</f>
        <v>SA</v>
      </c>
      <c r="C48" s="150" t="s">
        <v>287</v>
      </c>
      <c r="D48" s="150" t="s">
        <v>301</v>
      </c>
      <c r="E48" s="150" t="s">
        <v>405</v>
      </c>
      <c r="F48" s="51" t="s">
        <v>265</v>
      </c>
      <c r="G48" s="51" t="s">
        <v>256</v>
      </c>
      <c r="H48" s="51"/>
      <c r="I48" s="51"/>
      <c r="J48" s="51"/>
      <c r="K48" s="51"/>
      <c r="L48" s="51"/>
      <c r="M48" s="51"/>
      <c r="N48" s="51"/>
      <c r="O48" s="51"/>
      <c r="P48" s="51"/>
      <c r="Q48" s="51"/>
      <c r="R48" s="51"/>
      <c r="S48" s="174">
        <v>0</v>
      </c>
      <c r="T48" s="174">
        <v>0</v>
      </c>
      <c r="U48" s="174">
        <v>0</v>
      </c>
      <c r="V48" s="174">
        <v>0</v>
      </c>
      <c r="W48" s="174">
        <v>0</v>
      </c>
      <c r="X48" s="174">
        <v>0</v>
      </c>
      <c r="Y48" s="174">
        <v>0</v>
      </c>
      <c r="Z48" s="174">
        <v>0</v>
      </c>
      <c r="AA48" s="175">
        <v>0</v>
      </c>
      <c r="AB48" s="176">
        <v>0</v>
      </c>
      <c r="AC48" s="174">
        <v>0</v>
      </c>
      <c r="AD48" s="174">
        <v>0</v>
      </c>
      <c r="AE48" s="174">
        <v>0</v>
      </c>
      <c r="AF48" s="174">
        <v>0</v>
      </c>
      <c r="AG48" s="174">
        <v>0</v>
      </c>
      <c r="AH48" s="174">
        <v>0</v>
      </c>
      <c r="AI48" s="174">
        <v>0</v>
      </c>
      <c r="AJ48" s="174">
        <v>0</v>
      </c>
      <c r="AK48" s="174">
        <v>0</v>
      </c>
      <c r="AL48" s="174">
        <v>0</v>
      </c>
      <c r="AM48" s="174">
        <v>0</v>
      </c>
      <c r="AN48" s="174">
        <v>0</v>
      </c>
      <c r="AO48" s="174">
        <v>0</v>
      </c>
      <c r="AP48" s="174">
        <v>0</v>
      </c>
      <c r="AQ48" s="174">
        <v>0</v>
      </c>
      <c r="AR48" s="174">
        <v>0</v>
      </c>
      <c r="AS48" s="174">
        <v>0</v>
      </c>
      <c r="AT48" s="174">
        <v>0</v>
      </c>
      <c r="AU48" s="174">
        <v>0</v>
      </c>
      <c r="AV48" s="174">
        <v>0</v>
      </c>
      <c r="AW48" s="174">
        <v>0</v>
      </c>
      <c r="AX48" s="174">
        <v>0</v>
      </c>
      <c r="AY48" s="174">
        <v>0</v>
      </c>
      <c r="AZ48" s="174">
        <v>0</v>
      </c>
      <c r="BA48" s="174">
        <v>0</v>
      </c>
      <c r="BB48" s="174">
        <v>0</v>
      </c>
      <c r="BC48" s="174">
        <v>0</v>
      </c>
      <c r="BD48" s="174">
        <v>0</v>
      </c>
      <c r="BE48" s="174">
        <v>0</v>
      </c>
      <c r="BF48" s="174">
        <v>0</v>
      </c>
      <c r="BG48" s="174">
        <v>0</v>
      </c>
      <c r="BH48" s="174">
        <v>0</v>
      </c>
      <c r="BI48" s="174">
        <v>0</v>
      </c>
      <c r="BJ48" s="174">
        <v>0</v>
      </c>
      <c r="BK48" s="174">
        <v>0</v>
      </c>
      <c r="BL48" s="174">
        <v>0</v>
      </c>
      <c r="BM48" s="51">
        <v>0</v>
      </c>
      <c r="BN48" s="51">
        <v>0</v>
      </c>
      <c r="BO48" s="51">
        <v>0</v>
      </c>
      <c r="BP48" s="51">
        <v>0</v>
      </c>
      <c r="BQ48" s="51">
        <v>0</v>
      </c>
      <c r="BR48" s="51">
        <v>0</v>
      </c>
      <c r="BS48" s="51">
        <v>0</v>
      </c>
      <c r="BT48" s="51">
        <v>0</v>
      </c>
      <c r="BU48" s="51">
        <v>0</v>
      </c>
      <c r="BV48" s="51">
        <v>0</v>
      </c>
      <c r="BW48" s="51">
        <v>0</v>
      </c>
      <c r="BX48" s="51">
        <v>0</v>
      </c>
      <c r="BY48" s="51">
        <v>0</v>
      </c>
    </row>
    <row r="49" spans="1:77" ht="12.75" x14ac:dyDescent="0.2">
      <c r="A49" s="51" t="str" cm="1">
        <f t="array" ref="A49">INDEX(TariffCode, MATCH(1,(C49=TariffZone)*(D49=TariffProduct),0))</f>
        <v>GW</v>
      </c>
      <c r="B49" s="51" t="str">
        <f>IF($D49="Water",IF(C49="Standard",Assumptions!$H$90,Assumptions!$H$93),"")</f>
        <v>GA</v>
      </c>
      <c r="C49" s="150" t="s">
        <v>290</v>
      </c>
      <c r="D49" s="150" t="s">
        <v>301</v>
      </c>
      <c r="E49" s="150" t="s">
        <v>405</v>
      </c>
      <c r="F49" s="51" t="s">
        <v>265</v>
      </c>
      <c r="G49" s="51" t="s">
        <v>256</v>
      </c>
      <c r="H49" s="51"/>
      <c r="I49" s="51"/>
      <c r="J49" s="51"/>
      <c r="K49" s="51"/>
      <c r="L49" s="51"/>
      <c r="M49" s="51"/>
      <c r="N49" s="51"/>
      <c r="O49" s="51"/>
      <c r="P49" s="51"/>
      <c r="Q49" s="51"/>
      <c r="R49" s="51"/>
      <c r="S49" s="174">
        <v>9605</v>
      </c>
      <c r="T49" s="174">
        <v>10649</v>
      </c>
      <c r="U49" s="174">
        <v>12251</v>
      </c>
      <c r="V49" s="174">
        <v>13759</v>
      </c>
      <c r="W49" s="174">
        <v>15468</v>
      </c>
      <c r="X49" s="174">
        <v>17864</v>
      </c>
      <c r="Y49" s="174">
        <v>21087</v>
      </c>
      <c r="Z49" s="174">
        <v>25008</v>
      </c>
      <c r="AA49" s="175">
        <v>29942</v>
      </c>
      <c r="AB49" s="176">
        <v>44424.861281256926</v>
      </c>
      <c r="AC49" s="174">
        <v>48887.841747169456</v>
      </c>
      <c r="AD49" s="174">
        <v>53490.767768249832</v>
      </c>
      <c r="AE49" s="174">
        <v>58440.325218902188</v>
      </c>
      <c r="AF49" s="174">
        <v>62648.166943922857</v>
      </c>
      <c r="AG49" s="174">
        <v>66906.924208043085</v>
      </c>
      <c r="AH49" s="174">
        <v>71281.171502318553</v>
      </c>
      <c r="AI49" s="174">
        <v>75902.235706197578</v>
      </c>
      <c r="AJ49" s="174">
        <v>80411.697658827761</v>
      </c>
      <c r="AK49" s="174">
        <v>85172.619722547213</v>
      </c>
      <c r="AL49" s="174">
        <v>89986.747099396016</v>
      </c>
      <c r="AM49" s="174">
        <v>94807.929772882228</v>
      </c>
      <c r="AN49" s="174">
        <v>99634.65980126732</v>
      </c>
      <c r="AO49" s="174">
        <v>104447.85371924017</v>
      </c>
      <c r="AP49" s="174">
        <v>109171.32996641006</v>
      </c>
      <c r="AQ49" s="174">
        <v>113894.23387157702</v>
      </c>
      <c r="AR49" s="174">
        <v>118590.22796140445</v>
      </c>
      <c r="AS49" s="174">
        <v>123321.73600092193</v>
      </c>
      <c r="AT49" s="174">
        <v>128042.40381794758</v>
      </c>
      <c r="AU49" s="174">
        <v>132644.24717690528</v>
      </c>
      <c r="AV49" s="174">
        <v>137050.66598042121</v>
      </c>
      <c r="AW49" s="174">
        <v>141194.19667308297</v>
      </c>
      <c r="AX49" s="174">
        <v>145132.7532329213</v>
      </c>
      <c r="AY49" s="174">
        <v>148902.97094726865</v>
      </c>
      <c r="AZ49" s="174">
        <v>152506.18992577156</v>
      </c>
      <c r="BA49" s="174">
        <v>156099.93027798881</v>
      </c>
      <c r="BB49" s="174">
        <v>159636.41261776513</v>
      </c>
      <c r="BC49" s="174">
        <v>163126.20725941865</v>
      </c>
      <c r="BD49" s="174">
        <v>166450.89567810221</v>
      </c>
      <c r="BE49" s="174">
        <v>169309.19057456197</v>
      </c>
      <c r="BF49" s="174">
        <v>172151.25487214848</v>
      </c>
      <c r="BG49" s="174">
        <v>175200.2545235682</v>
      </c>
      <c r="BH49" s="174">
        <v>178315.35104174167</v>
      </c>
      <c r="BI49" s="174">
        <v>181226.2806309546</v>
      </c>
      <c r="BJ49" s="174">
        <v>184310.54858298501</v>
      </c>
      <c r="BK49" s="174">
        <v>187297.62614217363</v>
      </c>
      <c r="BL49" s="174">
        <v>190064.93809591874</v>
      </c>
      <c r="BM49" s="51">
        <v>192668.77583974012</v>
      </c>
      <c r="BN49" s="51">
        <v>194955.14369229571</v>
      </c>
      <c r="BO49" s="51">
        <v>196810.06621580347</v>
      </c>
      <c r="BP49" s="51">
        <v>198617.23192042665</v>
      </c>
      <c r="BQ49" s="51">
        <v>200186.44461979752</v>
      </c>
      <c r="BR49" s="51">
        <v>202148.01852030726</v>
      </c>
      <c r="BS49" s="51">
        <v>204516.71877665143</v>
      </c>
      <c r="BT49" s="51">
        <v>206770.46529265266</v>
      </c>
      <c r="BU49" s="51">
        <v>208913.41797735117</v>
      </c>
      <c r="BV49" s="51">
        <v>210943.60725882911</v>
      </c>
      <c r="BW49" s="51">
        <v>212868.17554074473</v>
      </c>
      <c r="BX49" s="51">
        <v>214686.04064072573</v>
      </c>
      <c r="BY49" s="51">
        <v>216403.69565300772</v>
      </c>
    </row>
    <row r="50" spans="1:77" ht="12.75" x14ac:dyDescent="0.2">
      <c r="A50" s="51" t="str" cm="1">
        <f t="array" ref="A50">INDEX(TariffCode, MATCH(1,(C50=TariffZone)*(D50=TariffProduct),0))</f>
        <v>SS</v>
      </c>
      <c r="B50" s="51" t="str">
        <f>IF($D50="Water",IF(C50="Standard",Assumptions!$H$90,Assumptions!$H$93),"")</f>
        <v/>
      </c>
      <c r="C50" s="150" t="s">
        <v>287</v>
      </c>
      <c r="D50" s="150" t="s">
        <v>303</v>
      </c>
      <c r="E50" s="150" t="s">
        <v>405</v>
      </c>
      <c r="F50" s="51" t="s">
        <v>265</v>
      </c>
      <c r="G50" s="51" t="s">
        <v>256</v>
      </c>
      <c r="H50" s="51"/>
      <c r="I50" s="51"/>
      <c r="J50" s="51"/>
      <c r="K50" s="51"/>
      <c r="L50" s="51"/>
      <c r="M50" s="51"/>
      <c r="N50" s="51"/>
      <c r="O50" s="51"/>
      <c r="P50" s="51"/>
      <c r="Q50" s="51"/>
      <c r="R50" s="51"/>
      <c r="S50" s="174">
        <v>0</v>
      </c>
      <c r="T50" s="174">
        <v>0</v>
      </c>
      <c r="U50" s="174">
        <v>0</v>
      </c>
      <c r="V50" s="174">
        <v>0</v>
      </c>
      <c r="W50" s="174">
        <v>0</v>
      </c>
      <c r="X50" s="174">
        <v>0</v>
      </c>
      <c r="Y50" s="174">
        <v>0</v>
      </c>
      <c r="Z50" s="174">
        <v>0</v>
      </c>
      <c r="AA50" s="175">
        <v>0</v>
      </c>
      <c r="AB50" s="176">
        <v>0</v>
      </c>
      <c r="AC50" s="174">
        <v>0</v>
      </c>
      <c r="AD50" s="174">
        <v>0</v>
      </c>
      <c r="AE50" s="174">
        <v>0</v>
      </c>
      <c r="AF50" s="174">
        <v>0</v>
      </c>
      <c r="AG50" s="174">
        <v>0</v>
      </c>
      <c r="AH50" s="174">
        <v>0</v>
      </c>
      <c r="AI50" s="174">
        <v>0</v>
      </c>
      <c r="AJ50" s="174">
        <v>0</v>
      </c>
      <c r="AK50" s="174">
        <v>0</v>
      </c>
      <c r="AL50" s="174">
        <v>0</v>
      </c>
      <c r="AM50" s="174">
        <v>0</v>
      </c>
      <c r="AN50" s="174">
        <v>0</v>
      </c>
      <c r="AO50" s="174">
        <v>0</v>
      </c>
      <c r="AP50" s="174">
        <v>0</v>
      </c>
      <c r="AQ50" s="174">
        <v>0</v>
      </c>
      <c r="AR50" s="174">
        <v>0</v>
      </c>
      <c r="AS50" s="174">
        <v>0</v>
      </c>
      <c r="AT50" s="174">
        <v>0</v>
      </c>
      <c r="AU50" s="174">
        <v>0</v>
      </c>
      <c r="AV50" s="174">
        <v>0</v>
      </c>
      <c r="AW50" s="174">
        <v>0</v>
      </c>
      <c r="AX50" s="174">
        <v>0</v>
      </c>
      <c r="AY50" s="174">
        <v>0</v>
      </c>
      <c r="AZ50" s="174">
        <v>0</v>
      </c>
      <c r="BA50" s="174">
        <v>0</v>
      </c>
      <c r="BB50" s="174">
        <v>0</v>
      </c>
      <c r="BC50" s="174">
        <v>0</v>
      </c>
      <c r="BD50" s="174">
        <v>0</v>
      </c>
      <c r="BE50" s="174">
        <v>0</v>
      </c>
      <c r="BF50" s="174">
        <v>0</v>
      </c>
      <c r="BG50" s="174">
        <v>0</v>
      </c>
      <c r="BH50" s="174">
        <v>0</v>
      </c>
      <c r="BI50" s="174">
        <v>0</v>
      </c>
      <c r="BJ50" s="174">
        <v>0</v>
      </c>
      <c r="BK50" s="174">
        <v>0</v>
      </c>
      <c r="BL50" s="174">
        <v>0</v>
      </c>
      <c r="BM50" s="51">
        <v>0</v>
      </c>
      <c r="BN50" s="51">
        <v>0</v>
      </c>
      <c r="BO50" s="51">
        <v>0</v>
      </c>
      <c r="BP50" s="51">
        <v>0</v>
      </c>
      <c r="BQ50" s="51">
        <v>0</v>
      </c>
      <c r="BR50" s="51">
        <v>0</v>
      </c>
      <c r="BS50" s="51">
        <v>0</v>
      </c>
      <c r="BT50" s="51">
        <v>0</v>
      </c>
      <c r="BU50" s="51">
        <v>0</v>
      </c>
      <c r="BV50" s="51">
        <v>0</v>
      </c>
      <c r="BW50" s="51">
        <v>0</v>
      </c>
      <c r="BX50" s="51">
        <v>0</v>
      </c>
      <c r="BY50" s="51">
        <v>0</v>
      </c>
    </row>
    <row r="51" spans="1:77" ht="12.75" x14ac:dyDescent="0.2">
      <c r="A51" s="51" t="str" cm="1">
        <f t="array" ref="A51">INDEX(TariffCode, MATCH(1,(C51=TariffZone)*(D51=TariffProduct),0))</f>
        <v>GS</v>
      </c>
      <c r="B51" s="51" t="str">
        <f>IF($D51="Water",IF(C51="Standard",Assumptions!$H$90,Assumptions!$H$93),"")</f>
        <v/>
      </c>
      <c r="C51" s="150" t="s">
        <v>290</v>
      </c>
      <c r="D51" s="150" t="s">
        <v>303</v>
      </c>
      <c r="E51" s="150" t="s">
        <v>405</v>
      </c>
      <c r="F51" s="51" t="s">
        <v>265</v>
      </c>
      <c r="G51" s="51" t="s">
        <v>256</v>
      </c>
      <c r="H51" s="51"/>
      <c r="I51" s="51"/>
      <c r="J51" s="51"/>
      <c r="K51" s="51"/>
      <c r="L51" s="51"/>
      <c r="M51" s="51"/>
      <c r="N51" s="51"/>
      <c r="O51" s="51"/>
      <c r="P51" s="51"/>
      <c r="Q51" s="51"/>
      <c r="R51" s="51"/>
      <c r="S51" s="174">
        <v>7997</v>
      </c>
      <c r="T51" s="174">
        <v>8459</v>
      </c>
      <c r="U51" s="174">
        <v>9709</v>
      </c>
      <c r="V51" s="174">
        <v>10827</v>
      </c>
      <c r="W51" s="174">
        <v>12785</v>
      </c>
      <c r="X51" s="174">
        <v>14982</v>
      </c>
      <c r="Y51" s="174">
        <v>18136</v>
      </c>
      <c r="Z51" s="174">
        <v>22011</v>
      </c>
      <c r="AA51" s="175">
        <v>26884</v>
      </c>
      <c r="AB51" s="176">
        <v>40945.144106375825</v>
      </c>
      <c r="AC51" s="174">
        <v>45408.124572288347</v>
      </c>
      <c r="AD51" s="174">
        <v>50011.050593368731</v>
      </c>
      <c r="AE51" s="174">
        <v>54960.608044021079</v>
      </c>
      <c r="AF51" s="174">
        <v>59168.449769041756</v>
      </c>
      <c r="AG51" s="174">
        <v>63427.207033161991</v>
      </c>
      <c r="AH51" s="174">
        <v>67801.454327437445</v>
      </c>
      <c r="AI51" s="174">
        <v>72422.518531316469</v>
      </c>
      <c r="AJ51" s="174">
        <v>76931.980483946652</v>
      </c>
      <c r="AK51" s="174">
        <v>81692.902547666105</v>
      </c>
      <c r="AL51" s="174">
        <v>86507.029924514907</v>
      </c>
      <c r="AM51" s="174">
        <v>91328.212598001119</v>
      </c>
      <c r="AN51" s="174">
        <v>96154.942626386241</v>
      </c>
      <c r="AO51" s="174">
        <v>100968.13654435906</v>
      </c>
      <c r="AP51" s="174">
        <v>105691.61279152895</v>
      </c>
      <c r="AQ51" s="174">
        <v>110414.51669669589</v>
      </c>
      <c r="AR51" s="174">
        <v>115110.51078652334</v>
      </c>
      <c r="AS51" s="174">
        <v>119842.01882604083</v>
      </c>
      <c r="AT51" s="174">
        <v>124562.68664306647</v>
      </c>
      <c r="AU51" s="174">
        <v>129164.53000202417</v>
      </c>
      <c r="AV51" s="174">
        <v>133570.94880554013</v>
      </c>
      <c r="AW51" s="174">
        <v>137714.47949820184</v>
      </c>
      <c r="AX51" s="174">
        <v>141653.03605804019</v>
      </c>
      <c r="AY51" s="174">
        <v>145423.25377238757</v>
      </c>
      <c r="AZ51" s="174">
        <v>149026.47275089048</v>
      </c>
      <c r="BA51" s="174">
        <v>152620.2131031077</v>
      </c>
      <c r="BB51" s="174">
        <v>156156.69544288403</v>
      </c>
      <c r="BC51" s="174">
        <v>159646.49008453754</v>
      </c>
      <c r="BD51" s="174">
        <v>162971.1785032211</v>
      </c>
      <c r="BE51" s="174">
        <v>165829.47339968086</v>
      </c>
      <c r="BF51" s="174">
        <v>168671.53769726737</v>
      </c>
      <c r="BG51" s="174">
        <v>171720.5373486871</v>
      </c>
      <c r="BH51" s="174">
        <v>174835.63386686059</v>
      </c>
      <c r="BI51" s="174">
        <v>177746.56345607352</v>
      </c>
      <c r="BJ51" s="174">
        <v>180830.83140810393</v>
      </c>
      <c r="BK51" s="174">
        <v>183817.90896729252</v>
      </c>
      <c r="BL51" s="174">
        <v>186585.22092103766</v>
      </c>
      <c r="BM51" s="51">
        <v>189189.05866485904</v>
      </c>
      <c r="BN51" s="51">
        <v>191475.42651741463</v>
      </c>
      <c r="BO51" s="51">
        <v>193330.34904092242</v>
      </c>
      <c r="BP51" s="51">
        <v>195137.51474554554</v>
      </c>
      <c r="BQ51" s="51">
        <v>196706.72744491644</v>
      </c>
      <c r="BR51" s="51">
        <v>198668.30134542621</v>
      </c>
      <c r="BS51" s="51">
        <v>201037.00160177035</v>
      </c>
      <c r="BT51" s="51">
        <v>203290.74811777158</v>
      </c>
      <c r="BU51" s="51">
        <v>205433.70080247009</v>
      </c>
      <c r="BV51" s="51">
        <v>207463.89008394803</v>
      </c>
      <c r="BW51" s="51">
        <v>209388.45836586365</v>
      </c>
      <c r="BX51" s="51">
        <v>211206.32346584462</v>
      </c>
      <c r="BY51" s="51">
        <v>212923.97847812666</v>
      </c>
    </row>
    <row r="52" spans="1:77" ht="12.75" x14ac:dyDescent="0.2">
      <c r="A52" s="51" t="str" cm="1">
        <f t="array" ref="A52">INDEX(TariffCode, MATCH(1,(C52=TariffZone)*(D52=TariffProduct),0))</f>
        <v>WR</v>
      </c>
      <c r="B52" s="51" t="str">
        <f>IF($D52="Water",IF(C52="Standard",Assumptions!$H$90,Assumptions!$H$93),"")</f>
        <v/>
      </c>
      <c r="C52" s="150" t="s">
        <v>283</v>
      </c>
      <c r="D52" s="150" t="s">
        <v>310</v>
      </c>
      <c r="E52" s="150" t="s">
        <v>405</v>
      </c>
      <c r="F52" s="51" t="s">
        <v>265</v>
      </c>
      <c r="G52" s="51" t="s">
        <v>256</v>
      </c>
      <c r="H52" s="51"/>
      <c r="I52" s="51"/>
      <c r="J52" s="51"/>
      <c r="K52" s="51"/>
      <c r="L52" s="51"/>
      <c r="M52" s="51"/>
      <c r="N52" s="51"/>
      <c r="O52" s="51"/>
      <c r="P52" s="51"/>
      <c r="Q52" s="51"/>
      <c r="R52" s="51"/>
      <c r="S52" s="174">
        <v>0</v>
      </c>
      <c r="T52" s="174">
        <v>0</v>
      </c>
      <c r="U52" s="174">
        <v>0</v>
      </c>
      <c r="V52" s="174">
        <v>0</v>
      </c>
      <c r="W52" s="174">
        <v>0</v>
      </c>
      <c r="X52" s="174">
        <v>0</v>
      </c>
      <c r="Y52" s="174">
        <v>0</v>
      </c>
      <c r="Z52" s="174">
        <v>0</v>
      </c>
      <c r="AA52" s="175">
        <v>0</v>
      </c>
      <c r="AB52" s="176">
        <v>0</v>
      </c>
      <c r="AC52" s="174">
        <v>0</v>
      </c>
      <c r="AD52" s="174">
        <v>0</v>
      </c>
      <c r="AE52" s="174">
        <v>0</v>
      </c>
      <c r="AF52" s="174">
        <v>0</v>
      </c>
      <c r="AG52" s="174">
        <v>0</v>
      </c>
      <c r="AH52" s="174">
        <v>0</v>
      </c>
      <c r="AI52" s="174">
        <v>0</v>
      </c>
      <c r="AJ52" s="174">
        <v>0</v>
      </c>
      <c r="AK52" s="174">
        <v>0</v>
      </c>
      <c r="AL52" s="174">
        <v>0</v>
      </c>
      <c r="AM52" s="174">
        <v>0</v>
      </c>
      <c r="AN52" s="174">
        <v>0</v>
      </c>
      <c r="AO52" s="174">
        <v>0</v>
      </c>
      <c r="AP52" s="174">
        <v>0</v>
      </c>
      <c r="AQ52" s="174">
        <v>0</v>
      </c>
      <c r="AR52" s="174">
        <v>0</v>
      </c>
      <c r="AS52" s="174">
        <v>0</v>
      </c>
      <c r="AT52" s="174">
        <v>0</v>
      </c>
      <c r="AU52" s="174">
        <v>0</v>
      </c>
      <c r="AV52" s="174">
        <v>0</v>
      </c>
      <c r="AW52" s="174">
        <v>0</v>
      </c>
      <c r="AX52" s="174">
        <v>0</v>
      </c>
      <c r="AY52" s="174">
        <v>0</v>
      </c>
      <c r="AZ52" s="174">
        <v>0</v>
      </c>
      <c r="BA52" s="174">
        <v>0</v>
      </c>
      <c r="BB52" s="174">
        <v>0</v>
      </c>
      <c r="BC52" s="174">
        <v>0</v>
      </c>
      <c r="BD52" s="174">
        <v>0</v>
      </c>
      <c r="BE52" s="174">
        <v>0</v>
      </c>
      <c r="BF52" s="174">
        <v>0</v>
      </c>
      <c r="BG52" s="174">
        <v>0</v>
      </c>
      <c r="BH52" s="174">
        <v>0</v>
      </c>
      <c r="BI52" s="174">
        <v>0</v>
      </c>
      <c r="BJ52" s="174">
        <v>0</v>
      </c>
      <c r="BK52" s="174">
        <v>0</v>
      </c>
      <c r="BL52" s="174">
        <v>0</v>
      </c>
      <c r="BM52" s="51">
        <v>0</v>
      </c>
      <c r="BN52" s="51">
        <v>0</v>
      </c>
      <c r="BO52" s="51">
        <v>0</v>
      </c>
      <c r="BP52" s="51">
        <v>0</v>
      </c>
      <c r="BQ52" s="51">
        <v>0</v>
      </c>
      <c r="BR52" s="51">
        <v>0</v>
      </c>
      <c r="BS52" s="51">
        <v>0</v>
      </c>
      <c r="BT52" s="51">
        <v>0</v>
      </c>
      <c r="BU52" s="51">
        <v>0</v>
      </c>
      <c r="BV52" s="51">
        <v>0</v>
      </c>
      <c r="BW52" s="51">
        <v>0</v>
      </c>
      <c r="BX52" s="51">
        <v>0</v>
      </c>
      <c r="BY52" s="51">
        <v>0</v>
      </c>
    </row>
    <row r="53" spans="1:77" ht="12.75" x14ac:dyDescent="0.2">
      <c r="A53" s="51" t="str" cm="1">
        <f t="array" ref="A53">INDEX(TariffCode, MATCH(1,(C53=TariffZone)*(D53=TariffProduct),0))</f>
        <v>GR</v>
      </c>
      <c r="B53" s="51" t="str">
        <f>IF($D53="Water",IF(C53="Standard",Assumptions!$H$90,Assumptions!$H$93),"")</f>
        <v/>
      </c>
      <c r="C53" s="150" t="s">
        <v>312</v>
      </c>
      <c r="D53" s="150" t="s">
        <v>310</v>
      </c>
      <c r="E53" s="150" t="s">
        <v>405</v>
      </c>
      <c r="F53" s="51" t="s">
        <v>265</v>
      </c>
      <c r="G53" s="51" t="s">
        <v>256</v>
      </c>
      <c r="H53" s="51"/>
      <c r="I53" s="51"/>
      <c r="J53" s="51"/>
      <c r="K53" s="51"/>
      <c r="L53" s="51"/>
      <c r="M53" s="51"/>
      <c r="N53" s="51"/>
      <c r="O53" s="51"/>
      <c r="P53" s="51"/>
      <c r="Q53" s="51"/>
      <c r="R53" s="51"/>
      <c r="S53" s="174">
        <v>340</v>
      </c>
      <c r="T53" s="174">
        <v>461</v>
      </c>
      <c r="U53" s="174">
        <v>793</v>
      </c>
      <c r="V53" s="174">
        <v>1629</v>
      </c>
      <c r="W53" s="174">
        <v>2981</v>
      </c>
      <c r="X53" s="174">
        <v>4572</v>
      </c>
      <c r="Y53" s="174">
        <v>6336</v>
      </c>
      <c r="Z53" s="174">
        <v>7361</v>
      </c>
      <c r="AA53" s="175">
        <v>7935</v>
      </c>
      <c r="AB53" s="176">
        <v>9458</v>
      </c>
      <c r="AC53" s="174">
        <v>9978.2522284054758</v>
      </c>
      <c r="AD53" s="174">
        <v>10568.281855400937</v>
      </c>
      <c r="AE53" s="174">
        <v>11156.078247546546</v>
      </c>
      <c r="AF53" s="174">
        <v>11564.474411741299</v>
      </c>
      <c r="AG53" s="174">
        <v>11921.844866432541</v>
      </c>
      <c r="AH53" s="174">
        <v>12232.106315313893</v>
      </c>
      <c r="AI53" s="174">
        <v>12486.775265860648</v>
      </c>
      <c r="AJ53" s="174">
        <v>12736.207560414276</v>
      </c>
      <c r="AK53" s="174">
        <v>13053.933683109641</v>
      </c>
      <c r="AL53" s="174">
        <v>13363.949790733979</v>
      </c>
      <c r="AM53" s="174">
        <v>13644.550001421543</v>
      </c>
      <c r="AN53" s="174">
        <v>13902.054156308604</v>
      </c>
      <c r="AO53" s="174">
        <v>14132.959697943379</v>
      </c>
      <c r="AP53" s="174">
        <v>14336.958562171161</v>
      </c>
      <c r="AQ53" s="174">
        <v>14519.255398322292</v>
      </c>
      <c r="AR53" s="174">
        <v>14711.111426408028</v>
      </c>
      <c r="AS53" s="174">
        <v>14952.274417769784</v>
      </c>
      <c r="AT53" s="174">
        <v>15230.313186103007</v>
      </c>
      <c r="AU53" s="174">
        <v>15486.133687076082</v>
      </c>
      <c r="AV53" s="174">
        <v>15712.262954745433</v>
      </c>
      <c r="AW53" s="174">
        <v>15924.263864988825</v>
      </c>
      <c r="AX53" s="174">
        <v>16142.453021914334</v>
      </c>
      <c r="AY53" s="174">
        <v>16385.758076987728</v>
      </c>
      <c r="AZ53" s="174">
        <v>16643.663264914947</v>
      </c>
      <c r="BA53" s="174">
        <v>16905.492339746612</v>
      </c>
      <c r="BB53" s="174">
        <v>17177.283643489871</v>
      </c>
      <c r="BC53" s="174">
        <v>17444.836168620626</v>
      </c>
      <c r="BD53" s="174">
        <v>17715.965232949475</v>
      </c>
      <c r="BE53" s="174">
        <v>17991.114676298577</v>
      </c>
      <c r="BF53" s="174">
        <v>18225.949001733214</v>
      </c>
      <c r="BG53" s="174">
        <v>18435.084343285122</v>
      </c>
      <c r="BH53" s="174">
        <v>18623.25671756333</v>
      </c>
      <c r="BI53" s="174">
        <v>18798.615767992356</v>
      </c>
      <c r="BJ53" s="174">
        <v>18964.439368448071</v>
      </c>
      <c r="BK53" s="174">
        <v>19093.144527884713</v>
      </c>
      <c r="BL53" s="174">
        <v>19205.334752925242</v>
      </c>
      <c r="BM53" s="51">
        <v>19308.463304900713</v>
      </c>
      <c r="BN53" s="51">
        <v>19400.956469034034</v>
      </c>
      <c r="BO53" s="51">
        <v>19459.944878165366</v>
      </c>
      <c r="BP53" s="51">
        <v>19514.1458779737</v>
      </c>
      <c r="BQ53" s="51">
        <v>19560.674249255368</v>
      </c>
      <c r="BR53" s="51">
        <v>19653.910437801806</v>
      </c>
      <c r="BS53" s="51">
        <v>19807.033518080247</v>
      </c>
      <c r="BT53" s="51">
        <v>19952.725488929078</v>
      </c>
      <c r="BU53" s="51">
        <v>20091.255264949967</v>
      </c>
      <c r="BV53" s="51">
        <v>20222.495524453265</v>
      </c>
      <c r="BW53" s="51">
        <v>20346.907983456385</v>
      </c>
      <c r="BX53" s="51">
        <v>20464.422684987003</v>
      </c>
      <c r="BY53" s="51">
        <v>20575.459370879144</v>
      </c>
    </row>
    <row r="54" spans="1:77" ht="12.75" x14ac:dyDescent="0.2">
      <c r="A54" s="51" t="str" cm="1">
        <f t="array" ref="A54">INDEX(TariffCode, MATCH(1,(C54=TariffZone)*(D54=TariffProduct),0))</f>
        <v>SW</v>
      </c>
      <c r="B54" s="51" t="str">
        <f>IF($D54="Water",IF(C54="Standard",Assumptions!$H$90,Assumptions!$H$93),"")</f>
        <v>SA</v>
      </c>
      <c r="C54" s="150" t="s">
        <v>287</v>
      </c>
      <c r="D54" s="150" t="s">
        <v>301</v>
      </c>
      <c r="E54" s="150" t="s">
        <v>407</v>
      </c>
      <c r="F54" s="51" t="s">
        <v>265</v>
      </c>
      <c r="G54" s="51" t="s">
        <v>256</v>
      </c>
      <c r="H54" s="51"/>
      <c r="I54" s="51"/>
      <c r="J54" s="51"/>
      <c r="K54" s="51"/>
      <c r="L54" s="51"/>
      <c r="M54" s="51"/>
      <c r="N54" s="51"/>
      <c r="O54" s="51"/>
      <c r="P54" s="51"/>
      <c r="Q54" s="51"/>
      <c r="R54" s="51"/>
      <c r="S54" s="174">
        <v>0</v>
      </c>
      <c r="T54" s="174">
        <v>0</v>
      </c>
      <c r="U54" s="174">
        <v>0</v>
      </c>
      <c r="V54" s="174">
        <v>0</v>
      </c>
      <c r="W54" s="174">
        <v>0</v>
      </c>
      <c r="X54" s="174">
        <v>0</v>
      </c>
      <c r="Y54" s="174">
        <v>0</v>
      </c>
      <c r="Z54" s="174">
        <v>0</v>
      </c>
      <c r="AA54" s="175">
        <v>0</v>
      </c>
      <c r="AB54" s="176">
        <v>0</v>
      </c>
      <c r="AC54" s="174">
        <v>0</v>
      </c>
      <c r="AD54" s="174">
        <v>0</v>
      </c>
      <c r="AE54" s="174">
        <v>0</v>
      </c>
      <c r="AF54" s="174">
        <v>0</v>
      </c>
      <c r="AG54" s="174">
        <v>0</v>
      </c>
      <c r="AH54" s="174">
        <v>0</v>
      </c>
      <c r="AI54" s="174">
        <v>0</v>
      </c>
      <c r="AJ54" s="174">
        <v>0</v>
      </c>
      <c r="AK54" s="174">
        <v>0</v>
      </c>
      <c r="AL54" s="174">
        <v>0</v>
      </c>
      <c r="AM54" s="174">
        <v>0</v>
      </c>
      <c r="AN54" s="174">
        <v>0</v>
      </c>
      <c r="AO54" s="174">
        <v>0</v>
      </c>
      <c r="AP54" s="174">
        <v>0</v>
      </c>
      <c r="AQ54" s="174">
        <v>0</v>
      </c>
      <c r="AR54" s="174">
        <v>0</v>
      </c>
      <c r="AS54" s="174">
        <v>0</v>
      </c>
      <c r="AT54" s="174">
        <v>0</v>
      </c>
      <c r="AU54" s="174">
        <v>0</v>
      </c>
      <c r="AV54" s="174">
        <v>0</v>
      </c>
      <c r="AW54" s="174">
        <v>0</v>
      </c>
      <c r="AX54" s="174">
        <v>0</v>
      </c>
      <c r="AY54" s="174">
        <v>0</v>
      </c>
      <c r="AZ54" s="174">
        <v>0</v>
      </c>
      <c r="BA54" s="174">
        <v>0</v>
      </c>
      <c r="BB54" s="174">
        <v>0</v>
      </c>
      <c r="BC54" s="174">
        <v>0</v>
      </c>
      <c r="BD54" s="174">
        <v>0</v>
      </c>
      <c r="BE54" s="174">
        <v>0</v>
      </c>
      <c r="BF54" s="174">
        <v>0</v>
      </c>
      <c r="BG54" s="174">
        <v>0</v>
      </c>
      <c r="BH54" s="174">
        <v>0</v>
      </c>
      <c r="BI54" s="174">
        <v>0</v>
      </c>
      <c r="BJ54" s="174">
        <v>0</v>
      </c>
      <c r="BK54" s="174">
        <v>0</v>
      </c>
      <c r="BL54" s="174">
        <v>0</v>
      </c>
      <c r="BM54" s="51">
        <v>0</v>
      </c>
      <c r="BN54" s="51">
        <v>0</v>
      </c>
      <c r="BO54" s="51">
        <v>0</v>
      </c>
      <c r="BP54" s="51">
        <v>0</v>
      </c>
      <c r="BQ54" s="51">
        <v>0</v>
      </c>
      <c r="BR54" s="51">
        <v>0</v>
      </c>
      <c r="BS54" s="51">
        <v>0</v>
      </c>
      <c r="BT54" s="51">
        <v>0</v>
      </c>
      <c r="BU54" s="51">
        <v>0</v>
      </c>
      <c r="BV54" s="51">
        <v>0</v>
      </c>
      <c r="BW54" s="51">
        <v>0</v>
      </c>
      <c r="BX54" s="51">
        <v>0</v>
      </c>
      <c r="BY54" s="51">
        <v>0</v>
      </c>
    </row>
    <row r="55" spans="1:77" ht="12.75" x14ac:dyDescent="0.2">
      <c r="A55" s="51" t="str" cm="1">
        <f t="array" ref="A55">INDEX(TariffCode, MATCH(1,(C55=TariffZone)*(D55=TariffProduct),0))</f>
        <v>GW</v>
      </c>
      <c r="B55" s="51" t="str">
        <f>IF($D55="Water",IF(C55="Standard",Assumptions!$H$90,Assumptions!$H$93),"")</f>
        <v>GA</v>
      </c>
      <c r="C55" s="150" t="s">
        <v>290</v>
      </c>
      <c r="D55" s="150" t="s">
        <v>301</v>
      </c>
      <c r="E55" s="150" t="s">
        <v>407</v>
      </c>
      <c r="F55" s="51" t="s">
        <v>265</v>
      </c>
      <c r="G55" s="51" t="s">
        <v>256</v>
      </c>
      <c r="H55" s="51"/>
      <c r="I55" s="51"/>
      <c r="J55" s="51"/>
      <c r="K55" s="51"/>
      <c r="L55" s="51"/>
      <c r="M55" s="51"/>
      <c r="N55" s="51"/>
      <c r="O55" s="51"/>
      <c r="P55" s="51"/>
      <c r="Q55" s="51"/>
      <c r="R55" s="51"/>
      <c r="S55" s="174">
        <v>550</v>
      </c>
      <c r="T55" s="174">
        <v>621</v>
      </c>
      <c r="U55" s="174">
        <v>708</v>
      </c>
      <c r="V55" s="174">
        <v>726</v>
      </c>
      <c r="W55" s="174">
        <v>816</v>
      </c>
      <c r="X55" s="174">
        <v>878</v>
      </c>
      <c r="Y55" s="174">
        <v>943</v>
      </c>
      <c r="Z55" s="174">
        <v>1072</v>
      </c>
      <c r="AA55" s="175">
        <v>1132</v>
      </c>
      <c r="AB55" s="176">
        <v>2000.9697325888924</v>
      </c>
      <c r="AC55" s="174">
        <v>2131.1313867865842</v>
      </c>
      <c r="AD55" s="174">
        <v>2260.3531961710523</v>
      </c>
      <c r="AE55" s="174">
        <v>2418.6177732888145</v>
      </c>
      <c r="AF55" s="174">
        <v>2589.674474588659</v>
      </c>
      <c r="AG55" s="174">
        <v>2798.3821253175488</v>
      </c>
      <c r="AH55" s="174">
        <v>3051.2110178092316</v>
      </c>
      <c r="AI55" s="174">
        <v>3355.0674895569696</v>
      </c>
      <c r="AJ55" s="174">
        <v>3674.7823647196738</v>
      </c>
      <c r="AK55" s="174">
        <v>4035.9912048752703</v>
      </c>
      <c r="AL55" s="174">
        <v>4419.3198490771247</v>
      </c>
      <c r="AM55" s="174">
        <v>4815.7005931128351</v>
      </c>
      <c r="AN55" s="174">
        <v>5208.3952714844227</v>
      </c>
      <c r="AO55" s="174">
        <v>5586.6990931397486</v>
      </c>
      <c r="AP55" s="174">
        <v>5952.6707564171575</v>
      </c>
      <c r="AQ55" s="174">
        <v>6307.871251513996</v>
      </c>
      <c r="AR55" s="174">
        <v>6649.782886909853</v>
      </c>
      <c r="AS55" s="174">
        <v>6942.6018939472624</v>
      </c>
      <c r="AT55" s="174">
        <v>7194.7270608284452</v>
      </c>
      <c r="AU55" s="174">
        <v>7394.7820772707537</v>
      </c>
      <c r="AV55" s="174">
        <v>7560.0504440769882</v>
      </c>
      <c r="AW55" s="174">
        <v>7729.5830185951527</v>
      </c>
      <c r="AX55" s="174">
        <v>7898.9424959700955</v>
      </c>
      <c r="AY55" s="174">
        <v>8068.7583261513009</v>
      </c>
      <c r="AZ55" s="174">
        <v>8233.2666407853649</v>
      </c>
      <c r="BA55" s="174">
        <v>8396.5502173921614</v>
      </c>
      <c r="BB55" s="174">
        <v>8559.9590833651509</v>
      </c>
      <c r="BC55" s="174">
        <v>8724.1197897444454</v>
      </c>
      <c r="BD55" s="174">
        <v>8887.4379451954646</v>
      </c>
      <c r="BE55" s="174">
        <v>9050.351940149345</v>
      </c>
      <c r="BF55" s="174">
        <v>9210.1802409480697</v>
      </c>
      <c r="BG55" s="174">
        <v>9364.7772605829141</v>
      </c>
      <c r="BH55" s="174">
        <v>9517.670219255433</v>
      </c>
      <c r="BI55" s="174">
        <v>9670.9034275496633</v>
      </c>
      <c r="BJ55" s="174">
        <v>9821.5625447813763</v>
      </c>
      <c r="BK55" s="174">
        <v>9954.4102928342145</v>
      </c>
      <c r="BL55" s="174">
        <v>10077.122882030932</v>
      </c>
      <c r="BM55" s="51">
        <v>10195.277665452704</v>
      </c>
      <c r="BN55" s="51">
        <v>10305.151110023387</v>
      </c>
      <c r="BO55" s="51">
        <v>10378.5778406384</v>
      </c>
      <c r="BP55" s="51">
        <v>10446.663361655746</v>
      </c>
      <c r="BQ55" s="51">
        <v>10510.871797075946</v>
      </c>
      <c r="BR55" s="51">
        <v>10608.468839086043</v>
      </c>
      <c r="BS55" s="51">
        <v>10737.737018197759</v>
      </c>
      <c r="BT55" s="51">
        <v>10860.731773453321</v>
      </c>
      <c r="BU55" s="51">
        <v>10977.680125500647</v>
      </c>
      <c r="BV55" s="51">
        <v>11088.474587976783</v>
      </c>
      <c r="BW55" s="51">
        <v>11193.504946593523</v>
      </c>
      <c r="BX55" s="51">
        <v>11292.712142909693</v>
      </c>
      <c r="BY55" s="51">
        <v>11386.450527572386</v>
      </c>
    </row>
    <row r="56" spans="1:77" ht="12.75" x14ac:dyDescent="0.2">
      <c r="A56" s="51" t="str" cm="1">
        <f t="array" ref="A56">INDEX(TariffCode, MATCH(1,(C56=TariffZone)*(D56=TariffProduct),0))</f>
        <v>SS</v>
      </c>
      <c r="B56" s="51" t="str">
        <f>IF($D56="Water",IF(C56="Standard",Assumptions!$H$90,Assumptions!$H$93),"")</f>
        <v/>
      </c>
      <c r="C56" s="150" t="s">
        <v>287</v>
      </c>
      <c r="D56" s="150" t="s">
        <v>303</v>
      </c>
      <c r="E56" s="150" t="s">
        <v>407</v>
      </c>
      <c r="F56" s="51" t="s">
        <v>265</v>
      </c>
      <c r="G56" s="51" t="s">
        <v>256</v>
      </c>
      <c r="H56" s="51"/>
      <c r="I56" s="51"/>
      <c r="J56" s="51"/>
      <c r="K56" s="51"/>
      <c r="L56" s="51"/>
      <c r="M56" s="51"/>
      <c r="N56" s="51"/>
      <c r="O56" s="51"/>
      <c r="P56" s="51"/>
      <c r="Q56" s="51"/>
      <c r="R56" s="51"/>
      <c r="S56" s="174">
        <v>0</v>
      </c>
      <c r="T56" s="174">
        <v>0</v>
      </c>
      <c r="U56" s="174">
        <v>0</v>
      </c>
      <c r="V56" s="174">
        <v>0</v>
      </c>
      <c r="W56" s="174">
        <v>0</v>
      </c>
      <c r="X56" s="174">
        <v>0</v>
      </c>
      <c r="Y56" s="174">
        <v>0</v>
      </c>
      <c r="Z56" s="174">
        <v>0</v>
      </c>
      <c r="AA56" s="175">
        <v>0</v>
      </c>
      <c r="AB56" s="176">
        <v>0</v>
      </c>
      <c r="AC56" s="174">
        <v>0</v>
      </c>
      <c r="AD56" s="174">
        <v>0</v>
      </c>
      <c r="AE56" s="174">
        <v>0</v>
      </c>
      <c r="AF56" s="174">
        <v>0</v>
      </c>
      <c r="AG56" s="174">
        <v>0</v>
      </c>
      <c r="AH56" s="174">
        <v>0</v>
      </c>
      <c r="AI56" s="174">
        <v>0</v>
      </c>
      <c r="AJ56" s="174">
        <v>0</v>
      </c>
      <c r="AK56" s="174">
        <v>0</v>
      </c>
      <c r="AL56" s="174">
        <v>0</v>
      </c>
      <c r="AM56" s="174">
        <v>0</v>
      </c>
      <c r="AN56" s="174">
        <v>0</v>
      </c>
      <c r="AO56" s="174">
        <v>0</v>
      </c>
      <c r="AP56" s="174">
        <v>0</v>
      </c>
      <c r="AQ56" s="174">
        <v>0</v>
      </c>
      <c r="AR56" s="174">
        <v>0</v>
      </c>
      <c r="AS56" s="174">
        <v>0</v>
      </c>
      <c r="AT56" s="174">
        <v>0</v>
      </c>
      <c r="AU56" s="174">
        <v>0</v>
      </c>
      <c r="AV56" s="174">
        <v>0</v>
      </c>
      <c r="AW56" s="174">
        <v>0</v>
      </c>
      <c r="AX56" s="174">
        <v>0</v>
      </c>
      <c r="AY56" s="174">
        <v>0</v>
      </c>
      <c r="AZ56" s="174">
        <v>0</v>
      </c>
      <c r="BA56" s="174">
        <v>0</v>
      </c>
      <c r="BB56" s="174">
        <v>0</v>
      </c>
      <c r="BC56" s="174">
        <v>0</v>
      </c>
      <c r="BD56" s="174">
        <v>0</v>
      </c>
      <c r="BE56" s="174">
        <v>0</v>
      </c>
      <c r="BF56" s="174">
        <v>0</v>
      </c>
      <c r="BG56" s="174">
        <v>0</v>
      </c>
      <c r="BH56" s="174">
        <v>0</v>
      </c>
      <c r="BI56" s="174">
        <v>0</v>
      </c>
      <c r="BJ56" s="174">
        <v>0</v>
      </c>
      <c r="BK56" s="174">
        <v>0</v>
      </c>
      <c r="BL56" s="174">
        <v>0</v>
      </c>
      <c r="BM56" s="51">
        <v>0</v>
      </c>
      <c r="BN56" s="51">
        <v>0</v>
      </c>
      <c r="BO56" s="51">
        <v>0</v>
      </c>
      <c r="BP56" s="51">
        <v>0</v>
      </c>
      <c r="BQ56" s="51">
        <v>0</v>
      </c>
      <c r="BR56" s="51">
        <v>0</v>
      </c>
      <c r="BS56" s="51">
        <v>0</v>
      </c>
      <c r="BT56" s="51">
        <v>0</v>
      </c>
      <c r="BU56" s="51">
        <v>0</v>
      </c>
      <c r="BV56" s="51">
        <v>0</v>
      </c>
      <c r="BW56" s="51">
        <v>0</v>
      </c>
      <c r="BX56" s="51">
        <v>0</v>
      </c>
      <c r="BY56" s="51">
        <v>0</v>
      </c>
    </row>
    <row r="57" spans="1:77" ht="12.75" x14ac:dyDescent="0.2">
      <c r="A57" s="51" t="str" cm="1">
        <f t="array" ref="A57">INDEX(TariffCode, MATCH(1,(C57=TariffZone)*(D57=TariffProduct),0))</f>
        <v>GS</v>
      </c>
      <c r="B57" s="51" t="str">
        <f>IF($D57="Water",IF(C57="Standard",Assumptions!$H$90,Assumptions!$H$93),"")</f>
        <v/>
      </c>
      <c r="C57" s="150" t="s">
        <v>290</v>
      </c>
      <c r="D57" s="150" t="s">
        <v>303</v>
      </c>
      <c r="E57" s="150" t="s">
        <v>407</v>
      </c>
      <c r="F57" s="51" t="s">
        <v>265</v>
      </c>
      <c r="G57" s="51" t="s">
        <v>256</v>
      </c>
      <c r="H57" s="51"/>
      <c r="I57" s="51"/>
      <c r="J57" s="51"/>
      <c r="K57" s="51"/>
      <c r="L57" s="51"/>
      <c r="M57" s="51"/>
      <c r="N57" s="51"/>
      <c r="O57" s="51"/>
      <c r="P57" s="51"/>
      <c r="Q57" s="51"/>
      <c r="R57" s="51"/>
      <c r="S57" s="174">
        <v>485</v>
      </c>
      <c r="T57" s="174">
        <v>507</v>
      </c>
      <c r="U57" s="174">
        <v>539</v>
      </c>
      <c r="V57" s="174">
        <v>546</v>
      </c>
      <c r="W57" s="174">
        <v>635</v>
      </c>
      <c r="X57" s="174">
        <v>680</v>
      </c>
      <c r="Y57" s="174">
        <v>722</v>
      </c>
      <c r="Z57" s="174">
        <v>862</v>
      </c>
      <c r="AA57" s="175">
        <v>915</v>
      </c>
      <c r="AB57" s="176">
        <v>1664.6993828974437</v>
      </c>
      <c r="AC57" s="174">
        <v>1794.8610370951355</v>
      </c>
      <c r="AD57" s="174">
        <v>1924.0828464796034</v>
      </c>
      <c r="AE57" s="174">
        <v>2082.3474235973658</v>
      </c>
      <c r="AF57" s="174">
        <v>2253.4041248972103</v>
      </c>
      <c r="AG57" s="174">
        <v>2462.1117756261001</v>
      </c>
      <c r="AH57" s="174">
        <v>2714.9406681177834</v>
      </c>
      <c r="AI57" s="174">
        <v>3018.7971398655209</v>
      </c>
      <c r="AJ57" s="174">
        <v>3338.5120150282246</v>
      </c>
      <c r="AK57" s="174">
        <v>3699.7208551838212</v>
      </c>
      <c r="AL57" s="174">
        <v>4083.049499385676</v>
      </c>
      <c r="AM57" s="174">
        <v>4479.4302434213869</v>
      </c>
      <c r="AN57" s="174">
        <v>4872.1249217929744</v>
      </c>
      <c r="AO57" s="174">
        <v>5250.4287434482994</v>
      </c>
      <c r="AP57" s="174">
        <v>5616.4004067257083</v>
      </c>
      <c r="AQ57" s="174">
        <v>5971.6009018225468</v>
      </c>
      <c r="AR57" s="174">
        <v>6313.5125372184048</v>
      </c>
      <c r="AS57" s="174">
        <v>6606.3315442558142</v>
      </c>
      <c r="AT57" s="174">
        <v>6858.4567111369961</v>
      </c>
      <c r="AU57" s="174">
        <v>7058.5117275793054</v>
      </c>
      <c r="AV57" s="174">
        <v>7223.78009438554</v>
      </c>
      <c r="AW57" s="174">
        <v>7393.3126689037044</v>
      </c>
      <c r="AX57" s="174">
        <v>7562.6721462786463</v>
      </c>
      <c r="AY57" s="174">
        <v>7732.4879764598527</v>
      </c>
      <c r="AZ57" s="174">
        <v>7896.9962910939175</v>
      </c>
      <c r="BA57" s="174">
        <v>8060.279867700714</v>
      </c>
      <c r="BB57" s="174">
        <v>8223.6887336737036</v>
      </c>
      <c r="BC57" s="174">
        <v>8387.8494400529962</v>
      </c>
      <c r="BD57" s="174">
        <v>8551.1675955040155</v>
      </c>
      <c r="BE57" s="174">
        <v>8714.0815904578958</v>
      </c>
      <c r="BF57" s="174">
        <v>8873.9098912566224</v>
      </c>
      <c r="BG57" s="174">
        <v>9028.5069108914649</v>
      </c>
      <c r="BH57" s="174">
        <v>9181.3998695639857</v>
      </c>
      <c r="BI57" s="174">
        <v>9334.633077858216</v>
      </c>
      <c r="BJ57" s="174">
        <v>9485.2921950899272</v>
      </c>
      <c r="BK57" s="174">
        <v>9618.1399431427672</v>
      </c>
      <c r="BL57" s="174">
        <v>9740.8525323394824</v>
      </c>
      <c r="BM57" s="51">
        <v>9859.0073157612569</v>
      </c>
      <c r="BN57" s="51">
        <v>9968.8807603319383</v>
      </c>
      <c r="BO57" s="51">
        <v>10042.307490946951</v>
      </c>
      <c r="BP57" s="51">
        <v>10110.393011964297</v>
      </c>
      <c r="BQ57" s="51">
        <v>10174.601447384499</v>
      </c>
      <c r="BR57" s="51">
        <v>10272.198489394596</v>
      </c>
      <c r="BS57" s="51">
        <v>10401.466668506309</v>
      </c>
      <c r="BT57" s="51">
        <v>10524.461423761872</v>
      </c>
      <c r="BU57" s="51">
        <v>10641.409775809198</v>
      </c>
      <c r="BV57" s="51">
        <v>10752.204238285334</v>
      </c>
      <c r="BW57" s="51">
        <v>10857.234596902073</v>
      </c>
      <c r="BX57" s="51">
        <v>10956.441793218244</v>
      </c>
      <c r="BY57" s="51">
        <v>11050.180177880935</v>
      </c>
    </row>
    <row r="58" spans="1:77" ht="12.75" x14ac:dyDescent="0.2">
      <c r="A58" s="51" t="str" cm="1">
        <f t="array" ref="A58">INDEX(TariffCode, MATCH(1,(C58=TariffZone)*(D58=TariffProduct),0))</f>
        <v>WR</v>
      </c>
      <c r="B58" s="51" t="str">
        <f>IF($D58="Water",IF(C58="Standard",Assumptions!$H$90,Assumptions!$H$93),"")</f>
        <v/>
      </c>
      <c r="C58" s="150" t="s">
        <v>283</v>
      </c>
      <c r="D58" s="150" t="s">
        <v>310</v>
      </c>
      <c r="E58" s="150" t="s">
        <v>407</v>
      </c>
      <c r="F58" s="51" t="s">
        <v>265</v>
      </c>
      <c r="G58" s="51" t="s">
        <v>256</v>
      </c>
      <c r="H58" s="51"/>
      <c r="I58" s="51"/>
      <c r="J58" s="51"/>
      <c r="K58" s="51"/>
      <c r="L58" s="51"/>
      <c r="M58" s="51"/>
      <c r="N58" s="51"/>
      <c r="O58" s="51"/>
      <c r="P58" s="51"/>
      <c r="Q58" s="51"/>
      <c r="R58" s="51"/>
      <c r="S58" s="174">
        <v>0</v>
      </c>
      <c r="T58" s="174">
        <v>0</v>
      </c>
      <c r="U58" s="174">
        <v>0</v>
      </c>
      <c r="V58" s="174">
        <v>0</v>
      </c>
      <c r="W58" s="174">
        <v>0</v>
      </c>
      <c r="X58" s="174">
        <v>0</v>
      </c>
      <c r="Y58" s="174">
        <v>0</v>
      </c>
      <c r="Z58" s="174">
        <v>0</v>
      </c>
      <c r="AA58" s="175">
        <v>0</v>
      </c>
      <c r="AB58" s="176">
        <v>0</v>
      </c>
      <c r="AC58" s="174">
        <v>0</v>
      </c>
      <c r="AD58" s="174">
        <v>0</v>
      </c>
      <c r="AE58" s="174">
        <v>0</v>
      </c>
      <c r="AF58" s="174">
        <v>0</v>
      </c>
      <c r="AG58" s="174">
        <v>0</v>
      </c>
      <c r="AH58" s="174">
        <v>0</v>
      </c>
      <c r="AI58" s="174">
        <v>0</v>
      </c>
      <c r="AJ58" s="174">
        <v>0</v>
      </c>
      <c r="AK58" s="174">
        <v>0</v>
      </c>
      <c r="AL58" s="174">
        <v>0</v>
      </c>
      <c r="AM58" s="174">
        <v>0</v>
      </c>
      <c r="AN58" s="174">
        <v>0</v>
      </c>
      <c r="AO58" s="174">
        <v>0</v>
      </c>
      <c r="AP58" s="174">
        <v>0</v>
      </c>
      <c r="AQ58" s="174">
        <v>0</v>
      </c>
      <c r="AR58" s="174">
        <v>0</v>
      </c>
      <c r="AS58" s="174">
        <v>0</v>
      </c>
      <c r="AT58" s="174">
        <v>0</v>
      </c>
      <c r="AU58" s="174">
        <v>0</v>
      </c>
      <c r="AV58" s="174">
        <v>0</v>
      </c>
      <c r="AW58" s="174">
        <v>0</v>
      </c>
      <c r="AX58" s="174">
        <v>0</v>
      </c>
      <c r="AY58" s="174">
        <v>0</v>
      </c>
      <c r="AZ58" s="174">
        <v>0</v>
      </c>
      <c r="BA58" s="174">
        <v>0</v>
      </c>
      <c r="BB58" s="174">
        <v>0</v>
      </c>
      <c r="BC58" s="174">
        <v>0</v>
      </c>
      <c r="BD58" s="174">
        <v>0</v>
      </c>
      <c r="BE58" s="174">
        <v>0</v>
      </c>
      <c r="BF58" s="174">
        <v>0</v>
      </c>
      <c r="BG58" s="174">
        <v>0</v>
      </c>
      <c r="BH58" s="174">
        <v>0</v>
      </c>
      <c r="BI58" s="174">
        <v>0</v>
      </c>
      <c r="BJ58" s="174">
        <v>0</v>
      </c>
      <c r="BK58" s="174">
        <v>0</v>
      </c>
      <c r="BL58" s="174">
        <v>0</v>
      </c>
      <c r="BM58" s="51">
        <v>0</v>
      </c>
      <c r="BN58" s="51">
        <v>0</v>
      </c>
      <c r="BO58" s="51">
        <v>0</v>
      </c>
      <c r="BP58" s="51">
        <v>0</v>
      </c>
      <c r="BQ58" s="51">
        <v>0</v>
      </c>
      <c r="BR58" s="51">
        <v>0</v>
      </c>
      <c r="BS58" s="51">
        <v>0</v>
      </c>
      <c r="BT58" s="51">
        <v>0</v>
      </c>
      <c r="BU58" s="51">
        <v>0</v>
      </c>
      <c r="BV58" s="51">
        <v>0</v>
      </c>
      <c r="BW58" s="51">
        <v>0</v>
      </c>
      <c r="BX58" s="51">
        <v>0</v>
      </c>
      <c r="BY58" s="51">
        <v>0</v>
      </c>
    </row>
    <row r="59" spans="1:77" ht="12.75" x14ac:dyDescent="0.2">
      <c r="A59" s="51" t="str" cm="1">
        <f t="array" ref="A59">INDEX(TariffCode, MATCH(1,(C59=TariffZone)*(D59=TariffProduct),0))</f>
        <v>GR</v>
      </c>
      <c r="B59" s="51" t="str">
        <f>IF($D59="Water",IF(C59="Standard",Assumptions!$H$90,Assumptions!$H$93),"")</f>
        <v/>
      </c>
      <c r="C59" s="150" t="s">
        <v>312</v>
      </c>
      <c r="D59" s="150" t="s">
        <v>310</v>
      </c>
      <c r="E59" s="150" t="s">
        <v>407</v>
      </c>
      <c r="F59" s="51" t="s">
        <v>265</v>
      </c>
      <c r="G59" s="51" t="s">
        <v>256</v>
      </c>
      <c r="H59" s="51"/>
      <c r="I59" s="51"/>
      <c r="J59" s="51"/>
      <c r="K59" s="51"/>
      <c r="L59" s="51"/>
      <c r="M59" s="51"/>
      <c r="N59" s="51"/>
      <c r="O59" s="51"/>
      <c r="P59" s="51"/>
      <c r="Q59" s="51"/>
      <c r="R59" s="51"/>
      <c r="S59" s="174">
        <v>4</v>
      </c>
      <c r="T59" s="174">
        <v>7</v>
      </c>
      <c r="U59" s="174">
        <v>11</v>
      </c>
      <c r="V59" s="174">
        <v>17</v>
      </c>
      <c r="W59" s="174">
        <v>19</v>
      </c>
      <c r="X59" s="174">
        <v>25</v>
      </c>
      <c r="Y59" s="174">
        <v>35</v>
      </c>
      <c r="Z59" s="174">
        <v>47</v>
      </c>
      <c r="AA59" s="175">
        <v>51</v>
      </c>
      <c r="AB59" s="176">
        <v>142</v>
      </c>
      <c r="AC59" s="174">
        <v>142</v>
      </c>
      <c r="AD59" s="174">
        <v>142</v>
      </c>
      <c r="AE59" s="174">
        <v>142</v>
      </c>
      <c r="AF59" s="174">
        <v>142</v>
      </c>
      <c r="AG59" s="174">
        <v>142</v>
      </c>
      <c r="AH59" s="174">
        <v>142</v>
      </c>
      <c r="AI59" s="174">
        <v>142</v>
      </c>
      <c r="AJ59" s="174">
        <v>142</v>
      </c>
      <c r="AK59" s="174">
        <v>142</v>
      </c>
      <c r="AL59" s="174">
        <v>142</v>
      </c>
      <c r="AM59" s="174">
        <v>142</v>
      </c>
      <c r="AN59" s="174">
        <v>142</v>
      </c>
      <c r="AO59" s="174">
        <v>142</v>
      </c>
      <c r="AP59" s="174">
        <v>142</v>
      </c>
      <c r="AQ59" s="174">
        <v>142</v>
      </c>
      <c r="AR59" s="174">
        <v>142</v>
      </c>
      <c r="AS59" s="174">
        <v>142</v>
      </c>
      <c r="AT59" s="174">
        <v>142</v>
      </c>
      <c r="AU59" s="174">
        <v>142</v>
      </c>
      <c r="AV59" s="174">
        <v>142</v>
      </c>
      <c r="AW59" s="174">
        <v>142</v>
      </c>
      <c r="AX59" s="174">
        <v>142</v>
      </c>
      <c r="AY59" s="174">
        <v>142</v>
      </c>
      <c r="AZ59" s="174">
        <v>142</v>
      </c>
      <c r="BA59" s="174">
        <v>142</v>
      </c>
      <c r="BB59" s="174">
        <v>142</v>
      </c>
      <c r="BC59" s="174">
        <v>142</v>
      </c>
      <c r="BD59" s="174">
        <v>142</v>
      </c>
      <c r="BE59" s="174">
        <v>142</v>
      </c>
      <c r="BF59" s="174">
        <v>142</v>
      </c>
      <c r="BG59" s="174">
        <v>142</v>
      </c>
      <c r="BH59" s="174">
        <v>142</v>
      </c>
      <c r="BI59" s="174">
        <v>142</v>
      </c>
      <c r="BJ59" s="174">
        <v>142</v>
      </c>
      <c r="BK59" s="174">
        <v>142</v>
      </c>
      <c r="BL59" s="174">
        <v>142</v>
      </c>
      <c r="BM59" s="51">
        <v>142</v>
      </c>
      <c r="BN59" s="51">
        <v>142</v>
      </c>
      <c r="BO59" s="51">
        <v>142</v>
      </c>
      <c r="BP59" s="51">
        <v>142</v>
      </c>
      <c r="BQ59" s="51">
        <v>142</v>
      </c>
      <c r="BR59" s="51">
        <v>142</v>
      </c>
      <c r="BS59" s="51">
        <v>142</v>
      </c>
      <c r="BT59" s="51">
        <v>142</v>
      </c>
      <c r="BU59" s="51">
        <v>142</v>
      </c>
      <c r="BV59" s="51">
        <v>142</v>
      </c>
      <c r="BW59" s="51">
        <v>142</v>
      </c>
      <c r="BX59" s="51">
        <v>142</v>
      </c>
      <c r="BY59" s="51">
        <v>142</v>
      </c>
    </row>
    <row r="60" spans="1:77" s="48" customFormat="1" ht="9.9499999999999993" customHeight="1" x14ac:dyDescent="0.2"/>
    <row r="61" spans="1:77" s="48" customFormat="1" x14ac:dyDescent="0.2">
      <c r="B61" s="150"/>
      <c r="T61" s="69">
        <f t="shared" ref="T61:Y61" si="7">SUM(T12:T59)-SUM(S12:S59)</f>
        <v>37901.005534208729</v>
      </c>
      <c r="U61" s="69">
        <f t="shared" si="7"/>
        <v>40752.994482265669</v>
      </c>
      <c r="V61" s="69">
        <f t="shared" si="7"/>
        <v>40605.011028312147</v>
      </c>
      <c r="W61" s="69">
        <f t="shared" si="7"/>
        <v>41395.012013581698</v>
      </c>
      <c r="X61" s="69">
        <f t="shared" si="7"/>
        <v>41952.011018708348</v>
      </c>
      <c r="Y61" s="69">
        <f t="shared" si="7"/>
        <v>46808.007901245728</v>
      </c>
      <c r="Z61" s="69">
        <f>SUM(Z12:Z59)-SUM(Y12:Y59)</f>
        <v>52857.048633073689</v>
      </c>
      <c r="AA61" s="69">
        <f>SUM(AA12:AA59)-SUM(Z12:Z59)</f>
        <v>35502.014850283274</v>
      </c>
      <c r="AB61" s="69">
        <f t="shared" ref="AB61:BL61" si="8">SUM(AB12:AB59)-SUM(AA12:AA59)</f>
        <v>38377.12877234444</v>
      </c>
      <c r="AC61" s="69">
        <f t="shared" si="8"/>
        <v>44102.283316882793</v>
      </c>
      <c r="AD61" s="69">
        <f t="shared" si="8"/>
        <v>42456.290610611439</v>
      </c>
      <c r="AE61" s="69">
        <f t="shared" si="8"/>
        <v>44751.456959935604</v>
      </c>
      <c r="AF61" s="69">
        <f t="shared" si="8"/>
        <v>38163.794854091015</v>
      </c>
      <c r="AG61" s="69">
        <f t="shared" si="8"/>
        <v>38386.731560343178</v>
      </c>
      <c r="AH61" s="69">
        <f t="shared" si="8"/>
        <v>38354.197117939824</v>
      </c>
      <c r="AI61" s="69">
        <f t="shared" si="8"/>
        <v>38407.385128402384</v>
      </c>
      <c r="AJ61" s="69">
        <f t="shared" si="8"/>
        <v>38029.72026669886</v>
      </c>
      <c r="AK61" s="69">
        <f t="shared" si="8"/>
        <v>39294.524820554303</v>
      </c>
      <c r="AL61" s="69">
        <f t="shared" si="8"/>
        <v>39882.783199118683</v>
      </c>
      <c r="AM61" s="69">
        <f t="shared" si="8"/>
        <v>40441.247585767414</v>
      </c>
      <c r="AN61" s="69">
        <f t="shared" si="8"/>
        <v>40973.207407513866</v>
      </c>
      <c r="AO61" s="69">
        <f t="shared" si="8"/>
        <v>41140.374407307478</v>
      </c>
      <c r="AP61" s="69">
        <f t="shared" si="8"/>
        <v>41000.653594886651</v>
      </c>
      <c r="AQ61" s="69">
        <f t="shared" si="8"/>
        <v>40932.511846805923</v>
      </c>
      <c r="AR61" s="69">
        <f t="shared" si="8"/>
        <v>40865.051420090953</v>
      </c>
      <c r="AS61" s="69">
        <f t="shared" si="8"/>
        <v>40763.905988019658</v>
      </c>
      <c r="AT61" s="69">
        <f t="shared" si="8"/>
        <v>40782.242526007583</v>
      </c>
      <c r="AU61" s="69">
        <f t="shared" si="8"/>
        <v>40073.700386032229</v>
      </c>
      <c r="AV61" s="69">
        <f t="shared" si="8"/>
        <v>39428.511205553543</v>
      </c>
      <c r="AW61" s="69">
        <f t="shared" si="8"/>
        <v>38942.552079511806</v>
      </c>
      <c r="AX61" s="69">
        <f t="shared" si="8"/>
        <v>38581.380470849108</v>
      </c>
      <c r="AY61" s="69">
        <f t="shared" si="8"/>
        <v>38451.523454623763</v>
      </c>
      <c r="AZ61" s="69">
        <f t="shared" si="8"/>
        <v>37424.312368285377</v>
      </c>
      <c r="BA61" s="69">
        <f t="shared" si="8"/>
        <v>37382.342882263474</v>
      </c>
      <c r="BB61" s="69">
        <f t="shared" si="8"/>
        <v>37352.418919606134</v>
      </c>
      <c r="BC61" s="69">
        <f t="shared" si="8"/>
        <v>37342.042992812116</v>
      </c>
      <c r="BD61" s="69">
        <f t="shared" si="8"/>
        <v>37301.427305707242</v>
      </c>
      <c r="BE61" s="69">
        <f t="shared" si="8"/>
        <v>37530.357648005243</v>
      </c>
      <c r="BF61" s="69">
        <f t="shared" si="8"/>
        <v>37542.044300474692</v>
      </c>
      <c r="BG61" s="69">
        <f t="shared" si="8"/>
        <v>37709.516948617063</v>
      </c>
      <c r="BH61" s="69">
        <f t="shared" si="8"/>
        <v>37416.865795345977</v>
      </c>
      <c r="BI61" s="69">
        <f t="shared" si="8"/>
        <v>37027.336787742097</v>
      </c>
      <c r="BJ61" s="69">
        <f t="shared" si="8"/>
        <v>37079.95468850201</v>
      </c>
      <c r="BK61" s="69">
        <f t="shared" si="8"/>
        <v>36359.832790326793</v>
      </c>
      <c r="BL61" s="69">
        <f t="shared" si="8"/>
        <v>36014.651537341066</v>
      </c>
    </row>
    <row r="62" spans="1:77" ht="12.75" x14ac:dyDescent="0.2">
      <c r="A62" s="51"/>
      <c r="B62" s="51"/>
      <c r="C62" s="150"/>
      <c r="D62" s="150"/>
      <c r="E62" s="150"/>
      <c r="F62" s="51"/>
      <c r="G62" s="51"/>
      <c r="H62" s="51"/>
      <c r="I62" s="51"/>
      <c r="J62" s="51"/>
      <c r="K62" s="51"/>
      <c r="L62" s="51"/>
      <c r="M62" s="51"/>
      <c r="N62" s="51"/>
      <c r="O62" s="51"/>
      <c r="P62" s="51"/>
      <c r="Q62" s="51"/>
      <c r="R62" s="51"/>
      <c r="S62" s="51"/>
      <c r="T62" s="69">
        <f t="shared" ref="T62:Z62" si="9">SUM(T64:T87)</f>
        <v>33341.529080422144</v>
      </c>
      <c r="U62" s="69">
        <f t="shared" si="9"/>
        <v>32709.562053146074</v>
      </c>
      <c r="V62" s="69">
        <f t="shared" si="9"/>
        <v>28466.789027401384</v>
      </c>
      <c r="W62" s="69">
        <f t="shared" si="9"/>
        <v>20965.98645098717</v>
      </c>
      <c r="X62" s="69">
        <f t="shared" si="9"/>
        <v>23257.113397609617</v>
      </c>
      <c r="Y62" s="69">
        <f t="shared" si="9"/>
        <v>23047.085094286194</v>
      </c>
      <c r="Z62" s="69">
        <f t="shared" si="9"/>
        <v>22467.779309047983</v>
      </c>
      <c r="AA62" s="69">
        <f>SUM(AA64:AA111)</f>
        <v>35502.014850283042</v>
      </c>
      <c r="AB62" s="69">
        <f>SUM(AB64:AB111)</f>
        <v>38377.128772344789</v>
      </c>
      <c r="AC62" s="69">
        <f t="shared" ref="AC62:BL62" si="10">SUM(AC64:AC111)</f>
        <v>44102.283316882735</v>
      </c>
      <c r="AD62" s="69">
        <f t="shared" si="10"/>
        <v>42456.290610611824</v>
      </c>
      <c r="AE62" s="69">
        <f t="shared" si="10"/>
        <v>44751.456959935182</v>
      </c>
      <c r="AF62" s="69">
        <f t="shared" si="10"/>
        <v>38163.794854091509</v>
      </c>
      <c r="AG62" s="69">
        <f t="shared" si="10"/>
        <v>38386.731560342792</v>
      </c>
      <c r="AH62" s="69">
        <f t="shared" si="10"/>
        <v>38354.197117939882</v>
      </c>
      <c r="AI62" s="69">
        <f t="shared" si="10"/>
        <v>38407.385128402224</v>
      </c>
      <c r="AJ62" s="69">
        <f t="shared" si="10"/>
        <v>38029.720266698969</v>
      </c>
      <c r="AK62" s="69">
        <f t="shared" si="10"/>
        <v>39294.524820554063</v>
      </c>
      <c r="AL62" s="69">
        <f t="shared" si="10"/>
        <v>39882.783199118872</v>
      </c>
      <c r="AM62" s="69">
        <f t="shared" si="10"/>
        <v>40441.247585767371</v>
      </c>
      <c r="AN62" s="69">
        <f t="shared" si="10"/>
        <v>40973.207407514026</v>
      </c>
      <c r="AO62" s="69">
        <f t="shared" si="10"/>
        <v>41140.374407306605</v>
      </c>
      <c r="AP62" s="69">
        <f t="shared" si="10"/>
        <v>41000.653594887823</v>
      </c>
      <c r="AQ62" s="69">
        <f t="shared" si="10"/>
        <v>40932.511846805661</v>
      </c>
      <c r="AR62" s="69">
        <f t="shared" si="10"/>
        <v>40865.051420091142</v>
      </c>
      <c r="AS62" s="69">
        <f t="shared" si="10"/>
        <v>40763.905988019542</v>
      </c>
      <c r="AT62" s="69">
        <f t="shared" si="10"/>
        <v>40782.242526007642</v>
      </c>
      <c r="AU62" s="69">
        <f t="shared" si="10"/>
        <v>40073.700386031633</v>
      </c>
      <c r="AV62" s="69">
        <f t="shared" si="10"/>
        <v>39428.511205553994</v>
      </c>
      <c r="AW62" s="69">
        <f t="shared" si="10"/>
        <v>38942.552079511675</v>
      </c>
      <c r="AX62" s="69">
        <f t="shared" si="10"/>
        <v>38581.38047084969</v>
      </c>
      <c r="AY62" s="69">
        <f t="shared" si="10"/>
        <v>38451.523454622627</v>
      </c>
      <c r="AZ62" s="69">
        <f t="shared" si="10"/>
        <v>37424.312368286031</v>
      </c>
      <c r="BA62" s="69">
        <f t="shared" si="10"/>
        <v>37382.342882263401</v>
      </c>
      <c r="BB62" s="69">
        <f t="shared" si="10"/>
        <v>37352.418919606076</v>
      </c>
      <c r="BC62" s="69">
        <f t="shared" si="10"/>
        <v>37342.042992812203</v>
      </c>
      <c r="BD62" s="69">
        <f t="shared" si="10"/>
        <v>37301.427305707271</v>
      </c>
      <c r="BE62" s="69">
        <f t="shared" si="10"/>
        <v>37530.357648004931</v>
      </c>
      <c r="BF62" s="69">
        <f t="shared" si="10"/>
        <v>37542.044300474663</v>
      </c>
      <c r="BG62" s="69">
        <f t="shared" si="10"/>
        <v>37709.516948617136</v>
      </c>
      <c r="BH62" s="69">
        <f t="shared" si="10"/>
        <v>37416.865795346239</v>
      </c>
      <c r="BI62" s="69">
        <f t="shared" si="10"/>
        <v>37027.336787742563</v>
      </c>
      <c r="BJ62" s="69">
        <f t="shared" si="10"/>
        <v>37079.954688501341</v>
      </c>
      <c r="BK62" s="69">
        <f t="shared" si="10"/>
        <v>36359.83279032752</v>
      </c>
      <c r="BL62" s="69">
        <f t="shared" si="10"/>
        <v>36014.651537340513</v>
      </c>
    </row>
    <row r="63" spans="1:77" ht="12.75" x14ac:dyDescent="0.2">
      <c r="A63" s="51"/>
      <c r="B63" s="51"/>
      <c r="C63" s="64" t="s">
        <v>512</v>
      </c>
      <c r="D63" s="150"/>
      <c r="E63" s="150"/>
      <c r="F63" s="150" t="s">
        <v>513</v>
      </c>
      <c r="G63" s="51"/>
      <c r="H63" s="51" t="s">
        <v>514</v>
      </c>
      <c r="I63" s="51" t="s">
        <v>515</v>
      </c>
      <c r="J63" s="51" t="s">
        <v>516</v>
      </c>
      <c r="K63" s="51" t="s">
        <v>517</v>
      </c>
      <c r="L63" s="51"/>
      <c r="M63" s="51"/>
      <c r="N63" s="51"/>
      <c r="O63" s="51"/>
      <c r="P63" s="51"/>
      <c r="Q63" s="51"/>
      <c r="R63" s="51"/>
      <c r="S63" s="51"/>
      <c r="T63" s="51"/>
      <c r="U63" s="51"/>
      <c r="V63" s="51"/>
      <c r="W63" s="51"/>
      <c r="X63" s="51"/>
      <c r="Y63" s="51"/>
      <c r="Z63" s="51"/>
      <c r="AA63" s="70"/>
      <c r="AB63" s="69"/>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row>
    <row r="64" spans="1:77" ht="12.75" x14ac:dyDescent="0.2">
      <c r="A64" s="51" t="str" cm="1">
        <f t="array" ref="A64">INDEX(TariffCode, MATCH(1,(C64=TariffZone)*(D64=TariffProduct),0))</f>
        <v>SW</v>
      </c>
      <c r="B64" s="51" t="str">
        <f>IF($D64="Water",IF(C64="Standard",Assumptions!$H$90,Assumptions!$H$93),"")</f>
        <v>SA</v>
      </c>
      <c r="C64" s="150" t="s">
        <v>287</v>
      </c>
      <c r="D64" s="150" t="s">
        <v>301</v>
      </c>
      <c r="E64" s="150" t="s">
        <v>405</v>
      </c>
      <c r="F64" s="150" t="s">
        <v>262</v>
      </c>
      <c r="G64" s="51" t="str">
        <f>G12</f>
        <v>Infill</v>
      </c>
      <c r="H64" s="177"/>
      <c r="I64" s="177"/>
      <c r="J64" s="177"/>
      <c r="K64" s="51"/>
      <c r="L64" s="51"/>
      <c r="M64" s="51"/>
      <c r="N64" s="51"/>
      <c r="O64" s="51"/>
      <c r="P64" s="51"/>
      <c r="Q64" s="51"/>
      <c r="R64" s="51"/>
      <c r="S64" s="177">
        <f t="shared" ref="S64:S111" si="11">IF(T12=0,0,T64/T12*S12)</f>
        <v>8890.8938279472732</v>
      </c>
      <c r="T64" s="177">
        <f t="shared" ref="T64:AA73" si="12">T12-S12</f>
        <v>9118.1637043685187</v>
      </c>
      <c r="U64" s="177">
        <f t="shared" si="12"/>
        <v>12248.287611621199</v>
      </c>
      <c r="V64" s="177">
        <f t="shared" si="12"/>
        <v>11686.700172376935</v>
      </c>
      <c r="W64" s="177">
        <f t="shared" si="12"/>
        <v>8550.8088804351282</v>
      </c>
      <c r="X64" s="177">
        <f t="shared" si="12"/>
        <v>9414.2064167250064</v>
      </c>
      <c r="Y64" s="177">
        <f t="shared" si="12"/>
        <v>9004.8680648911395</v>
      </c>
      <c r="Z64" s="177">
        <f t="shared" si="12"/>
        <v>9719.3018555953749</v>
      </c>
      <c r="AA64" s="177">
        <f t="shared" si="12"/>
        <v>5956.5879674646421</v>
      </c>
      <c r="AB64" s="177">
        <f>IF(I64="",AB12-AA12,I64)</f>
        <v>10766.095384876244</v>
      </c>
      <c r="AC64" s="177">
        <f t="shared" ref="AC64:BL64" si="13">AC12-AB12</f>
        <v>10584.913299104024</v>
      </c>
      <c r="AD64" s="177">
        <f t="shared" si="13"/>
        <v>9416.9819234374445</v>
      </c>
      <c r="AE64" s="177">
        <f t="shared" si="13"/>
        <v>9740.5783447203576</v>
      </c>
      <c r="AF64" s="177">
        <f t="shared" si="13"/>
        <v>8041.9084741211846</v>
      </c>
      <c r="AG64" s="177">
        <f t="shared" si="13"/>
        <v>8049.2035779433791</v>
      </c>
      <c r="AH64" s="177">
        <f t="shared" si="13"/>
        <v>7927.9069939080509</v>
      </c>
      <c r="AI64" s="177">
        <f t="shared" si="13"/>
        <v>7637.5763360172277</v>
      </c>
      <c r="AJ64" s="177">
        <f t="shared" si="13"/>
        <v>7711.1365221493761</v>
      </c>
      <c r="AK64" s="177">
        <f t="shared" si="13"/>
        <v>7897.0842584087513</v>
      </c>
      <c r="AL64" s="177">
        <f t="shared" si="13"/>
        <v>8081.9433343947167</v>
      </c>
      <c r="AM64" s="177">
        <f t="shared" si="13"/>
        <v>8449.4145604865626</v>
      </c>
      <c r="AN64" s="177">
        <f t="shared" si="13"/>
        <v>8780.3449751387816</v>
      </c>
      <c r="AO64" s="177">
        <f t="shared" si="13"/>
        <v>9080.8899524279404</v>
      </c>
      <c r="AP64" s="177">
        <f t="shared" si="13"/>
        <v>9462.1366097974824</v>
      </c>
      <c r="AQ64" s="177">
        <f t="shared" si="13"/>
        <v>9772.6514906251105</v>
      </c>
      <c r="AR64" s="177">
        <f t="shared" si="13"/>
        <v>10123.852407419588</v>
      </c>
      <c r="AS64" s="177">
        <f t="shared" si="13"/>
        <v>10420.331913766568</v>
      </c>
      <c r="AT64" s="177">
        <f t="shared" si="13"/>
        <v>10587.820572822355</v>
      </c>
      <c r="AU64" s="177">
        <f t="shared" si="13"/>
        <v>10733.584466789034</v>
      </c>
      <c r="AV64" s="177">
        <f t="shared" si="13"/>
        <v>10968.472870008787</v>
      </c>
      <c r="AW64" s="177">
        <f t="shared" si="13"/>
        <v>11168.761207036441</v>
      </c>
      <c r="AX64" s="177">
        <f t="shared" si="13"/>
        <v>11290.247649775818</v>
      </c>
      <c r="AY64" s="177">
        <f t="shared" si="13"/>
        <v>11371.806068547303</v>
      </c>
      <c r="AZ64" s="177">
        <f t="shared" si="13"/>
        <v>11231.109769613016</v>
      </c>
      <c r="BA64" s="177">
        <f t="shared" si="13"/>
        <v>11294.889036620734</v>
      </c>
      <c r="BB64" s="177">
        <f t="shared" si="13"/>
        <v>11382.41128697712</v>
      </c>
      <c r="BC64" s="177">
        <f t="shared" si="13"/>
        <v>11468.696885940153</v>
      </c>
      <c r="BD64" s="177">
        <f t="shared" si="13"/>
        <v>11588.716155404458</v>
      </c>
      <c r="BE64" s="177">
        <f t="shared" si="13"/>
        <v>12138.176727146143</v>
      </c>
      <c r="BF64" s="177">
        <f t="shared" si="13"/>
        <v>12012.802154507255</v>
      </c>
      <c r="BG64" s="177">
        <f t="shared" si="13"/>
        <v>11616.737466601771</v>
      </c>
      <c r="BH64" s="177">
        <f t="shared" si="13"/>
        <v>11425.377980195568</v>
      </c>
      <c r="BI64" s="177">
        <f t="shared" si="13"/>
        <v>11442.777049456257</v>
      </c>
      <c r="BJ64" s="177">
        <f t="shared" si="13"/>
        <v>11412.695964139886</v>
      </c>
      <c r="BK64" s="177">
        <f t="shared" si="13"/>
        <v>11967.184675224591</v>
      </c>
      <c r="BL64" s="177">
        <f t="shared" si="13"/>
        <v>12193.86975793587</v>
      </c>
    </row>
    <row r="65" spans="1:64" ht="12.75" x14ac:dyDescent="0.2">
      <c r="A65" s="51" t="str" cm="1">
        <f t="array" ref="A65">INDEX(TariffCode, MATCH(1,(C65=TariffZone)*(D65=TariffProduct),0))</f>
        <v>GW</v>
      </c>
      <c r="B65" s="51" t="str">
        <f>IF($D65="Water",IF(C65="Standard",Assumptions!$H$90,Assumptions!$H$93),"")</f>
        <v>GA</v>
      </c>
      <c r="C65" s="150" t="s">
        <v>290</v>
      </c>
      <c r="D65" s="150" t="s">
        <v>301</v>
      </c>
      <c r="E65" s="150" t="s">
        <v>405</v>
      </c>
      <c r="F65" s="150" t="s">
        <v>262</v>
      </c>
      <c r="G65" s="51" t="str">
        <f t="shared" ref="G65:G111" si="14">G13</f>
        <v>Infill</v>
      </c>
      <c r="H65" s="177"/>
      <c r="I65" s="177"/>
      <c r="J65" s="177"/>
      <c r="K65" s="51"/>
      <c r="L65" s="51"/>
      <c r="M65" s="51"/>
      <c r="N65" s="51"/>
      <c r="O65" s="51"/>
      <c r="P65" s="51"/>
      <c r="Q65" s="51"/>
      <c r="R65" s="51"/>
      <c r="S65" s="177">
        <f t="shared" si="11"/>
        <v>0</v>
      </c>
      <c r="T65" s="177">
        <f t="shared" si="12"/>
        <v>0</v>
      </c>
      <c r="U65" s="177">
        <f t="shared" si="12"/>
        <v>0</v>
      </c>
      <c r="V65" s="177">
        <f t="shared" si="12"/>
        <v>0</v>
      </c>
      <c r="W65" s="177">
        <f t="shared" si="12"/>
        <v>0</v>
      </c>
      <c r="X65" s="177">
        <f t="shared" si="12"/>
        <v>0</v>
      </c>
      <c r="Y65" s="177">
        <f t="shared" si="12"/>
        <v>0</v>
      </c>
      <c r="Z65" s="177">
        <f t="shared" si="12"/>
        <v>0</v>
      </c>
      <c r="AA65" s="177">
        <f t="shared" si="12"/>
        <v>0</v>
      </c>
      <c r="AB65" s="177">
        <f t="shared" ref="AB65:AB110" si="15">IF(I65="",AB13-AA13,I65)</f>
        <v>0</v>
      </c>
      <c r="AC65" s="177">
        <f t="shared" ref="AC65:BL65" si="16">AC13-AB13</f>
        <v>0</v>
      </c>
      <c r="AD65" s="177">
        <f t="shared" si="16"/>
        <v>0</v>
      </c>
      <c r="AE65" s="177">
        <f t="shared" si="16"/>
        <v>0</v>
      </c>
      <c r="AF65" s="177">
        <f t="shared" si="16"/>
        <v>0</v>
      </c>
      <c r="AG65" s="177">
        <f t="shared" si="16"/>
        <v>0</v>
      </c>
      <c r="AH65" s="177">
        <f t="shared" si="16"/>
        <v>0</v>
      </c>
      <c r="AI65" s="177">
        <f t="shared" si="16"/>
        <v>0</v>
      </c>
      <c r="AJ65" s="177">
        <f t="shared" si="16"/>
        <v>0</v>
      </c>
      <c r="AK65" s="177">
        <f t="shared" si="16"/>
        <v>0</v>
      </c>
      <c r="AL65" s="177">
        <f t="shared" si="16"/>
        <v>0</v>
      </c>
      <c r="AM65" s="177">
        <f t="shared" si="16"/>
        <v>0</v>
      </c>
      <c r="AN65" s="177">
        <f t="shared" si="16"/>
        <v>0</v>
      </c>
      <c r="AO65" s="177">
        <f t="shared" si="16"/>
        <v>0</v>
      </c>
      <c r="AP65" s="177">
        <f t="shared" si="16"/>
        <v>0</v>
      </c>
      <c r="AQ65" s="177">
        <f t="shared" si="16"/>
        <v>0</v>
      </c>
      <c r="AR65" s="177">
        <f t="shared" si="16"/>
        <v>0</v>
      </c>
      <c r="AS65" s="177">
        <f t="shared" si="16"/>
        <v>0</v>
      </c>
      <c r="AT65" s="177">
        <f t="shared" si="16"/>
        <v>0</v>
      </c>
      <c r="AU65" s="177">
        <f t="shared" si="16"/>
        <v>0</v>
      </c>
      <c r="AV65" s="177">
        <f t="shared" si="16"/>
        <v>0</v>
      </c>
      <c r="AW65" s="177">
        <f t="shared" si="16"/>
        <v>0</v>
      </c>
      <c r="AX65" s="177">
        <f t="shared" si="16"/>
        <v>0</v>
      </c>
      <c r="AY65" s="177">
        <f t="shared" si="16"/>
        <v>0</v>
      </c>
      <c r="AZ65" s="177">
        <f t="shared" si="16"/>
        <v>0</v>
      </c>
      <c r="BA65" s="177">
        <f t="shared" si="16"/>
        <v>0</v>
      </c>
      <c r="BB65" s="177">
        <f t="shared" si="16"/>
        <v>0</v>
      </c>
      <c r="BC65" s="177">
        <f t="shared" si="16"/>
        <v>0</v>
      </c>
      <c r="BD65" s="177">
        <f t="shared" si="16"/>
        <v>0</v>
      </c>
      <c r="BE65" s="177">
        <f t="shared" si="16"/>
        <v>0</v>
      </c>
      <c r="BF65" s="177">
        <f t="shared" si="16"/>
        <v>0</v>
      </c>
      <c r="BG65" s="177">
        <f t="shared" si="16"/>
        <v>0</v>
      </c>
      <c r="BH65" s="177">
        <f t="shared" si="16"/>
        <v>0</v>
      </c>
      <c r="BI65" s="177">
        <f t="shared" si="16"/>
        <v>0</v>
      </c>
      <c r="BJ65" s="177">
        <f t="shared" si="16"/>
        <v>0</v>
      </c>
      <c r="BK65" s="177">
        <f t="shared" si="16"/>
        <v>0</v>
      </c>
      <c r="BL65" s="177">
        <f t="shared" si="16"/>
        <v>0</v>
      </c>
    </row>
    <row r="66" spans="1:64" ht="12.75" x14ac:dyDescent="0.2">
      <c r="A66" s="51" t="str" cm="1">
        <f t="array" ref="A66">INDEX(TariffCode, MATCH(1,(C66=TariffZone)*(D66=TariffProduct),0))</f>
        <v>SS</v>
      </c>
      <c r="B66" s="51" t="str">
        <f>IF($D66="Water",IF(C66="Standard",Assumptions!$H$90,Assumptions!$H$93),"")</f>
        <v/>
      </c>
      <c r="C66" s="150" t="s">
        <v>287</v>
      </c>
      <c r="D66" s="150" t="s">
        <v>303</v>
      </c>
      <c r="E66" s="150" t="s">
        <v>405</v>
      </c>
      <c r="F66" s="150" t="s">
        <v>262</v>
      </c>
      <c r="G66" s="51" t="str">
        <f t="shared" si="14"/>
        <v>Infill</v>
      </c>
      <c r="H66" s="177"/>
      <c r="I66" s="177"/>
      <c r="J66" s="177"/>
      <c r="K66" s="51"/>
      <c r="L66" s="51"/>
      <c r="M66" s="51"/>
      <c r="N66" s="51"/>
      <c r="O66" s="51"/>
      <c r="P66" s="51"/>
      <c r="Q66" s="51"/>
      <c r="R66" s="51"/>
      <c r="S66" s="177">
        <f t="shared" si="11"/>
        <v>8894.2779170625199</v>
      </c>
      <c r="T66" s="177">
        <f t="shared" si="12"/>
        <v>9122.2288830294856</v>
      </c>
      <c r="U66" s="177">
        <f t="shared" si="12"/>
        <v>12252.340384277515</v>
      </c>
      <c r="V66" s="177">
        <f t="shared" si="12"/>
        <v>11694.820722514414</v>
      </c>
      <c r="W66" s="177">
        <f t="shared" si="12"/>
        <v>8555.3489305916009</v>
      </c>
      <c r="X66" s="177">
        <f t="shared" si="12"/>
        <v>9405.0799958885764</v>
      </c>
      <c r="Y66" s="177">
        <f t="shared" si="12"/>
        <v>9014.677786294953</v>
      </c>
      <c r="Z66" s="177">
        <f t="shared" si="12"/>
        <v>9710.5777456196374</v>
      </c>
      <c r="AA66" s="177">
        <f t="shared" si="12"/>
        <v>5958.2758421183098</v>
      </c>
      <c r="AB66" s="177">
        <f t="shared" si="15"/>
        <v>10418.263428289152</v>
      </c>
      <c r="AC66" s="177">
        <f t="shared" ref="AC66:BL66" si="17">AC14-AB14</f>
        <v>10584.913299104082</v>
      </c>
      <c r="AD66" s="177">
        <f t="shared" si="17"/>
        <v>9416.9819234373863</v>
      </c>
      <c r="AE66" s="177">
        <f t="shared" si="17"/>
        <v>9740.5783447204158</v>
      </c>
      <c r="AF66" s="177">
        <f t="shared" si="17"/>
        <v>8041.9084741211846</v>
      </c>
      <c r="AG66" s="177">
        <f t="shared" si="17"/>
        <v>8049.2035779433209</v>
      </c>
      <c r="AH66" s="177">
        <f t="shared" si="17"/>
        <v>7927.9069939080509</v>
      </c>
      <c r="AI66" s="177">
        <f t="shared" si="17"/>
        <v>7637.5763360172277</v>
      </c>
      <c r="AJ66" s="177">
        <f t="shared" si="17"/>
        <v>7711.1365221493761</v>
      </c>
      <c r="AK66" s="177">
        <f t="shared" si="17"/>
        <v>7897.0842584088095</v>
      </c>
      <c r="AL66" s="177">
        <f t="shared" si="17"/>
        <v>8081.9433343947167</v>
      </c>
      <c r="AM66" s="177">
        <f t="shared" si="17"/>
        <v>8449.4145604865626</v>
      </c>
      <c r="AN66" s="177">
        <f t="shared" si="17"/>
        <v>8780.3449751386652</v>
      </c>
      <c r="AO66" s="177">
        <f t="shared" si="17"/>
        <v>9080.8899524280569</v>
      </c>
      <c r="AP66" s="177">
        <f t="shared" si="17"/>
        <v>9462.1366097974824</v>
      </c>
      <c r="AQ66" s="177">
        <f t="shared" si="17"/>
        <v>9772.651490624994</v>
      </c>
      <c r="AR66" s="177">
        <f t="shared" si="17"/>
        <v>10123.852407419588</v>
      </c>
      <c r="AS66" s="177">
        <f t="shared" si="17"/>
        <v>10420.331913766684</v>
      </c>
      <c r="AT66" s="177">
        <f t="shared" si="17"/>
        <v>10587.820572822238</v>
      </c>
      <c r="AU66" s="177">
        <f t="shared" si="17"/>
        <v>10733.584466789151</v>
      </c>
      <c r="AV66" s="177">
        <f t="shared" si="17"/>
        <v>10968.472870008671</v>
      </c>
      <c r="AW66" s="177">
        <f t="shared" si="17"/>
        <v>11168.761207036558</v>
      </c>
      <c r="AX66" s="177">
        <f t="shared" si="17"/>
        <v>11290.247649775702</v>
      </c>
      <c r="AY66" s="177">
        <f t="shared" si="17"/>
        <v>11371.806068547536</v>
      </c>
      <c r="AZ66" s="177">
        <f t="shared" si="17"/>
        <v>11231.109769612784</v>
      </c>
      <c r="BA66" s="177">
        <f t="shared" si="17"/>
        <v>11294.889036620734</v>
      </c>
      <c r="BB66" s="177">
        <f t="shared" si="17"/>
        <v>11382.411286977353</v>
      </c>
      <c r="BC66" s="177">
        <f t="shared" si="17"/>
        <v>11468.69688593992</v>
      </c>
      <c r="BD66" s="177">
        <f t="shared" si="17"/>
        <v>11588.716155404458</v>
      </c>
      <c r="BE66" s="177">
        <f t="shared" si="17"/>
        <v>12138.17672714626</v>
      </c>
      <c r="BF66" s="177">
        <f t="shared" si="17"/>
        <v>12012.802154507139</v>
      </c>
      <c r="BG66" s="177">
        <f t="shared" si="17"/>
        <v>11616.737466601888</v>
      </c>
      <c r="BH66" s="177">
        <f t="shared" si="17"/>
        <v>11425.377980195452</v>
      </c>
      <c r="BI66" s="177">
        <f t="shared" si="17"/>
        <v>11442.777049456257</v>
      </c>
      <c r="BJ66" s="177">
        <f t="shared" si="17"/>
        <v>11412.695964140119</v>
      </c>
      <c r="BK66" s="177">
        <f t="shared" si="17"/>
        <v>11967.184675224358</v>
      </c>
      <c r="BL66" s="177">
        <f t="shared" si="17"/>
        <v>12193.869757935987</v>
      </c>
    </row>
    <row r="67" spans="1:64" ht="12.75" x14ac:dyDescent="0.2">
      <c r="A67" s="51" t="str" cm="1">
        <f t="array" ref="A67">INDEX(TariffCode, MATCH(1,(C67=TariffZone)*(D67=TariffProduct),0))</f>
        <v>GS</v>
      </c>
      <c r="B67" s="51" t="str">
        <f>IF($D67="Water",IF(C67="Standard",Assumptions!$H$90,Assumptions!$H$93),"")</f>
        <v/>
      </c>
      <c r="C67" s="150" t="s">
        <v>290</v>
      </c>
      <c r="D67" s="150" t="s">
        <v>303</v>
      </c>
      <c r="E67" s="150" t="s">
        <v>405</v>
      </c>
      <c r="F67" s="150" t="s">
        <v>262</v>
      </c>
      <c r="G67" s="51" t="str">
        <f t="shared" si="14"/>
        <v>Infill</v>
      </c>
      <c r="H67" s="177"/>
      <c r="I67" s="177"/>
      <c r="J67" s="177"/>
      <c r="K67" s="51"/>
      <c r="L67" s="51"/>
      <c r="M67" s="51"/>
      <c r="N67" s="51"/>
      <c r="O67" s="51"/>
      <c r="P67" s="51"/>
      <c r="Q67" s="51"/>
      <c r="R67" s="51"/>
      <c r="S67" s="177">
        <f t="shared" si="11"/>
        <v>0</v>
      </c>
      <c r="T67" s="177">
        <f t="shared" si="12"/>
        <v>0</v>
      </c>
      <c r="U67" s="177">
        <f t="shared" si="12"/>
        <v>0</v>
      </c>
      <c r="V67" s="177">
        <f t="shared" si="12"/>
        <v>0</v>
      </c>
      <c r="W67" s="177">
        <f t="shared" si="12"/>
        <v>0</v>
      </c>
      <c r="X67" s="177">
        <f t="shared" si="12"/>
        <v>0</v>
      </c>
      <c r="Y67" s="177">
        <f t="shared" si="12"/>
        <v>0</v>
      </c>
      <c r="Z67" s="177">
        <f t="shared" si="12"/>
        <v>0</v>
      </c>
      <c r="AA67" s="177">
        <f t="shared" si="12"/>
        <v>0</v>
      </c>
      <c r="AB67" s="177">
        <f t="shared" si="15"/>
        <v>0</v>
      </c>
      <c r="AC67" s="177">
        <f t="shared" ref="AC67:BL67" si="18">AC15-AB15</f>
        <v>0</v>
      </c>
      <c r="AD67" s="177">
        <f t="shared" si="18"/>
        <v>0</v>
      </c>
      <c r="AE67" s="177">
        <f t="shared" si="18"/>
        <v>0</v>
      </c>
      <c r="AF67" s="177">
        <f t="shared" si="18"/>
        <v>0</v>
      </c>
      <c r="AG67" s="177">
        <f t="shared" si="18"/>
        <v>0</v>
      </c>
      <c r="AH67" s="177">
        <f t="shared" si="18"/>
        <v>0</v>
      </c>
      <c r="AI67" s="177">
        <f t="shared" si="18"/>
        <v>0</v>
      </c>
      <c r="AJ67" s="177">
        <f t="shared" si="18"/>
        <v>0</v>
      </c>
      <c r="AK67" s="177">
        <f t="shared" si="18"/>
        <v>0</v>
      </c>
      <c r="AL67" s="177">
        <f t="shared" si="18"/>
        <v>0</v>
      </c>
      <c r="AM67" s="177">
        <f t="shared" si="18"/>
        <v>0</v>
      </c>
      <c r="AN67" s="177">
        <f t="shared" si="18"/>
        <v>0</v>
      </c>
      <c r="AO67" s="177">
        <f t="shared" si="18"/>
        <v>0</v>
      </c>
      <c r="AP67" s="177">
        <f t="shared" si="18"/>
        <v>0</v>
      </c>
      <c r="AQ67" s="177">
        <f t="shared" si="18"/>
        <v>0</v>
      </c>
      <c r="AR67" s="177">
        <f t="shared" si="18"/>
        <v>0</v>
      </c>
      <c r="AS67" s="177">
        <f t="shared" si="18"/>
        <v>0</v>
      </c>
      <c r="AT67" s="177">
        <f t="shared" si="18"/>
        <v>0</v>
      </c>
      <c r="AU67" s="177">
        <f t="shared" si="18"/>
        <v>0</v>
      </c>
      <c r="AV67" s="177">
        <f t="shared" si="18"/>
        <v>0</v>
      </c>
      <c r="AW67" s="177">
        <f t="shared" si="18"/>
        <v>0</v>
      </c>
      <c r="AX67" s="177">
        <f t="shared" si="18"/>
        <v>0</v>
      </c>
      <c r="AY67" s="177">
        <f t="shared" si="18"/>
        <v>0</v>
      </c>
      <c r="AZ67" s="177">
        <f t="shared" si="18"/>
        <v>0</v>
      </c>
      <c r="BA67" s="177">
        <f t="shared" si="18"/>
        <v>0</v>
      </c>
      <c r="BB67" s="177">
        <f t="shared" si="18"/>
        <v>0</v>
      </c>
      <c r="BC67" s="177">
        <f t="shared" si="18"/>
        <v>0</v>
      </c>
      <c r="BD67" s="177">
        <f t="shared" si="18"/>
        <v>0</v>
      </c>
      <c r="BE67" s="177">
        <f t="shared" si="18"/>
        <v>0</v>
      </c>
      <c r="BF67" s="177">
        <f t="shared" si="18"/>
        <v>0</v>
      </c>
      <c r="BG67" s="177">
        <f t="shared" si="18"/>
        <v>0</v>
      </c>
      <c r="BH67" s="177">
        <f t="shared" si="18"/>
        <v>0</v>
      </c>
      <c r="BI67" s="177">
        <f t="shared" si="18"/>
        <v>0</v>
      </c>
      <c r="BJ67" s="177">
        <f t="shared" si="18"/>
        <v>0</v>
      </c>
      <c r="BK67" s="177">
        <f t="shared" si="18"/>
        <v>0</v>
      </c>
      <c r="BL67" s="177">
        <f t="shared" si="18"/>
        <v>0</v>
      </c>
    </row>
    <row r="68" spans="1:64" ht="12.75" x14ac:dyDescent="0.2">
      <c r="A68" s="51" t="str" cm="1">
        <f t="array" ref="A68">INDEX(TariffCode, MATCH(1,(C68=TariffZone)*(D68=TariffProduct),0))</f>
        <v>WR</v>
      </c>
      <c r="B68" s="51" t="str">
        <f>IF($D68="Water",IF(C68="Standard",Assumptions!$H$90,Assumptions!$H$93),"")</f>
        <v/>
      </c>
      <c r="C68" s="150" t="s">
        <v>283</v>
      </c>
      <c r="D68" s="150" t="s">
        <v>310</v>
      </c>
      <c r="E68" s="150" t="s">
        <v>405</v>
      </c>
      <c r="F68" s="150" t="s">
        <v>262</v>
      </c>
      <c r="G68" s="51" t="str">
        <f t="shared" si="14"/>
        <v>Infill</v>
      </c>
      <c r="H68" s="174">
        <f>AB16-AA16</f>
        <v>-1551.5473466793769</v>
      </c>
      <c r="I68" s="174">
        <f>H68*-1</f>
        <v>1551.5473466793769</v>
      </c>
      <c r="J68" s="174">
        <f>I68+H68</f>
        <v>0</v>
      </c>
      <c r="K68" s="51"/>
      <c r="L68" s="51"/>
      <c r="M68" s="51"/>
      <c r="N68" s="51"/>
      <c r="O68" s="51"/>
      <c r="P68" s="51"/>
      <c r="Q68" s="51"/>
      <c r="R68" s="51"/>
      <c r="S68" s="177">
        <f t="shared" si="11"/>
        <v>22.534964411332673</v>
      </c>
      <c r="T68" s="177">
        <f t="shared" si="12"/>
        <v>23</v>
      </c>
      <c r="U68" s="177">
        <f t="shared" si="12"/>
        <v>61</v>
      </c>
      <c r="V68" s="177">
        <f t="shared" si="12"/>
        <v>1.9999999999997726</v>
      </c>
      <c r="W68" s="177">
        <f t="shared" si="12"/>
        <v>35.000000000000227</v>
      </c>
      <c r="X68" s="177">
        <f t="shared" si="12"/>
        <v>91</v>
      </c>
      <c r="Y68" s="177">
        <f t="shared" si="12"/>
        <v>76</v>
      </c>
      <c r="Z68" s="177">
        <f t="shared" si="12"/>
        <v>39</v>
      </c>
      <c r="AA68" s="177">
        <f t="shared" si="12"/>
        <v>109.99999999999977</v>
      </c>
      <c r="AB68" s="174">
        <f>J68</f>
        <v>0</v>
      </c>
      <c r="AC68" s="177">
        <f t="shared" ref="AC68:BL68" si="19">AC16-AB16</f>
        <v>0</v>
      </c>
      <c r="AD68" s="177">
        <f t="shared" si="19"/>
        <v>0</v>
      </c>
      <c r="AE68" s="177">
        <f t="shared" si="19"/>
        <v>0</v>
      </c>
      <c r="AF68" s="177">
        <f t="shared" si="19"/>
        <v>0</v>
      </c>
      <c r="AG68" s="177">
        <f t="shared" si="19"/>
        <v>0</v>
      </c>
      <c r="AH68" s="177">
        <f t="shared" si="19"/>
        <v>0</v>
      </c>
      <c r="AI68" s="177">
        <f t="shared" si="19"/>
        <v>0</v>
      </c>
      <c r="AJ68" s="177">
        <f t="shared" si="19"/>
        <v>0</v>
      </c>
      <c r="AK68" s="177">
        <f t="shared" si="19"/>
        <v>0</v>
      </c>
      <c r="AL68" s="177">
        <f t="shared" si="19"/>
        <v>0</v>
      </c>
      <c r="AM68" s="177">
        <f t="shared" si="19"/>
        <v>0</v>
      </c>
      <c r="AN68" s="177">
        <f t="shared" si="19"/>
        <v>0</v>
      </c>
      <c r="AO68" s="177">
        <f t="shared" si="19"/>
        <v>0</v>
      </c>
      <c r="AP68" s="177">
        <f t="shared" si="19"/>
        <v>0</v>
      </c>
      <c r="AQ68" s="177">
        <f t="shared" si="19"/>
        <v>0</v>
      </c>
      <c r="AR68" s="177">
        <f t="shared" si="19"/>
        <v>0</v>
      </c>
      <c r="AS68" s="177">
        <f t="shared" si="19"/>
        <v>0</v>
      </c>
      <c r="AT68" s="177">
        <f t="shared" si="19"/>
        <v>0</v>
      </c>
      <c r="AU68" s="177">
        <f t="shared" si="19"/>
        <v>0</v>
      </c>
      <c r="AV68" s="177">
        <f t="shared" si="19"/>
        <v>0</v>
      </c>
      <c r="AW68" s="177">
        <f t="shared" si="19"/>
        <v>0</v>
      </c>
      <c r="AX68" s="177">
        <f t="shared" si="19"/>
        <v>0</v>
      </c>
      <c r="AY68" s="177">
        <f t="shared" si="19"/>
        <v>0</v>
      </c>
      <c r="AZ68" s="177">
        <f t="shared" si="19"/>
        <v>0</v>
      </c>
      <c r="BA68" s="177">
        <f t="shared" si="19"/>
        <v>0</v>
      </c>
      <c r="BB68" s="177">
        <f t="shared" si="19"/>
        <v>0</v>
      </c>
      <c r="BC68" s="177">
        <f t="shared" si="19"/>
        <v>0</v>
      </c>
      <c r="BD68" s="177">
        <f t="shared" si="19"/>
        <v>0</v>
      </c>
      <c r="BE68" s="177">
        <f t="shared" si="19"/>
        <v>0</v>
      </c>
      <c r="BF68" s="177">
        <f t="shared" si="19"/>
        <v>0</v>
      </c>
      <c r="BG68" s="177">
        <f t="shared" si="19"/>
        <v>0</v>
      </c>
      <c r="BH68" s="177">
        <f t="shared" si="19"/>
        <v>0</v>
      </c>
      <c r="BI68" s="177">
        <f t="shared" si="19"/>
        <v>0</v>
      </c>
      <c r="BJ68" s="177">
        <f t="shared" si="19"/>
        <v>0</v>
      </c>
      <c r="BK68" s="177">
        <f t="shared" si="19"/>
        <v>0</v>
      </c>
      <c r="BL68" s="177">
        <f t="shared" si="19"/>
        <v>0</v>
      </c>
    </row>
    <row r="69" spans="1:64" ht="12.75" x14ac:dyDescent="0.2">
      <c r="A69" s="51" t="str" cm="1">
        <f t="array" ref="A69">INDEX(TariffCode, MATCH(1,(C69=TariffZone)*(D69=TariffProduct),0))</f>
        <v>GR</v>
      </c>
      <c r="B69" s="51" t="str">
        <f>IF($D69="Water",IF(C69="Standard",Assumptions!$H$90,Assumptions!$H$93),"")</f>
        <v/>
      </c>
      <c r="C69" s="150" t="s">
        <v>312</v>
      </c>
      <c r="D69" s="150" t="s">
        <v>310</v>
      </c>
      <c r="E69" s="150" t="s">
        <v>405</v>
      </c>
      <c r="F69" s="150" t="s">
        <v>262</v>
      </c>
      <c r="G69" s="51" t="str">
        <f t="shared" si="14"/>
        <v>Infill</v>
      </c>
      <c r="H69" s="177"/>
      <c r="I69" s="177"/>
      <c r="J69" s="177"/>
      <c r="K69" s="51"/>
      <c r="L69" s="51"/>
      <c r="M69" s="51"/>
      <c r="N69" s="51"/>
      <c r="O69" s="51"/>
      <c r="P69" s="51"/>
      <c r="Q69" s="51"/>
      <c r="R69" s="51"/>
      <c r="S69" s="177">
        <f t="shared" si="11"/>
        <v>0</v>
      </c>
      <c r="T69" s="177">
        <f t="shared" si="12"/>
        <v>0</v>
      </c>
      <c r="U69" s="177">
        <f t="shared" si="12"/>
        <v>0</v>
      </c>
      <c r="V69" s="177">
        <f t="shared" si="12"/>
        <v>0</v>
      </c>
      <c r="W69" s="177">
        <f t="shared" si="12"/>
        <v>0</v>
      </c>
      <c r="X69" s="177">
        <f t="shared" si="12"/>
        <v>0</v>
      </c>
      <c r="Y69" s="177">
        <f t="shared" si="12"/>
        <v>0</v>
      </c>
      <c r="Z69" s="177">
        <f t="shared" si="12"/>
        <v>0</v>
      </c>
      <c r="AA69" s="177">
        <f t="shared" si="12"/>
        <v>0</v>
      </c>
      <c r="AB69" s="177">
        <f t="shared" si="15"/>
        <v>0</v>
      </c>
      <c r="AC69" s="177">
        <f t="shared" ref="AC69:BL69" si="20">AC17-AB17</f>
        <v>0</v>
      </c>
      <c r="AD69" s="177">
        <f t="shared" si="20"/>
        <v>0</v>
      </c>
      <c r="AE69" s="177">
        <f t="shared" si="20"/>
        <v>0</v>
      </c>
      <c r="AF69" s="177">
        <f t="shared" si="20"/>
        <v>0</v>
      </c>
      <c r="AG69" s="177">
        <f t="shared" si="20"/>
        <v>0</v>
      </c>
      <c r="AH69" s="177">
        <f t="shared" si="20"/>
        <v>0</v>
      </c>
      <c r="AI69" s="177">
        <f t="shared" si="20"/>
        <v>0</v>
      </c>
      <c r="AJ69" s="177">
        <f t="shared" si="20"/>
        <v>0</v>
      </c>
      <c r="AK69" s="177">
        <f t="shared" si="20"/>
        <v>0</v>
      </c>
      <c r="AL69" s="177">
        <f t="shared" si="20"/>
        <v>0</v>
      </c>
      <c r="AM69" s="177">
        <f t="shared" si="20"/>
        <v>0</v>
      </c>
      <c r="AN69" s="177">
        <f t="shared" si="20"/>
        <v>0</v>
      </c>
      <c r="AO69" s="177">
        <f t="shared" si="20"/>
        <v>0</v>
      </c>
      <c r="AP69" s="177">
        <f t="shared" si="20"/>
        <v>0</v>
      </c>
      <c r="AQ69" s="177">
        <f t="shared" si="20"/>
        <v>0</v>
      </c>
      <c r="AR69" s="177">
        <f t="shared" si="20"/>
        <v>0</v>
      </c>
      <c r="AS69" s="177">
        <f t="shared" si="20"/>
        <v>0</v>
      </c>
      <c r="AT69" s="177">
        <f t="shared" si="20"/>
        <v>0</v>
      </c>
      <c r="AU69" s="177">
        <f t="shared" si="20"/>
        <v>0</v>
      </c>
      <c r="AV69" s="177">
        <f t="shared" si="20"/>
        <v>0</v>
      </c>
      <c r="AW69" s="177">
        <f t="shared" si="20"/>
        <v>0</v>
      </c>
      <c r="AX69" s="177">
        <f t="shared" si="20"/>
        <v>0</v>
      </c>
      <c r="AY69" s="177">
        <f t="shared" si="20"/>
        <v>0</v>
      </c>
      <c r="AZ69" s="177">
        <f t="shared" si="20"/>
        <v>0</v>
      </c>
      <c r="BA69" s="177">
        <f t="shared" si="20"/>
        <v>0</v>
      </c>
      <c r="BB69" s="177">
        <f t="shared" si="20"/>
        <v>0</v>
      </c>
      <c r="BC69" s="177">
        <f t="shared" si="20"/>
        <v>0</v>
      </c>
      <c r="BD69" s="177">
        <f t="shared" si="20"/>
        <v>0</v>
      </c>
      <c r="BE69" s="177">
        <f t="shared" si="20"/>
        <v>0</v>
      </c>
      <c r="BF69" s="177">
        <f t="shared" si="20"/>
        <v>0</v>
      </c>
      <c r="BG69" s="177">
        <f t="shared" si="20"/>
        <v>0</v>
      </c>
      <c r="BH69" s="177">
        <f t="shared" si="20"/>
        <v>0</v>
      </c>
      <c r="BI69" s="177">
        <f t="shared" si="20"/>
        <v>0</v>
      </c>
      <c r="BJ69" s="177">
        <f t="shared" si="20"/>
        <v>0</v>
      </c>
      <c r="BK69" s="177">
        <f t="shared" si="20"/>
        <v>0</v>
      </c>
      <c r="BL69" s="177">
        <f t="shared" si="20"/>
        <v>0</v>
      </c>
    </row>
    <row r="70" spans="1:64" ht="12.75" x14ac:dyDescent="0.2">
      <c r="A70" s="51" t="str" cm="1">
        <f t="array" ref="A70">INDEX(TariffCode, MATCH(1,(C70=TariffZone)*(D70=TariffProduct),0))</f>
        <v>SW</v>
      </c>
      <c r="B70" s="51" t="str">
        <f>IF($D70="Water",IF(C70="Standard",Assumptions!$H$90,Assumptions!$H$93),"")</f>
        <v>SA</v>
      </c>
      <c r="C70" s="150" t="s">
        <v>287</v>
      </c>
      <c r="D70" s="150" t="s">
        <v>301</v>
      </c>
      <c r="E70" s="150" t="s">
        <v>407</v>
      </c>
      <c r="F70" s="150" t="s">
        <v>262</v>
      </c>
      <c r="G70" s="51" t="str">
        <f t="shared" si="14"/>
        <v>Infill</v>
      </c>
      <c r="H70" s="174">
        <f>AB18-AA18</f>
        <v>1602.3215193252836</v>
      </c>
      <c r="I70" s="174">
        <f>(H70-J70)*-1</f>
        <v>-1196.3215193252836</v>
      </c>
      <c r="J70" s="174">
        <v>406</v>
      </c>
      <c r="K70" s="51"/>
      <c r="L70" s="51"/>
      <c r="M70" s="51"/>
      <c r="N70" s="51"/>
      <c r="O70" s="51"/>
      <c r="P70" s="51"/>
      <c r="Q70" s="51"/>
      <c r="R70" s="51"/>
      <c r="S70" s="177">
        <f t="shared" si="11"/>
        <v>575.27988568172884</v>
      </c>
      <c r="T70" s="177">
        <f t="shared" si="12"/>
        <v>584.56390825976996</v>
      </c>
      <c r="U70" s="177">
        <f t="shared" si="12"/>
        <v>709.14635307955905</v>
      </c>
      <c r="V70" s="177">
        <f t="shared" si="12"/>
        <v>499.55879031773657</v>
      </c>
      <c r="W70" s="177">
        <f t="shared" si="12"/>
        <v>438.34451675779565</v>
      </c>
      <c r="X70" s="177">
        <f t="shared" si="12"/>
        <v>356.3754601036344</v>
      </c>
      <c r="Y70" s="177">
        <f t="shared" si="12"/>
        <v>629.36142375947384</v>
      </c>
      <c r="Z70" s="177">
        <f t="shared" si="12"/>
        <v>-228.70576309953321</v>
      </c>
      <c r="AA70" s="177">
        <f t="shared" si="12"/>
        <v>199.72147404616408</v>
      </c>
      <c r="AB70" s="174">
        <f>J70</f>
        <v>406</v>
      </c>
      <c r="AC70" s="177">
        <f t="shared" ref="AC70:BL70" si="21">AC18-AB18</f>
        <v>957.49952458425105</v>
      </c>
      <c r="AD70" s="177">
        <f t="shared" si="21"/>
        <v>844.63341794120061</v>
      </c>
      <c r="AE70" s="177">
        <f t="shared" si="21"/>
        <v>884.18366980418068</v>
      </c>
      <c r="AF70" s="177">
        <f t="shared" si="21"/>
        <v>740.70353922286449</v>
      </c>
      <c r="AG70" s="177">
        <f t="shared" si="21"/>
        <v>736.87427602661774</v>
      </c>
      <c r="AH70" s="177">
        <f t="shared" si="21"/>
        <v>720.60125027676258</v>
      </c>
      <c r="AI70" s="177">
        <f t="shared" si="21"/>
        <v>696.32893786419299</v>
      </c>
      <c r="AJ70" s="177">
        <f t="shared" si="21"/>
        <v>709.63239295838139</v>
      </c>
      <c r="AK70" s="177">
        <f t="shared" si="21"/>
        <v>728.04799908168206</v>
      </c>
      <c r="AL70" s="177">
        <f t="shared" si="21"/>
        <v>743.18124048256141</v>
      </c>
      <c r="AM70" s="177">
        <f t="shared" si="21"/>
        <v>768.57124615466455</v>
      </c>
      <c r="AN70" s="177">
        <f t="shared" si="21"/>
        <v>792.71425925160293</v>
      </c>
      <c r="AO70" s="177">
        <f t="shared" si="21"/>
        <v>823.48718994542287</v>
      </c>
      <c r="AP70" s="177">
        <f t="shared" si="21"/>
        <v>858.5677033187967</v>
      </c>
      <c r="AQ70" s="177">
        <f t="shared" si="21"/>
        <v>884.11878320188407</v>
      </c>
      <c r="AR70" s="177">
        <f t="shared" si="21"/>
        <v>905.41356196505512</v>
      </c>
      <c r="AS70" s="177">
        <f t="shared" si="21"/>
        <v>907.36437539714098</v>
      </c>
      <c r="AT70" s="177">
        <f t="shared" si="21"/>
        <v>921.38254667185538</v>
      </c>
      <c r="AU70" s="177">
        <f t="shared" si="21"/>
        <v>932.22302898261842</v>
      </c>
      <c r="AV70" s="177">
        <f t="shared" si="21"/>
        <v>946.29187003314291</v>
      </c>
      <c r="AW70" s="177">
        <f t="shared" si="21"/>
        <v>957.25748297805694</v>
      </c>
      <c r="AX70" s="177">
        <f t="shared" si="21"/>
        <v>965.72610720522789</v>
      </c>
      <c r="AY70" s="177">
        <f t="shared" si="21"/>
        <v>978.38951478695526</v>
      </c>
      <c r="AZ70" s="177">
        <f t="shared" si="21"/>
        <v>972.47486827195098</v>
      </c>
      <c r="BA70" s="177">
        <f t="shared" si="21"/>
        <v>981.09674921337864</v>
      </c>
      <c r="BB70" s="177">
        <f t="shared" si="21"/>
        <v>998.15054560801218</v>
      </c>
      <c r="BC70" s="177">
        <f t="shared" si="21"/>
        <v>1008.0249277586918</v>
      </c>
      <c r="BD70" s="177">
        <f t="shared" si="21"/>
        <v>1021.2836824003025</v>
      </c>
      <c r="BE70" s="177">
        <f t="shared" si="21"/>
        <v>1071.8259934669841</v>
      </c>
      <c r="BF70" s="177">
        <f t="shared" si="21"/>
        <v>1056.0980139720341</v>
      </c>
      <c r="BG70" s="177">
        <f t="shared" si="21"/>
        <v>1021.1639662138768</v>
      </c>
      <c r="BH70" s="177">
        <f t="shared" si="21"/>
        <v>1005.5357937759836</v>
      </c>
      <c r="BI70" s="177">
        <f t="shared" si="21"/>
        <v>1005.3449795907363</v>
      </c>
      <c r="BJ70" s="177">
        <f t="shared" si="21"/>
        <v>997.80624432829791</v>
      </c>
      <c r="BK70" s="177">
        <f t="shared" si="21"/>
        <v>1036.8526768868323</v>
      </c>
      <c r="BL70" s="177">
        <f t="shared" si="21"/>
        <v>1071.9940904762334</v>
      </c>
    </row>
    <row r="71" spans="1:64" ht="12.75" x14ac:dyDescent="0.2">
      <c r="A71" s="51" t="str" cm="1">
        <f t="array" ref="A71">INDEX(TariffCode, MATCH(1,(C71=TariffZone)*(D71=TariffProduct),0))</f>
        <v>GW</v>
      </c>
      <c r="B71" s="51" t="str">
        <f>IF($D71="Water",IF(C71="Standard",Assumptions!$H$90,Assumptions!$H$93),"")</f>
        <v>GA</v>
      </c>
      <c r="C71" s="150" t="s">
        <v>290</v>
      </c>
      <c r="D71" s="150" t="s">
        <v>301</v>
      </c>
      <c r="E71" s="150" t="s">
        <v>407</v>
      </c>
      <c r="F71" s="150" t="s">
        <v>262</v>
      </c>
      <c r="G71" s="51" t="str">
        <f t="shared" si="14"/>
        <v>Infill</v>
      </c>
      <c r="H71" s="177"/>
      <c r="I71" s="177"/>
      <c r="J71" s="177"/>
      <c r="K71" s="51"/>
      <c r="L71" s="51"/>
      <c r="M71" s="51"/>
      <c r="N71" s="51"/>
      <c r="O71" s="51"/>
      <c r="P71" s="51"/>
      <c r="Q71" s="51"/>
      <c r="R71" s="51"/>
      <c r="S71" s="177">
        <f t="shared" si="11"/>
        <v>0</v>
      </c>
      <c r="T71" s="177">
        <f t="shared" si="12"/>
        <v>0</v>
      </c>
      <c r="U71" s="177">
        <f t="shared" si="12"/>
        <v>0</v>
      </c>
      <c r="V71" s="177">
        <f t="shared" si="12"/>
        <v>0</v>
      </c>
      <c r="W71" s="177">
        <f t="shared" si="12"/>
        <v>0</v>
      </c>
      <c r="X71" s="177">
        <f t="shared" si="12"/>
        <v>0</v>
      </c>
      <c r="Y71" s="177">
        <f t="shared" si="12"/>
        <v>0</v>
      </c>
      <c r="Z71" s="177">
        <f t="shared" si="12"/>
        <v>0</v>
      </c>
      <c r="AA71" s="177">
        <f t="shared" si="12"/>
        <v>0</v>
      </c>
      <c r="AB71" s="177">
        <f t="shared" si="15"/>
        <v>0</v>
      </c>
      <c r="AC71" s="177">
        <f t="shared" ref="AC71:BL71" si="22">AC19-AB19</f>
        <v>0</v>
      </c>
      <c r="AD71" s="177">
        <f t="shared" si="22"/>
        <v>0</v>
      </c>
      <c r="AE71" s="177">
        <f t="shared" si="22"/>
        <v>0</v>
      </c>
      <c r="AF71" s="177">
        <f t="shared" si="22"/>
        <v>0</v>
      </c>
      <c r="AG71" s="177">
        <f t="shared" si="22"/>
        <v>0</v>
      </c>
      <c r="AH71" s="177">
        <f t="shared" si="22"/>
        <v>0</v>
      </c>
      <c r="AI71" s="177">
        <f t="shared" si="22"/>
        <v>0</v>
      </c>
      <c r="AJ71" s="177">
        <f t="shared" si="22"/>
        <v>0</v>
      </c>
      <c r="AK71" s="177">
        <f t="shared" si="22"/>
        <v>0</v>
      </c>
      <c r="AL71" s="177">
        <f t="shared" si="22"/>
        <v>0</v>
      </c>
      <c r="AM71" s="177">
        <f t="shared" si="22"/>
        <v>0</v>
      </c>
      <c r="AN71" s="177">
        <f t="shared" si="22"/>
        <v>0</v>
      </c>
      <c r="AO71" s="177">
        <f t="shared" si="22"/>
        <v>0</v>
      </c>
      <c r="AP71" s="177">
        <f t="shared" si="22"/>
        <v>0</v>
      </c>
      <c r="AQ71" s="177">
        <f t="shared" si="22"/>
        <v>0</v>
      </c>
      <c r="AR71" s="177">
        <f t="shared" si="22"/>
        <v>0</v>
      </c>
      <c r="AS71" s="177">
        <f t="shared" si="22"/>
        <v>0</v>
      </c>
      <c r="AT71" s="177">
        <f t="shared" si="22"/>
        <v>0</v>
      </c>
      <c r="AU71" s="177">
        <f t="shared" si="22"/>
        <v>0</v>
      </c>
      <c r="AV71" s="177">
        <f t="shared" si="22"/>
        <v>0</v>
      </c>
      <c r="AW71" s="177">
        <f t="shared" si="22"/>
        <v>0</v>
      </c>
      <c r="AX71" s="177">
        <f t="shared" si="22"/>
        <v>0</v>
      </c>
      <c r="AY71" s="177">
        <f t="shared" si="22"/>
        <v>0</v>
      </c>
      <c r="AZ71" s="177">
        <f t="shared" si="22"/>
        <v>0</v>
      </c>
      <c r="BA71" s="177">
        <f t="shared" si="22"/>
        <v>0</v>
      </c>
      <c r="BB71" s="177">
        <f t="shared" si="22"/>
        <v>0</v>
      </c>
      <c r="BC71" s="177">
        <f t="shared" si="22"/>
        <v>0</v>
      </c>
      <c r="BD71" s="177">
        <f t="shared" si="22"/>
        <v>0</v>
      </c>
      <c r="BE71" s="177">
        <f t="shared" si="22"/>
        <v>0</v>
      </c>
      <c r="BF71" s="177">
        <f t="shared" si="22"/>
        <v>0</v>
      </c>
      <c r="BG71" s="177">
        <f t="shared" si="22"/>
        <v>0</v>
      </c>
      <c r="BH71" s="177">
        <f t="shared" si="22"/>
        <v>0</v>
      </c>
      <c r="BI71" s="177">
        <f t="shared" si="22"/>
        <v>0</v>
      </c>
      <c r="BJ71" s="177">
        <f t="shared" si="22"/>
        <v>0</v>
      </c>
      <c r="BK71" s="177">
        <f t="shared" si="22"/>
        <v>0</v>
      </c>
      <c r="BL71" s="177">
        <f t="shared" si="22"/>
        <v>0</v>
      </c>
    </row>
    <row r="72" spans="1:64" ht="12.75" x14ac:dyDescent="0.2">
      <c r="A72" s="51" t="str" cm="1">
        <f t="array" ref="A72">INDEX(TariffCode, MATCH(1,(C72=TariffZone)*(D72=TariffProduct),0))</f>
        <v>SS</v>
      </c>
      <c r="B72" s="51" t="str">
        <f>IF($D72="Water",IF(C72="Standard",Assumptions!$H$90,Assumptions!$H$93),"")</f>
        <v/>
      </c>
      <c r="C72" s="150" t="s">
        <v>287</v>
      </c>
      <c r="D72" s="150" t="s">
        <v>303</v>
      </c>
      <c r="E72" s="150" t="s">
        <v>407</v>
      </c>
      <c r="F72" s="150" t="s">
        <v>262</v>
      </c>
      <c r="G72" s="51" t="str">
        <f t="shared" si="14"/>
        <v>Infill</v>
      </c>
      <c r="H72" s="174">
        <f>AB20-AA20</f>
        <v>1242.7282067188207</v>
      </c>
      <c r="I72" s="174">
        <f>(H72-J72)*-1</f>
        <v>-836.72820671882073</v>
      </c>
      <c r="J72" s="174">
        <v>406</v>
      </c>
      <c r="K72" s="51"/>
      <c r="L72" s="51"/>
      <c r="M72" s="51"/>
      <c r="N72" s="51"/>
      <c r="O72" s="51"/>
      <c r="P72" s="51"/>
      <c r="Q72" s="51"/>
      <c r="R72" s="51"/>
      <c r="S72" s="177">
        <f t="shared" si="11"/>
        <v>573.83457563967158</v>
      </c>
      <c r="T72" s="177">
        <f t="shared" si="12"/>
        <v>583.57258476436982</v>
      </c>
      <c r="U72" s="177">
        <f t="shared" si="12"/>
        <v>685.24035748842289</v>
      </c>
      <c r="V72" s="177">
        <f t="shared" si="12"/>
        <v>500.70934219229821</v>
      </c>
      <c r="W72" s="177">
        <f t="shared" si="12"/>
        <v>462.4841232026447</v>
      </c>
      <c r="X72" s="177">
        <f t="shared" si="12"/>
        <v>365.99887157177727</v>
      </c>
      <c r="Y72" s="177">
        <f t="shared" si="12"/>
        <v>632.17781934062805</v>
      </c>
      <c r="Z72" s="177">
        <f t="shared" si="12"/>
        <v>-233.39452906749648</v>
      </c>
      <c r="AA72" s="177">
        <f t="shared" si="12"/>
        <v>174.89950237941957</v>
      </c>
      <c r="AB72" s="174">
        <f>J72</f>
        <v>406</v>
      </c>
      <c r="AC72" s="177">
        <f t="shared" ref="AC72:BL72" si="23">AC20-AB20</f>
        <v>957.49952458425105</v>
      </c>
      <c r="AD72" s="177">
        <f t="shared" si="23"/>
        <v>844.63341794119333</v>
      </c>
      <c r="AE72" s="177">
        <f t="shared" si="23"/>
        <v>884.18366980418796</v>
      </c>
      <c r="AF72" s="177">
        <f t="shared" si="23"/>
        <v>740.70353922286449</v>
      </c>
      <c r="AG72" s="177">
        <f t="shared" si="23"/>
        <v>736.87427602661774</v>
      </c>
      <c r="AH72" s="177">
        <f t="shared" si="23"/>
        <v>720.60125027676258</v>
      </c>
      <c r="AI72" s="177">
        <f t="shared" si="23"/>
        <v>696.32893786418572</v>
      </c>
      <c r="AJ72" s="177">
        <f t="shared" si="23"/>
        <v>709.63239295838866</v>
      </c>
      <c r="AK72" s="177">
        <f t="shared" si="23"/>
        <v>728.04799908167479</v>
      </c>
      <c r="AL72" s="177">
        <f t="shared" si="23"/>
        <v>743.18124048256868</v>
      </c>
      <c r="AM72" s="177">
        <f t="shared" si="23"/>
        <v>768.57124615465727</v>
      </c>
      <c r="AN72" s="177">
        <f t="shared" si="23"/>
        <v>792.71425925160293</v>
      </c>
      <c r="AO72" s="177">
        <f t="shared" si="23"/>
        <v>823.48718994543015</v>
      </c>
      <c r="AP72" s="177">
        <f t="shared" si="23"/>
        <v>858.5677033187967</v>
      </c>
      <c r="AQ72" s="177">
        <f t="shared" si="23"/>
        <v>884.11878320187679</v>
      </c>
      <c r="AR72" s="177">
        <f t="shared" si="23"/>
        <v>905.4135619650624</v>
      </c>
      <c r="AS72" s="177">
        <f t="shared" si="23"/>
        <v>907.36437539714098</v>
      </c>
      <c r="AT72" s="177">
        <f t="shared" si="23"/>
        <v>921.3825466718481</v>
      </c>
      <c r="AU72" s="177">
        <f t="shared" si="23"/>
        <v>932.22302898261842</v>
      </c>
      <c r="AV72" s="177">
        <f t="shared" si="23"/>
        <v>946.29187003315019</v>
      </c>
      <c r="AW72" s="177">
        <f t="shared" si="23"/>
        <v>957.25748297805694</v>
      </c>
      <c r="AX72" s="177">
        <f t="shared" si="23"/>
        <v>965.72610720522061</v>
      </c>
      <c r="AY72" s="177">
        <f t="shared" si="23"/>
        <v>978.38951478696254</v>
      </c>
      <c r="AZ72" s="177">
        <f t="shared" si="23"/>
        <v>972.47486827195098</v>
      </c>
      <c r="BA72" s="177">
        <f t="shared" si="23"/>
        <v>981.09674921337137</v>
      </c>
      <c r="BB72" s="177">
        <f t="shared" si="23"/>
        <v>998.15054560801946</v>
      </c>
      <c r="BC72" s="177">
        <f t="shared" si="23"/>
        <v>1008.0249277586918</v>
      </c>
      <c r="BD72" s="177">
        <f t="shared" si="23"/>
        <v>1021.2836824003025</v>
      </c>
      <c r="BE72" s="177">
        <f t="shared" si="23"/>
        <v>1071.8259934669768</v>
      </c>
      <c r="BF72" s="177">
        <f t="shared" si="23"/>
        <v>1056.0980139720341</v>
      </c>
      <c r="BG72" s="177">
        <f t="shared" si="23"/>
        <v>1021.1639662138841</v>
      </c>
      <c r="BH72" s="177">
        <f t="shared" si="23"/>
        <v>1005.5357937759836</v>
      </c>
      <c r="BI72" s="177">
        <f t="shared" si="23"/>
        <v>1005.3449795907363</v>
      </c>
      <c r="BJ72" s="177">
        <f t="shared" si="23"/>
        <v>997.80624432828336</v>
      </c>
      <c r="BK72" s="177">
        <f t="shared" si="23"/>
        <v>1036.8526768868469</v>
      </c>
      <c r="BL72" s="177">
        <f t="shared" si="23"/>
        <v>1071.9940904762334</v>
      </c>
    </row>
    <row r="73" spans="1:64" ht="12.75" x14ac:dyDescent="0.2">
      <c r="A73" s="51" t="str" cm="1">
        <f t="array" ref="A73">INDEX(TariffCode, MATCH(1,(C73=TariffZone)*(D73=TariffProduct),0))</f>
        <v>GS</v>
      </c>
      <c r="B73" s="51" t="str">
        <f>IF($D73="Water",IF(C73="Standard",Assumptions!$H$90,Assumptions!$H$93),"")</f>
        <v/>
      </c>
      <c r="C73" s="150" t="s">
        <v>290</v>
      </c>
      <c r="D73" s="150" t="s">
        <v>303</v>
      </c>
      <c r="E73" s="150" t="s">
        <v>407</v>
      </c>
      <c r="F73" s="150" t="s">
        <v>262</v>
      </c>
      <c r="G73" s="51" t="str">
        <f t="shared" si="14"/>
        <v>Infill</v>
      </c>
      <c r="H73" s="177"/>
      <c r="I73" s="177"/>
      <c r="J73" s="177"/>
      <c r="K73" s="51"/>
      <c r="L73" s="51"/>
      <c r="M73" s="51"/>
      <c r="N73" s="51"/>
      <c r="O73" s="51"/>
      <c r="P73" s="51"/>
      <c r="Q73" s="51"/>
      <c r="R73" s="51"/>
      <c r="S73" s="177">
        <f t="shared" si="11"/>
        <v>0</v>
      </c>
      <c r="T73" s="177">
        <f t="shared" si="12"/>
        <v>0</v>
      </c>
      <c r="U73" s="177">
        <f t="shared" si="12"/>
        <v>0</v>
      </c>
      <c r="V73" s="177">
        <f t="shared" si="12"/>
        <v>0</v>
      </c>
      <c r="W73" s="177">
        <f t="shared" si="12"/>
        <v>0</v>
      </c>
      <c r="X73" s="177">
        <f t="shared" si="12"/>
        <v>0</v>
      </c>
      <c r="Y73" s="177">
        <f t="shared" si="12"/>
        <v>0</v>
      </c>
      <c r="Z73" s="177">
        <f t="shared" si="12"/>
        <v>0</v>
      </c>
      <c r="AA73" s="177">
        <f t="shared" si="12"/>
        <v>0</v>
      </c>
      <c r="AB73" s="177">
        <f t="shared" si="15"/>
        <v>0</v>
      </c>
      <c r="AC73" s="177">
        <f t="shared" ref="AC73:BL73" si="24">AC21-AB21</f>
        <v>0</v>
      </c>
      <c r="AD73" s="177">
        <f t="shared" si="24"/>
        <v>0</v>
      </c>
      <c r="AE73" s="177">
        <f t="shared" si="24"/>
        <v>0</v>
      </c>
      <c r="AF73" s="177">
        <f t="shared" si="24"/>
        <v>0</v>
      </c>
      <c r="AG73" s="177">
        <f t="shared" si="24"/>
        <v>0</v>
      </c>
      <c r="AH73" s="177">
        <f t="shared" si="24"/>
        <v>0</v>
      </c>
      <c r="AI73" s="177">
        <f t="shared" si="24"/>
        <v>0</v>
      </c>
      <c r="AJ73" s="177">
        <f t="shared" si="24"/>
        <v>0</v>
      </c>
      <c r="AK73" s="177">
        <f t="shared" si="24"/>
        <v>0</v>
      </c>
      <c r="AL73" s="177">
        <f t="shared" si="24"/>
        <v>0</v>
      </c>
      <c r="AM73" s="177">
        <f t="shared" si="24"/>
        <v>0</v>
      </c>
      <c r="AN73" s="177">
        <f t="shared" si="24"/>
        <v>0</v>
      </c>
      <c r="AO73" s="177">
        <f t="shared" si="24"/>
        <v>0</v>
      </c>
      <c r="AP73" s="177">
        <f t="shared" si="24"/>
        <v>0</v>
      </c>
      <c r="AQ73" s="177">
        <f t="shared" si="24"/>
        <v>0</v>
      </c>
      <c r="AR73" s="177">
        <f t="shared" si="24"/>
        <v>0</v>
      </c>
      <c r="AS73" s="177">
        <f t="shared" si="24"/>
        <v>0</v>
      </c>
      <c r="AT73" s="177">
        <f t="shared" si="24"/>
        <v>0</v>
      </c>
      <c r="AU73" s="177">
        <f t="shared" si="24"/>
        <v>0</v>
      </c>
      <c r="AV73" s="177">
        <f t="shared" si="24"/>
        <v>0</v>
      </c>
      <c r="AW73" s="177">
        <f t="shared" si="24"/>
        <v>0</v>
      </c>
      <c r="AX73" s="177">
        <f t="shared" si="24"/>
        <v>0</v>
      </c>
      <c r="AY73" s="177">
        <f t="shared" si="24"/>
        <v>0</v>
      </c>
      <c r="AZ73" s="177">
        <f t="shared" si="24"/>
        <v>0</v>
      </c>
      <c r="BA73" s="177">
        <f t="shared" si="24"/>
        <v>0</v>
      </c>
      <c r="BB73" s="177">
        <f t="shared" si="24"/>
        <v>0</v>
      </c>
      <c r="BC73" s="177">
        <f t="shared" si="24"/>
        <v>0</v>
      </c>
      <c r="BD73" s="177">
        <f t="shared" si="24"/>
        <v>0</v>
      </c>
      <c r="BE73" s="177">
        <f t="shared" si="24"/>
        <v>0</v>
      </c>
      <c r="BF73" s="177">
        <f t="shared" si="24"/>
        <v>0</v>
      </c>
      <c r="BG73" s="177">
        <f t="shared" si="24"/>
        <v>0</v>
      </c>
      <c r="BH73" s="177">
        <f t="shared" si="24"/>
        <v>0</v>
      </c>
      <c r="BI73" s="177">
        <f t="shared" si="24"/>
        <v>0</v>
      </c>
      <c r="BJ73" s="177">
        <f t="shared" si="24"/>
        <v>0</v>
      </c>
      <c r="BK73" s="177">
        <f t="shared" si="24"/>
        <v>0</v>
      </c>
      <c r="BL73" s="177">
        <f t="shared" si="24"/>
        <v>0</v>
      </c>
    </row>
    <row r="74" spans="1:64" ht="12.75" x14ac:dyDescent="0.2">
      <c r="A74" s="51" t="str" cm="1">
        <f t="array" ref="A74">INDEX(TariffCode, MATCH(1,(C74=TariffZone)*(D74=TariffProduct),0))</f>
        <v>WR</v>
      </c>
      <c r="B74" s="51" t="str">
        <f>IF($D74="Water",IF(C74="Standard",Assumptions!$H$90,Assumptions!$H$93),"")</f>
        <v/>
      </c>
      <c r="C74" s="150" t="s">
        <v>283</v>
      </c>
      <c r="D74" s="150" t="s">
        <v>310</v>
      </c>
      <c r="E74" s="150" t="s">
        <v>407</v>
      </c>
      <c r="F74" s="150" t="s">
        <v>262</v>
      </c>
      <c r="G74" s="51" t="str">
        <f t="shared" si="14"/>
        <v>Infill</v>
      </c>
      <c r="H74" s="174">
        <f t="shared" ref="H74:H78" si="25">AB22-AA22</f>
        <v>-49.5368305990146</v>
      </c>
      <c r="I74" s="174">
        <f t="shared" ref="I74:I78" si="26">(H74-J74)*-1</f>
        <v>49.5368305990146</v>
      </c>
      <c r="J74" s="174">
        <v>0</v>
      </c>
      <c r="K74" s="51"/>
      <c r="L74" s="51"/>
      <c r="M74" s="51"/>
      <c r="N74" s="51"/>
      <c r="O74" s="51"/>
      <c r="P74" s="51"/>
      <c r="Q74" s="51"/>
      <c r="R74" s="51"/>
      <c r="S74" s="177">
        <f t="shared" si="11"/>
        <v>2.783324825938609</v>
      </c>
      <c r="T74" s="177">
        <f t="shared" ref="T74:AA83" si="27">T22-S22</f>
        <v>3</v>
      </c>
      <c r="U74" s="177">
        <f t="shared" si="27"/>
        <v>1.5473466793771848</v>
      </c>
      <c r="V74" s="177">
        <f t="shared" si="27"/>
        <v>3.0000000000000142</v>
      </c>
      <c r="W74" s="177">
        <f t="shared" si="27"/>
        <v>0</v>
      </c>
      <c r="X74" s="177">
        <f t="shared" si="27"/>
        <v>1.4526533206228009</v>
      </c>
      <c r="Y74" s="177">
        <f t="shared" si="27"/>
        <v>0</v>
      </c>
      <c r="Z74" s="177">
        <f t="shared" si="27"/>
        <v>2</v>
      </c>
      <c r="AA74" s="177">
        <f t="shared" si="27"/>
        <v>0</v>
      </c>
      <c r="AB74" s="174">
        <f t="shared" ref="AB74:AB78" si="28">J74</f>
        <v>0</v>
      </c>
      <c r="AC74" s="177">
        <f t="shared" ref="AC74:BL74" si="29">AC22-AB22</f>
        <v>0</v>
      </c>
      <c r="AD74" s="177">
        <f t="shared" si="29"/>
        <v>0</v>
      </c>
      <c r="AE74" s="177">
        <f t="shared" si="29"/>
        <v>0</v>
      </c>
      <c r="AF74" s="177">
        <f t="shared" si="29"/>
        <v>0</v>
      </c>
      <c r="AG74" s="177">
        <f t="shared" si="29"/>
        <v>0</v>
      </c>
      <c r="AH74" s="177">
        <f t="shared" si="29"/>
        <v>0</v>
      </c>
      <c r="AI74" s="177">
        <f t="shared" si="29"/>
        <v>0</v>
      </c>
      <c r="AJ74" s="177">
        <f t="shared" si="29"/>
        <v>0</v>
      </c>
      <c r="AK74" s="177">
        <f t="shared" si="29"/>
        <v>0</v>
      </c>
      <c r="AL74" s="177">
        <f t="shared" si="29"/>
        <v>0</v>
      </c>
      <c r="AM74" s="177">
        <f t="shared" si="29"/>
        <v>0</v>
      </c>
      <c r="AN74" s="177">
        <f t="shared" si="29"/>
        <v>0</v>
      </c>
      <c r="AO74" s="177">
        <f t="shared" si="29"/>
        <v>0</v>
      </c>
      <c r="AP74" s="177">
        <f t="shared" si="29"/>
        <v>0</v>
      </c>
      <c r="AQ74" s="177">
        <f t="shared" si="29"/>
        <v>0</v>
      </c>
      <c r="AR74" s="177">
        <f t="shared" si="29"/>
        <v>0</v>
      </c>
      <c r="AS74" s="177">
        <f t="shared" si="29"/>
        <v>0</v>
      </c>
      <c r="AT74" s="177">
        <f t="shared" si="29"/>
        <v>0</v>
      </c>
      <c r="AU74" s="177">
        <f t="shared" si="29"/>
        <v>0</v>
      </c>
      <c r="AV74" s="177">
        <f t="shared" si="29"/>
        <v>0</v>
      </c>
      <c r="AW74" s="177">
        <f t="shared" si="29"/>
        <v>0</v>
      </c>
      <c r="AX74" s="177">
        <f t="shared" si="29"/>
        <v>0</v>
      </c>
      <c r="AY74" s="177">
        <f t="shared" si="29"/>
        <v>0</v>
      </c>
      <c r="AZ74" s="177">
        <f t="shared" si="29"/>
        <v>0</v>
      </c>
      <c r="BA74" s="177">
        <f t="shared" si="29"/>
        <v>0</v>
      </c>
      <c r="BB74" s="177">
        <f t="shared" si="29"/>
        <v>0</v>
      </c>
      <c r="BC74" s="177">
        <f t="shared" si="29"/>
        <v>0</v>
      </c>
      <c r="BD74" s="177">
        <f t="shared" si="29"/>
        <v>0</v>
      </c>
      <c r="BE74" s="177">
        <f t="shared" si="29"/>
        <v>0</v>
      </c>
      <c r="BF74" s="177">
        <f t="shared" si="29"/>
        <v>0</v>
      </c>
      <c r="BG74" s="177">
        <f t="shared" si="29"/>
        <v>0</v>
      </c>
      <c r="BH74" s="177">
        <f t="shared" si="29"/>
        <v>0</v>
      </c>
      <c r="BI74" s="177">
        <f t="shared" si="29"/>
        <v>0</v>
      </c>
      <c r="BJ74" s="177">
        <f t="shared" si="29"/>
        <v>0</v>
      </c>
      <c r="BK74" s="177">
        <f t="shared" si="29"/>
        <v>0</v>
      </c>
      <c r="BL74" s="177">
        <f t="shared" si="29"/>
        <v>0</v>
      </c>
    </row>
    <row r="75" spans="1:64" ht="12.75" x14ac:dyDescent="0.2">
      <c r="A75" s="51" t="str" cm="1">
        <f t="array" ref="A75">INDEX(TariffCode, MATCH(1,(C75=TariffZone)*(D75=TariffProduct),0))</f>
        <v>GR</v>
      </c>
      <c r="B75" s="51" t="str">
        <f>IF($D75="Water",IF(C75="Standard",Assumptions!$H$90,Assumptions!$H$93),"")</f>
        <v/>
      </c>
      <c r="C75" s="150" t="s">
        <v>312</v>
      </c>
      <c r="D75" s="150" t="s">
        <v>310</v>
      </c>
      <c r="E75" s="150" t="s">
        <v>407</v>
      </c>
      <c r="F75" s="150" t="s">
        <v>262</v>
      </c>
      <c r="G75" s="51" t="str">
        <f t="shared" si="14"/>
        <v>Infill</v>
      </c>
      <c r="H75" s="174">
        <f t="shared" si="25"/>
        <v>19</v>
      </c>
      <c r="I75" s="174">
        <f t="shared" si="26"/>
        <v>-19</v>
      </c>
      <c r="J75" s="174">
        <v>0</v>
      </c>
      <c r="K75" s="51"/>
      <c r="L75" s="51"/>
      <c r="M75" s="51"/>
      <c r="N75" s="51"/>
      <c r="O75" s="51"/>
      <c r="P75" s="51"/>
      <c r="Q75" s="51"/>
      <c r="R75" s="51"/>
      <c r="S75" s="177">
        <f t="shared" si="11"/>
        <v>0</v>
      </c>
      <c r="T75" s="177">
        <f t="shared" si="27"/>
        <v>0</v>
      </c>
      <c r="U75" s="177">
        <f t="shared" si="27"/>
        <v>0</v>
      </c>
      <c r="V75" s="177">
        <f t="shared" si="27"/>
        <v>0</v>
      </c>
      <c r="W75" s="177">
        <f t="shared" si="27"/>
        <v>0</v>
      </c>
      <c r="X75" s="177">
        <f t="shared" si="27"/>
        <v>0</v>
      </c>
      <c r="Y75" s="177">
        <f t="shared" si="27"/>
        <v>0</v>
      </c>
      <c r="Z75" s="177">
        <f t="shared" si="27"/>
        <v>0</v>
      </c>
      <c r="AA75" s="177">
        <f t="shared" si="27"/>
        <v>0</v>
      </c>
      <c r="AB75" s="174">
        <f t="shared" si="28"/>
        <v>0</v>
      </c>
      <c r="AC75" s="177">
        <f t="shared" ref="AC75:BL75" si="30">AC23-AB23</f>
        <v>0</v>
      </c>
      <c r="AD75" s="177">
        <f t="shared" si="30"/>
        <v>0</v>
      </c>
      <c r="AE75" s="177">
        <f t="shared" si="30"/>
        <v>0</v>
      </c>
      <c r="AF75" s="177">
        <f t="shared" si="30"/>
        <v>0</v>
      </c>
      <c r="AG75" s="177">
        <f t="shared" si="30"/>
        <v>0</v>
      </c>
      <c r="AH75" s="177">
        <f t="shared" si="30"/>
        <v>0</v>
      </c>
      <c r="AI75" s="177">
        <f t="shared" si="30"/>
        <v>0</v>
      </c>
      <c r="AJ75" s="177">
        <f t="shared" si="30"/>
        <v>0</v>
      </c>
      <c r="AK75" s="177">
        <f t="shared" si="30"/>
        <v>0</v>
      </c>
      <c r="AL75" s="177">
        <f t="shared" si="30"/>
        <v>0</v>
      </c>
      <c r="AM75" s="177">
        <f t="shared" si="30"/>
        <v>0</v>
      </c>
      <c r="AN75" s="177">
        <f t="shared" si="30"/>
        <v>0</v>
      </c>
      <c r="AO75" s="177">
        <f t="shared" si="30"/>
        <v>0</v>
      </c>
      <c r="AP75" s="177">
        <f t="shared" si="30"/>
        <v>0</v>
      </c>
      <c r="AQ75" s="177">
        <f t="shared" si="30"/>
        <v>0</v>
      </c>
      <c r="AR75" s="177">
        <f t="shared" si="30"/>
        <v>0</v>
      </c>
      <c r="AS75" s="177">
        <f t="shared" si="30"/>
        <v>0</v>
      </c>
      <c r="AT75" s="177">
        <f t="shared" si="30"/>
        <v>0</v>
      </c>
      <c r="AU75" s="177">
        <f t="shared" si="30"/>
        <v>0</v>
      </c>
      <c r="AV75" s="177">
        <f t="shared" si="30"/>
        <v>0</v>
      </c>
      <c r="AW75" s="177">
        <f t="shared" si="30"/>
        <v>0</v>
      </c>
      <c r="AX75" s="177">
        <f t="shared" si="30"/>
        <v>0</v>
      </c>
      <c r="AY75" s="177">
        <f t="shared" si="30"/>
        <v>0</v>
      </c>
      <c r="AZ75" s="177">
        <f t="shared" si="30"/>
        <v>0</v>
      </c>
      <c r="BA75" s="177">
        <f t="shared" si="30"/>
        <v>0</v>
      </c>
      <c r="BB75" s="177">
        <f t="shared" si="30"/>
        <v>0</v>
      </c>
      <c r="BC75" s="177">
        <f t="shared" si="30"/>
        <v>0</v>
      </c>
      <c r="BD75" s="177">
        <f t="shared" si="30"/>
        <v>0</v>
      </c>
      <c r="BE75" s="177">
        <f t="shared" si="30"/>
        <v>0</v>
      </c>
      <c r="BF75" s="177">
        <f t="shared" si="30"/>
        <v>0</v>
      </c>
      <c r="BG75" s="177">
        <f t="shared" si="30"/>
        <v>0</v>
      </c>
      <c r="BH75" s="177">
        <f t="shared" si="30"/>
        <v>0</v>
      </c>
      <c r="BI75" s="177">
        <f t="shared" si="30"/>
        <v>0</v>
      </c>
      <c r="BJ75" s="177">
        <f t="shared" si="30"/>
        <v>0</v>
      </c>
      <c r="BK75" s="177">
        <f t="shared" si="30"/>
        <v>0</v>
      </c>
      <c r="BL75" s="177">
        <f t="shared" si="30"/>
        <v>0</v>
      </c>
    </row>
    <row r="76" spans="1:64" ht="12.75" x14ac:dyDescent="0.2">
      <c r="A76" s="51" t="str" cm="1">
        <f t="array" ref="A76">INDEX(TariffCode, MATCH(1,(C76=TariffZone)*(D76=TariffProduct),0))</f>
        <v>SW</v>
      </c>
      <c r="B76" s="51" t="str">
        <f>IF($D76="Water",IF(C76="Standard",Assumptions!$H$90,Assumptions!$H$93),"")</f>
        <v>SA</v>
      </c>
      <c r="C76" s="150" t="s">
        <v>287</v>
      </c>
      <c r="D76" s="150" t="s">
        <v>301</v>
      </c>
      <c r="E76" s="150" t="s">
        <v>405</v>
      </c>
      <c r="F76" s="150" t="s">
        <v>265</v>
      </c>
      <c r="G76" s="51" t="str">
        <f t="shared" si="14"/>
        <v>Infill</v>
      </c>
      <c r="H76" s="174">
        <f t="shared" si="25"/>
        <v>-9435.8612812567735</v>
      </c>
      <c r="I76" s="174">
        <f t="shared" si="26"/>
        <v>10193.086798819522</v>
      </c>
      <c r="J76" s="174">
        <f>AVERAGE(AC76:AH76)</f>
        <v>757.22551756274822</v>
      </c>
      <c r="K76" s="51"/>
      <c r="L76" s="51"/>
      <c r="M76" s="51"/>
      <c r="N76" s="51"/>
      <c r="O76" s="51"/>
      <c r="P76" s="51"/>
      <c r="Q76" s="51"/>
      <c r="R76" s="51"/>
      <c r="S76" s="177">
        <f t="shared" si="11"/>
        <v>5220.6751931284098</v>
      </c>
      <c r="T76" s="177">
        <f t="shared" si="27"/>
        <v>6289</v>
      </c>
      <c r="U76" s="177">
        <f t="shared" si="27"/>
        <v>3020</v>
      </c>
      <c r="V76" s="177">
        <f t="shared" si="27"/>
        <v>1947</v>
      </c>
      <c r="W76" s="177">
        <f t="shared" si="27"/>
        <v>1374</v>
      </c>
      <c r="X76" s="177">
        <f t="shared" si="27"/>
        <v>1594</v>
      </c>
      <c r="Y76" s="177">
        <f t="shared" si="27"/>
        <v>1793</v>
      </c>
      <c r="Z76" s="177">
        <f t="shared" si="27"/>
        <v>1652</v>
      </c>
      <c r="AA76" s="177">
        <f t="shared" si="27"/>
        <v>1384</v>
      </c>
      <c r="AB76" s="174">
        <f t="shared" si="28"/>
        <v>757.22551756274822</v>
      </c>
      <c r="AC76" s="177">
        <f t="shared" ref="AC76:BL76" si="31">AC24-AB24</f>
        <v>801.35623138933443</v>
      </c>
      <c r="AD76" s="177">
        <f t="shared" si="31"/>
        <v>641.33743430731556</v>
      </c>
      <c r="AE76" s="177">
        <f t="shared" si="31"/>
        <v>768.82932971043192</v>
      </c>
      <c r="AF76" s="177">
        <f t="shared" si="31"/>
        <v>691.17207673125085</v>
      </c>
      <c r="AG76" s="177">
        <f t="shared" si="31"/>
        <v>756.94161678494129</v>
      </c>
      <c r="AH76" s="177">
        <f t="shared" si="31"/>
        <v>883.71641645321506</v>
      </c>
      <c r="AI76" s="177">
        <f t="shared" si="31"/>
        <v>893.13094966088829</v>
      </c>
      <c r="AJ76" s="177">
        <f t="shared" si="31"/>
        <v>845.92926274734782</v>
      </c>
      <c r="AK76" s="177">
        <f t="shared" si="31"/>
        <v>731.45123569898715</v>
      </c>
      <c r="AL76" s="177">
        <f t="shared" si="31"/>
        <v>649.35518409479118</v>
      </c>
      <c r="AM76" s="177">
        <f t="shared" si="31"/>
        <v>602.63854126013757</v>
      </c>
      <c r="AN76" s="177">
        <f t="shared" si="31"/>
        <v>623.50893499855738</v>
      </c>
      <c r="AO76" s="177">
        <f t="shared" si="31"/>
        <v>601.77966659538652</v>
      </c>
      <c r="AP76" s="177">
        <f t="shared" si="31"/>
        <v>567.96801216393942</v>
      </c>
      <c r="AQ76" s="177">
        <f t="shared" si="31"/>
        <v>574.35191014196607</v>
      </c>
      <c r="AR76" s="177">
        <f t="shared" si="31"/>
        <v>579.9306364832737</v>
      </c>
      <c r="AS76" s="177">
        <f t="shared" si="31"/>
        <v>564.49229769782687</v>
      </c>
      <c r="AT76" s="177">
        <f t="shared" si="31"/>
        <v>611.78898107289569</v>
      </c>
      <c r="AU76" s="177">
        <f t="shared" si="31"/>
        <v>647.44148078805301</v>
      </c>
      <c r="AV76" s="177">
        <f t="shared" si="31"/>
        <v>721.61844094030675</v>
      </c>
      <c r="AW76" s="177">
        <f t="shared" si="31"/>
        <v>863.87338186166744</v>
      </c>
      <c r="AX76" s="177">
        <f t="shared" si="31"/>
        <v>1007.1850518201609</v>
      </c>
      <c r="AY76" s="177">
        <f t="shared" si="31"/>
        <v>1129.2022340451513</v>
      </c>
      <c r="AZ76" s="177">
        <f t="shared" si="31"/>
        <v>1097.8223849070782</v>
      </c>
      <c r="BA76" s="177">
        <f t="shared" si="31"/>
        <v>1048.6838901706506</v>
      </c>
      <c r="BB76" s="177">
        <f t="shared" si="31"/>
        <v>971.09540437709074</v>
      </c>
      <c r="BC76" s="177">
        <f t="shared" si="31"/>
        <v>954.63137326654396</v>
      </c>
      <c r="BD76" s="177">
        <f t="shared" si="31"/>
        <v>1006.7465534318326</v>
      </c>
      <c r="BE76" s="177">
        <f t="shared" si="31"/>
        <v>1028.2564537427461</v>
      </c>
      <c r="BF76" s="177">
        <f t="shared" si="31"/>
        <v>1028.5014655371342</v>
      </c>
      <c r="BG76" s="177">
        <f t="shared" si="31"/>
        <v>984.21527530549793</v>
      </c>
      <c r="BH76" s="177">
        <f t="shared" si="31"/>
        <v>1024.9791094496104</v>
      </c>
      <c r="BI76" s="177">
        <f t="shared" si="31"/>
        <v>1109.7550969028962</v>
      </c>
      <c r="BJ76" s="177">
        <f t="shared" si="31"/>
        <v>1174.1890183753567</v>
      </c>
      <c r="BK76" s="177">
        <f t="shared" si="31"/>
        <v>1041.1833914715389</v>
      </c>
      <c r="BL76" s="177">
        <f t="shared" si="31"/>
        <v>1001.9291975138767</v>
      </c>
    </row>
    <row r="77" spans="1:64" ht="12.75" x14ac:dyDescent="0.2">
      <c r="A77" s="51" t="str" cm="1">
        <f t="array" ref="A77">INDEX(TariffCode, MATCH(1,(C77=TariffZone)*(D77=TariffProduct),0))</f>
        <v>GW</v>
      </c>
      <c r="B77" s="51" t="str">
        <f>IF($D77="Water",IF(C77="Standard",Assumptions!$H$90,Assumptions!$H$93),"")</f>
        <v>GA</v>
      </c>
      <c r="C77" s="150" t="s">
        <v>290</v>
      </c>
      <c r="D77" s="150" t="s">
        <v>301</v>
      </c>
      <c r="E77" s="150" t="s">
        <v>405</v>
      </c>
      <c r="F77" s="150" t="s">
        <v>265</v>
      </c>
      <c r="G77" s="51" t="str">
        <f t="shared" si="14"/>
        <v>Infill</v>
      </c>
      <c r="H77" s="177"/>
      <c r="I77" s="177"/>
      <c r="J77" s="177"/>
      <c r="K77" s="51"/>
      <c r="L77" s="51"/>
      <c r="M77" s="51"/>
      <c r="N77" s="51"/>
      <c r="O77" s="51"/>
      <c r="P77" s="51"/>
      <c r="Q77" s="51"/>
      <c r="R77" s="51"/>
      <c r="S77" s="177">
        <f t="shared" si="11"/>
        <v>0</v>
      </c>
      <c r="T77" s="177">
        <f t="shared" si="27"/>
        <v>0</v>
      </c>
      <c r="U77" s="177">
        <f t="shared" si="27"/>
        <v>0</v>
      </c>
      <c r="V77" s="177">
        <f t="shared" si="27"/>
        <v>0</v>
      </c>
      <c r="W77" s="177">
        <f t="shared" si="27"/>
        <v>0</v>
      </c>
      <c r="X77" s="177">
        <f t="shared" si="27"/>
        <v>0</v>
      </c>
      <c r="Y77" s="177">
        <f t="shared" si="27"/>
        <v>0</v>
      </c>
      <c r="Z77" s="177">
        <f t="shared" si="27"/>
        <v>0</v>
      </c>
      <c r="AA77" s="177">
        <f t="shared" si="27"/>
        <v>0</v>
      </c>
      <c r="AB77" s="177">
        <f t="shared" si="15"/>
        <v>0</v>
      </c>
      <c r="AC77" s="177">
        <f t="shared" ref="AC77:BL77" si="32">AC25-AB25</f>
        <v>0</v>
      </c>
      <c r="AD77" s="177">
        <f t="shared" si="32"/>
        <v>0</v>
      </c>
      <c r="AE77" s="177">
        <f t="shared" si="32"/>
        <v>0</v>
      </c>
      <c r="AF77" s="177">
        <f t="shared" si="32"/>
        <v>0</v>
      </c>
      <c r="AG77" s="177">
        <f t="shared" si="32"/>
        <v>0</v>
      </c>
      <c r="AH77" s="177">
        <f t="shared" si="32"/>
        <v>0</v>
      </c>
      <c r="AI77" s="177">
        <f t="shared" si="32"/>
        <v>0</v>
      </c>
      <c r="AJ77" s="177">
        <f t="shared" si="32"/>
        <v>0</v>
      </c>
      <c r="AK77" s="177">
        <f t="shared" si="32"/>
        <v>0</v>
      </c>
      <c r="AL77" s="177">
        <f t="shared" si="32"/>
        <v>0</v>
      </c>
      <c r="AM77" s="177">
        <f t="shared" si="32"/>
        <v>0</v>
      </c>
      <c r="AN77" s="177">
        <f t="shared" si="32"/>
        <v>0</v>
      </c>
      <c r="AO77" s="177">
        <f t="shared" si="32"/>
        <v>0</v>
      </c>
      <c r="AP77" s="177">
        <f t="shared" si="32"/>
        <v>0</v>
      </c>
      <c r="AQ77" s="177">
        <f t="shared" si="32"/>
        <v>0</v>
      </c>
      <c r="AR77" s="177">
        <f t="shared" si="32"/>
        <v>0</v>
      </c>
      <c r="AS77" s="177">
        <f t="shared" si="32"/>
        <v>0</v>
      </c>
      <c r="AT77" s="177">
        <f t="shared" si="32"/>
        <v>0</v>
      </c>
      <c r="AU77" s="177">
        <f t="shared" si="32"/>
        <v>0</v>
      </c>
      <c r="AV77" s="177">
        <f t="shared" si="32"/>
        <v>0</v>
      </c>
      <c r="AW77" s="177">
        <f t="shared" si="32"/>
        <v>0</v>
      </c>
      <c r="AX77" s="177">
        <f t="shared" si="32"/>
        <v>0</v>
      </c>
      <c r="AY77" s="177">
        <f t="shared" si="32"/>
        <v>0</v>
      </c>
      <c r="AZ77" s="177">
        <f t="shared" si="32"/>
        <v>0</v>
      </c>
      <c r="BA77" s="177">
        <f t="shared" si="32"/>
        <v>0</v>
      </c>
      <c r="BB77" s="177">
        <f t="shared" si="32"/>
        <v>0</v>
      </c>
      <c r="BC77" s="177">
        <f t="shared" si="32"/>
        <v>0</v>
      </c>
      <c r="BD77" s="177">
        <f t="shared" si="32"/>
        <v>0</v>
      </c>
      <c r="BE77" s="177">
        <f t="shared" si="32"/>
        <v>0</v>
      </c>
      <c r="BF77" s="177">
        <f t="shared" si="32"/>
        <v>0</v>
      </c>
      <c r="BG77" s="177">
        <f t="shared" si="32"/>
        <v>0</v>
      </c>
      <c r="BH77" s="177">
        <f t="shared" si="32"/>
        <v>0</v>
      </c>
      <c r="BI77" s="177">
        <f t="shared" si="32"/>
        <v>0</v>
      </c>
      <c r="BJ77" s="177">
        <f t="shared" si="32"/>
        <v>0</v>
      </c>
      <c r="BK77" s="177">
        <f t="shared" si="32"/>
        <v>0</v>
      </c>
      <c r="BL77" s="177">
        <f t="shared" si="32"/>
        <v>0</v>
      </c>
    </row>
    <row r="78" spans="1:64" ht="12.75" x14ac:dyDescent="0.2">
      <c r="A78" s="51" t="str" cm="1">
        <f t="array" ref="A78">INDEX(TariffCode, MATCH(1,(C78=TariffZone)*(D78=TariffProduct),0))</f>
        <v>SS</v>
      </c>
      <c r="B78" s="51" t="str">
        <f>IF($D78="Water",IF(C78="Standard",Assumptions!$H$90,Assumptions!$H$93),"")</f>
        <v/>
      </c>
      <c r="C78" s="150" t="s">
        <v>287</v>
      </c>
      <c r="D78" s="150" t="s">
        <v>303</v>
      </c>
      <c r="E78" s="150" t="s">
        <v>405</v>
      </c>
      <c r="F78" s="150" t="s">
        <v>265</v>
      </c>
      <c r="G78" s="51" t="str">
        <f t="shared" si="14"/>
        <v>Infill</v>
      </c>
      <c r="H78" s="174">
        <f t="shared" si="25"/>
        <v>-9452.1441063758612</v>
      </c>
      <c r="I78" s="174">
        <f t="shared" si="26"/>
        <v>10209.36962393861</v>
      </c>
      <c r="J78" s="174">
        <f>AVERAGE(AC78:AH78)</f>
        <v>757.22551756274936</v>
      </c>
      <c r="K78" s="51"/>
      <c r="L78" s="51"/>
      <c r="M78" s="51"/>
      <c r="N78" s="51"/>
      <c r="O78" s="51"/>
      <c r="P78" s="51"/>
      <c r="Q78" s="51"/>
      <c r="R78" s="51"/>
      <c r="S78" s="177">
        <f t="shared" si="11"/>
        <v>4955.2335079133391</v>
      </c>
      <c r="T78" s="177">
        <f t="shared" si="27"/>
        <v>5978</v>
      </c>
      <c r="U78" s="177">
        <f t="shared" si="27"/>
        <v>3136</v>
      </c>
      <c r="V78" s="177">
        <f t="shared" si="27"/>
        <v>1884</v>
      </c>
      <c r="W78" s="177">
        <f t="shared" si="27"/>
        <v>1338</v>
      </c>
      <c r="X78" s="177">
        <f t="shared" si="27"/>
        <v>1834</v>
      </c>
      <c r="Y78" s="177">
        <f t="shared" si="27"/>
        <v>1664</v>
      </c>
      <c r="Z78" s="177">
        <f t="shared" si="27"/>
        <v>1641</v>
      </c>
      <c r="AA78" s="177">
        <f t="shared" si="27"/>
        <v>1373</v>
      </c>
      <c r="AB78" s="174">
        <f t="shared" si="28"/>
        <v>757.22551756274936</v>
      </c>
      <c r="AC78" s="177">
        <f t="shared" ref="AC78:BL78" si="33">AC26-AB26</f>
        <v>801.3562313893417</v>
      </c>
      <c r="AD78" s="177">
        <f t="shared" si="33"/>
        <v>641.33743430730829</v>
      </c>
      <c r="AE78" s="177">
        <f t="shared" si="33"/>
        <v>768.82932971043192</v>
      </c>
      <c r="AF78" s="177">
        <f t="shared" si="33"/>
        <v>691.17207673125813</v>
      </c>
      <c r="AG78" s="177">
        <f t="shared" si="33"/>
        <v>756.94161678492674</v>
      </c>
      <c r="AH78" s="177">
        <f t="shared" si="33"/>
        <v>883.71641645322961</v>
      </c>
      <c r="AI78" s="177">
        <f t="shared" si="33"/>
        <v>893.13094966088829</v>
      </c>
      <c r="AJ78" s="177">
        <f t="shared" si="33"/>
        <v>845.92926274734782</v>
      </c>
      <c r="AK78" s="177">
        <f t="shared" si="33"/>
        <v>731.45123569898715</v>
      </c>
      <c r="AL78" s="177">
        <f t="shared" si="33"/>
        <v>649.35518409479118</v>
      </c>
      <c r="AM78" s="177">
        <f t="shared" si="33"/>
        <v>602.63854126012302</v>
      </c>
      <c r="AN78" s="177">
        <f t="shared" si="33"/>
        <v>623.50893499856465</v>
      </c>
      <c r="AO78" s="177">
        <f t="shared" si="33"/>
        <v>601.77966659539379</v>
      </c>
      <c r="AP78" s="177">
        <f t="shared" si="33"/>
        <v>567.96801216392487</v>
      </c>
      <c r="AQ78" s="177">
        <f t="shared" si="33"/>
        <v>574.35191014197335</v>
      </c>
      <c r="AR78" s="177">
        <f t="shared" si="33"/>
        <v>579.93063648328098</v>
      </c>
      <c r="AS78" s="177">
        <f t="shared" si="33"/>
        <v>564.49229769782687</v>
      </c>
      <c r="AT78" s="177">
        <f t="shared" si="33"/>
        <v>611.78898107288114</v>
      </c>
      <c r="AU78" s="177">
        <f t="shared" si="33"/>
        <v>647.44148078806757</v>
      </c>
      <c r="AV78" s="177">
        <f t="shared" si="33"/>
        <v>721.61844094030675</v>
      </c>
      <c r="AW78" s="177">
        <f t="shared" si="33"/>
        <v>863.87338186166016</v>
      </c>
      <c r="AX78" s="177">
        <f t="shared" si="33"/>
        <v>1007.1850518201682</v>
      </c>
      <c r="AY78" s="177">
        <f t="shared" si="33"/>
        <v>1129.2022340451513</v>
      </c>
      <c r="AZ78" s="177">
        <f t="shared" si="33"/>
        <v>1097.8223849070637</v>
      </c>
      <c r="BA78" s="177">
        <f t="shared" si="33"/>
        <v>1048.6838901706578</v>
      </c>
      <c r="BB78" s="177">
        <f t="shared" si="33"/>
        <v>971.09540437708347</v>
      </c>
      <c r="BC78" s="177">
        <f t="shared" si="33"/>
        <v>954.63137326655851</v>
      </c>
      <c r="BD78" s="177">
        <f t="shared" si="33"/>
        <v>1006.7465534318253</v>
      </c>
      <c r="BE78" s="177">
        <f t="shared" si="33"/>
        <v>1028.2564537427534</v>
      </c>
      <c r="BF78" s="177">
        <f t="shared" si="33"/>
        <v>1028.5014655371269</v>
      </c>
      <c r="BG78" s="177">
        <f t="shared" si="33"/>
        <v>984.21527530549793</v>
      </c>
      <c r="BH78" s="177">
        <f t="shared" si="33"/>
        <v>1024.9791094496104</v>
      </c>
      <c r="BI78" s="177">
        <f t="shared" si="33"/>
        <v>1109.7550969028889</v>
      </c>
      <c r="BJ78" s="177">
        <f t="shared" si="33"/>
        <v>1174.1890183753712</v>
      </c>
      <c r="BK78" s="177">
        <f t="shared" si="33"/>
        <v>1041.1833914715244</v>
      </c>
      <c r="BL78" s="177">
        <f t="shared" si="33"/>
        <v>1001.9291975138767</v>
      </c>
    </row>
    <row r="79" spans="1:64" ht="12.75" x14ac:dyDescent="0.2">
      <c r="A79" s="51" t="str" cm="1">
        <f t="array" ref="A79">INDEX(TariffCode, MATCH(1,(C79=TariffZone)*(D79=TariffProduct),0))</f>
        <v>GS</v>
      </c>
      <c r="B79" s="51" t="str">
        <f>IF($D79="Water",IF(C79="Standard",Assumptions!$H$90,Assumptions!$H$93),"")</f>
        <v/>
      </c>
      <c r="C79" s="150" t="s">
        <v>290</v>
      </c>
      <c r="D79" s="150" t="s">
        <v>303</v>
      </c>
      <c r="E79" s="150" t="s">
        <v>405</v>
      </c>
      <c r="F79" s="150" t="s">
        <v>265</v>
      </c>
      <c r="G79" s="51" t="str">
        <f t="shared" si="14"/>
        <v>Infill</v>
      </c>
      <c r="H79" s="177"/>
      <c r="I79" s="177"/>
      <c r="J79" s="177"/>
      <c r="K79" s="51"/>
      <c r="L79" s="51"/>
      <c r="M79" s="51"/>
      <c r="N79" s="51"/>
      <c r="O79" s="51"/>
      <c r="P79" s="51"/>
      <c r="Q79" s="51"/>
      <c r="R79" s="51"/>
      <c r="S79" s="177">
        <f t="shared" si="11"/>
        <v>0</v>
      </c>
      <c r="T79" s="177">
        <f t="shared" si="27"/>
        <v>0</v>
      </c>
      <c r="U79" s="177">
        <f t="shared" si="27"/>
        <v>0</v>
      </c>
      <c r="V79" s="177">
        <f t="shared" si="27"/>
        <v>0</v>
      </c>
      <c r="W79" s="177">
        <f t="shared" si="27"/>
        <v>0</v>
      </c>
      <c r="X79" s="177">
        <f t="shared" si="27"/>
        <v>0</v>
      </c>
      <c r="Y79" s="177">
        <f t="shared" si="27"/>
        <v>0</v>
      </c>
      <c r="Z79" s="177">
        <f t="shared" si="27"/>
        <v>0</v>
      </c>
      <c r="AA79" s="177">
        <f t="shared" si="27"/>
        <v>0</v>
      </c>
      <c r="AB79" s="177">
        <f t="shared" si="15"/>
        <v>0</v>
      </c>
      <c r="AC79" s="177">
        <f t="shared" ref="AC79:BL79" si="34">AC27-AB27</f>
        <v>0</v>
      </c>
      <c r="AD79" s="177">
        <f t="shared" si="34"/>
        <v>0</v>
      </c>
      <c r="AE79" s="177">
        <f t="shared" si="34"/>
        <v>0</v>
      </c>
      <c r="AF79" s="177">
        <f t="shared" si="34"/>
        <v>0</v>
      </c>
      <c r="AG79" s="177">
        <f t="shared" si="34"/>
        <v>0</v>
      </c>
      <c r="AH79" s="177">
        <f t="shared" si="34"/>
        <v>0</v>
      </c>
      <c r="AI79" s="177">
        <f t="shared" si="34"/>
        <v>0</v>
      </c>
      <c r="AJ79" s="177">
        <f t="shared" si="34"/>
        <v>0</v>
      </c>
      <c r="AK79" s="177">
        <f t="shared" si="34"/>
        <v>0</v>
      </c>
      <c r="AL79" s="177">
        <f t="shared" si="34"/>
        <v>0</v>
      </c>
      <c r="AM79" s="177">
        <f t="shared" si="34"/>
        <v>0</v>
      </c>
      <c r="AN79" s="177">
        <f t="shared" si="34"/>
        <v>0</v>
      </c>
      <c r="AO79" s="177">
        <f t="shared" si="34"/>
        <v>0</v>
      </c>
      <c r="AP79" s="177">
        <f t="shared" si="34"/>
        <v>0</v>
      </c>
      <c r="AQ79" s="177">
        <f t="shared" si="34"/>
        <v>0</v>
      </c>
      <c r="AR79" s="177">
        <f t="shared" si="34"/>
        <v>0</v>
      </c>
      <c r="AS79" s="177">
        <f t="shared" si="34"/>
        <v>0</v>
      </c>
      <c r="AT79" s="177">
        <f t="shared" si="34"/>
        <v>0</v>
      </c>
      <c r="AU79" s="177">
        <f t="shared" si="34"/>
        <v>0</v>
      </c>
      <c r="AV79" s="177">
        <f t="shared" si="34"/>
        <v>0</v>
      </c>
      <c r="AW79" s="177">
        <f t="shared" si="34"/>
        <v>0</v>
      </c>
      <c r="AX79" s="177">
        <f t="shared" si="34"/>
        <v>0</v>
      </c>
      <c r="AY79" s="177">
        <f t="shared" si="34"/>
        <v>0</v>
      </c>
      <c r="AZ79" s="177">
        <f t="shared" si="34"/>
        <v>0</v>
      </c>
      <c r="BA79" s="177">
        <f t="shared" si="34"/>
        <v>0</v>
      </c>
      <c r="BB79" s="177">
        <f t="shared" si="34"/>
        <v>0</v>
      </c>
      <c r="BC79" s="177">
        <f t="shared" si="34"/>
        <v>0</v>
      </c>
      <c r="BD79" s="177">
        <f t="shared" si="34"/>
        <v>0</v>
      </c>
      <c r="BE79" s="177">
        <f t="shared" si="34"/>
        <v>0</v>
      </c>
      <c r="BF79" s="177">
        <f t="shared" si="34"/>
        <v>0</v>
      </c>
      <c r="BG79" s="177">
        <f t="shared" si="34"/>
        <v>0</v>
      </c>
      <c r="BH79" s="177">
        <f t="shared" si="34"/>
        <v>0</v>
      </c>
      <c r="BI79" s="177">
        <f t="shared" si="34"/>
        <v>0</v>
      </c>
      <c r="BJ79" s="177">
        <f t="shared" si="34"/>
        <v>0</v>
      </c>
      <c r="BK79" s="177">
        <f t="shared" si="34"/>
        <v>0</v>
      </c>
      <c r="BL79" s="177">
        <f t="shared" si="34"/>
        <v>0</v>
      </c>
    </row>
    <row r="80" spans="1:64" ht="12.75" x14ac:dyDescent="0.2">
      <c r="A80" s="51" t="str" cm="1">
        <f t="array" ref="A80">INDEX(TariffCode, MATCH(1,(C80=TariffZone)*(D80=TariffProduct),0))</f>
        <v>WR</v>
      </c>
      <c r="B80" s="51" t="str">
        <f>IF($D80="Water",IF(C80="Standard",Assumptions!$H$90,Assumptions!$H$93),"")</f>
        <v/>
      </c>
      <c r="C80" s="150" t="s">
        <v>283</v>
      </c>
      <c r="D80" s="150" t="s">
        <v>310</v>
      </c>
      <c r="E80" s="150" t="s">
        <v>405</v>
      </c>
      <c r="F80" s="150" t="s">
        <v>265</v>
      </c>
      <c r="G80" s="51" t="str">
        <f t="shared" si="14"/>
        <v>Infill</v>
      </c>
      <c r="H80" s="177"/>
      <c r="I80" s="177"/>
      <c r="J80" s="177"/>
      <c r="K80" s="51"/>
      <c r="L80" s="51"/>
      <c r="M80" s="51"/>
      <c r="N80" s="51"/>
      <c r="O80" s="51"/>
      <c r="P80" s="51"/>
      <c r="Q80" s="51"/>
      <c r="R80" s="51"/>
      <c r="S80" s="177">
        <f t="shared" si="11"/>
        <v>0</v>
      </c>
      <c r="T80" s="177">
        <f t="shared" si="27"/>
        <v>0</v>
      </c>
      <c r="U80" s="177">
        <f t="shared" si="27"/>
        <v>0</v>
      </c>
      <c r="V80" s="177">
        <f t="shared" si="27"/>
        <v>0</v>
      </c>
      <c r="W80" s="177">
        <f t="shared" si="27"/>
        <v>0</v>
      </c>
      <c r="X80" s="177">
        <f t="shared" si="27"/>
        <v>0</v>
      </c>
      <c r="Y80" s="177">
        <f t="shared" si="27"/>
        <v>0</v>
      </c>
      <c r="Z80" s="177">
        <f t="shared" si="27"/>
        <v>0</v>
      </c>
      <c r="AA80" s="177">
        <f t="shared" si="27"/>
        <v>0</v>
      </c>
      <c r="AB80" s="177">
        <f t="shared" si="15"/>
        <v>0</v>
      </c>
      <c r="AC80" s="177">
        <f t="shared" ref="AC80:BL80" si="35">AC28-AB28</f>
        <v>0</v>
      </c>
      <c r="AD80" s="177">
        <f t="shared" si="35"/>
        <v>0</v>
      </c>
      <c r="AE80" s="177">
        <f t="shared" si="35"/>
        <v>0</v>
      </c>
      <c r="AF80" s="177">
        <f t="shared" si="35"/>
        <v>0</v>
      </c>
      <c r="AG80" s="177">
        <f t="shared" si="35"/>
        <v>0</v>
      </c>
      <c r="AH80" s="177">
        <f t="shared" si="35"/>
        <v>0</v>
      </c>
      <c r="AI80" s="177">
        <f t="shared" si="35"/>
        <v>0</v>
      </c>
      <c r="AJ80" s="177">
        <f t="shared" si="35"/>
        <v>0</v>
      </c>
      <c r="AK80" s="177">
        <f t="shared" si="35"/>
        <v>0</v>
      </c>
      <c r="AL80" s="177">
        <f t="shared" si="35"/>
        <v>0</v>
      </c>
      <c r="AM80" s="177">
        <f t="shared" si="35"/>
        <v>0</v>
      </c>
      <c r="AN80" s="177">
        <f t="shared" si="35"/>
        <v>0</v>
      </c>
      <c r="AO80" s="177">
        <f t="shared" si="35"/>
        <v>0</v>
      </c>
      <c r="AP80" s="177">
        <f t="shared" si="35"/>
        <v>0</v>
      </c>
      <c r="AQ80" s="177">
        <f t="shared" si="35"/>
        <v>0</v>
      </c>
      <c r="AR80" s="177">
        <f t="shared" si="35"/>
        <v>0</v>
      </c>
      <c r="AS80" s="177">
        <f t="shared" si="35"/>
        <v>0</v>
      </c>
      <c r="AT80" s="177">
        <f t="shared" si="35"/>
        <v>0</v>
      </c>
      <c r="AU80" s="177">
        <f t="shared" si="35"/>
        <v>0</v>
      </c>
      <c r="AV80" s="177">
        <f t="shared" si="35"/>
        <v>0</v>
      </c>
      <c r="AW80" s="177">
        <f t="shared" si="35"/>
        <v>0</v>
      </c>
      <c r="AX80" s="177">
        <f t="shared" si="35"/>
        <v>0</v>
      </c>
      <c r="AY80" s="177">
        <f t="shared" si="35"/>
        <v>0</v>
      </c>
      <c r="AZ80" s="177">
        <f t="shared" si="35"/>
        <v>0</v>
      </c>
      <c r="BA80" s="177">
        <f t="shared" si="35"/>
        <v>0</v>
      </c>
      <c r="BB80" s="177">
        <f t="shared" si="35"/>
        <v>0</v>
      </c>
      <c r="BC80" s="177">
        <f t="shared" si="35"/>
        <v>0</v>
      </c>
      <c r="BD80" s="177">
        <f t="shared" si="35"/>
        <v>0</v>
      </c>
      <c r="BE80" s="177">
        <f t="shared" si="35"/>
        <v>0</v>
      </c>
      <c r="BF80" s="177">
        <f t="shared" si="35"/>
        <v>0</v>
      </c>
      <c r="BG80" s="177">
        <f t="shared" si="35"/>
        <v>0</v>
      </c>
      <c r="BH80" s="177">
        <f t="shared" si="35"/>
        <v>0</v>
      </c>
      <c r="BI80" s="177">
        <f t="shared" si="35"/>
        <v>0</v>
      </c>
      <c r="BJ80" s="177">
        <f t="shared" si="35"/>
        <v>0</v>
      </c>
      <c r="BK80" s="177">
        <f t="shared" si="35"/>
        <v>0</v>
      </c>
      <c r="BL80" s="177">
        <f t="shared" si="35"/>
        <v>0</v>
      </c>
    </row>
    <row r="81" spans="1:64" ht="12.75" x14ac:dyDescent="0.2">
      <c r="A81" s="51" t="str" cm="1">
        <f t="array" ref="A81">INDEX(TariffCode, MATCH(1,(C81=TariffZone)*(D81=TariffProduct),0))</f>
        <v>GR</v>
      </c>
      <c r="B81" s="51" t="str">
        <f>IF($D81="Water",IF(C81="Standard",Assumptions!$H$90,Assumptions!$H$93),"")</f>
        <v/>
      </c>
      <c r="C81" s="150" t="s">
        <v>312</v>
      </c>
      <c r="D81" s="150" t="s">
        <v>310</v>
      </c>
      <c r="E81" s="150" t="s">
        <v>405</v>
      </c>
      <c r="F81" s="150" t="s">
        <v>265</v>
      </c>
      <c r="G81" s="51" t="str">
        <f t="shared" si="14"/>
        <v>Infill</v>
      </c>
      <c r="H81" s="174">
        <f t="shared" ref="H81:H82" si="36">AB29-AA29</f>
        <v>-1387</v>
      </c>
      <c r="I81" s="174">
        <f t="shared" ref="I81:I82" si="37">(H81-J81)*-1</f>
        <v>1387</v>
      </c>
      <c r="J81" s="174">
        <f t="shared" ref="J81:J82" si="38">AVERAGE(AC81:AH81)</f>
        <v>0</v>
      </c>
      <c r="K81" s="51"/>
      <c r="L81" s="51"/>
      <c r="M81" s="51"/>
      <c r="N81" s="51"/>
      <c r="O81" s="51"/>
      <c r="P81" s="51"/>
      <c r="Q81" s="51"/>
      <c r="R81" s="51"/>
      <c r="S81" s="177">
        <f t="shared" si="11"/>
        <v>173.00994035785288</v>
      </c>
      <c r="T81" s="177">
        <f t="shared" si="27"/>
        <v>222</v>
      </c>
      <c r="U81" s="177">
        <f t="shared" si="27"/>
        <v>96</v>
      </c>
      <c r="V81" s="177">
        <f t="shared" si="27"/>
        <v>34</v>
      </c>
      <c r="W81" s="177">
        <f t="shared" si="27"/>
        <v>31</v>
      </c>
      <c r="X81" s="177">
        <f t="shared" si="27"/>
        <v>9</v>
      </c>
      <c r="Y81" s="177">
        <f t="shared" si="27"/>
        <v>5</v>
      </c>
      <c r="Z81" s="177">
        <f t="shared" si="27"/>
        <v>35</v>
      </c>
      <c r="AA81" s="177">
        <f t="shared" si="27"/>
        <v>171</v>
      </c>
      <c r="AB81" s="174">
        <f t="shared" ref="AB81:AB82" si="39">J81</f>
        <v>0</v>
      </c>
      <c r="AC81" s="177">
        <f t="shared" ref="AC81:BL81" si="40">AC29-AB29</f>
        <v>0</v>
      </c>
      <c r="AD81" s="177">
        <f t="shared" si="40"/>
        <v>0</v>
      </c>
      <c r="AE81" s="177">
        <f t="shared" si="40"/>
        <v>0</v>
      </c>
      <c r="AF81" s="177">
        <f t="shared" si="40"/>
        <v>0</v>
      </c>
      <c r="AG81" s="177">
        <f t="shared" si="40"/>
        <v>0</v>
      </c>
      <c r="AH81" s="177">
        <f t="shared" si="40"/>
        <v>0</v>
      </c>
      <c r="AI81" s="177">
        <f t="shared" si="40"/>
        <v>0</v>
      </c>
      <c r="AJ81" s="177">
        <f t="shared" si="40"/>
        <v>0</v>
      </c>
      <c r="AK81" s="177">
        <f t="shared" si="40"/>
        <v>0</v>
      </c>
      <c r="AL81" s="177">
        <f t="shared" si="40"/>
        <v>0</v>
      </c>
      <c r="AM81" s="177">
        <f t="shared" si="40"/>
        <v>0</v>
      </c>
      <c r="AN81" s="177">
        <f t="shared" si="40"/>
        <v>0</v>
      </c>
      <c r="AO81" s="177">
        <f t="shared" si="40"/>
        <v>0</v>
      </c>
      <c r="AP81" s="177">
        <f t="shared" si="40"/>
        <v>0</v>
      </c>
      <c r="AQ81" s="177">
        <f t="shared" si="40"/>
        <v>0</v>
      </c>
      <c r="AR81" s="177">
        <f t="shared" si="40"/>
        <v>0</v>
      </c>
      <c r="AS81" s="177">
        <f t="shared" si="40"/>
        <v>0</v>
      </c>
      <c r="AT81" s="177">
        <f t="shared" si="40"/>
        <v>0</v>
      </c>
      <c r="AU81" s="177">
        <f t="shared" si="40"/>
        <v>0</v>
      </c>
      <c r="AV81" s="177">
        <f t="shared" si="40"/>
        <v>0</v>
      </c>
      <c r="AW81" s="177">
        <f t="shared" si="40"/>
        <v>0</v>
      </c>
      <c r="AX81" s="177">
        <f t="shared" si="40"/>
        <v>0</v>
      </c>
      <c r="AY81" s="177">
        <f t="shared" si="40"/>
        <v>0</v>
      </c>
      <c r="AZ81" s="177">
        <f t="shared" si="40"/>
        <v>0</v>
      </c>
      <c r="BA81" s="177">
        <f t="shared" si="40"/>
        <v>0</v>
      </c>
      <c r="BB81" s="177">
        <f t="shared" si="40"/>
        <v>0</v>
      </c>
      <c r="BC81" s="177">
        <f t="shared" si="40"/>
        <v>0</v>
      </c>
      <c r="BD81" s="177">
        <f t="shared" si="40"/>
        <v>0</v>
      </c>
      <c r="BE81" s="177">
        <f t="shared" si="40"/>
        <v>0</v>
      </c>
      <c r="BF81" s="177">
        <f t="shared" si="40"/>
        <v>0</v>
      </c>
      <c r="BG81" s="177">
        <f t="shared" si="40"/>
        <v>0</v>
      </c>
      <c r="BH81" s="177">
        <f t="shared" si="40"/>
        <v>0</v>
      </c>
      <c r="BI81" s="177">
        <f t="shared" si="40"/>
        <v>0</v>
      </c>
      <c r="BJ81" s="177">
        <f t="shared" si="40"/>
        <v>0</v>
      </c>
      <c r="BK81" s="177">
        <f t="shared" si="40"/>
        <v>0</v>
      </c>
      <c r="BL81" s="177">
        <f t="shared" si="40"/>
        <v>0</v>
      </c>
    </row>
    <row r="82" spans="1:64" ht="12.75" x14ac:dyDescent="0.2">
      <c r="A82" s="51" t="str" cm="1">
        <f t="array" ref="A82">INDEX(TariffCode, MATCH(1,(C82=TariffZone)*(D82=TariffProduct),0))</f>
        <v>SW</v>
      </c>
      <c r="B82" s="51" t="str">
        <f>IF($D82="Water",IF(C82="Standard",Assumptions!$H$90,Assumptions!$H$93),"")</f>
        <v>SA</v>
      </c>
      <c r="C82" s="150" t="s">
        <v>287</v>
      </c>
      <c r="D82" s="150" t="s">
        <v>301</v>
      </c>
      <c r="E82" s="150" t="s">
        <v>407</v>
      </c>
      <c r="F82" s="150" t="s">
        <v>265</v>
      </c>
      <c r="G82" s="51" t="str">
        <f t="shared" si="14"/>
        <v>Infill</v>
      </c>
      <c r="H82" s="174">
        <f t="shared" si="36"/>
        <v>-728.96973258889238</v>
      </c>
      <c r="I82" s="174">
        <f t="shared" si="37"/>
        <v>796.26953990058053</v>
      </c>
      <c r="J82" s="174">
        <f t="shared" si="38"/>
        <v>67.299807311688184</v>
      </c>
      <c r="K82" s="51"/>
      <c r="L82" s="51"/>
      <c r="M82" s="51"/>
      <c r="N82" s="51"/>
      <c r="O82" s="51"/>
      <c r="P82" s="51"/>
      <c r="Q82" s="51"/>
      <c r="R82" s="51"/>
      <c r="S82" s="177">
        <f t="shared" si="11"/>
        <v>395.18027638190955</v>
      </c>
      <c r="T82" s="177">
        <f t="shared" si="27"/>
        <v>729</v>
      </c>
      <c r="U82" s="177">
        <f t="shared" si="27"/>
        <v>282</v>
      </c>
      <c r="V82" s="177">
        <f t="shared" si="27"/>
        <v>113</v>
      </c>
      <c r="W82" s="177">
        <f t="shared" si="27"/>
        <v>85</v>
      </c>
      <c r="X82" s="177">
        <f t="shared" si="27"/>
        <v>129</v>
      </c>
      <c r="Y82" s="177">
        <f t="shared" si="27"/>
        <v>125</v>
      </c>
      <c r="Z82" s="177">
        <f t="shared" si="27"/>
        <v>85</v>
      </c>
      <c r="AA82" s="177">
        <f t="shared" si="27"/>
        <v>42</v>
      </c>
      <c r="AB82" s="174">
        <f t="shared" si="39"/>
        <v>67.299807311688184</v>
      </c>
      <c r="AC82" s="177">
        <f t="shared" ref="AC82:BL82" si="41">AC30-AB30</f>
        <v>58.44193239427068</v>
      </c>
      <c r="AD82" s="177">
        <f t="shared" si="41"/>
        <v>58.597907536807725</v>
      </c>
      <c r="AE82" s="177">
        <f t="shared" si="41"/>
        <v>67.999407373427175</v>
      </c>
      <c r="AF82" s="177">
        <f t="shared" si="41"/>
        <v>59.15605798544243</v>
      </c>
      <c r="AG82" s="177">
        <f t="shared" si="41"/>
        <v>67.815253233698286</v>
      </c>
      <c r="AH82" s="177">
        <f t="shared" si="41"/>
        <v>91.78828534648278</v>
      </c>
      <c r="AI82" s="177">
        <f t="shared" si="41"/>
        <v>102.81773396705876</v>
      </c>
      <c r="AJ82" s="177">
        <f t="shared" si="41"/>
        <v>92.294860787927519</v>
      </c>
      <c r="AK82" s="177">
        <f t="shared" si="41"/>
        <v>84.113893170428128</v>
      </c>
      <c r="AL82" s="177">
        <f t="shared" si="41"/>
        <v>83.533620369101754</v>
      </c>
      <c r="AM82" s="177">
        <f t="shared" si="41"/>
        <v>83.700040142852686</v>
      </c>
      <c r="AN82" s="177">
        <f t="shared" si="41"/>
        <v>84.614394544883453</v>
      </c>
      <c r="AO82" s="177">
        <f t="shared" si="41"/>
        <v>85.40195214630694</v>
      </c>
      <c r="AP82" s="177">
        <f t="shared" si="41"/>
        <v>88.495473492543624</v>
      </c>
      <c r="AQ82" s="177">
        <f t="shared" si="41"/>
        <v>96.814526258227488</v>
      </c>
      <c r="AR82" s="177">
        <f t="shared" si="41"/>
        <v>100.72971692195006</v>
      </c>
      <c r="AS82" s="177">
        <f t="shared" si="41"/>
        <v>109.59661314604455</v>
      </c>
      <c r="AT82" s="177">
        <f t="shared" si="41"/>
        <v>120.19647465952994</v>
      </c>
      <c r="AU82" s="177">
        <f t="shared" si="41"/>
        <v>117.74644212976318</v>
      </c>
      <c r="AV82" s="177">
        <f t="shared" si="41"/>
        <v>114.30954973144435</v>
      </c>
      <c r="AW82" s="177">
        <f t="shared" si="41"/>
        <v>110.11029069180313</v>
      </c>
      <c r="AX82" s="177">
        <f t="shared" si="41"/>
        <v>111.33015672169313</v>
      </c>
      <c r="AY82" s="177">
        <f t="shared" si="41"/>
        <v>117.75974673726296</v>
      </c>
      <c r="AZ82" s="177">
        <f t="shared" si="41"/>
        <v>113.607010638063</v>
      </c>
      <c r="BA82" s="177">
        <f t="shared" si="41"/>
        <v>112.0857329593332</v>
      </c>
      <c r="BB82" s="177">
        <f t="shared" si="41"/>
        <v>106.44255408905701</v>
      </c>
      <c r="BC82" s="177">
        <f t="shared" si="41"/>
        <v>103.85798430164596</v>
      </c>
      <c r="BD82" s="177">
        <f t="shared" si="41"/>
        <v>99.714790602713947</v>
      </c>
      <c r="BE82" s="177">
        <f t="shared" si="41"/>
        <v>93.761548083330126</v>
      </c>
      <c r="BF82" s="177">
        <f t="shared" si="41"/>
        <v>88.784275415611773</v>
      </c>
      <c r="BG82" s="177">
        <f t="shared" si="41"/>
        <v>89.630798079906526</v>
      </c>
      <c r="BH82" s="177">
        <f t="shared" si="41"/>
        <v>86.362394005870556</v>
      </c>
      <c r="BI82" s="177">
        <f t="shared" si="41"/>
        <v>71.877054707661046</v>
      </c>
      <c r="BJ82" s="177">
        <f t="shared" si="41"/>
        <v>71.075594178591018</v>
      </c>
      <c r="BK82" s="177">
        <f t="shared" si="41"/>
        <v>66.68808569902103</v>
      </c>
      <c r="BL82" s="177">
        <f t="shared" si="41"/>
        <v>65.367765380229685</v>
      </c>
    </row>
    <row r="83" spans="1:64" ht="12.75" x14ac:dyDescent="0.2">
      <c r="A83" s="51" t="str" cm="1">
        <f t="array" ref="A83">INDEX(TariffCode, MATCH(1,(C83=TariffZone)*(D83=TariffProduct),0))</f>
        <v>GW</v>
      </c>
      <c r="B83" s="51" t="str">
        <f>IF($D83="Water",IF(C83="Standard",Assumptions!$H$90,Assumptions!$H$93),"")</f>
        <v>GA</v>
      </c>
      <c r="C83" s="150" t="s">
        <v>290</v>
      </c>
      <c r="D83" s="150" t="s">
        <v>301</v>
      </c>
      <c r="E83" s="150" t="s">
        <v>407</v>
      </c>
      <c r="F83" s="150" t="s">
        <v>265</v>
      </c>
      <c r="G83" s="51" t="str">
        <f t="shared" si="14"/>
        <v>Infill</v>
      </c>
      <c r="H83" s="177"/>
      <c r="I83" s="177"/>
      <c r="J83" s="177"/>
      <c r="K83" s="51"/>
      <c r="L83" s="51"/>
      <c r="M83" s="51"/>
      <c r="N83" s="51"/>
      <c r="O83" s="51"/>
      <c r="P83" s="51"/>
      <c r="Q83" s="51"/>
      <c r="R83" s="51"/>
      <c r="S83" s="177">
        <f t="shared" si="11"/>
        <v>0</v>
      </c>
      <c r="T83" s="177">
        <f t="shared" si="27"/>
        <v>0</v>
      </c>
      <c r="U83" s="177">
        <f t="shared" si="27"/>
        <v>0</v>
      </c>
      <c r="V83" s="177">
        <f t="shared" si="27"/>
        <v>0</v>
      </c>
      <c r="W83" s="177">
        <f t="shared" si="27"/>
        <v>0</v>
      </c>
      <c r="X83" s="177">
        <f t="shared" si="27"/>
        <v>0</v>
      </c>
      <c r="Y83" s="177">
        <f t="shared" si="27"/>
        <v>0</v>
      </c>
      <c r="Z83" s="177">
        <f t="shared" si="27"/>
        <v>0</v>
      </c>
      <c r="AA83" s="177">
        <f t="shared" si="27"/>
        <v>0</v>
      </c>
      <c r="AB83" s="177">
        <f t="shared" si="15"/>
        <v>0</v>
      </c>
      <c r="AC83" s="177">
        <f t="shared" ref="AC83:BL83" si="42">AC31-AB31</f>
        <v>0</v>
      </c>
      <c r="AD83" s="177">
        <f t="shared" si="42"/>
        <v>0</v>
      </c>
      <c r="AE83" s="177">
        <f t="shared" si="42"/>
        <v>0</v>
      </c>
      <c r="AF83" s="177">
        <f t="shared" si="42"/>
        <v>0</v>
      </c>
      <c r="AG83" s="177">
        <f t="shared" si="42"/>
        <v>0</v>
      </c>
      <c r="AH83" s="177">
        <f t="shared" si="42"/>
        <v>0</v>
      </c>
      <c r="AI83" s="177">
        <f t="shared" si="42"/>
        <v>0</v>
      </c>
      <c r="AJ83" s="177">
        <f t="shared" si="42"/>
        <v>0</v>
      </c>
      <c r="AK83" s="177">
        <f t="shared" si="42"/>
        <v>0</v>
      </c>
      <c r="AL83" s="177">
        <f t="shared" si="42"/>
        <v>0</v>
      </c>
      <c r="AM83" s="177">
        <f t="shared" si="42"/>
        <v>0</v>
      </c>
      <c r="AN83" s="177">
        <f t="shared" si="42"/>
        <v>0</v>
      </c>
      <c r="AO83" s="177">
        <f t="shared" si="42"/>
        <v>0</v>
      </c>
      <c r="AP83" s="177">
        <f t="shared" si="42"/>
        <v>0</v>
      </c>
      <c r="AQ83" s="177">
        <f t="shared" si="42"/>
        <v>0</v>
      </c>
      <c r="AR83" s="177">
        <f t="shared" si="42"/>
        <v>0</v>
      </c>
      <c r="AS83" s="177">
        <f t="shared" si="42"/>
        <v>0</v>
      </c>
      <c r="AT83" s="177">
        <f t="shared" si="42"/>
        <v>0</v>
      </c>
      <c r="AU83" s="177">
        <f t="shared" si="42"/>
        <v>0</v>
      </c>
      <c r="AV83" s="177">
        <f t="shared" si="42"/>
        <v>0</v>
      </c>
      <c r="AW83" s="177">
        <f t="shared" si="42"/>
        <v>0</v>
      </c>
      <c r="AX83" s="177">
        <f t="shared" si="42"/>
        <v>0</v>
      </c>
      <c r="AY83" s="177">
        <f t="shared" si="42"/>
        <v>0</v>
      </c>
      <c r="AZ83" s="177">
        <f t="shared" si="42"/>
        <v>0</v>
      </c>
      <c r="BA83" s="177">
        <f t="shared" si="42"/>
        <v>0</v>
      </c>
      <c r="BB83" s="177">
        <f t="shared" si="42"/>
        <v>0</v>
      </c>
      <c r="BC83" s="177">
        <f t="shared" si="42"/>
        <v>0</v>
      </c>
      <c r="BD83" s="177">
        <f t="shared" si="42"/>
        <v>0</v>
      </c>
      <c r="BE83" s="177">
        <f t="shared" si="42"/>
        <v>0</v>
      </c>
      <c r="BF83" s="177">
        <f t="shared" si="42"/>
        <v>0</v>
      </c>
      <c r="BG83" s="177">
        <f t="shared" si="42"/>
        <v>0</v>
      </c>
      <c r="BH83" s="177">
        <f t="shared" si="42"/>
        <v>0</v>
      </c>
      <c r="BI83" s="177">
        <f t="shared" si="42"/>
        <v>0</v>
      </c>
      <c r="BJ83" s="177">
        <f t="shared" si="42"/>
        <v>0</v>
      </c>
      <c r="BK83" s="177">
        <f t="shared" si="42"/>
        <v>0</v>
      </c>
      <c r="BL83" s="177">
        <f t="shared" si="42"/>
        <v>0</v>
      </c>
    </row>
    <row r="84" spans="1:64" ht="12.75" x14ac:dyDescent="0.2">
      <c r="A84" s="51" t="str" cm="1">
        <f t="array" ref="A84">INDEX(TariffCode, MATCH(1,(C84=TariffZone)*(D84=TariffProduct),0))</f>
        <v>SS</v>
      </c>
      <c r="B84" s="51" t="str">
        <f>IF($D84="Water",IF(C84="Standard",Assumptions!$H$90,Assumptions!$H$93),"")</f>
        <v/>
      </c>
      <c r="C84" s="150" t="s">
        <v>287</v>
      </c>
      <c r="D84" s="150" t="s">
        <v>303</v>
      </c>
      <c r="E84" s="150" t="s">
        <v>407</v>
      </c>
      <c r="F84" s="150" t="s">
        <v>265</v>
      </c>
      <c r="G84" s="51" t="str">
        <f t="shared" si="14"/>
        <v>Infill</v>
      </c>
      <c r="H84" s="174">
        <f t="shared" ref="H84" si="43">AB32-AA32</f>
        <v>-677.69938289744346</v>
      </c>
      <c r="I84" s="174">
        <f t="shared" ref="I84" si="44">(H84-J84)*-1</f>
        <v>744.99919020913171</v>
      </c>
      <c r="J84" s="174">
        <f>AVERAGE(AC84:AH84)</f>
        <v>67.299807311688213</v>
      </c>
      <c r="K84" s="51"/>
      <c r="L84" s="51"/>
      <c r="M84" s="51"/>
      <c r="N84" s="51"/>
      <c r="O84" s="51"/>
      <c r="P84" s="51"/>
      <c r="Q84" s="51"/>
      <c r="R84" s="51"/>
      <c r="S84" s="177">
        <f t="shared" si="11"/>
        <v>366.30163043478262</v>
      </c>
      <c r="T84" s="177">
        <f t="shared" ref="T84:AA93" si="45">T32-S32</f>
        <v>686</v>
      </c>
      <c r="U84" s="177">
        <f t="shared" si="45"/>
        <v>214</v>
      </c>
      <c r="V84" s="177">
        <f t="shared" si="45"/>
        <v>95</v>
      </c>
      <c r="W84" s="177">
        <f t="shared" si="45"/>
        <v>96</v>
      </c>
      <c r="X84" s="177">
        <f t="shared" si="45"/>
        <v>56</v>
      </c>
      <c r="Y84" s="177">
        <f t="shared" si="45"/>
        <v>100</v>
      </c>
      <c r="Z84" s="177">
        <f t="shared" si="45"/>
        <v>43</v>
      </c>
      <c r="AA84" s="177">
        <f t="shared" si="45"/>
        <v>36</v>
      </c>
      <c r="AB84" s="174">
        <f t="shared" ref="AB84" si="46">J84</f>
        <v>67.299807311688213</v>
      </c>
      <c r="AC84" s="177">
        <f t="shared" ref="AC84:BL84" si="47">AC32-AB32</f>
        <v>58.44193239427068</v>
      </c>
      <c r="AD84" s="177">
        <f t="shared" si="47"/>
        <v>58.597907536807497</v>
      </c>
      <c r="AE84" s="177">
        <f t="shared" si="47"/>
        <v>67.999407373427402</v>
      </c>
      <c r="AF84" s="177">
        <f t="shared" si="47"/>
        <v>59.156057985442203</v>
      </c>
      <c r="AG84" s="177">
        <f t="shared" si="47"/>
        <v>67.815253233698513</v>
      </c>
      <c r="AH84" s="177">
        <f t="shared" si="47"/>
        <v>91.788285346483008</v>
      </c>
      <c r="AI84" s="177">
        <f t="shared" si="47"/>
        <v>102.8177339670583</v>
      </c>
      <c r="AJ84" s="177">
        <f t="shared" si="47"/>
        <v>92.294860787927746</v>
      </c>
      <c r="AK84" s="177">
        <f t="shared" si="47"/>
        <v>84.1138931704279</v>
      </c>
      <c r="AL84" s="177">
        <f t="shared" si="47"/>
        <v>83.533620369101754</v>
      </c>
      <c r="AM84" s="177">
        <f t="shared" si="47"/>
        <v>83.70004014285314</v>
      </c>
      <c r="AN84" s="177">
        <f t="shared" si="47"/>
        <v>84.614394544882998</v>
      </c>
      <c r="AO84" s="177">
        <f t="shared" si="47"/>
        <v>85.40195214630694</v>
      </c>
      <c r="AP84" s="177">
        <f t="shared" si="47"/>
        <v>88.495473492543624</v>
      </c>
      <c r="AQ84" s="177">
        <f t="shared" si="47"/>
        <v>96.814526258227943</v>
      </c>
      <c r="AR84" s="177">
        <f t="shared" si="47"/>
        <v>100.72971692195006</v>
      </c>
      <c r="AS84" s="177">
        <f t="shared" si="47"/>
        <v>109.59661314604364</v>
      </c>
      <c r="AT84" s="177">
        <f t="shared" si="47"/>
        <v>120.1964746595304</v>
      </c>
      <c r="AU84" s="177">
        <f t="shared" si="47"/>
        <v>117.74644212976273</v>
      </c>
      <c r="AV84" s="177">
        <f t="shared" si="47"/>
        <v>114.30954973144435</v>
      </c>
      <c r="AW84" s="177">
        <f t="shared" si="47"/>
        <v>110.11029069180313</v>
      </c>
      <c r="AX84" s="177">
        <f t="shared" si="47"/>
        <v>111.33015672169404</v>
      </c>
      <c r="AY84" s="177">
        <f t="shared" si="47"/>
        <v>117.7597467372625</v>
      </c>
      <c r="AZ84" s="177">
        <f t="shared" si="47"/>
        <v>113.607010638063</v>
      </c>
      <c r="BA84" s="177">
        <f t="shared" si="47"/>
        <v>112.08573295933365</v>
      </c>
      <c r="BB84" s="177">
        <f t="shared" si="47"/>
        <v>106.44255408905701</v>
      </c>
      <c r="BC84" s="177">
        <f t="shared" si="47"/>
        <v>103.85798430164596</v>
      </c>
      <c r="BD84" s="177">
        <f t="shared" si="47"/>
        <v>99.714790602713947</v>
      </c>
      <c r="BE84" s="177">
        <f t="shared" si="47"/>
        <v>93.761548083329217</v>
      </c>
      <c r="BF84" s="177">
        <f t="shared" si="47"/>
        <v>88.784275415612683</v>
      </c>
      <c r="BG84" s="177">
        <f t="shared" si="47"/>
        <v>89.630798079906526</v>
      </c>
      <c r="BH84" s="177">
        <f t="shared" si="47"/>
        <v>86.362394005869646</v>
      </c>
      <c r="BI84" s="177">
        <f t="shared" si="47"/>
        <v>71.877054707661046</v>
      </c>
      <c r="BJ84" s="177">
        <f t="shared" si="47"/>
        <v>71.075594178591018</v>
      </c>
      <c r="BK84" s="177">
        <f t="shared" si="47"/>
        <v>66.68808569902194</v>
      </c>
      <c r="BL84" s="177">
        <f t="shared" si="47"/>
        <v>65.367765380228775</v>
      </c>
    </row>
    <row r="85" spans="1:64" ht="12.75" x14ac:dyDescent="0.2">
      <c r="A85" s="51" t="str" cm="1">
        <f t="array" ref="A85">INDEX(TariffCode, MATCH(1,(C85=TariffZone)*(D85=TariffProduct),0))</f>
        <v>GS</v>
      </c>
      <c r="B85" s="51" t="str">
        <f>IF($D85="Water",IF(C85="Standard",Assumptions!$H$90,Assumptions!$H$93),"")</f>
        <v/>
      </c>
      <c r="C85" s="150" t="s">
        <v>290</v>
      </c>
      <c r="D85" s="150" t="s">
        <v>303</v>
      </c>
      <c r="E85" s="150" t="s">
        <v>407</v>
      </c>
      <c r="F85" s="150" t="s">
        <v>265</v>
      </c>
      <c r="G85" s="51" t="str">
        <f t="shared" si="14"/>
        <v>Infill</v>
      </c>
      <c r="H85" s="177"/>
      <c r="I85" s="177"/>
      <c r="J85" s="177"/>
      <c r="K85" s="51"/>
      <c r="L85" s="51"/>
      <c r="M85" s="51"/>
      <c r="N85" s="51"/>
      <c r="O85" s="51"/>
      <c r="P85" s="51"/>
      <c r="Q85" s="51"/>
      <c r="R85" s="51"/>
      <c r="S85" s="177">
        <f t="shared" si="11"/>
        <v>0</v>
      </c>
      <c r="T85" s="177">
        <f t="shared" si="45"/>
        <v>0</v>
      </c>
      <c r="U85" s="177">
        <f t="shared" si="45"/>
        <v>0</v>
      </c>
      <c r="V85" s="177">
        <f t="shared" si="45"/>
        <v>0</v>
      </c>
      <c r="W85" s="177">
        <f t="shared" si="45"/>
        <v>0</v>
      </c>
      <c r="X85" s="177">
        <f t="shared" si="45"/>
        <v>0</v>
      </c>
      <c r="Y85" s="177">
        <f t="shared" si="45"/>
        <v>0</v>
      </c>
      <c r="Z85" s="177">
        <f t="shared" si="45"/>
        <v>0</v>
      </c>
      <c r="AA85" s="177">
        <f t="shared" si="45"/>
        <v>0</v>
      </c>
      <c r="AB85" s="177">
        <f t="shared" si="15"/>
        <v>0</v>
      </c>
      <c r="AC85" s="177">
        <f t="shared" ref="AC85:BL85" si="48">AC33-AB33</f>
        <v>0</v>
      </c>
      <c r="AD85" s="177">
        <f t="shared" si="48"/>
        <v>0</v>
      </c>
      <c r="AE85" s="177">
        <f t="shared" si="48"/>
        <v>0</v>
      </c>
      <c r="AF85" s="177">
        <f t="shared" si="48"/>
        <v>0</v>
      </c>
      <c r="AG85" s="177">
        <f t="shared" si="48"/>
        <v>0</v>
      </c>
      <c r="AH85" s="177">
        <f t="shared" si="48"/>
        <v>0</v>
      </c>
      <c r="AI85" s="177">
        <f t="shared" si="48"/>
        <v>0</v>
      </c>
      <c r="AJ85" s="177">
        <f t="shared" si="48"/>
        <v>0</v>
      </c>
      <c r="AK85" s="177">
        <f t="shared" si="48"/>
        <v>0</v>
      </c>
      <c r="AL85" s="177">
        <f t="shared" si="48"/>
        <v>0</v>
      </c>
      <c r="AM85" s="177">
        <f t="shared" si="48"/>
        <v>0</v>
      </c>
      <c r="AN85" s="177">
        <f t="shared" si="48"/>
        <v>0</v>
      </c>
      <c r="AO85" s="177">
        <f t="shared" si="48"/>
        <v>0</v>
      </c>
      <c r="AP85" s="177">
        <f t="shared" si="48"/>
        <v>0</v>
      </c>
      <c r="AQ85" s="177">
        <f t="shared" si="48"/>
        <v>0</v>
      </c>
      <c r="AR85" s="177">
        <f t="shared" si="48"/>
        <v>0</v>
      </c>
      <c r="AS85" s="177">
        <f t="shared" si="48"/>
        <v>0</v>
      </c>
      <c r="AT85" s="177">
        <f t="shared" si="48"/>
        <v>0</v>
      </c>
      <c r="AU85" s="177">
        <f t="shared" si="48"/>
        <v>0</v>
      </c>
      <c r="AV85" s="177">
        <f t="shared" si="48"/>
        <v>0</v>
      </c>
      <c r="AW85" s="177">
        <f t="shared" si="48"/>
        <v>0</v>
      </c>
      <c r="AX85" s="177">
        <f t="shared" si="48"/>
        <v>0</v>
      </c>
      <c r="AY85" s="177">
        <f t="shared" si="48"/>
        <v>0</v>
      </c>
      <c r="AZ85" s="177">
        <f t="shared" si="48"/>
        <v>0</v>
      </c>
      <c r="BA85" s="177">
        <f t="shared" si="48"/>
        <v>0</v>
      </c>
      <c r="BB85" s="177">
        <f t="shared" si="48"/>
        <v>0</v>
      </c>
      <c r="BC85" s="177">
        <f t="shared" si="48"/>
        <v>0</v>
      </c>
      <c r="BD85" s="177">
        <f t="shared" si="48"/>
        <v>0</v>
      </c>
      <c r="BE85" s="177">
        <f t="shared" si="48"/>
        <v>0</v>
      </c>
      <c r="BF85" s="177">
        <f t="shared" si="48"/>
        <v>0</v>
      </c>
      <c r="BG85" s="177">
        <f t="shared" si="48"/>
        <v>0</v>
      </c>
      <c r="BH85" s="177">
        <f t="shared" si="48"/>
        <v>0</v>
      </c>
      <c r="BI85" s="177">
        <f t="shared" si="48"/>
        <v>0</v>
      </c>
      <c r="BJ85" s="177">
        <f t="shared" si="48"/>
        <v>0</v>
      </c>
      <c r="BK85" s="177">
        <f t="shared" si="48"/>
        <v>0</v>
      </c>
      <c r="BL85" s="177">
        <f t="shared" si="48"/>
        <v>0</v>
      </c>
    </row>
    <row r="86" spans="1:64" ht="12.75" x14ac:dyDescent="0.2">
      <c r="A86" s="51" t="str" cm="1">
        <f t="array" ref="A86">INDEX(TariffCode, MATCH(1,(C86=TariffZone)*(D86=TariffProduct),0))</f>
        <v>WR</v>
      </c>
      <c r="B86" s="51" t="str">
        <f>IF($D86="Water",IF(C86="Standard",Assumptions!$H$90,Assumptions!$H$93),"")</f>
        <v/>
      </c>
      <c r="C86" s="150" t="s">
        <v>283</v>
      </c>
      <c r="D86" s="150" t="s">
        <v>310</v>
      </c>
      <c r="E86" s="150" t="s">
        <v>407</v>
      </c>
      <c r="F86" s="150" t="s">
        <v>265</v>
      </c>
      <c r="G86" s="51" t="str">
        <f t="shared" si="14"/>
        <v>Infill</v>
      </c>
      <c r="H86" s="177"/>
      <c r="I86" s="177"/>
      <c r="J86" s="177"/>
      <c r="K86" s="51"/>
      <c r="L86" s="51"/>
      <c r="M86" s="51"/>
      <c r="N86" s="51"/>
      <c r="O86" s="51"/>
      <c r="P86" s="51"/>
      <c r="Q86" s="51"/>
      <c r="R86" s="51"/>
      <c r="S86" s="177">
        <f t="shared" si="11"/>
        <v>0</v>
      </c>
      <c r="T86" s="177">
        <f t="shared" si="45"/>
        <v>0</v>
      </c>
      <c r="U86" s="177">
        <f t="shared" si="45"/>
        <v>0</v>
      </c>
      <c r="V86" s="177">
        <f t="shared" si="45"/>
        <v>0</v>
      </c>
      <c r="W86" s="177">
        <f t="shared" si="45"/>
        <v>0</v>
      </c>
      <c r="X86" s="177">
        <f t="shared" si="45"/>
        <v>0</v>
      </c>
      <c r="Y86" s="177">
        <f t="shared" si="45"/>
        <v>0</v>
      </c>
      <c r="Z86" s="177">
        <f t="shared" si="45"/>
        <v>0</v>
      </c>
      <c r="AA86" s="177">
        <f t="shared" si="45"/>
        <v>0</v>
      </c>
      <c r="AB86" s="177">
        <f t="shared" si="15"/>
        <v>0</v>
      </c>
      <c r="AC86" s="177">
        <f t="shared" ref="AC86:BL86" si="49">AC34-AB34</f>
        <v>0</v>
      </c>
      <c r="AD86" s="177">
        <f t="shared" si="49"/>
        <v>0</v>
      </c>
      <c r="AE86" s="177">
        <f t="shared" si="49"/>
        <v>0</v>
      </c>
      <c r="AF86" s="177">
        <f t="shared" si="49"/>
        <v>0</v>
      </c>
      <c r="AG86" s="177">
        <f t="shared" si="49"/>
        <v>0</v>
      </c>
      <c r="AH86" s="177">
        <f t="shared" si="49"/>
        <v>0</v>
      </c>
      <c r="AI86" s="177">
        <f t="shared" si="49"/>
        <v>0</v>
      </c>
      <c r="AJ86" s="177">
        <f t="shared" si="49"/>
        <v>0</v>
      </c>
      <c r="AK86" s="177">
        <f t="shared" si="49"/>
        <v>0</v>
      </c>
      <c r="AL86" s="177">
        <f t="shared" si="49"/>
        <v>0</v>
      </c>
      <c r="AM86" s="177">
        <f t="shared" si="49"/>
        <v>0</v>
      </c>
      <c r="AN86" s="177">
        <f t="shared" si="49"/>
        <v>0</v>
      </c>
      <c r="AO86" s="177">
        <f t="shared" si="49"/>
        <v>0</v>
      </c>
      <c r="AP86" s="177">
        <f t="shared" si="49"/>
        <v>0</v>
      </c>
      <c r="AQ86" s="177">
        <f t="shared" si="49"/>
        <v>0</v>
      </c>
      <c r="AR86" s="177">
        <f t="shared" si="49"/>
        <v>0</v>
      </c>
      <c r="AS86" s="177">
        <f t="shared" si="49"/>
        <v>0</v>
      </c>
      <c r="AT86" s="177">
        <f t="shared" si="49"/>
        <v>0</v>
      </c>
      <c r="AU86" s="177">
        <f t="shared" si="49"/>
        <v>0</v>
      </c>
      <c r="AV86" s="177">
        <f t="shared" si="49"/>
        <v>0</v>
      </c>
      <c r="AW86" s="177">
        <f t="shared" si="49"/>
        <v>0</v>
      </c>
      <c r="AX86" s="177">
        <f t="shared" si="49"/>
        <v>0</v>
      </c>
      <c r="AY86" s="177">
        <f t="shared" si="49"/>
        <v>0</v>
      </c>
      <c r="AZ86" s="177">
        <f t="shared" si="49"/>
        <v>0</v>
      </c>
      <c r="BA86" s="177">
        <f t="shared" si="49"/>
        <v>0</v>
      </c>
      <c r="BB86" s="177">
        <f t="shared" si="49"/>
        <v>0</v>
      </c>
      <c r="BC86" s="177">
        <f t="shared" si="49"/>
        <v>0</v>
      </c>
      <c r="BD86" s="177">
        <f t="shared" si="49"/>
        <v>0</v>
      </c>
      <c r="BE86" s="177">
        <f t="shared" si="49"/>
        <v>0</v>
      </c>
      <c r="BF86" s="177">
        <f t="shared" si="49"/>
        <v>0</v>
      </c>
      <c r="BG86" s="177">
        <f t="shared" si="49"/>
        <v>0</v>
      </c>
      <c r="BH86" s="177">
        <f t="shared" si="49"/>
        <v>0</v>
      </c>
      <c r="BI86" s="177">
        <f t="shared" si="49"/>
        <v>0</v>
      </c>
      <c r="BJ86" s="177">
        <f t="shared" si="49"/>
        <v>0</v>
      </c>
      <c r="BK86" s="177">
        <f t="shared" si="49"/>
        <v>0</v>
      </c>
      <c r="BL86" s="177">
        <f t="shared" si="49"/>
        <v>0</v>
      </c>
    </row>
    <row r="87" spans="1:64" ht="12.75" x14ac:dyDescent="0.2">
      <c r="A87" s="51" t="str" cm="1">
        <f t="array" ref="A87">INDEX(TariffCode, MATCH(1,(C87=TariffZone)*(D87=TariffProduct),0))</f>
        <v>GR</v>
      </c>
      <c r="B87" s="51" t="str">
        <f>IF($D87="Water",IF(C87="Standard",Assumptions!$H$90,Assumptions!$H$93),"")</f>
        <v/>
      </c>
      <c r="C87" s="150" t="s">
        <v>312</v>
      </c>
      <c r="D87" s="150" t="s">
        <v>310</v>
      </c>
      <c r="E87" s="150" t="s">
        <v>407</v>
      </c>
      <c r="F87" s="150" t="s">
        <v>265</v>
      </c>
      <c r="G87" s="51" t="str">
        <f t="shared" si="14"/>
        <v>Infill</v>
      </c>
      <c r="H87" s="174">
        <f t="shared" ref="H87" si="50">AB35-AA35</f>
        <v>-23</v>
      </c>
      <c r="I87" s="174">
        <f t="shared" ref="I87" si="51">(H87-J87)*-1</f>
        <v>23</v>
      </c>
      <c r="J87" s="174">
        <f>AVERAGE(AC87:AH87)</f>
        <v>0</v>
      </c>
      <c r="K87" s="51"/>
      <c r="L87" s="51"/>
      <c r="M87" s="51"/>
      <c r="N87" s="51"/>
      <c r="O87" s="51"/>
      <c r="P87" s="51"/>
      <c r="Q87" s="51"/>
      <c r="R87" s="51"/>
      <c r="S87" s="177">
        <f t="shared" si="11"/>
        <v>0.75</v>
      </c>
      <c r="T87" s="177">
        <f t="shared" si="45"/>
        <v>3</v>
      </c>
      <c r="U87" s="177">
        <f t="shared" si="45"/>
        <v>4</v>
      </c>
      <c r="V87" s="177">
        <f t="shared" si="45"/>
        <v>7</v>
      </c>
      <c r="W87" s="177">
        <f t="shared" si="45"/>
        <v>0</v>
      </c>
      <c r="X87" s="177">
        <f t="shared" si="45"/>
        <v>1</v>
      </c>
      <c r="Y87" s="177">
        <f t="shared" si="45"/>
        <v>3</v>
      </c>
      <c r="Z87" s="177">
        <f t="shared" si="45"/>
        <v>3</v>
      </c>
      <c r="AA87" s="177">
        <f t="shared" si="45"/>
        <v>1</v>
      </c>
      <c r="AB87" s="174">
        <f t="shared" ref="AB87" si="52">J87</f>
        <v>0</v>
      </c>
      <c r="AC87" s="177">
        <f t="shared" ref="AC87:BL87" si="53">AC35-AB35</f>
        <v>0</v>
      </c>
      <c r="AD87" s="177">
        <f t="shared" si="53"/>
        <v>0</v>
      </c>
      <c r="AE87" s="177">
        <f t="shared" si="53"/>
        <v>0</v>
      </c>
      <c r="AF87" s="177">
        <f t="shared" si="53"/>
        <v>0</v>
      </c>
      <c r="AG87" s="177">
        <f t="shared" si="53"/>
        <v>0</v>
      </c>
      <c r="AH87" s="177">
        <f t="shared" si="53"/>
        <v>0</v>
      </c>
      <c r="AI87" s="177">
        <f t="shared" si="53"/>
        <v>0</v>
      </c>
      <c r="AJ87" s="177">
        <f t="shared" si="53"/>
        <v>0</v>
      </c>
      <c r="AK87" s="177">
        <f t="shared" si="53"/>
        <v>0</v>
      </c>
      <c r="AL87" s="177">
        <f t="shared" si="53"/>
        <v>0</v>
      </c>
      <c r="AM87" s="177">
        <f t="shared" si="53"/>
        <v>0</v>
      </c>
      <c r="AN87" s="177">
        <f t="shared" si="53"/>
        <v>0</v>
      </c>
      <c r="AO87" s="177">
        <f t="shared" si="53"/>
        <v>0</v>
      </c>
      <c r="AP87" s="177">
        <f t="shared" si="53"/>
        <v>0</v>
      </c>
      <c r="AQ87" s="177">
        <f t="shared" si="53"/>
        <v>0</v>
      </c>
      <c r="AR87" s="177">
        <f t="shared" si="53"/>
        <v>0</v>
      </c>
      <c r="AS87" s="177">
        <f t="shared" si="53"/>
        <v>0</v>
      </c>
      <c r="AT87" s="177">
        <f t="shared" si="53"/>
        <v>0</v>
      </c>
      <c r="AU87" s="177">
        <f t="shared" si="53"/>
        <v>0</v>
      </c>
      <c r="AV87" s="177">
        <f t="shared" si="53"/>
        <v>0</v>
      </c>
      <c r="AW87" s="177">
        <f t="shared" si="53"/>
        <v>0</v>
      </c>
      <c r="AX87" s="177">
        <f t="shared" si="53"/>
        <v>0</v>
      </c>
      <c r="AY87" s="177">
        <f t="shared" si="53"/>
        <v>0</v>
      </c>
      <c r="AZ87" s="177">
        <f t="shared" si="53"/>
        <v>0</v>
      </c>
      <c r="BA87" s="177">
        <f t="shared" si="53"/>
        <v>0</v>
      </c>
      <c r="BB87" s="177">
        <f t="shared" si="53"/>
        <v>0</v>
      </c>
      <c r="BC87" s="177">
        <f t="shared" si="53"/>
        <v>0</v>
      </c>
      <c r="BD87" s="177">
        <f t="shared" si="53"/>
        <v>0</v>
      </c>
      <c r="BE87" s="177">
        <f t="shared" si="53"/>
        <v>0</v>
      </c>
      <c r="BF87" s="177">
        <f t="shared" si="53"/>
        <v>0</v>
      </c>
      <c r="BG87" s="177">
        <f t="shared" si="53"/>
        <v>0</v>
      </c>
      <c r="BH87" s="177">
        <f t="shared" si="53"/>
        <v>0</v>
      </c>
      <c r="BI87" s="177">
        <f t="shared" si="53"/>
        <v>0</v>
      </c>
      <c r="BJ87" s="177">
        <f t="shared" si="53"/>
        <v>0</v>
      </c>
      <c r="BK87" s="177">
        <f t="shared" si="53"/>
        <v>0</v>
      </c>
      <c r="BL87" s="177">
        <f t="shared" si="53"/>
        <v>0</v>
      </c>
    </row>
    <row r="88" spans="1:64" ht="12.75" x14ac:dyDescent="0.2">
      <c r="A88" s="51" t="str" cm="1">
        <f t="array" ref="A88">INDEX(TariffCode, MATCH(1,(C88=TariffZone)*(D88=TariffProduct),0))</f>
        <v>SW</v>
      </c>
      <c r="B88" s="51" t="str">
        <f>IF($D88="Water",IF(C88="Standard",Assumptions!$H$90,Assumptions!$H$93),"")</f>
        <v>SA</v>
      </c>
      <c r="C88" s="150" t="s">
        <v>287</v>
      </c>
      <c r="D88" s="150" t="s">
        <v>301</v>
      </c>
      <c r="E88" s="150" t="s">
        <v>405</v>
      </c>
      <c r="F88" s="150" t="s">
        <v>262</v>
      </c>
      <c r="G88" s="51" t="str">
        <f t="shared" si="14"/>
        <v>Greenfield</v>
      </c>
      <c r="H88" s="177"/>
      <c r="I88" s="177"/>
      <c r="J88" s="177"/>
      <c r="K88" s="51"/>
      <c r="L88" s="51"/>
      <c r="M88" s="51"/>
      <c r="N88" s="51"/>
      <c r="O88" s="51"/>
      <c r="P88" s="51"/>
      <c r="Q88" s="51"/>
      <c r="R88" s="51"/>
      <c r="S88" s="177">
        <f t="shared" si="11"/>
        <v>1092.4945037586947</v>
      </c>
      <c r="T88" s="177">
        <f t="shared" si="45"/>
        <v>1254.8363906040813</v>
      </c>
      <c r="U88" s="177">
        <f t="shared" si="45"/>
        <v>1882.7111422623129</v>
      </c>
      <c r="V88" s="177">
        <f t="shared" si="45"/>
        <v>3068.2994838706672</v>
      </c>
      <c r="W88" s="177">
        <f t="shared" si="45"/>
        <v>5228.1910454660901</v>
      </c>
      <c r="X88" s="177">
        <f t="shared" si="45"/>
        <v>3970.7955202665216</v>
      </c>
      <c r="Y88" s="177">
        <f t="shared" si="45"/>
        <v>5175.1320087457389</v>
      </c>
      <c r="Z88" s="177">
        <f t="shared" si="45"/>
        <v>6903.6983015694204</v>
      </c>
      <c r="AA88" s="177">
        <f t="shared" si="45"/>
        <v>3283.4119486963245</v>
      </c>
      <c r="AB88" s="177">
        <f t="shared" si="15"/>
        <v>1108.9421942814079</v>
      </c>
      <c r="AC88" s="177">
        <f t="shared" ref="AC88:BL88" si="54">AC36-AB36</f>
        <v>3148.1001406923679</v>
      </c>
      <c r="AD88" s="177">
        <f t="shared" si="54"/>
        <v>3414.4311328844196</v>
      </c>
      <c r="AE88" s="177">
        <f t="shared" si="54"/>
        <v>3653.1525254813241</v>
      </c>
      <c r="AF88" s="177">
        <f t="shared" si="54"/>
        <v>3376.2134096751979</v>
      </c>
      <c r="AG88" s="177">
        <f t="shared" si="54"/>
        <v>3385.8489105325643</v>
      </c>
      <c r="AH88" s="177">
        <f t="shared" si="54"/>
        <v>3264.2008128976886</v>
      </c>
      <c r="AI88" s="177">
        <f t="shared" si="54"/>
        <v>3305.6428981533463</v>
      </c>
      <c r="AJ88" s="177">
        <f t="shared" si="54"/>
        <v>3217.5779719396378</v>
      </c>
      <c r="AK88" s="177">
        <f t="shared" si="54"/>
        <v>3389.8884770446166</v>
      </c>
      <c r="AL88" s="177">
        <f t="shared" si="54"/>
        <v>3478.5092461501918</v>
      </c>
      <c r="AM88" s="177">
        <f t="shared" si="54"/>
        <v>3423.7561167840759</v>
      </c>
      <c r="AN88" s="177">
        <f t="shared" si="54"/>
        <v>3344.0995582176256</v>
      </c>
      <c r="AO88" s="177">
        <f t="shared" si="54"/>
        <v>3254.3055394465628</v>
      </c>
      <c r="AP88" s="177">
        <f t="shared" si="54"/>
        <v>3062.7597683280183</v>
      </c>
      <c r="AQ88" s="177">
        <f t="shared" si="54"/>
        <v>2827.4307244243682</v>
      </c>
      <c r="AR88" s="177">
        <f t="shared" si="54"/>
        <v>2552.9869364753249</v>
      </c>
      <c r="AS88" s="177">
        <f t="shared" si="54"/>
        <v>2287.5638549007854</v>
      </c>
      <c r="AT88" s="177">
        <f t="shared" si="54"/>
        <v>2119.285596030968</v>
      </c>
      <c r="AU88" s="177">
        <f t="shared" si="54"/>
        <v>1840.8847593232931</v>
      </c>
      <c r="AV88" s="177">
        <f t="shared" si="54"/>
        <v>1535.3403733793384</v>
      </c>
      <c r="AW88" s="177">
        <f t="shared" si="54"/>
        <v>1298.3979933219816</v>
      </c>
      <c r="AX88" s="177">
        <f t="shared" si="54"/>
        <v>1123.8383640787797</v>
      </c>
      <c r="AY88" s="177">
        <f t="shared" si="54"/>
        <v>1026.5634916067793</v>
      </c>
      <c r="AZ88" s="177">
        <f t="shared" si="54"/>
        <v>908.53827892713889</v>
      </c>
      <c r="BA88" s="177">
        <f t="shared" si="54"/>
        <v>883.0564255987847</v>
      </c>
      <c r="BB88" s="177">
        <f t="shared" si="54"/>
        <v>894.64556419564178</v>
      </c>
      <c r="BC88" s="177">
        <f t="shared" si="54"/>
        <v>870.31693755430751</v>
      </c>
      <c r="BD88" s="177">
        <f t="shared" si="54"/>
        <v>843.17043042450678</v>
      </c>
      <c r="BE88" s="177">
        <f t="shared" si="54"/>
        <v>828.28784050073591</v>
      </c>
      <c r="BF88" s="177">
        <f t="shared" si="54"/>
        <v>955.60131770468433</v>
      </c>
      <c r="BG88" s="177">
        <f t="shared" si="54"/>
        <v>1196.3373250545264</v>
      </c>
      <c r="BH88" s="177">
        <f t="shared" si="54"/>
        <v>1174.8119528126263</v>
      </c>
      <c r="BI88" s="177">
        <f t="shared" si="54"/>
        <v>1126.8065658452688</v>
      </c>
      <c r="BJ88" s="177">
        <f t="shared" si="54"/>
        <v>995.10674516634026</v>
      </c>
      <c r="BK88" s="177">
        <f t="shared" si="54"/>
        <v>536.73118234143476</v>
      </c>
      <c r="BL88" s="177">
        <f t="shared" si="54"/>
        <v>437.98581125373312</v>
      </c>
    </row>
    <row r="89" spans="1:64" ht="12.75" x14ac:dyDescent="0.2">
      <c r="A89" s="51" t="str" cm="1">
        <f t="array" ref="A89">INDEX(TariffCode, MATCH(1,(C89=TariffZone)*(D89=TariffProduct),0))</f>
        <v>GW</v>
      </c>
      <c r="B89" s="51" t="str">
        <f>IF($D89="Water",IF(C89="Standard",Assumptions!$H$90,Assumptions!$H$93),"")</f>
        <v>GA</v>
      </c>
      <c r="C89" s="150" t="s">
        <v>290</v>
      </c>
      <c r="D89" s="150" t="s">
        <v>301</v>
      </c>
      <c r="E89" s="150" t="s">
        <v>405</v>
      </c>
      <c r="F89" s="150" t="s">
        <v>262</v>
      </c>
      <c r="G89" s="51" t="str">
        <f t="shared" si="14"/>
        <v>Greenfield</v>
      </c>
      <c r="H89" s="177"/>
      <c r="I89" s="177"/>
      <c r="J89" s="177"/>
      <c r="K89" s="51"/>
      <c r="L89" s="51"/>
      <c r="M89" s="51"/>
      <c r="N89" s="51"/>
      <c r="O89" s="51"/>
      <c r="P89" s="51"/>
      <c r="Q89" s="51"/>
      <c r="R89" s="51"/>
      <c r="S89" s="177">
        <f t="shared" si="11"/>
        <v>0</v>
      </c>
      <c r="T89" s="177">
        <f t="shared" si="45"/>
        <v>0</v>
      </c>
      <c r="U89" s="177">
        <f t="shared" si="45"/>
        <v>0</v>
      </c>
      <c r="V89" s="177">
        <f t="shared" si="45"/>
        <v>0</v>
      </c>
      <c r="W89" s="177">
        <f t="shared" si="45"/>
        <v>0</v>
      </c>
      <c r="X89" s="177">
        <f t="shared" si="45"/>
        <v>0</v>
      </c>
      <c r="Y89" s="177">
        <f t="shared" si="45"/>
        <v>0</v>
      </c>
      <c r="Z89" s="177">
        <f t="shared" si="45"/>
        <v>0</v>
      </c>
      <c r="AA89" s="177">
        <f t="shared" si="45"/>
        <v>0</v>
      </c>
      <c r="AB89" s="177">
        <f t="shared" si="15"/>
        <v>0</v>
      </c>
      <c r="AC89" s="177">
        <f t="shared" ref="AC89:BL89" si="55">AC37-AB37</f>
        <v>0</v>
      </c>
      <c r="AD89" s="177">
        <f t="shared" si="55"/>
        <v>0</v>
      </c>
      <c r="AE89" s="177">
        <f t="shared" si="55"/>
        <v>0</v>
      </c>
      <c r="AF89" s="177">
        <f t="shared" si="55"/>
        <v>0</v>
      </c>
      <c r="AG89" s="177">
        <f t="shared" si="55"/>
        <v>0</v>
      </c>
      <c r="AH89" s="177">
        <f t="shared" si="55"/>
        <v>0</v>
      </c>
      <c r="AI89" s="177">
        <f t="shared" si="55"/>
        <v>0</v>
      </c>
      <c r="AJ89" s="177">
        <f t="shared" si="55"/>
        <v>0</v>
      </c>
      <c r="AK89" s="177">
        <f t="shared" si="55"/>
        <v>0</v>
      </c>
      <c r="AL89" s="177">
        <f t="shared" si="55"/>
        <v>0</v>
      </c>
      <c r="AM89" s="177">
        <f t="shared" si="55"/>
        <v>0</v>
      </c>
      <c r="AN89" s="177">
        <f t="shared" si="55"/>
        <v>0</v>
      </c>
      <c r="AO89" s="177">
        <f t="shared" si="55"/>
        <v>0</v>
      </c>
      <c r="AP89" s="177">
        <f t="shared" si="55"/>
        <v>0</v>
      </c>
      <c r="AQ89" s="177">
        <f t="shared" si="55"/>
        <v>0</v>
      </c>
      <c r="AR89" s="177">
        <f t="shared" si="55"/>
        <v>0</v>
      </c>
      <c r="AS89" s="177">
        <f t="shared" si="55"/>
        <v>0</v>
      </c>
      <c r="AT89" s="177">
        <f t="shared" si="55"/>
        <v>0</v>
      </c>
      <c r="AU89" s="177">
        <f t="shared" si="55"/>
        <v>0</v>
      </c>
      <c r="AV89" s="177">
        <f t="shared" si="55"/>
        <v>0</v>
      </c>
      <c r="AW89" s="177">
        <f t="shared" si="55"/>
        <v>0</v>
      </c>
      <c r="AX89" s="177">
        <f t="shared" si="55"/>
        <v>0</v>
      </c>
      <c r="AY89" s="177">
        <f t="shared" si="55"/>
        <v>0</v>
      </c>
      <c r="AZ89" s="177">
        <f t="shared" si="55"/>
        <v>0</v>
      </c>
      <c r="BA89" s="177">
        <f t="shared" si="55"/>
        <v>0</v>
      </c>
      <c r="BB89" s="177">
        <f t="shared" si="55"/>
        <v>0</v>
      </c>
      <c r="BC89" s="177">
        <f t="shared" si="55"/>
        <v>0</v>
      </c>
      <c r="BD89" s="177">
        <f t="shared" si="55"/>
        <v>0</v>
      </c>
      <c r="BE89" s="177">
        <f t="shared" si="55"/>
        <v>0</v>
      </c>
      <c r="BF89" s="177">
        <f t="shared" si="55"/>
        <v>0</v>
      </c>
      <c r="BG89" s="177">
        <f t="shared" si="55"/>
        <v>0</v>
      </c>
      <c r="BH89" s="177">
        <f t="shared" si="55"/>
        <v>0</v>
      </c>
      <c r="BI89" s="177">
        <f t="shared" si="55"/>
        <v>0</v>
      </c>
      <c r="BJ89" s="177">
        <f t="shared" si="55"/>
        <v>0</v>
      </c>
      <c r="BK89" s="177">
        <f t="shared" si="55"/>
        <v>0</v>
      </c>
      <c r="BL89" s="177">
        <f t="shared" si="55"/>
        <v>0</v>
      </c>
    </row>
    <row r="90" spans="1:64" ht="12.75" x14ac:dyDescent="0.2">
      <c r="A90" s="51" t="str" cm="1">
        <f t="array" ref="A90">INDEX(TariffCode, MATCH(1,(C90=TariffZone)*(D90=TariffProduct),0))</f>
        <v>SS</v>
      </c>
      <c r="B90" s="51" t="str">
        <f>IF($D90="Water",IF(C90="Standard",Assumptions!$H$90,Assumptions!$H$93),"")</f>
        <v/>
      </c>
      <c r="C90" s="150" t="s">
        <v>287</v>
      </c>
      <c r="D90" s="150" t="s">
        <v>303</v>
      </c>
      <c r="E90" s="150" t="s">
        <v>405</v>
      </c>
      <c r="F90" s="150" t="s">
        <v>262</v>
      </c>
      <c r="G90" s="51" t="str">
        <f t="shared" si="14"/>
        <v>Greenfield</v>
      </c>
      <c r="H90" s="177"/>
      <c r="I90" s="177"/>
      <c r="J90" s="177"/>
      <c r="K90" s="51"/>
      <c r="L90" s="51"/>
      <c r="M90" s="51"/>
      <c r="N90" s="51"/>
      <c r="O90" s="51"/>
      <c r="P90" s="51"/>
      <c r="Q90" s="51"/>
      <c r="R90" s="51"/>
      <c r="S90" s="177">
        <f t="shared" si="11"/>
        <v>1082.5552490921168</v>
      </c>
      <c r="T90" s="177">
        <f t="shared" si="45"/>
        <v>1250.7712111384335</v>
      </c>
      <c r="U90" s="177">
        <f t="shared" si="45"/>
        <v>1874.65836870366</v>
      </c>
      <c r="V90" s="177">
        <f t="shared" si="45"/>
        <v>3068.1789325771861</v>
      </c>
      <c r="W90" s="177">
        <f t="shared" si="45"/>
        <v>5224.6509946906353</v>
      </c>
      <c r="X90" s="177">
        <f t="shared" si="45"/>
        <v>3969.9219417446147</v>
      </c>
      <c r="Y90" s="177">
        <f t="shared" si="45"/>
        <v>5173.3222863407718</v>
      </c>
      <c r="Z90" s="177">
        <f t="shared" si="45"/>
        <v>6900.4224121464431</v>
      </c>
      <c r="AA90" s="177">
        <f t="shared" si="45"/>
        <v>3279.7240737663597</v>
      </c>
      <c r="AB90" s="177">
        <f t="shared" si="15"/>
        <v>1467.7740946660633</v>
      </c>
      <c r="AC90" s="177">
        <f t="shared" ref="AC90:BL90" si="56">AC38-AB38</f>
        <v>3148.1001406923679</v>
      </c>
      <c r="AD90" s="177">
        <f t="shared" si="56"/>
        <v>3414.4311328844196</v>
      </c>
      <c r="AE90" s="177">
        <f t="shared" si="56"/>
        <v>3653.1525254813168</v>
      </c>
      <c r="AF90" s="177">
        <f t="shared" si="56"/>
        <v>3376.2134096752052</v>
      </c>
      <c r="AG90" s="177">
        <f t="shared" si="56"/>
        <v>3385.8489105325643</v>
      </c>
      <c r="AH90" s="177">
        <f t="shared" si="56"/>
        <v>3264.2008128976813</v>
      </c>
      <c r="AI90" s="177">
        <f t="shared" si="56"/>
        <v>3305.6428981533463</v>
      </c>
      <c r="AJ90" s="177">
        <f t="shared" si="56"/>
        <v>3217.5779719396305</v>
      </c>
      <c r="AK90" s="177">
        <f t="shared" si="56"/>
        <v>3389.8884770446311</v>
      </c>
      <c r="AL90" s="177">
        <f t="shared" si="56"/>
        <v>3478.5092461501918</v>
      </c>
      <c r="AM90" s="177">
        <f t="shared" si="56"/>
        <v>3423.7561167840613</v>
      </c>
      <c r="AN90" s="177">
        <f t="shared" si="56"/>
        <v>3344.0995582176402</v>
      </c>
      <c r="AO90" s="177">
        <f t="shared" si="56"/>
        <v>3254.3055394465482</v>
      </c>
      <c r="AP90" s="177">
        <f t="shared" si="56"/>
        <v>3062.7597683280183</v>
      </c>
      <c r="AQ90" s="177">
        <f t="shared" si="56"/>
        <v>2827.4307244243973</v>
      </c>
      <c r="AR90" s="177">
        <f t="shared" si="56"/>
        <v>2552.9869364752958</v>
      </c>
      <c r="AS90" s="177">
        <f t="shared" si="56"/>
        <v>2287.5638549007854</v>
      </c>
      <c r="AT90" s="177">
        <f t="shared" si="56"/>
        <v>2119.285596030968</v>
      </c>
      <c r="AU90" s="177">
        <f t="shared" si="56"/>
        <v>1840.8847593233077</v>
      </c>
      <c r="AV90" s="177">
        <f t="shared" si="56"/>
        <v>1535.3403733793384</v>
      </c>
      <c r="AW90" s="177">
        <f t="shared" si="56"/>
        <v>1298.3979933219816</v>
      </c>
      <c r="AX90" s="177">
        <f t="shared" si="56"/>
        <v>1123.8383640787797</v>
      </c>
      <c r="AY90" s="177">
        <f t="shared" si="56"/>
        <v>1026.5634916067793</v>
      </c>
      <c r="AZ90" s="177">
        <f t="shared" si="56"/>
        <v>908.53827892713889</v>
      </c>
      <c r="BA90" s="177">
        <f t="shared" si="56"/>
        <v>883.05642559877015</v>
      </c>
      <c r="BB90" s="177">
        <f t="shared" si="56"/>
        <v>894.64556419565633</v>
      </c>
      <c r="BC90" s="177">
        <f t="shared" si="56"/>
        <v>870.31693755430751</v>
      </c>
      <c r="BD90" s="177">
        <f t="shared" si="56"/>
        <v>843.17043042450678</v>
      </c>
      <c r="BE90" s="177">
        <f t="shared" si="56"/>
        <v>828.28784050075046</v>
      </c>
      <c r="BF90" s="177">
        <f t="shared" si="56"/>
        <v>955.60131770465523</v>
      </c>
      <c r="BG90" s="177">
        <f t="shared" si="56"/>
        <v>1196.3373250545264</v>
      </c>
      <c r="BH90" s="177">
        <f t="shared" si="56"/>
        <v>1174.8119528126263</v>
      </c>
      <c r="BI90" s="177">
        <f t="shared" si="56"/>
        <v>1126.8065658452688</v>
      </c>
      <c r="BJ90" s="177">
        <f t="shared" si="56"/>
        <v>995.10674516636936</v>
      </c>
      <c r="BK90" s="177">
        <f t="shared" si="56"/>
        <v>536.73118234142021</v>
      </c>
      <c r="BL90" s="177">
        <f t="shared" si="56"/>
        <v>437.98581125373312</v>
      </c>
    </row>
    <row r="91" spans="1:64" ht="12.75" x14ac:dyDescent="0.2">
      <c r="A91" s="51" t="str" cm="1">
        <f t="array" ref="A91">INDEX(TariffCode, MATCH(1,(C91=TariffZone)*(D91=TariffProduct),0))</f>
        <v>GS</v>
      </c>
      <c r="B91" s="51" t="str">
        <f>IF($D91="Water",IF(C91="Standard",Assumptions!$H$90,Assumptions!$H$93),"")</f>
        <v/>
      </c>
      <c r="C91" s="150" t="s">
        <v>290</v>
      </c>
      <c r="D91" s="150" t="s">
        <v>303</v>
      </c>
      <c r="E91" s="150" t="s">
        <v>405</v>
      </c>
      <c r="F91" s="150" t="s">
        <v>262</v>
      </c>
      <c r="G91" s="51" t="str">
        <f t="shared" si="14"/>
        <v>Greenfield</v>
      </c>
      <c r="H91" s="177"/>
      <c r="I91" s="177"/>
      <c r="J91" s="177"/>
      <c r="K91" s="51"/>
      <c r="L91" s="51"/>
      <c r="M91" s="51"/>
      <c r="N91" s="51"/>
      <c r="O91" s="51"/>
      <c r="P91" s="51"/>
      <c r="Q91" s="51"/>
      <c r="R91" s="51"/>
      <c r="S91" s="177">
        <f t="shared" si="11"/>
        <v>0</v>
      </c>
      <c r="T91" s="177">
        <f t="shared" si="45"/>
        <v>0</v>
      </c>
      <c r="U91" s="177">
        <f t="shared" si="45"/>
        <v>0</v>
      </c>
      <c r="V91" s="177">
        <f t="shared" si="45"/>
        <v>0</v>
      </c>
      <c r="W91" s="177">
        <f t="shared" si="45"/>
        <v>0</v>
      </c>
      <c r="X91" s="177">
        <f t="shared" si="45"/>
        <v>0</v>
      </c>
      <c r="Y91" s="177">
        <f t="shared" si="45"/>
        <v>0</v>
      </c>
      <c r="Z91" s="177">
        <f t="shared" si="45"/>
        <v>0</v>
      </c>
      <c r="AA91" s="177">
        <f t="shared" si="45"/>
        <v>0</v>
      </c>
      <c r="AB91" s="177">
        <f t="shared" si="15"/>
        <v>0</v>
      </c>
      <c r="AC91" s="177">
        <f t="shared" ref="AC91:BL91" si="57">AC39-AB39</f>
        <v>0</v>
      </c>
      <c r="AD91" s="177">
        <f t="shared" si="57"/>
        <v>0</v>
      </c>
      <c r="AE91" s="177">
        <f t="shared" si="57"/>
        <v>0</v>
      </c>
      <c r="AF91" s="177">
        <f t="shared" si="57"/>
        <v>0</v>
      </c>
      <c r="AG91" s="177">
        <f t="shared" si="57"/>
        <v>0</v>
      </c>
      <c r="AH91" s="177">
        <f t="shared" si="57"/>
        <v>0</v>
      </c>
      <c r="AI91" s="177">
        <f t="shared" si="57"/>
        <v>0</v>
      </c>
      <c r="AJ91" s="177">
        <f t="shared" si="57"/>
        <v>0</v>
      </c>
      <c r="AK91" s="177">
        <f t="shared" si="57"/>
        <v>0</v>
      </c>
      <c r="AL91" s="177">
        <f t="shared" si="57"/>
        <v>0</v>
      </c>
      <c r="AM91" s="177">
        <f t="shared" si="57"/>
        <v>0</v>
      </c>
      <c r="AN91" s="177">
        <f t="shared" si="57"/>
        <v>0</v>
      </c>
      <c r="AO91" s="177">
        <f t="shared" si="57"/>
        <v>0</v>
      </c>
      <c r="AP91" s="177">
        <f t="shared" si="57"/>
        <v>0</v>
      </c>
      <c r="AQ91" s="177">
        <f t="shared" si="57"/>
        <v>0</v>
      </c>
      <c r="AR91" s="177">
        <f t="shared" si="57"/>
        <v>0</v>
      </c>
      <c r="AS91" s="177">
        <f t="shared" si="57"/>
        <v>0</v>
      </c>
      <c r="AT91" s="177">
        <f t="shared" si="57"/>
        <v>0</v>
      </c>
      <c r="AU91" s="177">
        <f t="shared" si="57"/>
        <v>0</v>
      </c>
      <c r="AV91" s="177">
        <f t="shared" si="57"/>
        <v>0</v>
      </c>
      <c r="AW91" s="177">
        <f t="shared" si="57"/>
        <v>0</v>
      </c>
      <c r="AX91" s="177">
        <f t="shared" si="57"/>
        <v>0</v>
      </c>
      <c r="AY91" s="177">
        <f t="shared" si="57"/>
        <v>0</v>
      </c>
      <c r="AZ91" s="177">
        <f t="shared" si="57"/>
        <v>0</v>
      </c>
      <c r="BA91" s="177">
        <f t="shared" si="57"/>
        <v>0</v>
      </c>
      <c r="BB91" s="177">
        <f t="shared" si="57"/>
        <v>0</v>
      </c>
      <c r="BC91" s="177">
        <f t="shared" si="57"/>
        <v>0</v>
      </c>
      <c r="BD91" s="177">
        <f t="shared" si="57"/>
        <v>0</v>
      </c>
      <c r="BE91" s="177">
        <f t="shared" si="57"/>
        <v>0</v>
      </c>
      <c r="BF91" s="177">
        <f t="shared" si="57"/>
        <v>0</v>
      </c>
      <c r="BG91" s="177">
        <f t="shared" si="57"/>
        <v>0</v>
      </c>
      <c r="BH91" s="177">
        <f t="shared" si="57"/>
        <v>0</v>
      </c>
      <c r="BI91" s="177">
        <f t="shared" si="57"/>
        <v>0</v>
      </c>
      <c r="BJ91" s="177">
        <f t="shared" si="57"/>
        <v>0</v>
      </c>
      <c r="BK91" s="177">
        <f t="shared" si="57"/>
        <v>0</v>
      </c>
      <c r="BL91" s="177">
        <f t="shared" si="57"/>
        <v>0</v>
      </c>
    </row>
    <row r="92" spans="1:64" ht="12.75" x14ac:dyDescent="0.2">
      <c r="A92" s="51" t="str" cm="1">
        <f t="array" ref="A92">INDEX(TariffCode, MATCH(1,(C92=TariffZone)*(D92=TariffProduct),0))</f>
        <v>WR</v>
      </c>
      <c r="B92" s="51" t="str">
        <f>IF($D92="Water",IF(C92="Standard",Assumptions!$H$90,Assumptions!$H$93),"")</f>
        <v/>
      </c>
      <c r="C92" s="150" t="s">
        <v>283</v>
      </c>
      <c r="D92" s="150" t="s">
        <v>310</v>
      </c>
      <c r="E92" s="150" t="s">
        <v>405</v>
      </c>
      <c r="F92" s="150" t="s">
        <v>262</v>
      </c>
      <c r="G92" s="51" t="str">
        <f t="shared" si="14"/>
        <v>Greenfield</v>
      </c>
      <c r="H92" s="174">
        <f>AB40-AA40</f>
        <v>4945.5473466793628</v>
      </c>
      <c r="I92" s="174">
        <f>I68*-1</f>
        <v>-1551.5473466793769</v>
      </c>
      <c r="J92" s="174">
        <f>H92+I92</f>
        <v>3393.9999999999859</v>
      </c>
      <c r="K92" s="51"/>
      <c r="L92" s="51"/>
      <c r="M92" s="51"/>
      <c r="N92" s="51"/>
      <c r="O92" s="51"/>
      <c r="P92" s="51"/>
      <c r="Q92" s="51"/>
      <c r="R92" s="51"/>
      <c r="S92" s="177">
        <f t="shared" si="11"/>
        <v>157.48030344511443</v>
      </c>
      <c r="T92" s="177">
        <f t="shared" si="45"/>
        <v>173</v>
      </c>
      <c r="U92" s="177">
        <f t="shared" si="45"/>
        <v>651.00000000000045</v>
      </c>
      <c r="V92" s="177">
        <f t="shared" si="45"/>
        <v>2126.0000000000005</v>
      </c>
      <c r="W92" s="177">
        <f t="shared" si="45"/>
        <v>4481.9999999999991</v>
      </c>
      <c r="X92" s="177">
        <f t="shared" si="45"/>
        <v>3754.9999999999982</v>
      </c>
      <c r="Y92" s="177">
        <f t="shared" si="45"/>
        <v>4655.0000000000055</v>
      </c>
      <c r="Z92" s="177">
        <f t="shared" si="45"/>
        <v>6616.0000000000036</v>
      </c>
      <c r="AA92" s="177">
        <f t="shared" si="45"/>
        <v>2605.0000000000073</v>
      </c>
      <c r="AB92" s="174">
        <f>J92</f>
        <v>3393.9999999999859</v>
      </c>
      <c r="AC92" s="177">
        <f t="shared" ref="AC92:BL92" si="58">AC40-AB40</f>
        <v>3051.7936413398711</v>
      </c>
      <c r="AD92" s="177">
        <f t="shared" si="58"/>
        <v>3384.2437416433677</v>
      </c>
      <c r="AE92" s="177">
        <f t="shared" si="58"/>
        <v>3448.50427823059</v>
      </c>
      <c r="AF92" s="177">
        <f t="shared" si="58"/>
        <v>2950.2631788688159</v>
      </c>
      <c r="AG92" s="177">
        <f t="shared" si="58"/>
        <v>2870.6425749978007</v>
      </c>
      <c r="AH92" s="177">
        <f t="shared" si="58"/>
        <v>2776.5078249494982</v>
      </c>
      <c r="AI92" s="177">
        <f t="shared" si="58"/>
        <v>2781.1077418582936</v>
      </c>
      <c r="AJ92" s="177">
        <f t="shared" si="58"/>
        <v>2732.299521977875</v>
      </c>
      <c r="AK92" s="177">
        <f t="shared" si="58"/>
        <v>2825.8665476811293</v>
      </c>
      <c r="AL92" s="177">
        <f t="shared" si="58"/>
        <v>2857.7836722896172</v>
      </c>
      <c r="AM92" s="177">
        <f t="shared" si="58"/>
        <v>2823.643710942386</v>
      </c>
      <c r="AN92" s="177">
        <f t="shared" si="58"/>
        <v>2781.7879342009983</v>
      </c>
      <c r="AO92" s="177">
        <f t="shared" si="58"/>
        <v>2599.0864520728064</v>
      </c>
      <c r="AP92" s="177">
        <f t="shared" si="58"/>
        <v>2314.5551965933846</v>
      </c>
      <c r="AQ92" s="177">
        <f t="shared" si="58"/>
        <v>2073.9609391129488</v>
      </c>
      <c r="AR92" s="177">
        <f t="shared" si="58"/>
        <v>1874.0959597016481</v>
      </c>
      <c r="AS92" s="177">
        <f t="shared" si="58"/>
        <v>1694.9431979409128</v>
      </c>
      <c r="AT92" s="177">
        <f t="shared" si="58"/>
        <v>1638.1260241882264</v>
      </c>
      <c r="AU92" s="177">
        <f t="shared" si="58"/>
        <v>1475.2738886577717</v>
      </c>
      <c r="AV92" s="177">
        <f t="shared" si="58"/>
        <v>1297.6928694306698</v>
      </c>
      <c r="AW92" s="177">
        <f t="shared" si="58"/>
        <v>1118.5813547660946</v>
      </c>
      <c r="AX92" s="177">
        <f t="shared" si="58"/>
        <v>956.72120759970858</v>
      </c>
      <c r="AY92" s="177">
        <f t="shared" si="58"/>
        <v>880.76857229639427</v>
      </c>
      <c r="AZ92" s="177">
        <f t="shared" si="58"/>
        <v>784.72815942490706</v>
      </c>
      <c r="BA92" s="177">
        <f t="shared" si="58"/>
        <v>761.4691658828815</v>
      </c>
      <c r="BB92" s="177">
        <f t="shared" si="58"/>
        <v>763.24767411066568</v>
      </c>
      <c r="BC92" s="177">
        <f t="shared" si="58"/>
        <v>739.7296744780906</v>
      </c>
      <c r="BD92" s="177">
        <f t="shared" si="58"/>
        <v>720.80069287512742</v>
      </c>
      <c r="BE92" s="177">
        <f t="shared" si="58"/>
        <v>709.76669647486415</v>
      </c>
      <c r="BF92" s="177">
        <f t="shared" si="58"/>
        <v>827.80036947577901</v>
      </c>
      <c r="BG92" s="177">
        <f t="shared" si="58"/>
        <v>1081.3385245378449</v>
      </c>
      <c r="BH92" s="177">
        <f t="shared" si="58"/>
        <v>1067.4671074050566</v>
      </c>
      <c r="BI92" s="177">
        <f t="shared" si="58"/>
        <v>1023.072300688742</v>
      </c>
      <c r="BJ92" s="177">
        <f t="shared" si="58"/>
        <v>946.04874805358122</v>
      </c>
      <c r="BK92" s="177">
        <f t="shared" si="58"/>
        <v>519.21563544032688</v>
      </c>
      <c r="BL92" s="177">
        <f t="shared" si="58"/>
        <v>416.92575600485725</v>
      </c>
    </row>
    <row r="93" spans="1:64" ht="12.75" x14ac:dyDescent="0.2">
      <c r="A93" s="51" t="str" cm="1">
        <f t="array" ref="A93">INDEX(TariffCode, MATCH(1,(C93=TariffZone)*(D93=TariffProduct),0))</f>
        <v>GR</v>
      </c>
      <c r="B93" s="51" t="str">
        <f>IF($D93="Water",IF(C93="Standard",Assumptions!$H$90,Assumptions!$H$93),"")</f>
        <v/>
      </c>
      <c r="C93" s="150" t="s">
        <v>312</v>
      </c>
      <c r="D93" s="150" t="s">
        <v>310</v>
      </c>
      <c r="E93" s="150" t="s">
        <v>405</v>
      </c>
      <c r="F93" s="150" t="s">
        <v>262</v>
      </c>
      <c r="G93" s="51" t="str">
        <f t="shared" si="14"/>
        <v>Greenfield</v>
      </c>
      <c r="H93" s="177"/>
      <c r="I93" s="177"/>
      <c r="J93" s="177"/>
      <c r="K93" s="51"/>
      <c r="L93" s="51"/>
      <c r="M93" s="51"/>
      <c r="N93" s="51"/>
      <c r="O93" s="51"/>
      <c r="P93" s="51"/>
      <c r="Q93" s="51"/>
      <c r="R93" s="51"/>
      <c r="S93" s="177">
        <f t="shared" si="11"/>
        <v>0</v>
      </c>
      <c r="T93" s="177">
        <f t="shared" si="45"/>
        <v>0</v>
      </c>
      <c r="U93" s="177">
        <f t="shared" si="45"/>
        <v>0</v>
      </c>
      <c r="V93" s="177">
        <f t="shared" si="45"/>
        <v>0</v>
      </c>
      <c r="W93" s="177">
        <f t="shared" si="45"/>
        <v>0</v>
      </c>
      <c r="X93" s="177">
        <f t="shared" si="45"/>
        <v>0</v>
      </c>
      <c r="Y93" s="177">
        <f t="shared" si="45"/>
        <v>0</v>
      </c>
      <c r="Z93" s="177">
        <f t="shared" si="45"/>
        <v>0</v>
      </c>
      <c r="AA93" s="177">
        <f t="shared" si="45"/>
        <v>0</v>
      </c>
      <c r="AB93" s="177">
        <f t="shared" si="15"/>
        <v>0</v>
      </c>
      <c r="AC93" s="177">
        <f t="shared" ref="AC93:BL93" si="59">AC41-AB41</f>
        <v>0</v>
      </c>
      <c r="AD93" s="177">
        <f t="shared" si="59"/>
        <v>0</v>
      </c>
      <c r="AE93" s="177">
        <f t="shared" si="59"/>
        <v>0</v>
      </c>
      <c r="AF93" s="177">
        <f t="shared" si="59"/>
        <v>0</v>
      </c>
      <c r="AG93" s="177">
        <f t="shared" si="59"/>
        <v>0</v>
      </c>
      <c r="AH93" s="177">
        <f t="shared" si="59"/>
        <v>0</v>
      </c>
      <c r="AI93" s="177">
        <f t="shared" si="59"/>
        <v>0</v>
      </c>
      <c r="AJ93" s="177">
        <f t="shared" si="59"/>
        <v>0</v>
      </c>
      <c r="AK93" s="177">
        <f t="shared" si="59"/>
        <v>0</v>
      </c>
      <c r="AL93" s="177">
        <f t="shared" si="59"/>
        <v>0</v>
      </c>
      <c r="AM93" s="177">
        <f t="shared" si="59"/>
        <v>0</v>
      </c>
      <c r="AN93" s="177">
        <f t="shared" si="59"/>
        <v>0</v>
      </c>
      <c r="AO93" s="177">
        <f t="shared" si="59"/>
        <v>0</v>
      </c>
      <c r="AP93" s="177">
        <f t="shared" si="59"/>
        <v>0</v>
      </c>
      <c r="AQ93" s="177">
        <f t="shared" si="59"/>
        <v>0</v>
      </c>
      <c r="AR93" s="177">
        <f t="shared" si="59"/>
        <v>0</v>
      </c>
      <c r="AS93" s="177">
        <f t="shared" si="59"/>
        <v>0</v>
      </c>
      <c r="AT93" s="177">
        <f t="shared" si="59"/>
        <v>0</v>
      </c>
      <c r="AU93" s="177">
        <f t="shared" si="59"/>
        <v>0</v>
      </c>
      <c r="AV93" s="177">
        <f t="shared" si="59"/>
        <v>0</v>
      </c>
      <c r="AW93" s="177">
        <f t="shared" si="59"/>
        <v>0</v>
      </c>
      <c r="AX93" s="177">
        <f t="shared" si="59"/>
        <v>0</v>
      </c>
      <c r="AY93" s="177">
        <f t="shared" si="59"/>
        <v>0</v>
      </c>
      <c r="AZ93" s="177">
        <f t="shared" si="59"/>
        <v>0</v>
      </c>
      <c r="BA93" s="177">
        <f t="shared" si="59"/>
        <v>0</v>
      </c>
      <c r="BB93" s="177">
        <f t="shared" si="59"/>
        <v>0</v>
      </c>
      <c r="BC93" s="177">
        <f t="shared" si="59"/>
        <v>0</v>
      </c>
      <c r="BD93" s="177">
        <f t="shared" si="59"/>
        <v>0</v>
      </c>
      <c r="BE93" s="177">
        <f t="shared" si="59"/>
        <v>0</v>
      </c>
      <c r="BF93" s="177">
        <f t="shared" si="59"/>
        <v>0</v>
      </c>
      <c r="BG93" s="177">
        <f t="shared" si="59"/>
        <v>0</v>
      </c>
      <c r="BH93" s="177">
        <f t="shared" si="59"/>
        <v>0</v>
      </c>
      <c r="BI93" s="177">
        <f t="shared" si="59"/>
        <v>0</v>
      </c>
      <c r="BJ93" s="177">
        <f t="shared" si="59"/>
        <v>0</v>
      </c>
      <c r="BK93" s="177">
        <f t="shared" si="59"/>
        <v>0</v>
      </c>
      <c r="BL93" s="177">
        <f t="shared" si="59"/>
        <v>0</v>
      </c>
    </row>
    <row r="94" spans="1:64" ht="12.75" x14ac:dyDescent="0.2">
      <c r="A94" s="51" t="str" cm="1">
        <f t="array" ref="A94">INDEX(TariffCode, MATCH(1,(C94=TariffZone)*(D94=TariffProduct),0))</f>
        <v>SW</v>
      </c>
      <c r="B94" s="51" t="str">
        <f>IF($D94="Water",IF(C94="Standard",Assumptions!$H$90,Assumptions!$H$93),"")</f>
        <v>SA</v>
      </c>
      <c r="C94" s="150" t="s">
        <v>287</v>
      </c>
      <c r="D94" s="150" t="s">
        <v>301</v>
      </c>
      <c r="E94" s="150" t="s">
        <v>407</v>
      </c>
      <c r="F94" s="150" t="s">
        <v>262</v>
      </c>
      <c r="G94" s="51" t="str">
        <f t="shared" si="14"/>
        <v>Greenfield</v>
      </c>
      <c r="H94" s="174">
        <f>AB42-AA42</f>
        <v>-1028.2935043745188</v>
      </c>
      <c r="I94" s="174">
        <f>I70*-1</f>
        <v>1196.3215193252836</v>
      </c>
      <c r="J94" s="174">
        <f>H94+I94</f>
        <v>168.02801495076483</v>
      </c>
      <c r="K94" s="51"/>
      <c r="L94" s="51"/>
      <c r="M94" s="51"/>
      <c r="N94" s="51"/>
      <c r="O94" s="51"/>
      <c r="P94" s="51"/>
      <c r="Q94" s="51"/>
      <c r="R94" s="51"/>
      <c r="S94" s="177">
        <f t="shared" si="11"/>
        <v>77.93371705285557</v>
      </c>
      <c r="T94" s="177">
        <f t="shared" ref="T94:AA103" si="60">T42-S42</f>
        <v>81.438890602738866</v>
      </c>
      <c r="U94" s="177">
        <f t="shared" si="60"/>
        <v>168.85220185068124</v>
      </c>
      <c r="V94" s="177">
        <f t="shared" si="60"/>
        <v>193.44726382821591</v>
      </c>
      <c r="W94" s="177">
        <f t="shared" si="60"/>
        <v>145.66182454636919</v>
      </c>
      <c r="X94" s="177">
        <f t="shared" si="60"/>
        <v>349.62817717267671</v>
      </c>
      <c r="Y94" s="177">
        <f t="shared" si="60"/>
        <v>246.64260358560932</v>
      </c>
      <c r="Z94" s="177">
        <f t="shared" si="60"/>
        <v>430.72937700065131</v>
      </c>
      <c r="AA94" s="177">
        <f t="shared" si="60"/>
        <v>215.28581500423979</v>
      </c>
      <c r="AB94" s="174">
        <f>J94</f>
        <v>168.02801495076483</v>
      </c>
      <c r="AC94" s="177">
        <f t="shared" ref="AC94:BL94" si="61">AC42-AB42</f>
        <v>121.66547529419995</v>
      </c>
      <c r="AD94" s="177">
        <f t="shared" si="61"/>
        <v>132.87897441449149</v>
      </c>
      <c r="AE94" s="177">
        <f t="shared" si="61"/>
        <v>135.01283991962691</v>
      </c>
      <c r="AF94" s="177">
        <f t="shared" si="61"/>
        <v>114.51577145750571</v>
      </c>
      <c r="AG94" s="177">
        <f t="shared" si="61"/>
        <v>115.2107159565935</v>
      </c>
      <c r="AH94" s="177">
        <f t="shared" si="61"/>
        <v>118.42397640516492</v>
      </c>
      <c r="AI94" s="177">
        <f t="shared" si="61"/>
        <v>125.38668670912011</v>
      </c>
      <c r="AJ94" s="177">
        <f t="shared" si="61"/>
        <v>118.2463867081774</v>
      </c>
      <c r="AK94" s="177">
        <f t="shared" si="61"/>
        <v>122.74930780924069</v>
      </c>
      <c r="AL94" s="177">
        <f t="shared" si="61"/>
        <v>123.51306306043534</v>
      </c>
      <c r="AM94" s="177">
        <f t="shared" si="61"/>
        <v>122.85790971851202</v>
      </c>
      <c r="AN94" s="177">
        <f t="shared" si="61"/>
        <v>122.25083030488349</v>
      </c>
      <c r="AO94" s="177">
        <f t="shared" si="61"/>
        <v>117.82916660967385</v>
      </c>
      <c r="AP94" s="177">
        <f t="shared" si="61"/>
        <v>111.67428948525412</v>
      </c>
      <c r="AQ94" s="177">
        <f t="shared" si="61"/>
        <v>104.65520085548997</v>
      </c>
      <c r="AR94" s="177">
        <f t="shared" si="61"/>
        <v>98.730731663393271</v>
      </c>
      <c r="AS94" s="177">
        <f t="shared" si="61"/>
        <v>100.22379789511979</v>
      </c>
      <c r="AT94" s="177">
        <f t="shared" si="61"/>
        <v>99.771711578738177</v>
      </c>
      <c r="AU94" s="177">
        <f t="shared" si="61"/>
        <v>97.524444787546599</v>
      </c>
      <c r="AV94" s="177">
        <f t="shared" si="61"/>
        <v>94.624259811846059</v>
      </c>
      <c r="AW94" s="177">
        <f t="shared" si="61"/>
        <v>94.521284181197188</v>
      </c>
      <c r="AX94" s="177">
        <f t="shared" si="61"/>
        <v>96.99168634732905</v>
      </c>
      <c r="AY94" s="177">
        <f t="shared" si="61"/>
        <v>99.970313374273246</v>
      </c>
      <c r="AZ94" s="177">
        <f t="shared" si="61"/>
        <v>99.559904972863478</v>
      </c>
      <c r="BA94" s="177">
        <f t="shared" si="61"/>
        <v>102.68655738751931</v>
      </c>
      <c r="BB94" s="177">
        <f t="shared" si="61"/>
        <v>106.05340987971522</v>
      </c>
      <c r="BC94" s="177">
        <f t="shared" si="61"/>
        <v>107.89693974764123</v>
      </c>
      <c r="BD94" s="177">
        <f t="shared" si="61"/>
        <v>107.11058785325167</v>
      </c>
      <c r="BE94" s="177">
        <f t="shared" si="61"/>
        <v>91.203299736836925</v>
      </c>
      <c r="BF94" s="177">
        <f t="shared" si="61"/>
        <v>96.024977260246487</v>
      </c>
      <c r="BG94" s="177">
        <f t="shared" si="61"/>
        <v>97.840038953479052</v>
      </c>
      <c r="BH94" s="177">
        <f t="shared" si="61"/>
        <v>95.556449745885402</v>
      </c>
      <c r="BI94" s="177">
        <f t="shared" si="61"/>
        <v>93.729174302420688</v>
      </c>
      <c r="BJ94" s="177">
        <f t="shared" si="61"/>
        <v>98.240534545296214</v>
      </c>
      <c r="BK94" s="177">
        <f t="shared" si="61"/>
        <v>87.390678860539992</v>
      </c>
      <c r="BL94" s="177">
        <f t="shared" si="61"/>
        <v>81.596612645718778</v>
      </c>
    </row>
    <row r="95" spans="1:64" ht="12.75" x14ac:dyDescent="0.2">
      <c r="A95" s="51" t="str" cm="1">
        <f t="array" ref="A95">INDEX(TariffCode, MATCH(1,(C95=TariffZone)*(D95=TariffProduct),0))</f>
        <v>GW</v>
      </c>
      <c r="B95" s="51" t="str">
        <f>IF($D95="Water",IF(C95="Standard",Assumptions!$H$90,Assumptions!$H$93),"")</f>
        <v>GA</v>
      </c>
      <c r="C95" s="150" t="s">
        <v>290</v>
      </c>
      <c r="D95" s="150" t="s">
        <v>301</v>
      </c>
      <c r="E95" s="150" t="s">
        <v>407</v>
      </c>
      <c r="F95" s="150" t="s">
        <v>262</v>
      </c>
      <c r="G95" s="51" t="str">
        <f t="shared" si="14"/>
        <v>Greenfield</v>
      </c>
      <c r="H95" s="177"/>
      <c r="I95" s="177"/>
      <c r="J95" s="177"/>
      <c r="K95" s="51"/>
      <c r="L95" s="51"/>
      <c r="M95" s="51"/>
      <c r="N95" s="51"/>
      <c r="O95" s="51"/>
      <c r="P95" s="51"/>
      <c r="Q95" s="51"/>
      <c r="R95" s="51"/>
      <c r="S95" s="177">
        <f t="shared" si="11"/>
        <v>0</v>
      </c>
      <c r="T95" s="177">
        <f t="shared" si="60"/>
        <v>0</v>
      </c>
      <c r="U95" s="177">
        <f t="shared" si="60"/>
        <v>0</v>
      </c>
      <c r="V95" s="177">
        <f t="shared" si="60"/>
        <v>0</v>
      </c>
      <c r="W95" s="177">
        <f t="shared" si="60"/>
        <v>0</v>
      </c>
      <c r="X95" s="177">
        <f t="shared" si="60"/>
        <v>0</v>
      </c>
      <c r="Y95" s="177">
        <f t="shared" si="60"/>
        <v>0</v>
      </c>
      <c r="Z95" s="177">
        <f t="shared" si="60"/>
        <v>0</v>
      </c>
      <c r="AA95" s="177">
        <f t="shared" si="60"/>
        <v>0</v>
      </c>
      <c r="AB95" s="177">
        <f t="shared" si="15"/>
        <v>0</v>
      </c>
      <c r="AC95" s="177">
        <f t="shared" ref="AC95:BL95" si="62">AC43-AB43</f>
        <v>0</v>
      </c>
      <c r="AD95" s="177">
        <f t="shared" si="62"/>
        <v>0</v>
      </c>
      <c r="AE95" s="177">
        <f t="shared" si="62"/>
        <v>0</v>
      </c>
      <c r="AF95" s="177">
        <f t="shared" si="62"/>
        <v>0</v>
      </c>
      <c r="AG95" s="177">
        <f t="shared" si="62"/>
        <v>0</v>
      </c>
      <c r="AH95" s="177">
        <f t="shared" si="62"/>
        <v>0</v>
      </c>
      <c r="AI95" s="177">
        <f t="shared" si="62"/>
        <v>0</v>
      </c>
      <c r="AJ95" s="177">
        <f t="shared" si="62"/>
        <v>0</v>
      </c>
      <c r="AK95" s="177">
        <f t="shared" si="62"/>
        <v>0</v>
      </c>
      <c r="AL95" s="177">
        <f t="shared" si="62"/>
        <v>0</v>
      </c>
      <c r="AM95" s="177">
        <f t="shared" si="62"/>
        <v>0</v>
      </c>
      <c r="AN95" s="177">
        <f t="shared" si="62"/>
        <v>0</v>
      </c>
      <c r="AO95" s="177">
        <f t="shared" si="62"/>
        <v>0</v>
      </c>
      <c r="AP95" s="177">
        <f t="shared" si="62"/>
        <v>0</v>
      </c>
      <c r="AQ95" s="177">
        <f t="shared" si="62"/>
        <v>0</v>
      </c>
      <c r="AR95" s="177">
        <f t="shared" si="62"/>
        <v>0</v>
      </c>
      <c r="AS95" s="177">
        <f t="shared" si="62"/>
        <v>0</v>
      </c>
      <c r="AT95" s="177">
        <f t="shared" si="62"/>
        <v>0</v>
      </c>
      <c r="AU95" s="177">
        <f t="shared" si="62"/>
        <v>0</v>
      </c>
      <c r="AV95" s="177">
        <f t="shared" si="62"/>
        <v>0</v>
      </c>
      <c r="AW95" s="177">
        <f t="shared" si="62"/>
        <v>0</v>
      </c>
      <c r="AX95" s="177">
        <f t="shared" si="62"/>
        <v>0</v>
      </c>
      <c r="AY95" s="177">
        <f t="shared" si="62"/>
        <v>0</v>
      </c>
      <c r="AZ95" s="177">
        <f t="shared" si="62"/>
        <v>0</v>
      </c>
      <c r="BA95" s="177">
        <f t="shared" si="62"/>
        <v>0</v>
      </c>
      <c r="BB95" s="177">
        <f t="shared" si="62"/>
        <v>0</v>
      </c>
      <c r="BC95" s="177">
        <f t="shared" si="62"/>
        <v>0</v>
      </c>
      <c r="BD95" s="177">
        <f t="shared" si="62"/>
        <v>0</v>
      </c>
      <c r="BE95" s="177">
        <f t="shared" si="62"/>
        <v>0</v>
      </c>
      <c r="BF95" s="177">
        <f t="shared" si="62"/>
        <v>0</v>
      </c>
      <c r="BG95" s="177">
        <f t="shared" si="62"/>
        <v>0</v>
      </c>
      <c r="BH95" s="177">
        <f t="shared" si="62"/>
        <v>0</v>
      </c>
      <c r="BI95" s="177">
        <f t="shared" si="62"/>
        <v>0</v>
      </c>
      <c r="BJ95" s="177">
        <f t="shared" si="62"/>
        <v>0</v>
      </c>
      <c r="BK95" s="177">
        <f t="shared" si="62"/>
        <v>0</v>
      </c>
      <c r="BL95" s="177">
        <f t="shared" si="62"/>
        <v>0</v>
      </c>
    </row>
    <row r="96" spans="1:64" ht="12.75" x14ac:dyDescent="0.2">
      <c r="A96" s="51" t="str" cm="1">
        <f t="array" ref="A96">INDEX(TariffCode, MATCH(1,(C96=TariffZone)*(D96=TariffProduct),0))</f>
        <v>SS</v>
      </c>
      <c r="B96" s="51" t="str">
        <f>IF($D96="Water",IF(C96="Standard",Assumptions!$H$90,Assumptions!$H$93),"")</f>
        <v/>
      </c>
      <c r="C96" s="150" t="s">
        <v>287</v>
      </c>
      <c r="D96" s="150" t="s">
        <v>303</v>
      </c>
      <c r="E96" s="150" t="s">
        <v>407</v>
      </c>
      <c r="F96" s="150" t="s">
        <v>262</v>
      </c>
      <c r="G96" s="51" t="str">
        <f t="shared" si="14"/>
        <v>Greenfield</v>
      </c>
      <c r="H96" s="174">
        <f>AB44-AA44</f>
        <v>-690.70274797219781</v>
      </c>
      <c r="I96" s="174">
        <f>I72*-1</f>
        <v>836.72820671882073</v>
      </c>
      <c r="J96" s="174">
        <f>H96+I96</f>
        <v>146.02545874662292</v>
      </c>
      <c r="K96" s="51"/>
      <c r="L96" s="51"/>
      <c r="M96" s="51"/>
      <c r="N96" s="51"/>
      <c r="O96" s="51"/>
      <c r="P96" s="51"/>
      <c r="Q96" s="51"/>
      <c r="R96" s="51"/>
      <c r="S96" s="177">
        <f t="shared" si="11"/>
        <v>71.548860539667473</v>
      </c>
      <c r="T96" s="177">
        <f t="shared" si="60"/>
        <v>75.429961441455589</v>
      </c>
      <c r="U96" s="177">
        <f t="shared" si="60"/>
        <v>155.75806298229645</v>
      </c>
      <c r="V96" s="177">
        <f t="shared" si="60"/>
        <v>186.2963206346692</v>
      </c>
      <c r="W96" s="177">
        <f t="shared" si="60"/>
        <v>145.52169789148161</v>
      </c>
      <c r="X96" s="177">
        <f t="shared" si="60"/>
        <v>345.00463523549456</v>
      </c>
      <c r="Y96" s="177">
        <f t="shared" si="60"/>
        <v>235.82590828718457</v>
      </c>
      <c r="Z96" s="177">
        <f t="shared" si="60"/>
        <v>426.41923330929421</v>
      </c>
      <c r="AA96" s="177">
        <f t="shared" si="60"/>
        <v>203.10822680757201</v>
      </c>
      <c r="AB96" s="174">
        <f>J96</f>
        <v>146.02545874662292</v>
      </c>
      <c r="AC96" s="177">
        <f t="shared" ref="AC96:BL96" si="63">AC44-AB44</f>
        <v>121.66547529419995</v>
      </c>
      <c r="AD96" s="177">
        <f t="shared" si="63"/>
        <v>132.87897441449149</v>
      </c>
      <c r="AE96" s="177">
        <f t="shared" si="63"/>
        <v>135.01283991962691</v>
      </c>
      <c r="AF96" s="177">
        <f t="shared" si="63"/>
        <v>114.51577145750571</v>
      </c>
      <c r="AG96" s="177">
        <f t="shared" si="63"/>
        <v>115.2107159565935</v>
      </c>
      <c r="AH96" s="177">
        <f t="shared" si="63"/>
        <v>118.42397640516492</v>
      </c>
      <c r="AI96" s="177">
        <f t="shared" si="63"/>
        <v>125.38668670912011</v>
      </c>
      <c r="AJ96" s="177">
        <f t="shared" si="63"/>
        <v>118.2463867081774</v>
      </c>
      <c r="AK96" s="177">
        <f t="shared" si="63"/>
        <v>122.74930780924069</v>
      </c>
      <c r="AL96" s="177">
        <f t="shared" si="63"/>
        <v>123.51306306043534</v>
      </c>
      <c r="AM96" s="177">
        <f t="shared" si="63"/>
        <v>122.85790971851202</v>
      </c>
      <c r="AN96" s="177">
        <f t="shared" si="63"/>
        <v>122.25083030488395</v>
      </c>
      <c r="AO96" s="177">
        <f t="shared" si="63"/>
        <v>117.82916660967339</v>
      </c>
      <c r="AP96" s="177">
        <f t="shared" si="63"/>
        <v>111.67428948525412</v>
      </c>
      <c r="AQ96" s="177">
        <f t="shared" si="63"/>
        <v>104.65520085548997</v>
      </c>
      <c r="AR96" s="177">
        <f t="shared" si="63"/>
        <v>98.730731663393271</v>
      </c>
      <c r="AS96" s="177">
        <f t="shared" si="63"/>
        <v>100.2237978951207</v>
      </c>
      <c r="AT96" s="177">
        <f t="shared" si="63"/>
        <v>99.771711578737268</v>
      </c>
      <c r="AU96" s="177">
        <f t="shared" si="63"/>
        <v>97.524444787547509</v>
      </c>
      <c r="AV96" s="177">
        <f t="shared" si="63"/>
        <v>94.62425981184515</v>
      </c>
      <c r="AW96" s="177">
        <f t="shared" si="63"/>
        <v>94.521284181197188</v>
      </c>
      <c r="AX96" s="177">
        <f t="shared" si="63"/>
        <v>96.99168634732905</v>
      </c>
      <c r="AY96" s="177">
        <f t="shared" si="63"/>
        <v>99.970313374273246</v>
      </c>
      <c r="AZ96" s="177">
        <f t="shared" si="63"/>
        <v>99.559904972863478</v>
      </c>
      <c r="BA96" s="177">
        <f t="shared" si="63"/>
        <v>102.68655738751841</v>
      </c>
      <c r="BB96" s="177">
        <f t="shared" si="63"/>
        <v>106.05340987971704</v>
      </c>
      <c r="BC96" s="177">
        <f t="shared" si="63"/>
        <v>107.89693974763941</v>
      </c>
      <c r="BD96" s="177">
        <f t="shared" si="63"/>
        <v>107.11058785325167</v>
      </c>
      <c r="BE96" s="177">
        <f t="shared" si="63"/>
        <v>91.203299736838744</v>
      </c>
      <c r="BF96" s="177">
        <f t="shared" si="63"/>
        <v>96.024977260245578</v>
      </c>
      <c r="BG96" s="177">
        <f t="shared" si="63"/>
        <v>97.840038953479052</v>
      </c>
      <c r="BH96" s="177">
        <f t="shared" si="63"/>
        <v>95.556449745886312</v>
      </c>
      <c r="BI96" s="177">
        <f t="shared" si="63"/>
        <v>93.729174302419779</v>
      </c>
      <c r="BJ96" s="177">
        <f t="shared" si="63"/>
        <v>98.240534545296214</v>
      </c>
      <c r="BK96" s="177">
        <f t="shared" si="63"/>
        <v>87.390678860539083</v>
      </c>
      <c r="BL96" s="177">
        <f t="shared" si="63"/>
        <v>81.596612645718778</v>
      </c>
    </row>
    <row r="97" spans="1:64" ht="12.75" x14ac:dyDescent="0.2">
      <c r="A97" s="51" t="str" cm="1">
        <f t="array" ref="A97">INDEX(TariffCode, MATCH(1,(C97=TariffZone)*(D97=TariffProduct),0))</f>
        <v>GS</v>
      </c>
      <c r="B97" s="51" t="str">
        <f>IF($D97="Water",IF(C97="Standard",Assumptions!$H$90,Assumptions!$H$93),"")</f>
        <v/>
      </c>
      <c r="C97" s="150" t="s">
        <v>290</v>
      </c>
      <c r="D97" s="150" t="s">
        <v>303</v>
      </c>
      <c r="E97" s="150" t="s">
        <v>407</v>
      </c>
      <c r="F97" s="150" t="s">
        <v>262</v>
      </c>
      <c r="G97" s="51" t="str">
        <f t="shared" si="14"/>
        <v>Greenfield</v>
      </c>
      <c r="H97" s="177"/>
      <c r="I97" s="177"/>
      <c r="J97" s="177"/>
      <c r="K97" s="51"/>
      <c r="L97" s="51"/>
      <c r="M97" s="51"/>
      <c r="N97" s="51"/>
      <c r="O97" s="51"/>
      <c r="P97" s="51"/>
      <c r="Q97" s="51"/>
      <c r="R97" s="51"/>
      <c r="S97" s="177">
        <f t="shared" si="11"/>
        <v>0</v>
      </c>
      <c r="T97" s="177">
        <f t="shared" si="60"/>
        <v>0</v>
      </c>
      <c r="U97" s="177">
        <f t="shared" si="60"/>
        <v>0</v>
      </c>
      <c r="V97" s="177">
        <f t="shared" si="60"/>
        <v>0</v>
      </c>
      <c r="W97" s="177">
        <f t="shared" si="60"/>
        <v>0</v>
      </c>
      <c r="X97" s="177">
        <f t="shared" si="60"/>
        <v>0</v>
      </c>
      <c r="Y97" s="177">
        <f t="shared" si="60"/>
        <v>0</v>
      </c>
      <c r="Z97" s="177">
        <f t="shared" si="60"/>
        <v>0</v>
      </c>
      <c r="AA97" s="177">
        <f t="shared" si="60"/>
        <v>0</v>
      </c>
      <c r="AB97" s="177">
        <f t="shared" si="15"/>
        <v>0</v>
      </c>
      <c r="AC97" s="177">
        <f t="shared" ref="AC97:BL97" si="64">AC45-AB45</f>
        <v>0</v>
      </c>
      <c r="AD97" s="177">
        <f t="shared" si="64"/>
        <v>0</v>
      </c>
      <c r="AE97" s="177">
        <f t="shared" si="64"/>
        <v>0</v>
      </c>
      <c r="AF97" s="177">
        <f t="shared" si="64"/>
        <v>0</v>
      </c>
      <c r="AG97" s="177">
        <f t="shared" si="64"/>
        <v>0</v>
      </c>
      <c r="AH97" s="177">
        <f t="shared" si="64"/>
        <v>0</v>
      </c>
      <c r="AI97" s="177">
        <f t="shared" si="64"/>
        <v>0</v>
      </c>
      <c r="AJ97" s="177">
        <f t="shared" si="64"/>
        <v>0</v>
      </c>
      <c r="AK97" s="177">
        <f t="shared" si="64"/>
        <v>0</v>
      </c>
      <c r="AL97" s="177">
        <f t="shared" si="64"/>
        <v>0</v>
      </c>
      <c r="AM97" s="177">
        <f t="shared" si="64"/>
        <v>0</v>
      </c>
      <c r="AN97" s="177">
        <f t="shared" si="64"/>
        <v>0</v>
      </c>
      <c r="AO97" s="177">
        <f t="shared" si="64"/>
        <v>0</v>
      </c>
      <c r="AP97" s="177">
        <f t="shared" si="64"/>
        <v>0</v>
      </c>
      <c r="AQ97" s="177">
        <f t="shared" si="64"/>
        <v>0</v>
      </c>
      <c r="AR97" s="177">
        <f t="shared" si="64"/>
        <v>0</v>
      </c>
      <c r="AS97" s="177">
        <f t="shared" si="64"/>
        <v>0</v>
      </c>
      <c r="AT97" s="177">
        <f t="shared" si="64"/>
        <v>0</v>
      </c>
      <c r="AU97" s="177">
        <f t="shared" si="64"/>
        <v>0</v>
      </c>
      <c r="AV97" s="177">
        <f t="shared" si="64"/>
        <v>0</v>
      </c>
      <c r="AW97" s="177">
        <f t="shared" si="64"/>
        <v>0</v>
      </c>
      <c r="AX97" s="177">
        <f t="shared" si="64"/>
        <v>0</v>
      </c>
      <c r="AY97" s="177">
        <f t="shared" si="64"/>
        <v>0</v>
      </c>
      <c r="AZ97" s="177">
        <f t="shared" si="64"/>
        <v>0</v>
      </c>
      <c r="BA97" s="177">
        <f t="shared" si="64"/>
        <v>0</v>
      </c>
      <c r="BB97" s="177">
        <f t="shared" si="64"/>
        <v>0</v>
      </c>
      <c r="BC97" s="177">
        <f t="shared" si="64"/>
        <v>0</v>
      </c>
      <c r="BD97" s="177">
        <f t="shared" si="64"/>
        <v>0</v>
      </c>
      <c r="BE97" s="177">
        <f t="shared" si="64"/>
        <v>0</v>
      </c>
      <c r="BF97" s="177">
        <f t="shared" si="64"/>
        <v>0</v>
      </c>
      <c r="BG97" s="177">
        <f t="shared" si="64"/>
        <v>0</v>
      </c>
      <c r="BH97" s="177">
        <f t="shared" si="64"/>
        <v>0</v>
      </c>
      <c r="BI97" s="177">
        <f t="shared" si="64"/>
        <v>0</v>
      </c>
      <c r="BJ97" s="177">
        <f t="shared" si="64"/>
        <v>0</v>
      </c>
      <c r="BK97" s="177">
        <f t="shared" si="64"/>
        <v>0</v>
      </c>
      <c r="BL97" s="177">
        <f t="shared" si="64"/>
        <v>0</v>
      </c>
    </row>
    <row r="98" spans="1:64" ht="12.75" x14ac:dyDescent="0.2">
      <c r="A98" s="51" t="str" cm="1">
        <f t="array" ref="A98">INDEX(TariffCode, MATCH(1,(C98=TariffZone)*(D98=TariffProduct),0))</f>
        <v>WR</v>
      </c>
      <c r="B98" s="51" t="str">
        <f>IF($D98="Water",IF(C98="Standard",Assumptions!$H$90,Assumptions!$H$93),"")</f>
        <v/>
      </c>
      <c r="C98" s="150" t="s">
        <v>283</v>
      </c>
      <c r="D98" s="150" t="s">
        <v>310</v>
      </c>
      <c r="E98" s="150" t="s">
        <v>407</v>
      </c>
      <c r="F98" s="150" t="s">
        <v>262</v>
      </c>
      <c r="G98" s="51" t="str">
        <f t="shared" si="14"/>
        <v>Greenfield</v>
      </c>
      <c r="H98" s="174">
        <f>AB46-AA46</f>
        <v>54.537027133457244</v>
      </c>
      <c r="I98" s="174">
        <f>I74*-1</f>
        <v>-49.5368305990146</v>
      </c>
      <c r="J98" s="174">
        <f>H98+I98</f>
        <v>5.0001965344426438</v>
      </c>
      <c r="K98" s="51"/>
      <c r="L98" s="51"/>
      <c r="M98" s="51"/>
      <c r="N98" s="51"/>
      <c r="O98" s="51"/>
      <c r="P98" s="51"/>
      <c r="Q98" s="51"/>
      <c r="R98" s="51"/>
      <c r="S98" s="177">
        <f t="shared" si="11"/>
        <v>0.95912189391471425</v>
      </c>
      <c r="T98" s="177">
        <f t="shared" si="60"/>
        <v>1</v>
      </c>
      <c r="U98" s="177">
        <f t="shared" si="60"/>
        <v>3.4526533206228187</v>
      </c>
      <c r="V98" s="177">
        <f t="shared" si="60"/>
        <v>2.9999999999999964</v>
      </c>
      <c r="W98" s="177">
        <f t="shared" si="60"/>
        <v>3.0000000000000071</v>
      </c>
      <c r="X98" s="177">
        <f t="shared" si="60"/>
        <v>7.5473466793771777</v>
      </c>
      <c r="Y98" s="177">
        <f t="shared" si="60"/>
        <v>17.000000000000014</v>
      </c>
      <c r="Z98" s="177">
        <f t="shared" si="60"/>
        <v>9.9999999999999787</v>
      </c>
      <c r="AA98" s="177">
        <f t="shared" si="60"/>
        <v>11.000000000000014</v>
      </c>
      <c r="AB98" s="174">
        <f t="shared" ref="AB98:AB99" si="65">J98</f>
        <v>5.0001965344426438</v>
      </c>
      <c r="AC98" s="177">
        <f t="shared" ref="AC98:BL98" si="66">AC46-AB46</f>
        <v>0</v>
      </c>
      <c r="AD98" s="177">
        <f t="shared" si="66"/>
        <v>0</v>
      </c>
      <c r="AE98" s="177">
        <f t="shared" si="66"/>
        <v>0</v>
      </c>
      <c r="AF98" s="177">
        <f t="shared" si="66"/>
        <v>0</v>
      </c>
      <c r="AG98" s="177">
        <f t="shared" si="66"/>
        <v>0</v>
      </c>
      <c r="AH98" s="177">
        <f t="shared" si="66"/>
        <v>0</v>
      </c>
      <c r="AI98" s="177">
        <f t="shared" si="66"/>
        <v>0</v>
      </c>
      <c r="AJ98" s="177">
        <f t="shared" si="66"/>
        <v>0</v>
      </c>
      <c r="AK98" s="177">
        <f t="shared" si="66"/>
        <v>0</v>
      </c>
      <c r="AL98" s="177">
        <f t="shared" si="66"/>
        <v>0</v>
      </c>
      <c r="AM98" s="177">
        <f t="shared" si="66"/>
        <v>0</v>
      </c>
      <c r="AN98" s="177">
        <f t="shared" si="66"/>
        <v>0</v>
      </c>
      <c r="AO98" s="177">
        <f t="shared" si="66"/>
        <v>0</v>
      </c>
      <c r="AP98" s="177">
        <f t="shared" si="66"/>
        <v>0</v>
      </c>
      <c r="AQ98" s="177">
        <f t="shared" si="66"/>
        <v>0</v>
      </c>
      <c r="AR98" s="177">
        <f t="shared" si="66"/>
        <v>0</v>
      </c>
      <c r="AS98" s="177">
        <f t="shared" si="66"/>
        <v>0</v>
      </c>
      <c r="AT98" s="177">
        <f t="shared" si="66"/>
        <v>0</v>
      </c>
      <c r="AU98" s="177">
        <f t="shared" si="66"/>
        <v>0</v>
      </c>
      <c r="AV98" s="177">
        <f t="shared" si="66"/>
        <v>0</v>
      </c>
      <c r="AW98" s="177">
        <f t="shared" si="66"/>
        <v>0</v>
      </c>
      <c r="AX98" s="177">
        <f t="shared" si="66"/>
        <v>0</v>
      </c>
      <c r="AY98" s="177">
        <f t="shared" si="66"/>
        <v>0</v>
      </c>
      <c r="AZ98" s="177">
        <f t="shared" si="66"/>
        <v>0</v>
      </c>
      <c r="BA98" s="177">
        <f t="shared" si="66"/>
        <v>0</v>
      </c>
      <c r="BB98" s="177">
        <f t="shared" si="66"/>
        <v>0</v>
      </c>
      <c r="BC98" s="177">
        <f t="shared" si="66"/>
        <v>0</v>
      </c>
      <c r="BD98" s="177">
        <f t="shared" si="66"/>
        <v>0</v>
      </c>
      <c r="BE98" s="177">
        <f t="shared" si="66"/>
        <v>0</v>
      </c>
      <c r="BF98" s="177">
        <f t="shared" si="66"/>
        <v>0</v>
      </c>
      <c r="BG98" s="177">
        <f t="shared" si="66"/>
        <v>0</v>
      </c>
      <c r="BH98" s="177">
        <f t="shared" si="66"/>
        <v>0</v>
      </c>
      <c r="BI98" s="177">
        <f t="shared" si="66"/>
        <v>0</v>
      </c>
      <c r="BJ98" s="177">
        <f t="shared" si="66"/>
        <v>0</v>
      </c>
      <c r="BK98" s="177">
        <f t="shared" si="66"/>
        <v>0</v>
      </c>
      <c r="BL98" s="177">
        <f t="shared" si="66"/>
        <v>0</v>
      </c>
    </row>
    <row r="99" spans="1:64" ht="12.75" x14ac:dyDescent="0.2">
      <c r="A99" s="51" t="str" cm="1">
        <f t="array" ref="A99">INDEX(TariffCode, MATCH(1,(C99=TariffZone)*(D99=TariffProduct),0))</f>
        <v>GR</v>
      </c>
      <c r="B99" s="51" t="str">
        <f>IF($D99="Water",IF(C99="Standard",Assumptions!$H$90,Assumptions!$H$93),"")</f>
        <v/>
      </c>
      <c r="C99" s="150" t="s">
        <v>312</v>
      </c>
      <c r="D99" s="150" t="s">
        <v>310</v>
      </c>
      <c r="E99" s="150" t="s">
        <v>407</v>
      </c>
      <c r="F99" s="150" t="s">
        <v>262</v>
      </c>
      <c r="G99" s="51" t="str">
        <f t="shared" si="14"/>
        <v>Greenfield</v>
      </c>
      <c r="H99" s="174">
        <f>AB47-AA47</f>
        <v>0</v>
      </c>
      <c r="I99" s="174">
        <f>I75*-1</f>
        <v>19</v>
      </c>
      <c r="J99" s="174">
        <f>H99+I99</f>
        <v>19</v>
      </c>
      <c r="K99" s="51"/>
      <c r="L99" s="51"/>
      <c r="M99" s="51"/>
      <c r="N99" s="51"/>
      <c r="O99" s="51"/>
      <c r="P99" s="51"/>
      <c r="Q99" s="51"/>
      <c r="R99" s="51"/>
      <c r="S99" s="177">
        <f t="shared" si="11"/>
        <v>0</v>
      </c>
      <c r="T99" s="177">
        <f t="shared" si="60"/>
        <v>0</v>
      </c>
      <c r="U99" s="177">
        <f t="shared" si="60"/>
        <v>0</v>
      </c>
      <c r="V99" s="177">
        <f t="shared" si="60"/>
        <v>0</v>
      </c>
      <c r="W99" s="177">
        <f t="shared" si="60"/>
        <v>0</v>
      </c>
      <c r="X99" s="177">
        <f t="shared" si="60"/>
        <v>0</v>
      </c>
      <c r="Y99" s="177">
        <f t="shared" si="60"/>
        <v>0</v>
      </c>
      <c r="Z99" s="177">
        <f t="shared" si="60"/>
        <v>0</v>
      </c>
      <c r="AA99" s="177">
        <f t="shared" si="60"/>
        <v>0</v>
      </c>
      <c r="AB99" s="174">
        <f t="shared" si="65"/>
        <v>19</v>
      </c>
      <c r="AC99" s="177">
        <f t="shared" ref="AC99:BL99" si="67">AC47-AB47</f>
        <v>0</v>
      </c>
      <c r="AD99" s="177">
        <f t="shared" si="67"/>
        <v>0</v>
      </c>
      <c r="AE99" s="177">
        <f t="shared" si="67"/>
        <v>0</v>
      </c>
      <c r="AF99" s="177">
        <f t="shared" si="67"/>
        <v>0</v>
      </c>
      <c r="AG99" s="177">
        <f t="shared" si="67"/>
        <v>0</v>
      </c>
      <c r="AH99" s="177">
        <f t="shared" si="67"/>
        <v>0</v>
      </c>
      <c r="AI99" s="177">
        <f t="shared" si="67"/>
        <v>0</v>
      </c>
      <c r="AJ99" s="177">
        <f t="shared" si="67"/>
        <v>0</v>
      </c>
      <c r="AK99" s="177">
        <f t="shared" si="67"/>
        <v>0</v>
      </c>
      <c r="AL99" s="177">
        <f t="shared" si="67"/>
        <v>0</v>
      </c>
      <c r="AM99" s="177">
        <f t="shared" si="67"/>
        <v>0</v>
      </c>
      <c r="AN99" s="177">
        <f t="shared" si="67"/>
        <v>0</v>
      </c>
      <c r="AO99" s="177">
        <f t="shared" si="67"/>
        <v>0</v>
      </c>
      <c r="AP99" s="177">
        <f t="shared" si="67"/>
        <v>0</v>
      </c>
      <c r="AQ99" s="177">
        <f t="shared" si="67"/>
        <v>0</v>
      </c>
      <c r="AR99" s="177">
        <f t="shared" si="67"/>
        <v>0</v>
      </c>
      <c r="AS99" s="177">
        <f t="shared" si="67"/>
        <v>0</v>
      </c>
      <c r="AT99" s="177">
        <f t="shared" si="67"/>
        <v>0</v>
      </c>
      <c r="AU99" s="177">
        <f t="shared" si="67"/>
        <v>0</v>
      </c>
      <c r="AV99" s="177">
        <f t="shared" si="67"/>
        <v>0</v>
      </c>
      <c r="AW99" s="177">
        <f t="shared" si="67"/>
        <v>0</v>
      </c>
      <c r="AX99" s="177">
        <f t="shared" si="67"/>
        <v>0</v>
      </c>
      <c r="AY99" s="177">
        <f t="shared" si="67"/>
        <v>0</v>
      </c>
      <c r="AZ99" s="177">
        <f t="shared" si="67"/>
        <v>0</v>
      </c>
      <c r="BA99" s="177">
        <f t="shared" si="67"/>
        <v>0</v>
      </c>
      <c r="BB99" s="177">
        <f t="shared" si="67"/>
        <v>0</v>
      </c>
      <c r="BC99" s="177">
        <f t="shared" si="67"/>
        <v>0</v>
      </c>
      <c r="BD99" s="177">
        <f t="shared" si="67"/>
        <v>0</v>
      </c>
      <c r="BE99" s="177">
        <f t="shared" si="67"/>
        <v>0</v>
      </c>
      <c r="BF99" s="177">
        <f t="shared" si="67"/>
        <v>0</v>
      </c>
      <c r="BG99" s="177">
        <f t="shared" si="67"/>
        <v>0</v>
      </c>
      <c r="BH99" s="177">
        <f t="shared" si="67"/>
        <v>0</v>
      </c>
      <c r="BI99" s="177">
        <f t="shared" si="67"/>
        <v>0</v>
      </c>
      <c r="BJ99" s="177">
        <f t="shared" si="67"/>
        <v>0</v>
      </c>
      <c r="BK99" s="177">
        <f t="shared" si="67"/>
        <v>0</v>
      </c>
      <c r="BL99" s="177">
        <f t="shared" si="67"/>
        <v>0</v>
      </c>
    </row>
    <row r="100" spans="1:64" ht="12.75" x14ac:dyDescent="0.2">
      <c r="A100" s="51" t="str" cm="1">
        <f t="array" ref="A100">INDEX(TariffCode, MATCH(1,(C100=TariffZone)*(D100=TariffProduct),0))</f>
        <v>SW</v>
      </c>
      <c r="B100" s="51" t="str">
        <f>IF($D100="Water",IF(C100="Standard",Assumptions!$H$90,Assumptions!$H$93),"")</f>
        <v>SA</v>
      </c>
      <c r="C100" s="150" t="s">
        <v>287</v>
      </c>
      <c r="D100" s="150" t="s">
        <v>301</v>
      </c>
      <c r="E100" s="150" t="s">
        <v>405</v>
      </c>
      <c r="F100" s="150" t="s">
        <v>265</v>
      </c>
      <c r="G100" s="51" t="str">
        <f t="shared" si="14"/>
        <v>Greenfield</v>
      </c>
      <c r="H100" s="177"/>
      <c r="I100" s="177"/>
      <c r="J100" s="177"/>
      <c r="K100" s="51"/>
      <c r="L100" s="51"/>
      <c r="M100" s="51"/>
      <c r="N100" s="51"/>
      <c r="O100" s="51"/>
      <c r="P100" s="51"/>
      <c r="Q100" s="51"/>
      <c r="R100" s="51"/>
      <c r="S100" s="177">
        <f t="shared" si="11"/>
        <v>0</v>
      </c>
      <c r="T100" s="177">
        <f t="shared" si="60"/>
        <v>0</v>
      </c>
      <c r="U100" s="177">
        <f t="shared" si="60"/>
        <v>0</v>
      </c>
      <c r="V100" s="177">
        <f t="shared" si="60"/>
        <v>0</v>
      </c>
      <c r="W100" s="177">
        <f t="shared" si="60"/>
        <v>0</v>
      </c>
      <c r="X100" s="177">
        <f t="shared" si="60"/>
        <v>0</v>
      </c>
      <c r="Y100" s="177">
        <f t="shared" si="60"/>
        <v>0</v>
      </c>
      <c r="Z100" s="177">
        <f t="shared" si="60"/>
        <v>0</v>
      </c>
      <c r="AA100" s="177">
        <f t="shared" si="60"/>
        <v>0</v>
      </c>
      <c r="AB100" s="177">
        <f t="shared" si="15"/>
        <v>0</v>
      </c>
      <c r="AC100" s="177">
        <f t="shared" ref="AC100:BL100" si="68">AC48-AB48</f>
        <v>0</v>
      </c>
      <c r="AD100" s="177">
        <f t="shared" si="68"/>
        <v>0</v>
      </c>
      <c r="AE100" s="177">
        <f t="shared" si="68"/>
        <v>0</v>
      </c>
      <c r="AF100" s="177">
        <f t="shared" si="68"/>
        <v>0</v>
      </c>
      <c r="AG100" s="177">
        <f t="shared" si="68"/>
        <v>0</v>
      </c>
      <c r="AH100" s="177">
        <f t="shared" si="68"/>
        <v>0</v>
      </c>
      <c r="AI100" s="177">
        <f t="shared" si="68"/>
        <v>0</v>
      </c>
      <c r="AJ100" s="177">
        <f t="shared" si="68"/>
        <v>0</v>
      </c>
      <c r="AK100" s="177">
        <f t="shared" si="68"/>
        <v>0</v>
      </c>
      <c r="AL100" s="177">
        <f t="shared" si="68"/>
        <v>0</v>
      </c>
      <c r="AM100" s="177">
        <f t="shared" si="68"/>
        <v>0</v>
      </c>
      <c r="AN100" s="177">
        <f t="shared" si="68"/>
        <v>0</v>
      </c>
      <c r="AO100" s="177">
        <f t="shared" si="68"/>
        <v>0</v>
      </c>
      <c r="AP100" s="177">
        <f t="shared" si="68"/>
        <v>0</v>
      </c>
      <c r="AQ100" s="177">
        <f t="shared" si="68"/>
        <v>0</v>
      </c>
      <c r="AR100" s="177">
        <f t="shared" si="68"/>
        <v>0</v>
      </c>
      <c r="AS100" s="177">
        <f t="shared" si="68"/>
        <v>0</v>
      </c>
      <c r="AT100" s="177">
        <f t="shared" si="68"/>
        <v>0</v>
      </c>
      <c r="AU100" s="177">
        <f t="shared" si="68"/>
        <v>0</v>
      </c>
      <c r="AV100" s="177">
        <f t="shared" si="68"/>
        <v>0</v>
      </c>
      <c r="AW100" s="177">
        <f t="shared" si="68"/>
        <v>0</v>
      </c>
      <c r="AX100" s="177">
        <f t="shared" si="68"/>
        <v>0</v>
      </c>
      <c r="AY100" s="177">
        <f t="shared" si="68"/>
        <v>0</v>
      </c>
      <c r="AZ100" s="177">
        <f t="shared" si="68"/>
        <v>0</v>
      </c>
      <c r="BA100" s="177">
        <f t="shared" si="68"/>
        <v>0</v>
      </c>
      <c r="BB100" s="177">
        <f t="shared" si="68"/>
        <v>0</v>
      </c>
      <c r="BC100" s="177">
        <f t="shared" si="68"/>
        <v>0</v>
      </c>
      <c r="BD100" s="177">
        <f t="shared" si="68"/>
        <v>0</v>
      </c>
      <c r="BE100" s="177">
        <f t="shared" si="68"/>
        <v>0</v>
      </c>
      <c r="BF100" s="177">
        <f t="shared" si="68"/>
        <v>0</v>
      </c>
      <c r="BG100" s="177">
        <f t="shared" si="68"/>
        <v>0</v>
      </c>
      <c r="BH100" s="177">
        <f t="shared" si="68"/>
        <v>0</v>
      </c>
      <c r="BI100" s="177">
        <f t="shared" si="68"/>
        <v>0</v>
      </c>
      <c r="BJ100" s="177">
        <f t="shared" si="68"/>
        <v>0</v>
      </c>
      <c r="BK100" s="177">
        <f t="shared" si="68"/>
        <v>0</v>
      </c>
      <c r="BL100" s="177">
        <f t="shared" si="68"/>
        <v>0</v>
      </c>
    </row>
    <row r="101" spans="1:64" ht="12.75" x14ac:dyDescent="0.2">
      <c r="A101" s="51" t="str" cm="1">
        <f t="array" ref="A101">INDEX(TariffCode, MATCH(1,(C101=TariffZone)*(D101=TariffProduct),0))</f>
        <v>GW</v>
      </c>
      <c r="B101" s="51" t="str">
        <f>IF($D101="Water",IF(C101="Standard",Assumptions!$H$90,Assumptions!$H$93),"")</f>
        <v>GA</v>
      </c>
      <c r="C101" s="150" t="s">
        <v>290</v>
      </c>
      <c r="D101" s="150" t="s">
        <v>301</v>
      </c>
      <c r="E101" s="150" t="s">
        <v>405</v>
      </c>
      <c r="F101" s="150" t="s">
        <v>265</v>
      </c>
      <c r="G101" s="51" t="str">
        <f t="shared" si="14"/>
        <v>Greenfield</v>
      </c>
      <c r="H101" s="174">
        <f t="shared" ref="H101" si="69">AB49-AA49</f>
        <v>14482.861281256926</v>
      </c>
      <c r="I101" s="174">
        <f>I76*-1</f>
        <v>-10193.086798819522</v>
      </c>
      <c r="J101" s="174">
        <f>H101+I101</f>
        <v>4289.774482437404</v>
      </c>
      <c r="K101" s="51"/>
      <c r="L101" s="51"/>
      <c r="M101" s="51"/>
      <c r="N101" s="51"/>
      <c r="O101" s="51"/>
      <c r="P101" s="51"/>
      <c r="Q101" s="51"/>
      <c r="R101" s="51"/>
      <c r="S101" s="177">
        <f t="shared" si="11"/>
        <v>941.64898112498827</v>
      </c>
      <c r="T101" s="177">
        <f t="shared" si="60"/>
        <v>1044</v>
      </c>
      <c r="U101" s="177">
        <f t="shared" si="60"/>
        <v>1602</v>
      </c>
      <c r="V101" s="177">
        <f t="shared" si="60"/>
        <v>1508</v>
      </c>
      <c r="W101" s="177">
        <f t="shared" si="60"/>
        <v>1709</v>
      </c>
      <c r="X101" s="177">
        <f t="shared" si="60"/>
        <v>2396</v>
      </c>
      <c r="Y101" s="177">
        <f t="shared" si="60"/>
        <v>3223</v>
      </c>
      <c r="Z101" s="177">
        <f t="shared" si="60"/>
        <v>3921</v>
      </c>
      <c r="AA101" s="177">
        <f t="shared" si="60"/>
        <v>4934</v>
      </c>
      <c r="AB101" s="174">
        <f t="shared" ref="AB101" si="70">J101</f>
        <v>4289.774482437404</v>
      </c>
      <c r="AC101" s="177">
        <f t="shared" ref="AC101:BL101" si="71">AC49-AB49</f>
        <v>4462.9804659125293</v>
      </c>
      <c r="AD101" s="177">
        <f t="shared" si="71"/>
        <v>4602.9260210803768</v>
      </c>
      <c r="AE101" s="177">
        <f t="shared" si="71"/>
        <v>4949.5574506523553</v>
      </c>
      <c r="AF101" s="177">
        <f t="shared" si="71"/>
        <v>4207.8417250206694</v>
      </c>
      <c r="AG101" s="177">
        <f t="shared" si="71"/>
        <v>4258.7572641202278</v>
      </c>
      <c r="AH101" s="177">
        <f t="shared" si="71"/>
        <v>4374.2472942754684</v>
      </c>
      <c r="AI101" s="177">
        <f t="shared" si="71"/>
        <v>4621.0642038790247</v>
      </c>
      <c r="AJ101" s="177">
        <f t="shared" si="71"/>
        <v>4509.4619526301831</v>
      </c>
      <c r="AK101" s="177">
        <f t="shared" si="71"/>
        <v>4760.9220637194521</v>
      </c>
      <c r="AL101" s="177">
        <f t="shared" si="71"/>
        <v>4814.1273768488027</v>
      </c>
      <c r="AM101" s="177">
        <f t="shared" si="71"/>
        <v>4821.1826734862116</v>
      </c>
      <c r="AN101" s="177">
        <f t="shared" si="71"/>
        <v>4826.7300283850927</v>
      </c>
      <c r="AO101" s="177">
        <f t="shared" si="71"/>
        <v>4813.1939179728506</v>
      </c>
      <c r="AP101" s="177">
        <f t="shared" si="71"/>
        <v>4723.4762471698923</v>
      </c>
      <c r="AQ101" s="177">
        <f t="shared" si="71"/>
        <v>4722.9039051669533</v>
      </c>
      <c r="AR101" s="177">
        <f t="shared" si="71"/>
        <v>4695.9940898274363</v>
      </c>
      <c r="AS101" s="177">
        <f t="shared" si="71"/>
        <v>4731.5080395174737</v>
      </c>
      <c r="AT101" s="177">
        <f t="shared" si="71"/>
        <v>4720.6678170256491</v>
      </c>
      <c r="AU101" s="177">
        <f t="shared" si="71"/>
        <v>4601.8433589577035</v>
      </c>
      <c r="AV101" s="177">
        <f t="shared" si="71"/>
        <v>4406.4188035159314</v>
      </c>
      <c r="AW101" s="177">
        <f t="shared" si="71"/>
        <v>4143.5306926617632</v>
      </c>
      <c r="AX101" s="177">
        <f t="shared" si="71"/>
        <v>3938.5565598383255</v>
      </c>
      <c r="AY101" s="177">
        <f t="shared" si="71"/>
        <v>3770.2177143473527</v>
      </c>
      <c r="AZ101" s="177">
        <f t="shared" si="71"/>
        <v>3603.2189785029041</v>
      </c>
      <c r="BA101" s="177">
        <f t="shared" si="71"/>
        <v>3593.7403522172535</v>
      </c>
      <c r="BB101" s="177">
        <f t="shared" si="71"/>
        <v>3536.4823397763248</v>
      </c>
      <c r="BC101" s="177">
        <f t="shared" si="71"/>
        <v>3489.7946416535124</v>
      </c>
      <c r="BD101" s="177">
        <f t="shared" si="71"/>
        <v>3324.6884186835669</v>
      </c>
      <c r="BE101" s="177">
        <f t="shared" si="71"/>
        <v>2858.2948964597599</v>
      </c>
      <c r="BF101" s="177">
        <f t="shared" si="71"/>
        <v>2842.0642975865048</v>
      </c>
      <c r="BG101" s="177">
        <f t="shared" si="71"/>
        <v>3048.9996514197264</v>
      </c>
      <c r="BH101" s="177">
        <f t="shared" si="71"/>
        <v>3115.0965181734646</v>
      </c>
      <c r="BI101" s="177">
        <f t="shared" si="71"/>
        <v>2910.9295892129303</v>
      </c>
      <c r="BJ101" s="177">
        <f t="shared" si="71"/>
        <v>3084.2679520304082</v>
      </c>
      <c r="BK101" s="177">
        <f t="shared" si="71"/>
        <v>2987.0775591886195</v>
      </c>
      <c r="BL101" s="177">
        <f t="shared" si="71"/>
        <v>2767.311953745113</v>
      </c>
    </row>
    <row r="102" spans="1:64" ht="12.75" x14ac:dyDescent="0.2">
      <c r="A102" s="51" t="str" cm="1">
        <f t="array" ref="A102">INDEX(TariffCode, MATCH(1,(C102=TariffZone)*(D102=TariffProduct),0))</f>
        <v>SS</v>
      </c>
      <c r="B102" s="51" t="str">
        <f>IF($D102="Water",IF(C102="Standard",Assumptions!$H$90,Assumptions!$H$93),"")</f>
        <v/>
      </c>
      <c r="C102" s="150" t="s">
        <v>287</v>
      </c>
      <c r="D102" s="150" t="s">
        <v>303</v>
      </c>
      <c r="E102" s="150" t="s">
        <v>405</v>
      </c>
      <c r="F102" s="150" t="s">
        <v>265</v>
      </c>
      <c r="G102" s="51" t="str">
        <f t="shared" si="14"/>
        <v>Greenfield</v>
      </c>
      <c r="H102" s="177"/>
      <c r="I102" s="177"/>
      <c r="J102" s="177"/>
      <c r="K102" s="51"/>
      <c r="L102" s="51"/>
      <c r="M102" s="51"/>
      <c r="N102" s="51"/>
      <c r="O102" s="51"/>
      <c r="P102" s="51"/>
      <c r="Q102" s="51"/>
      <c r="R102" s="51"/>
      <c r="S102" s="177">
        <f t="shared" si="11"/>
        <v>0</v>
      </c>
      <c r="T102" s="177">
        <f t="shared" si="60"/>
        <v>0</v>
      </c>
      <c r="U102" s="177">
        <f t="shared" si="60"/>
        <v>0</v>
      </c>
      <c r="V102" s="177">
        <f t="shared" si="60"/>
        <v>0</v>
      </c>
      <c r="W102" s="177">
        <f t="shared" si="60"/>
        <v>0</v>
      </c>
      <c r="X102" s="177">
        <f t="shared" si="60"/>
        <v>0</v>
      </c>
      <c r="Y102" s="177">
        <f t="shared" si="60"/>
        <v>0</v>
      </c>
      <c r="Z102" s="177">
        <f t="shared" si="60"/>
        <v>0</v>
      </c>
      <c r="AA102" s="177">
        <f t="shared" si="60"/>
        <v>0</v>
      </c>
      <c r="AB102" s="177">
        <f t="shared" si="15"/>
        <v>0</v>
      </c>
      <c r="AC102" s="177">
        <f t="shared" ref="AC102:BL102" si="72">AC50-AB50</f>
        <v>0</v>
      </c>
      <c r="AD102" s="177">
        <f t="shared" si="72"/>
        <v>0</v>
      </c>
      <c r="AE102" s="177">
        <f t="shared" si="72"/>
        <v>0</v>
      </c>
      <c r="AF102" s="177">
        <f t="shared" si="72"/>
        <v>0</v>
      </c>
      <c r="AG102" s="177">
        <f t="shared" si="72"/>
        <v>0</v>
      </c>
      <c r="AH102" s="177">
        <f t="shared" si="72"/>
        <v>0</v>
      </c>
      <c r="AI102" s="177">
        <f t="shared" si="72"/>
        <v>0</v>
      </c>
      <c r="AJ102" s="177">
        <f t="shared" si="72"/>
        <v>0</v>
      </c>
      <c r="AK102" s="177">
        <f t="shared" si="72"/>
        <v>0</v>
      </c>
      <c r="AL102" s="177">
        <f t="shared" si="72"/>
        <v>0</v>
      </c>
      <c r="AM102" s="177">
        <f t="shared" si="72"/>
        <v>0</v>
      </c>
      <c r="AN102" s="177">
        <f t="shared" si="72"/>
        <v>0</v>
      </c>
      <c r="AO102" s="177">
        <f t="shared" si="72"/>
        <v>0</v>
      </c>
      <c r="AP102" s="177">
        <f t="shared" si="72"/>
        <v>0</v>
      </c>
      <c r="AQ102" s="177">
        <f t="shared" si="72"/>
        <v>0</v>
      </c>
      <c r="AR102" s="177">
        <f t="shared" si="72"/>
        <v>0</v>
      </c>
      <c r="AS102" s="177">
        <f t="shared" si="72"/>
        <v>0</v>
      </c>
      <c r="AT102" s="177">
        <f t="shared" si="72"/>
        <v>0</v>
      </c>
      <c r="AU102" s="177">
        <f t="shared" si="72"/>
        <v>0</v>
      </c>
      <c r="AV102" s="177">
        <f t="shared" si="72"/>
        <v>0</v>
      </c>
      <c r="AW102" s="177">
        <f t="shared" si="72"/>
        <v>0</v>
      </c>
      <c r="AX102" s="177">
        <f t="shared" si="72"/>
        <v>0</v>
      </c>
      <c r="AY102" s="177">
        <f t="shared" si="72"/>
        <v>0</v>
      </c>
      <c r="AZ102" s="177">
        <f t="shared" si="72"/>
        <v>0</v>
      </c>
      <c r="BA102" s="177">
        <f t="shared" si="72"/>
        <v>0</v>
      </c>
      <c r="BB102" s="177">
        <f t="shared" si="72"/>
        <v>0</v>
      </c>
      <c r="BC102" s="177">
        <f t="shared" si="72"/>
        <v>0</v>
      </c>
      <c r="BD102" s="177">
        <f t="shared" si="72"/>
        <v>0</v>
      </c>
      <c r="BE102" s="177">
        <f t="shared" si="72"/>
        <v>0</v>
      </c>
      <c r="BF102" s="177">
        <f t="shared" si="72"/>
        <v>0</v>
      </c>
      <c r="BG102" s="177">
        <f t="shared" si="72"/>
        <v>0</v>
      </c>
      <c r="BH102" s="177">
        <f t="shared" si="72"/>
        <v>0</v>
      </c>
      <c r="BI102" s="177">
        <f t="shared" si="72"/>
        <v>0</v>
      </c>
      <c r="BJ102" s="177">
        <f t="shared" si="72"/>
        <v>0</v>
      </c>
      <c r="BK102" s="177">
        <f t="shared" si="72"/>
        <v>0</v>
      </c>
      <c r="BL102" s="177">
        <f t="shared" si="72"/>
        <v>0</v>
      </c>
    </row>
    <row r="103" spans="1:64" ht="12.75" x14ac:dyDescent="0.2">
      <c r="A103" s="51" t="str" cm="1">
        <f t="array" ref="A103">INDEX(TariffCode, MATCH(1,(C103=TariffZone)*(D103=TariffProduct),0))</f>
        <v>GS</v>
      </c>
      <c r="B103" s="51" t="str">
        <f>IF($D103="Water",IF(C103="Standard",Assumptions!$H$90,Assumptions!$H$93),"")</f>
        <v/>
      </c>
      <c r="C103" s="150" t="s">
        <v>290</v>
      </c>
      <c r="D103" s="150" t="s">
        <v>303</v>
      </c>
      <c r="E103" s="150" t="s">
        <v>405</v>
      </c>
      <c r="F103" s="150" t="s">
        <v>265</v>
      </c>
      <c r="G103" s="51" t="str">
        <f t="shared" si="14"/>
        <v>Greenfield</v>
      </c>
      <c r="H103" s="174">
        <f t="shared" ref="H103" si="73">AB51-AA51</f>
        <v>14061.144106375825</v>
      </c>
      <c r="I103" s="174">
        <f>I78*-1</f>
        <v>-10209.36962393861</v>
      </c>
      <c r="J103" s="174">
        <f>H103+I103</f>
        <v>3851.7744824372148</v>
      </c>
      <c r="K103" s="51"/>
      <c r="L103" s="51"/>
      <c r="M103" s="51"/>
      <c r="N103" s="51"/>
      <c r="O103" s="51"/>
      <c r="P103" s="51"/>
      <c r="Q103" s="51"/>
      <c r="R103" s="51"/>
      <c r="S103" s="177">
        <f t="shared" si="11"/>
        <v>436.76723016905072</v>
      </c>
      <c r="T103" s="177">
        <f t="shared" si="60"/>
        <v>462</v>
      </c>
      <c r="U103" s="177">
        <f t="shared" si="60"/>
        <v>1250</v>
      </c>
      <c r="V103" s="177">
        <f t="shared" si="60"/>
        <v>1118</v>
      </c>
      <c r="W103" s="177">
        <f t="shared" si="60"/>
        <v>1958</v>
      </c>
      <c r="X103" s="177">
        <f t="shared" si="60"/>
        <v>2197</v>
      </c>
      <c r="Y103" s="177">
        <f t="shared" si="60"/>
        <v>3154</v>
      </c>
      <c r="Z103" s="177">
        <f t="shared" si="60"/>
        <v>3875</v>
      </c>
      <c r="AA103" s="177">
        <f t="shared" si="60"/>
        <v>4873</v>
      </c>
      <c r="AB103" s="174">
        <f t="shared" ref="AB103" si="74">J103</f>
        <v>3851.7744824372148</v>
      </c>
      <c r="AC103" s="177">
        <f t="shared" ref="AC103:BL103" si="75">AC51-AB51</f>
        <v>4462.980465912522</v>
      </c>
      <c r="AD103" s="177">
        <f t="shared" si="75"/>
        <v>4602.9260210803841</v>
      </c>
      <c r="AE103" s="177">
        <f t="shared" si="75"/>
        <v>4949.5574506523481</v>
      </c>
      <c r="AF103" s="177">
        <f t="shared" si="75"/>
        <v>4207.8417250206767</v>
      </c>
      <c r="AG103" s="177">
        <f t="shared" si="75"/>
        <v>4258.757264120235</v>
      </c>
      <c r="AH103" s="177">
        <f t="shared" si="75"/>
        <v>4374.2472942754539</v>
      </c>
      <c r="AI103" s="177">
        <f t="shared" si="75"/>
        <v>4621.0642038790247</v>
      </c>
      <c r="AJ103" s="177">
        <f t="shared" si="75"/>
        <v>4509.4619526301831</v>
      </c>
      <c r="AK103" s="177">
        <f t="shared" si="75"/>
        <v>4760.9220637194521</v>
      </c>
      <c r="AL103" s="177">
        <f t="shared" si="75"/>
        <v>4814.1273768488027</v>
      </c>
      <c r="AM103" s="177">
        <f t="shared" si="75"/>
        <v>4821.1826734862116</v>
      </c>
      <c r="AN103" s="177">
        <f t="shared" si="75"/>
        <v>4826.7300283851218</v>
      </c>
      <c r="AO103" s="177">
        <f t="shared" si="75"/>
        <v>4813.1939179728215</v>
      </c>
      <c r="AP103" s="177">
        <f t="shared" si="75"/>
        <v>4723.4762471698923</v>
      </c>
      <c r="AQ103" s="177">
        <f t="shared" si="75"/>
        <v>4722.9039051669388</v>
      </c>
      <c r="AR103" s="177">
        <f t="shared" si="75"/>
        <v>4695.9940898274508</v>
      </c>
      <c r="AS103" s="177">
        <f t="shared" si="75"/>
        <v>4731.5080395174882</v>
      </c>
      <c r="AT103" s="177">
        <f t="shared" si="75"/>
        <v>4720.6678170256346</v>
      </c>
      <c r="AU103" s="177">
        <f t="shared" si="75"/>
        <v>4601.8433589577035</v>
      </c>
      <c r="AV103" s="177">
        <f t="shared" si="75"/>
        <v>4406.4188035159605</v>
      </c>
      <c r="AW103" s="177">
        <f t="shared" si="75"/>
        <v>4143.530692661705</v>
      </c>
      <c r="AX103" s="177">
        <f t="shared" si="75"/>
        <v>3938.5565598383546</v>
      </c>
      <c r="AY103" s="177">
        <f t="shared" si="75"/>
        <v>3770.2177143473818</v>
      </c>
      <c r="AZ103" s="177">
        <f t="shared" si="75"/>
        <v>3603.2189785029041</v>
      </c>
      <c r="BA103" s="177">
        <f t="shared" si="75"/>
        <v>3593.7403522172244</v>
      </c>
      <c r="BB103" s="177">
        <f t="shared" si="75"/>
        <v>3536.4823397763248</v>
      </c>
      <c r="BC103" s="177">
        <f t="shared" si="75"/>
        <v>3489.7946416535124</v>
      </c>
      <c r="BD103" s="177">
        <f t="shared" si="75"/>
        <v>3324.6884186835669</v>
      </c>
      <c r="BE103" s="177">
        <f t="shared" si="75"/>
        <v>2858.2948964597599</v>
      </c>
      <c r="BF103" s="177">
        <f t="shared" si="75"/>
        <v>2842.0642975865048</v>
      </c>
      <c r="BG103" s="177">
        <f t="shared" si="75"/>
        <v>3048.9996514197264</v>
      </c>
      <c r="BH103" s="177">
        <f t="shared" si="75"/>
        <v>3115.0965181734937</v>
      </c>
      <c r="BI103" s="177">
        <f t="shared" si="75"/>
        <v>2910.9295892129303</v>
      </c>
      <c r="BJ103" s="177">
        <f t="shared" si="75"/>
        <v>3084.2679520304082</v>
      </c>
      <c r="BK103" s="177">
        <f t="shared" si="75"/>
        <v>2987.0775591885904</v>
      </c>
      <c r="BL103" s="177">
        <f t="shared" si="75"/>
        <v>2767.3119537451421</v>
      </c>
    </row>
    <row r="104" spans="1:64" ht="12.75" x14ac:dyDescent="0.2">
      <c r="A104" s="51" t="str" cm="1">
        <f t="array" ref="A104">INDEX(TariffCode, MATCH(1,(C104=TariffZone)*(D104=TariffProduct),0))</f>
        <v>WR</v>
      </c>
      <c r="B104" s="51" t="str">
        <f>IF($D104="Water",IF(C104="Standard",Assumptions!$H$90,Assumptions!$H$93),"")</f>
        <v/>
      </c>
      <c r="C104" s="150" t="s">
        <v>283</v>
      </c>
      <c r="D104" s="150" t="s">
        <v>310</v>
      </c>
      <c r="E104" s="150" t="s">
        <v>405</v>
      </c>
      <c r="F104" s="150" t="s">
        <v>265</v>
      </c>
      <c r="G104" s="51" t="str">
        <f t="shared" si="14"/>
        <v>Greenfield</v>
      </c>
      <c r="H104" s="177"/>
      <c r="I104" s="177"/>
      <c r="J104" s="177"/>
      <c r="K104" s="51"/>
      <c r="L104" s="51"/>
      <c r="M104" s="51"/>
      <c r="N104" s="51"/>
      <c r="O104" s="51"/>
      <c r="P104" s="51"/>
      <c r="Q104" s="51"/>
      <c r="R104" s="51"/>
      <c r="S104" s="177">
        <f t="shared" si="11"/>
        <v>0</v>
      </c>
      <c r="T104" s="177">
        <f t="shared" ref="T104:AA111" si="76">T52-S52</f>
        <v>0</v>
      </c>
      <c r="U104" s="177">
        <f t="shared" si="76"/>
        <v>0</v>
      </c>
      <c r="V104" s="177">
        <f t="shared" si="76"/>
        <v>0</v>
      </c>
      <c r="W104" s="177">
        <f t="shared" si="76"/>
        <v>0</v>
      </c>
      <c r="X104" s="177">
        <f t="shared" si="76"/>
        <v>0</v>
      </c>
      <c r="Y104" s="177">
        <f t="shared" si="76"/>
        <v>0</v>
      </c>
      <c r="Z104" s="177">
        <f t="shared" si="76"/>
        <v>0</v>
      </c>
      <c r="AA104" s="177">
        <f t="shared" si="76"/>
        <v>0</v>
      </c>
      <c r="AB104" s="177">
        <f t="shared" si="15"/>
        <v>0</v>
      </c>
      <c r="AC104" s="177">
        <f t="shared" ref="AC104:BL104" si="77">AC52-AB52</f>
        <v>0</v>
      </c>
      <c r="AD104" s="177">
        <f t="shared" si="77"/>
        <v>0</v>
      </c>
      <c r="AE104" s="177">
        <f t="shared" si="77"/>
        <v>0</v>
      </c>
      <c r="AF104" s="177">
        <f t="shared" si="77"/>
        <v>0</v>
      </c>
      <c r="AG104" s="177">
        <f t="shared" si="77"/>
        <v>0</v>
      </c>
      <c r="AH104" s="177">
        <f t="shared" si="77"/>
        <v>0</v>
      </c>
      <c r="AI104" s="177">
        <f t="shared" si="77"/>
        <v>0</v>
      </c>
      <c r="AJ104" s="177">
        <f t="shared" si="77"/>
        <v>0</v>
      </c>
      <c r="AK104" s="177">
        <f t="shared" si="77"/>
        <v>0</v>
      </c>
      <c r="AL104" s="177">
        <f t="shared" si="77"/>
        <v>0</v>
      </c>
      <c r="AM104" s="177">
        <f t="shared" si="77"/>
        <v>0</v>
      </c>
      <c r="AN104" s="177">
        <f t="shared" si="77"/>
        <v>0</v>
      </c>
      <c r="AO104" s="177">
        <f t="shared" si="77"/>
        <v>0</v>
      </c>
      <c r="AP104" s="177">
        <f t="shared" si="77"/>
        <v>0</v>
      </c>
      <c r="AQ104" s="177">
        <f t="shared" si="77"/>
        <v>0</v>
      </c>
      <c r="AR104" s="177">
        <f t="shared" si="77"/>
        <v>0</v>
      </c>
      <c r="AS104" s="177">
        <f t="shared" si="77"/>
        <v>0</v>
      </c>
      <c r="AT104" s="177">
        <f t="shared" si="77"/>
        <v>0</v>
      </c>
      <c r="AU104" s="177">
        <f t="shared" si="77"/>
        <v>0</v>
      </c>
      <c r="AV104" s="177">
        <f t="shared" si="77"/>
        <v>0</v>
      </c>
      <c r="AW104" s="177">
        <f t="shared" si="77"/>
        <v>0</v>
      </c>
      <c r="AX104" s="177">
        <f t="shared" si="77"/>
        <v>0</v>
      </c>
      <c r="AY104" s="177">
        <f t="shared" si="77"/>
        <v>0</v>
      </c>
      <c r="AZ104" s="177">
        <f t="shared" si="77"/>
        <v>0</v>
      </c>
      <c r="BA104" s="177">
        <f t="shared" si="77"/>
        <v>0</v>
      </c>
      <c r="BB104" s="177">
        <f t="shared" si="77"/>
        <v>0</v>
      </c>
      <c r="BC104" s="177">
        <f t="shared" si="77"/>
        <v>0</v>
      </c>
      <c r="BD104" s="177">
        <f t="shared" si="77"/>
        <v>0</v>
      </c>
      <c r="BE104" s="177">
        <f t="shared" si="77"/>
        <v>0</v>
      </c>
      <c r="BF104" s="177">
        <f t="shared" si="77"/>
        <v>0</v>
      </c>
      <c r="BG104" s="177">
        <f t="shared" si="77"/>
        <v>0</v>
      </c>
      <c r="BH104" s="177">
        <f t="shared" si="77"/>
        <v>0</v>
      </c>
      <c r="BI104" s="177">
        <f t="shared" si="77"/>
        <v>0</v>
      </c>
      <c r="BJ104" s="177">
        <f t="shared" si="77"/>
        <v>0</v>
      </c>
      <c r="BK104" s="177">
        <f t="shared" si="77"/>
        <v>0</v>
      </c>
      <c r="BL104" s="177">
        <f t="shared" si="77"/>
        <v>0</v>
      </c>
    </row>
    <row r="105" spans="1:64" ht="12.75" x14ac:dyDescent="0.2">
      <c r="A105" s="51" t="str" cm="1">
        <f t="array" ref="A105">INDEX(TariffCode, MATCH(1,(C105=TariffZone)*(D105=TariffProduct),0))</f>
        <v>GR</v>
      </c>
      <c r="B105" s="51" t="str">
        <f>IF($D105="Water",IF(C105="Standard",Assumptions!$H$90,Assumptions!$H$93),"")</f>
        <v/>
      </c>
      <c r="C105" s="150" t="s">
        <v>312</v>
      </c>
      <c r="D105" s="150" t="s">
        <v>310</v>
      </c>
      <c r="E105" s="150" t="s">
        <v>405</v>
      </c>
      <c r="F105" s="150" t="s">
        <v>265</v>
      </c>
      <c r="G105" s="51" t="str">
        <f t="shared" si="14"/>
        <v>Greenfield</v>
      </c>
      <c r="H105" s="174">
        <f t="shared" ref="H105" si="78">AB53-AA53</f>
        <v>1523</v>
      </c>
      <c r="I105" s="174">
        <f>I81*-1</f>
        <v>-1387</v>
      </c>
      <c r="J105" s="174">
        <f>H105+I105</f>
        <v>136</v>
      </c>
      <c r="K105" s="51"/>
      <c r="L105" s="51"/>
      <c r="M105" s="51"/>
      <c r="N105" s="51"/>
      <c r="O105" s="51"/>
      <c r="P105" s="51"/>
      <c r="Q105" s="51"/>
      <c r="R105" s="51"/>
      <c r="S105" s="177">
        <f t="shared" si="11"/>
        <v>89.240780911062913</v>
      </c>
      <c r="T105" s="177">
        <f t="shared" si="76"/>
        <v>121</v>
      </c>
      <c r="U105" s="177">
        <f t="shared" si="76"/>
        <v>332</v>
      </c>
      <c r="V105" s="177">
        <f t="shared" si="76"/>
        <v>836</v>
      </c>
      <c r="W105" s="177">
        <f t="shared" si="76"/>
        <v>1352</v>
      </c>
      <c r="X105" s="177">
        <f t="shared" si="76"/>
        <v>1591</v>
      </c>
      <c r="Y105" s="177">
        <f t="shared" si="76"/>
        <v>1764</v>
      </c>
      <c r="Z105" s="177">
        <f t="shared" si="76"/>
        <v>1025</v>
      </c>
      <c r="AA105" s="177">
        <f t="shared" si="76"/>
        <v>574</v>
      </c>
      <c r="AB105" s="174">
        <f t="shared" ref="AB105" si="79">J105</f>
        <v>136</v>
      </c>
      <c r="AC105" s="177">
        <f t="shared" ref="AC105:BL105" si="80">AC53-AB53</f>
        <v>520.25222840547576</v>
      </c>
      <c r="AD105" s="177">
        <f t="shared" si="80"/>
        <v>590.02962699546151</v>
      </c>
      <c r="AE105" s="177">
        <f t="shared" si="80"/>
        <v>587.79639214560848</v>
      </c>
      <c r="AF105" s="177">
        <f t="shared" si="80"/>
        <v>408.39616419475351</v>
      </c>
      <c r="AG105" s="177">
        <f t="shared" si="80"/>
        <v>357.37045469124132</v>
      </c>
      <c r="AH105" s="177">
        <f t="shared" si="80"/>
        <v>310.26144888135241</v>
      </c>
      <c r="AI105" s="177">
        <f t="shared" si="80"/>
        <v>254.66895054675479</v>
      </c>
      <c r="AJ105" s="177">
        <f t="shared" si="80"/>
        <v>249.4322945536278</v>
      </c>
      <c r="AK105" s="177">
        <f t="shared" si="80"/>
        <v>317.72612269536512</v>
      </c>
      <c r="AL105" s="177">
        <f t="shared" si="80"/>
        <v>310.01610762433847</v>
      </c>
      <c r="AM105" s="177">
        <f t="shared" si="80"/>
        <v>280.60021068756396</v>
      </c>
      <c r="AN105" s="177">
        <f t="shared" si="80"/>
        <v>257.5041548870613</v>
      </c>
      <c r="AO105" s="177">
        <f t="shared" si="80"/>
        <v>230.90554163477464</v>
      </c>
      <c r="AP105" s="177">
        <f t="shared" si="80"/>
        <v>203.99886422778218</v>
      </c>
      <c r="AQ105" s="177">
        <f t="shared" si="80"/>
        <v>182.29683615113026</v>
      </c>
      <c r="AR105" s="177">
        <f t="shared" si="80"/>
        <v>191.8560280857364</v>
      </c>
      <c r="AS105" s="177">
        <f t="shared" si="80"/>
        <v>241.16299136175621</v>
      </c>
      <c r="AT105" s="177">
        <f t="shared" si="80"/>
        <v>278.03876833322283</v>
      </c>
      <c r="AU105" s="177">
        <f t="shared" si="80"/>
        <v>255.82050097307547</v>
      </c>
      <c r="AV105" s="177">
        <f t="shared" si="80"/>
        <v>226.12926766935016</v>
      </c>
      <c r="AW105" s="177">
        <f t="shared" si="80"/>
        <v>212.00091024339235</v>
      </c>
      <c r="AX105" s="177">
        <f t="shared" si="80"/>
        <v>218.18915692550945</v>
      </c>
      <c r="AY105" s="177">
        <f t="shared" si="80"/>
        <v>243.30505507339331</v>
      </c>
      <c r="AZ105" s="177">
        <f t="shared" si="80"/>
        <v>257.90518792721923</v>
      </c>
      <c r="BA105" s="177">
        <f t="shared" si="80"/>
        <v>261.82907483166491</v>
      </c>
      <c r="BB105" s="177">
        <f t="shared" si="80"/>
        <v>271.79130374325905</v>
      </c>
      <c r="BC105" s="177">
        <f t="shared" si="80"/>
        <v>267.55252513075538</v>
      </c>
      <c r="BD105" s="177">
        <f t="shared" si="80"/>
        <v>271.12906432884847</v>
      </c>
      <c r="BE105" s="177">
        <f t="shared" si="80"/>
        <v>275.14944334910251</v>
      </c>
      <c r="BF105" s="177">
        <f t="shared" si="80"/>
        <v>234.83432543463641</v>
      </c>
      <c r="BG105" s="177">
        <f t="shared" si="80"/>
        <v>209.13534155190791</v>
      </c>
      <c r="BH105" s="177">
        <f t="shared" si="80"/>
        <v>188.17237427820874</v>
      </c>
      <c r="BI105" s="177">
        <f t="shared" si="80"/>
        <v>175.35905042902596</v>
      </c>
      <c r="BJ105" s="177">
        <f t="shared" si="80"/>
        <v>165.82360045571477</v>
      </c>
      <c r="BK105" s="177">
        <f t="shared" si="80"/>
        <v>128.70515943664213</v>
      </c>
      <c r="BL105" s="177">
        <f t="shared" si="80"/>
        <v>112.19022504052919</v>
      </c>
    </row>
    <row r="106" spans="1:64" ht="12.75" x14ac:dyDescent="0.2">
      <c r="A106" s="51" t="str" cm="1">
        <f t="array" ref="A106">INDEX(TariffCode, MATCH(1,(C106=TariffZone)*(D106=TariffProduct),0))</f>
        <v>SW</v>
      </c>
      <c r="B106" s="51" t="str">
        <f>IF($D106="Water",IF(C106="Standard",Assumptions!$H$90,Assumptions!$H$93),"")</f>
        <v>SA</v>
      </c>
      <c r="C106" s="150" t="s">
        <v>287</v>
      </c>
      <c r="D106" s="150" t="s">
        <v>301</v>
      </c>
      <c r="E106" s="150" t="s">
        <v>407</v>
      </c>
      <c r="F106" s="150" t="s">
        <v>265</v>
      </c>
      <c r="G106" s="51" t="str">
        <f t="shared" si="14"/>
        <v>Greenfield</v>
      </c>
      <c r="H106" s="177"/>
      <c r="I106" s="177"/>
      <c r="J106" s="177"/>
      <c r="K106" s="51"/>
      <c r="L106" s="51"/>
      <c r="M106" s="51"/>
      <c r="N106" s="51"/>
      <c r="O106" s="51"/>
      <c r="P106" s="51"/>
      <c r="Q106" s="51"/>
      <c r="R106" s="51"/>
      <c r="S106" s="177">
        <f t="shared" si="11"/>
        <v>0</v>
      </c>
      <c r="T106" s="177">
        <f t="shared" si="76"/>
        <v>0</v>
      </c>
      <c r="U106" s="177">
        <f t="shared" si="76"/>
        <v>0</v>
      </c>
      <c r="V106" s="177">
        <f t="shared" si="76"/>
        <v>0</v>
      </c>
      <c r="W106" s="177">
        <f t="shared" si="76"/>
        <v>0</v>
      </c>
      <c r="X106" s="177">
        <f t="shared" si="76"/>
        <v>0</v>
      </c>
      <c r="Y106" s="177">
        <f t="shared" si="76"/>
        <v>0</v>
      </c>
      <c r="Z106" s="177">
        <f t="shared" si="76"/>
        <v>0</v>
      </c>
      <c r="AA106" s="177">
        <f t="shared" si="76"/>
        <v>0</v>
      </c>
      <c r="AB106" s="177">
        <f t="shared" si="15"/>
        <v>0</v>
      </c>
      <c r="AC106" s="177">
        <f t="shared" ref="AC106:BL106" si="81">AC54-AB54</f>
        <v>0</v>
      </c>
      <c r="AD106" s="177">
        <f t="shared" si="81"/>
        <v>0</v>
      </c>
      <c r="AE106" s="177">
        <f t="shared" si="81"/>
        <v>0</v>
      </c>
      <c r="AF106" s="177">
        <f t="shared" si="81"/>
        <v>0</v>
      </c>
      <c r="AG106" s="177">
        <f t="shared" si="81"/>
        <v>0</v>
      </c>
      <c r="AH106" s="177">
        <f t="shared" si="81"/>
        <v>0</v>
      </c>
      <c r="AI106" s="177">
        <f t="shared" si="81"/>
        <v>0</v>
      </c>
      <c r="AJ106" s="177">
        <f t="shared" si="81"/>
        <v>0</v>
      </c>
      <c r="AK106" s="177">
        <f t="shared" si="81"/>
        <v>0</v>
      </c>
      <c r="AL106" s="177">
        <f t="shared" si="81"/>
        <v>0</v>
      </c>
      <c r="AM106" s="177">
        <f t="shared" si="81"/>
        <v>0</v>
      </c>
      <c r="AN106" s="177">
        <f t="shared" si="81"/>
        <v>0</v>
      </c>
      <c r="AO106" s="177">
        <f t="shared" si="81"/>
        <v>0</v>
      </c>
      <c r="AP106" s="177">
        <f t="shared" si="81"/>
        <v>0</v>
      </c>
      <c r="AQ106" s="177">
        <f t="shared" si="81"/>
        <v>0</v>
      </c>
      <c r="AR106" s="177">
        <f t="shared" si="81"/>
        <v>0</v>
      </c>
      <c r="AS106" s="177">
        <f t="shared" si="81"/>
        <v>0</v>
      </c>
      <c r="AT106" s="177">
        <f t="shared" si="81"/>
        <v>0</v>
      </c>
      <c r="AU106" s="177">
        <f t="shared" si="81"/>
        <v>0</v>
      </c>
      <c r="AV106" s="177">
        <f t="shared" si="81"/>
        <v>0</v>
      </c>
      <c r="AW106" s="177">
        <f t="shared" si="81"/>
        <v>0</v>
      </c>
      <c r="AX106" s="177">
        <f t="shared" si="81"/>
        <v>0</v>
      </c>
      <c r="AY106" s="177">
        <f t="shared" si="81"/>
        <v>0</v>
      </c>
      <c r="AZ106" s="177">
        <f t="shared" si="81"/>
        <v>0</v>
      </c>
      <c r="BA106" s="177">
        <f t="shared" si="81"/>
        <v>0</v>
      </c>
      <c r="BB106" s="177">
        <f t="shared" si="81"/>
        <v>0</v>
      </c>
      <c r="BC106" s="177">
        <f t="shared" si="81"/>
        <v>0</v>
      </c>
      <c r="BD106" s="177">
        <f t="shared" si="81"/>
        <v>0</v>
      </c>
      <c r="BE106" s="177">
        <f t="shared" si="81"/>
        <v>0</v>
      </c>
      <c r="BF106" s="177">
        <f t="shared" si="81"/>
        <v>0</v>
      </c>
      <c r="BG106" s="177">
        <f t="shared" si="81"/>
        <v>0</v>
      </c>
      <c r="BH106" s="177">
        <f t="shared" si="81"/>
        <v>0</v>
      </c>
      <c r="BI106" s="177">
        <f t="shared" si="81"/>
        <v>0</v>
      </c>
      <c r="BJ106" s="177">
        <f t="shared" si="81"/>
        <v>0</v>
      </c>
      <c r="BK106" s="177">
        <f t="shared" si="81"/>
        <v>0</v>
      </c>
      <c r="BL106" s="177">
        <f t="shared" si="81"/>
        <v>0</v>
      </c>
    </row>
    <row r="107" spans="1:64" ht="12.75" x14ac:dyDescent="0.2">
      <c r="A107" s="51" t="str" cm="1">
        <f t="array" ref="A107">INDEX(TariffCode, MATCH(1,(C107=TariffZone)*(D107=TariffProduct),0))</f>
        <v>GW</v>
      </c>
      <c r="B107" s="51" t="str">
        <f>IF($D107="Water",IF(C107="Standard",Assumptions!$H$90,Assumptions!$H$93),"")</f>
        <v>GA</v>
      </c>
      <c r="C107" s="150" t="s">
        <v>290</v>
      </c>
      <c r="D107" s="150" t="s">
        <v>301</v>
      </c>
      <c r="E107" s="150" t="s">
        <v>407</v>
      </c>
      <c r="F107" s="150" t="s">
        <v>265</v>
      </c>
      <c r="G107" s="51" t="str">
        <f t="shared" si="14"/>
        <v>Greenfield</v>
      </c>
      <c r="H107" s="174">
        <f t="shared" ref="H107" si="82">AB55-AA55</f>
        <v>868.96973258889238</v>
      </c>
      <c r="I107" s="174">
        <f>I82*-1</f>
        <v>-796.26953990058053</v>
      </c>
      <c r="J107" s="174">
        <f>H107+I107</f>
        <v>72.700192688311859</v>
      </c>
      <c r="K107" s="51"/>
      <c r="L107" s="51"/>
      <c r="M107" s="51"/>
      <c r="N107" s="51"/>
      <c r="O107" s="51"/>
      <c r="P107" s="51"/>
      <c r="Q107" s="51"/>
      <c r="R107" s="51"/>
      <c r="S107" s="177">
        <f t="shared" si="11"/>
        <v>62.882447665056361</v>
      </c>
      <c r="T107" s="177">
        <f t="shared" si="76"/>
        <v>71</v>
      </c>
      <c r="U107" s="177">
        <f t="shared" si="76"/>
        <v>87</v>
      </c>
      <c r="V107" s="177">
        <f t="shared" si="76"/>
        <v>18</v>
      </c>
      <c r="W107" s="177">
        <f t="shared" si="76"/>
        <v>90</v>
      </c>
      <c r="X107" s="177">
        <f t="shared" si="76"/>
        <v>62</v>
      </c>
      <c r="Y107" s="177">
        <f t="shared" si="76"/>
        <v>65</v>
      </c>
      <c r="Z107" s="177">
        <f t="shared" si="76"/>
        <v>129</v>
      </c>
      <c r="AA107" s="177">
        <f t="shared" si="76"/>
        <v>60</v>
      </c>
      <c r="AB107" s="174">
        <f t="shared" ref="AB107" si="83">J107</f>
        <v>72.700192688311859</v>
      </c>
      <c r="AC107" s="177">
        <f t="shared" ref="AC107:BL107" si="84">AC55-AB55</f>
        <v>130.16165419769186</v>
      </c>
      <c r="AD107" s="177">
        <f t="shared" si="84"/>
        <v>129.22180938446809</v>
      </c>
      <c r="AE107" s="177">
        <f t="shared" si="84"/>
        <v>158.2645771177622</v>
      </c>
      <c r="AF107" s="177">
        <f t="shared" si="84"/>
        <v>171.05670129984446</v>
      </c>
      <c r="AG107" s="177">
        <f t="shared" si="84"/>
        <v>208.7076507288898</v>
      </c>
      <c r="AH107" s="177">
        <f t="shared" si="84"/>
        <v>252.82889249168284</v>
      </c>
      <c r="AI107" s="177">
        <f t="shared" si="84"/>
        <v>303.85647174773794</v>
      </c>
      <c r="AJ107" s="177">
        <f t="shared" si="84"/>
        <v>319.71487516270417</v>
      </c>
      <c r="AK107" s="177">
        <f t="shared" si="84"/>
        <v>361.20884015559659</v>
      </c>
      <c r="AL107" s="177">
        <f t="shared" si="84"/>
        <v>383.32864420185433</v>
      </c>
      <c r="AM107" s="177">
        <f t="shared" si="84"/>
        <v>396.38074403571045</v>
      </c>
      <c r="AN107" s="177">
        <f t="shared" si="84"/>
        <v>392.69467837158754</v>
      </c>
      <c r="AO107" s="177">
        <f t="shared" si="84"/>
        <v>378.30382165532592</v>
      </c>
      <c r="AP107" s="177">
        <f t="shared" si="84"/>
        <v>365.97166327740888</v>
      </c>
      <c r="AQ107" s="177">
        <f t="shared" si="84"/>
        <v>355.20049509683849</v>
      </c>
      <c r="AR107" s="177">
        <f t="shared" si="84"/>
        <v>341.91163539585705</v>
      </c>
      <c r="AS107" s="177">
        <f t="shared" si="84"/>
        <v>292.81900703740939</v>
      </c>
      <c r="AT107" s="177">
        <f t="shared" si="84"/>
        <v>252.12516688118285</v>
      </c>
      <c r="AU107" s="177">
        <f t="shared" si="84"/>
        <v>200.05501644230844</v>
      </c>
      <c r="AV107" s="177">
        <f t="shared" si="84"/>
        <v>165.26836680623455</v>
      </c>
      <c r="AW107" s="177">
        <f t="shared" si="84"/>
        <v>169.53257451816444</v>
      </c>
      <c r="AX107" s="177">
        <f t="shared" si="84"/>
        <v>169.3594773749428</v>
      </c>
      <c r="AY107" s="177">
        <f t="shared" si="84"/>
        <v>169.81583018120546</v>
      </c>
      <c r="AZ107" s="177">
        <f t="shared" si="84"/>
        <v>164.50831463406394</v>
      </c>
      <c r="BA107" s="177">
        <f t="shared" si="84"/>
        <v>163.28357660679649</v>
      </c>
      <c r="BB107" s="177">
        <f t="shared" si="84"/>
        <v>163.40886597298959</v>
      </c>
      <c r="BC107" s="177">
        <f t="shared" si="84"/>
        <v>164.16070637929442</v>
      </c>
      <c r="BD107" s="177">
        <f t="shared" si="84"/>
        <v>163.31815545101927</v>
      </c>
      <c r="BE107" s="177">
        <f t="shared" si="84"/>
        <v>162.91399495388032</v>
      </c>
      <c r="BF107" s="177">
        <f t="shared" si="84"/>
        <v>159.82830079872474</v>
      </c>
      <c r="BG107" s="177">
        <f t="shared" si="84"/>
        <v>154.5970196348444</v>
      </c>
      <c r="BH107" s="177">
        <f t="shared" si="84"/>
        <v>152.89295867251894</v>
      </c>
      <c r="BI107" s="177">
        <f t="shared" si="84"/>
        <v>153.23320829423028</v>
      </c>
      <c r="BJ107" s="177">
        <f t="shared" si="84"/>
        <v>150.65911723171303</v>
      </c>
      <c r="BK107" s="177">
        <f t="shared" si="84"/>
        <v>132.84774805283814</v>
      </c>
      <c r="BL107" s="177">
        <f t="shared" si="84"/>
        <v>122.71258919671709</v>
      </c>
    </row>
    <row r="108" spans="1:64" ht="12.75" x14ac:dyDescent="0.2">
      <c r="A108" s="51" t="str" cm="1">
        <f t="array" ref="A108">INDEX(TariffCode, MATCH(1,(C108=TariffZone)*(D108=TariffProduct),0))</f>
        <v>SS</v>
      </c>
      <c r="B108" s="51" t="str">
        <f>IF($D108="Water",IF(C108="Standard",Assumptions!$H$90,Assumptions!$H$93),"")</f>
        <v/>
      </c>
      <c r="C108" s="150" t="s">
        <v>287</v>
      </c>
      <c r="D108" s="150" t="s">
        <v>303</v>
      </c>
      <c r="E108" s="150" t="s">
        <v>407</v>
      </c>
      <c r="F108" s="150" t="s">
        <v>265</v>
      </c>
      <c r="G108" s="51" t="str">
        <f t="shared" si="14"/>
        <v>Greenfield</v>
      </c>
      <c r="H108" s="177"/>
      <c r="I108" s="177"/>
      <c r="J108" s="177"/>
      <c r="K108" s="51"/>
      <c r="L108" s="51"/>
      <c r="M108" s="51"/>
      <c r="N108" s="51"/>
      <c r="O108" s="51"/>
      <c r="P108" s="51"/>
      <c r="Q108" s="51"/>
      <c r="R108" s="51"/>
      <c r="S108" s="177">
        <f t="shared" si="11"/>
        <v>0</v>
      </c>
      <c r="T108" s="177">
        <f t="shared" si="76"/>
        <v>0</v>
      </c>
      <c r="U108" s="177">
        <f t="shared" si="76"/>
        <v>0</v>
      </c>
      <c r="V108" s="177">
        <f t="shared" si="76"/>
        <v>0</v>
      </c>
      <c r="W108" s="177">
        <f t="shared" si="76"/>
        <v>0</v>
      </c>
      <c r="X108" s="177">
        <f t="shared" si="76"/>
        <v>0</v>
      </c>
      <c r="Y108" s="177">
        <f t="shared" si="76"/>
        <v>0</v>
      </c>
      <c r="Z108" s="177">
        <f t="shared" si="76"/>
        <v>0</v>
      </c>
      <c r="AA108" s="177">
        <f t="shared" si="76"/>
        <v>0</v>
      </c>
      <c r="AB108" s="177">
        <f t="shared" si="15"/>
        <v>0</v>
      </c>
      <c r="AC108" s="177">
        <f t="shared" ref="AC108:BL108" si="85">AC56-AB56</f>
        <v>0</v>
      </c>
      <c r="AD108" s="177">
        <f t="shared" si="85"/>
        <v>0</v>
      </c>
      <c r="AE108" s="177">
        <f t="shared" si="85"/>
        <v>0</v>
      </c>
      <c r="AF108" s="177">
        <f t="shared" si="85"/>
        <v>0</v>
      </c>
      <c r="AG108" s="177">
        <f t="shared" si="85"/>
        <v>0</v>
      </c>
      <c r="AH108" s="177">
        <f t="shared" si="85"/>
        <v>0</v>
      </c>
      <c r="AI108" s="177">
        <f t="shared" si="85"/>
        <v>0</v>
      </c>
      <c r="AJ108" s="177">
        <f t="shared" si="85"/>
        <v>0</v>
      </c>
      <c r="AK108" s="177">
        <f t="shared" si="85"/>
        <v>0</v>
      </c>
      <c r="AL108" s="177">
        <f t="shared" si="85"/>
        <v>0</v>
      </c>
      <c r="AM108" s="177">
        <f t="shared" si="85"/>
        <v>0</v>
      </c>
      <c r="AN108" s="177">
        <f t="shared" si="85"/>
        <v>0</v>
      </c>
      <c r="AO108" s="177">
        <f t="shared" si="85"/>
        <v>0</v>
      </c>
      <c r="AP108" s="177">
        <f t="shared" si="85"/>
        <v>0</v>
      </c>
      <c r="AQ108" s="177">
        <f t="shared" si="85"/>
        <v>0</v>
      </c>
      <c r="AR108" s="177">
        <f t="shared" si="85"/>
        <v>0</v>
      </c>
      <c r="AS108" s="177">
        <f t="shared" si="85"/>
        <v>0</v>
      </c>
      <c r="AT108" s="177">
        <f t="shared" si="85"/>
        <v>0</v>
      </c>
      <c r="AU108" s="177">
        <f t="shared" si="85"/>
        <v>0</v>
      </c>
      <c r="AV108" s="177">
        <f t="shared" si="85"/>
        <v>0</v>
      </c>
      <c r="AW108" s="177">
        <f t="shared" si="85"/>
        <v>0</v>
      </c>
      <c r="AX108" s="177">
        <f t="shared" si="85"/>
        <v>0</v>
      </c>
      <c r="AY108" s="177">
        <f t="shared" si="85"/>
        <v>0</v>
      </c>
      <c r="AZ108" s="177">
        <f t="shared" si="85"/>
        <v>0</v>
      </c>
      <c r="BA108" s="177">
        <f t="shared" si="85"/>
        <v>0</v>
      </c>
      <c r="BB108" s="177">
        <f t="shared" si="85"/>
        <v>0</v>
      </c>
      <c r="BC108" s="177">
        <f t="shared" si="85"/>
        <v>0</v>
      </c>
      <c r="BD108" s="177">
        <f t="shared" si="85"/>
        <v>0</v>
      </c>
      <c r="BE108" s="177">
        <f t="shared" si="85"/>
        <v>0</v>
      </c>
      <c r="BF108" s="177">
        <f t="shared" si="85"/>
        <v>0</v>
      </c>
      <c r="BG108" s="177">
        <f t="shared" si="85"/>
        <v>0</v>
      </c>
      <c r="BH108" s="177">
        <f t="shared" si="85"/>
        <v>0</v>
      </c>
      <c r="BI108" s="177">
        <f t="shared" si="85"/>
        <v>0</v>
      </c>
      <c r="BJ108" s="177">
        <f t="shared" si="85"/>
        <v>0</v>
      </c>
      <c r="BK108" s="177">
        <f t="shared" si="85"/>
        <v>0</v>
      </c>
      <c r="BL108" s="177">
        <f t="shared" si="85"/>
        <v>0</v>
      </c>
    </row>
    <row r="109" spans="1:64" ht="12.75" x14ac:dyDescent="0.2">
      <c r="A109" s="51" t="str" cm="1">
        <f t="array" ref="A109">INDEX(TariffCode, MATCH(1,(C109=TariffZone)*(D109=TariffProduct),0))</f>
        <v>GS</v>
      </c>
      <c r="B109" s="51" t="str">
        <f>IF($D109="Water",IF(C109="Standard",Assumptions!$H$90,Assumptions!$H$93),"")</f>
        <v/>
      </c>
      <c r="C109" s="150" t="s">
        <v>290</v>
      </c>
      <c r="D109" s="150" t="s">
        <v>303</v>
      </c>
      <c r="E109" s="150" t="s">
        <v>407</v>
      </c>
      <c r="F109" s="150" t="s">
        <v>265</v>
      </c>
      <c r="G109" s="51" t="str">
        <f t="shared" si="14"/>
        <v>Greenfield</v>
      </c>
      <c r="H109" s="174">
        <f t="shared" ref="H109" si="86">AB57-AA57</f>
        <v>749.69938289744368</v>
      </c>
      <c r="I109" s="174">
        <f>I84*-1</f>
        <v>-744.99919020913171</v>
      </c>
      <c r="J109" s="174">
        <f>H109+I109</f>
        <v>4.7001926883119722</v>
      </c>
      <c r="K109" s="51"/>
      <c r="L109" s="51"/>
      <c r="M109" s="51"/>
      <c r="N109" s="51"/>
      <c r="O109" s="51"/>
      <c r="P109" s="51"/>
      <c r="Q109" s="51"/>
      <c r="R109" s="51"/>
      <c r="S109" s="177">
        <f t="shared" si="11"/>
        <v>21.045364891518737</v>
      </c>
      <c r="T109" s="177">
        <f t="shared" si="76"/>
        <v>22</v>
      </c>
      <c r="U109" s="177">
        <f t="shared" si="76"/>
        <v>32</v>
      </c>
      <c r="V109" s="177">
        <f t="shared" si="76"/>
        <v>7</v>
      </c>
      <c r="W109" s="177">
        <f t="shared" si="76"/>
        <v>89</v>
      </c>
      <c r="X109" s="177">
        <f t="shared" si="76"/>
        <v>45</v>
      </c>
      <c r="Y109" s="177">
        <f t="shared" si="76"/>
        <v>42</v>
      </c>
      <c r="Z109" s="177">
        <f t="shared" si="76"/>
        <v>140</v>
      </c>
      <c r="AA109" s="177">
        <f t="shared" si="76"/>
        <v>53</v>
      </c>
      <c r="AB109" s="174">
        <f t="shared" ref="AB109" si="87">J109</f>
        <v>4.7001926883119722</v>
      </c>
      <c r="AC109" s="177">
        <f t="shared" ref="AC109:BL109" si="88">AC57-AB57</f>
        <v>130.16165419769186</v>
      </c>
      <c r="AD109" s="177">
        <f t="shared" si="88"/>
        <v>129.22180938446786</v>
      </c>
      <c r="AE109" s="177">
        <f t="shared" si="88"/>
        <v>158.26457711776243</v>
      </c>
      <c r="AF109" s="177">
        <f t="shared" si="88"/>
        <v>171.05670129984446</v>
      </c>
      <c r="AG109" s="177">
        <f t="shared" si="88"/>
        <v>208.7076507288898</v>
      </c>
      <c r="AH109" s="177">
        <f t="shared" si="88"/>
        <v>252.82889249168329</v>
      </c>
      <c r="AI109" s="177">
        <f t="shared" si="88"/>
        <v>303.85647174773749</v>
      </c>
      <c r="AJ109" s="177">
        <f t="shared" si="88"/>
        <v>319.71487516270372</v>
      </c>
      <c r="AK109" s="177">
        <f t="shared" si="88"/>
        <v>361.20884015559659</v>
      </c>
      <c r="AL109" s="177">
        <f t="shared" si="88"/>
        <v>383.32864420185479</v>
      </c>
      <c r="AM109" s="177">
        <f t="shared" si="88"/>
        <v>396.3807440357109</v>
      </c>
      <c r="AN109" s="177">
        <f t="shared" si="88"/>
        <v>392.69467837158754</v>
      </c>
      <c r="AO109" s="177">
        <f t="shared" si="88"/>
        <v>378.30382165532501</v>
      </c>
      <c r="AP109" s="177">
        <f t="shared" si="88"/>
        <v>365.97166327740888</v>
      </c>
      <c r="AQ109" s="177">
        <f t="shared" si="88"/>
        <v>355.20049509683849</v>
      </c>
      <c r="AR109" s="177">
        <f t="shared" si="88"/>
        <v>341.91163539585796</v>
      </c>
      <c r="AS109" s="177">
        <f t="shared" si="88"/>
        <v>292.81900703740939</v>
      </c>
      <c r="AT109" s="177">
        <f t="shared" si="88"/>
        <v>252.12516688118194</v>
      </c>
      <c r="AU109" s="177">
        <f t="shared" si="88"/>
        <v>200.05501644230935</v>
      </c>
      <c r="AV109" s="177">
        <f t="shared" si="88"/>
        <v>165.26836680623455</v>
      </c>
      <c r="AW109" s="177">
        <f t="shared" si="88"/>
        <v>169.53257451816444</v>
      </c>
      <c r="AX109" s="177">
        <f t="shared" si="88"/>
        <v>169.35947737494189</v>
      </c>
      <c r="AY109" s="177">
        <f t="shared" si="88"/>
        <v>169.81583018120637</v>
      </c>
      <c r="AZ109" s="177">
        <f t="shared" si="88"/>
        <v>164.50831463406485</v>
      </c>
      <c r="BA109" s="177">
        <f t="shared" si="88"/>
        <v>163.28357660679649</v>
      </c>
      <c r="BB109" s="177">
        <f t="shared" si="88"/>
        <v>163.40886597298959</v>
      </c>
      <c r="BC109" s="177">
        <f t="shared" si="88"/>
        <v>164.16070637929261</v>
      </c>
      <c r="BD109" s="177">
        <f t="shared" si="88"/>
        <v>163.31815545101927</v>
      </c>
      <c r="BE109" s="177">
        <f t="shared" si="88"/>
        <v>162.91399495388032</v>
      </c>
      <c r="BF109" s="177">
        <f t="shared" si="88"/>
        <v>159.82830079872656</v>
      </c>
      <c r="BG109" s="177">
        <f t="shared" si="88"/>
        <v>154.59701963484258</v>
      </c>
      <c r="BH109" s="177">
        <f t="shared" si="88"/>
        <v>152.89295867252076</v>
      </c>
      <c r="BI109" s="177">
        <f t="shared" si="88"/>
        <v>153.23320829423028</v>
      </c>
      <c r="BJ109" s="177">
        <f t="shared" si="88"/>
        <v>150.65911723171121</v>
      </c>
      <c r="BK109" s="177">
        <f t="shared" si="88"/>
        <v>132.84774805283996</v>
      </c>
      <c r="BL109" s="177">
        <f t="shared" si="88"/>
        <v>122.71258919671527</v>
      </c>
    </row>
    <row r="110" spans="1:64" ht="12.75" x14ac:dyDescent="0.2">
      <c r="A110" s="51" t="str" cm="1">
        <f t="array" ref="A110">INDEX(TariffCode, MATCH(1,(C110=TariffZone)*(D110=TariffProduct),0))</f>
        <v>WR</v>
      </c>
      <c r="B110" s="51" t="str">
        <f>IF($D110="Water",IF(C110="Standard",Assumptions!$H$90,Assumptions!$H$93),"")</f>
        <v/>
      </c>
      <c r="C110" s="150" t="s">
        <v>283</v>
      </c>
      <c r="D110" s="150" t="s">
        <v>310</v>
      </c>
      <c r="E110" s="150" t="s">
        <v>407</v>
      </c>
      <c r="F110" s="150" t="s">
        <v>265</v>
      </c>
      <c r="G110" s="51" t="str">
        <f t="shared" si="14"/>
        <v>Greenfield</v>
      </c>
      <c r="H110" s="177"/>
      <c r="I110" s="177"/>
      <c r="J110" s="177"/>
      <c r="K110" s="51"/>
      <c r="L110" s="51"/>
      <c r="M110" s="51"/>
      <c r="N110" s="51"/>
      <c r="O110" s="51"/>
      <c r="P110" s="51"/>
      <c r="Q110" s="51"/>
      <c r="R110" s="51"/>
      <c r="S110" s="177">
        <f t="shared" si="11"/>
        <v>0</v>
      </c>
      <c r="T110" s="177">
        <f t="shared" si="76"/>
        <v>0</v>
      </c>
      <c r="U110" s="177">
        <f t="shared" si="76"/>
        <v>0</v>
      </c>
      <c r="V110" s="177">
        <f t="shared" si="76"/>
        <v>0</v>
      </c>
      <c r="W110" s="177">
        <f t="shared" si="76"/>
        <v>0</v>
      </c>
      <c r="X110" s="177">
        <f t="shared" si="76"/>
        <v>0</v>
      </c>
      <c r="Y110" s="177">
        <f t="shared" si="76"/>
        <v>0</v>
      </c>
      <c r="Z110" s="177">
        <f t="shared" si="76"/>
        <v>0</v>
      </c>
      <c r="AA110" s="177">
        <f t="shared" si="76"/>
        <v>0</v>
      </c>
      <c r="AB110" s="177">
        <f t="shared" si="15"/>
        <v>0</v>
      </c>
      <c r="AC110" s="177">
        <f t="shared" ref="AC110:BL110" si="89">AC58-AB58</f>
        <v>0</v>
      </c>
      <c r="AD110" s="177">
        <f t="shared" si="89"/>
        <v>0</v>
      </c>
      <c r="AE110" s="177">
        <f t="shared" si="89"/>
        <v>0</v>
      </c>
      <c r="AF110" s="177">
        <f t="shared" si="89"/>
        <v>0</v>
      </c>
      <c r="AG110" s="177">
        <f t="shared" si="89"/>
        <v>0</v>
      </c>
      <c r="AH110" s="177">
        <f t="shared" si="89"/>
        <v>0</v>
      </c>
      <c r="AI110" s="177">
        <f t="shared" si="89"/>
        <v>0</v>
      </c>
      <c r="AJ110" s="177">
        <f t="shared" si="89"/>
        <v>0</v>
      </c>
      <c r="AK110" s="177">
        <f t="shared" si="89"/>
        <v>0</v>
      </c>
      <c r="AL110" s="177">
        <f t="shared" si="89"/>
        <v>0</v>
      </c>
      <c r="AM110" s="177">
        <f t="shared" si="89"/>
        <v>0</v>
      </c>
      <c r="AN110" s="177">
        <f t="shared" si="89"/>
        <v>0</v>
      </c>
      <c r="AO110" s="177">
        <f t="shared" si="89"/>
        <v>0</v>
      </c>
      <c r="AP110" s="177">
        <f t="shared" si="89"/>
        <v>0</v>
      </c>
      <c r="AQ110" s="177">
        <f t="shared" si="89"/>
        <v>0</v>
      </c>
      <c r="AR110" s="177">
        <f t="shared" si="89"/>
        <v>0</v>
      </c>
      <c r="AS110" s="177">
        <f t="shared" si="89"/>
        <v>0</v>
      </c>
      <c r="AT110" s="177">
        <f t="shared" si="89"/>
        <v>0</v>
      </c>
      <c r="AU110" s="177">
        <f t="shared" si="89"/>
        <v>0</v>
      </c>
      <c r="AV110" s="177">
        <f t="shared" si="89"/>
        <v>0</v>
      </c>
      <c r="AW110" s="177">
        <f t="shared" si="89"/>
        <v>0</v>
      </c>
      <c r="AX110" s="177">
        <f t="shared" si="89"/>
        <v>0</v>
      </c>
      <c r="AY110" s="177">
        <f t="shared" si="89"/>
        <v>0</v>
      </c>
      <c r="AZ110" s="177">
        <f t="shared" si="89"/>
        <v>0</v>
      </c>
      <c r="BA110" s="177">
        <f t="shared" si="89"/>
        <v>0</v>
      </c>
      <c r="BB110" s="177">
        <f t="shared" si="89"/>
        <v>0</v>
      </c>
      <c r="BC110" s="177">
        <f t="shared" si="89"/>
        <v>0</v>
      </c>
      <c r="BD110" s="177">
        <f t="shared" si="89"/>
        <v>0</v>
      </c>
      <c r="BE110" s="177">
        <f t="shared" si="89"/>
        <v>0</v>
      </c>
      <c r="BF110" s="177">
        <f t="shared" si="89"/>
        <v>0</v>
      </c>
      <c r="BG110" s="177">
        <f t="shared" si="89"/>
        <v>0</v>
      </c>
      <c r="BH110" s="177">
        <f t="shared" si="89"/>
        <v>0</v>
      </c>
      <c r="BI110" s="177">
        <f t="shared" si="89"/>
        <v>0</v>
      </c>
      <c r="BJ110" s="177">
        <f t="shared" si="89"/>
        <v>0</v>
      </c>
      <c r="BK110" s="177">
        <f t="shared" si="89"/>
        <v>0</v>
      </c>
      <c r="BL110" s="177">
        <f t="shared" si="89"/>
        <v>0</v>
      </c>
    </row>
    <row r="111" spans="1:64" ht="12.75" x14ac:dyDescent="0.2">
      <c r="A111" s="51" t="str" cm="1">
        <f t="array" ref="A111">INDEX(TariffCode, MATCH(1,(C111=TariffZone)*(D111=TariffProduct),0))</f>
        <v>GR</v>
      </c>
      <c r="B111" s="51" t="str">
        <f>IF($D111="Water",IF(C111="Standard",Assumptions!$H$90,Assumptions!$H$93),"")</f>
        <v/>
      </c>
      <c r="C111" s="150" t="s">
        <v>312</v>
      </c>
      <c r="D111" s="150" t="s">
        <v>310</v>
      </c>
      <c r="E111" s="150" t="s">
        <v>407</v>
      </c>
      <c r="F111" s="150" t="s">
        <v>265</v>
      </c>
      <c r="G111" s="51" t="str">
        <f t="shared" si="14"/>
        <v>Greenfield</v>
      </c>
      <c r="H111" s="174">
        <f t="shared" ref="H111" si="90">AB59-AA59</f>
        <v>91</v>
      </c>
      <c r="I111" s="174">
        <f>I87*-1</f>
        <v>-23</v>
      </c>
      <c r="J111" s="174">
        <f>H111+I111</f>
        <v>68</v>
      </c>
      <c r="K111" s="51"/>
      <c r="L111" s="51"/>
      <c r="M111" s="51"/>
      <c r="N111" s="51"/>
      <c r="O111" s="51"/>
      <c r="P111" s="51"/>
      <c r="Q111" s="51"/>
      <c r="R111" s="51"/>
      <c r="S111" s="177">
        <f t="shared" si="11"/>
        <v>1.7142857142857142</v>
      </c>
      <c r="T111" s="177">
        <f t="shared" si="76"/>
        <v>3</v>
      </c>
      <c r="U111" s="177">
        <f t="shared" si="76"/>
        <v>4</v>
      </c>
      <c r="V111" s="177">
        <f t="shared" si="76"/>
        <v>6</v>
      </c>
      <c r="W111" s="177">
        <f t="shared" si="76"/>
        <v>2</v>
      </c>
      <c r="X111" s="177">
        <f t="shared" si="76"/>
        <v>6</v>
      </c>
      <c r="Y111" s="177">
        <f t="shared" si="76"/>
        <v>10</v>
      </c>
      <c r="Z111" s="177">
        <f t="shared" si="76"/>
        <v>12</v>
      </c>
      <c r="AA111" s="177">
        <f t="shared" si="76"/>
        <v>4</v>
      </c>
      <c r="AB111" s="174">
        <f t="shared" ref="AB111" si="91">J111</f>
        <v>68</v>
      </c>
      <c r="AC111" s="177">
        <f t="shared" ref="AC111:BL111" si="92">AC59-AB59</f>
        <v>0</v>
      </c>
      <c r="AD111" s="177">
        <f t="shared" si="92"/>
        <v>0</v>
      </c>
      <c r="AE111" s="177">
        <f t="shared" si="92"/>
        <v>0</v>
      </c>
      <c r="AF111" s="177">
        <f t="shared" si="92"/>
        <v>0</v>
      </c>
      <c r="AG111" s="177">
        <f t="shared" si="92"/>
        <v>0</v>
      </c>
      <c r="AH111" s="177">
        <f t="shared" si="92"/>
        <v>0</v>
      </c>
      <c r="AI111" s="177">
        <f t="shared" si="92"/>
        <v>0</v>
      </c>
      <c r="AJ111" s="177">
        <f t="shared" si="92"/>
        <v>0</v>
      </c>
      <c r="AK111" s="177">
        <f t="shared" si="92"/>
        <v>0</v>
      </c>
      <c r="AL111" s="177">
        <f t="shared" si="92"/>
        <v>0</v>
      </c>
      <c r="AM111" s="177">
        <f t="shared" si="92"/>
        <v>0</v>
      </c>
      <c r="AN111" s="177">
        <f t="shared" si="92"/>
        <v>0</v>
      </c>
      <c r="AO111" s="177">
        <f t="shared" si="92"/>
        <v>0</v>
      </c>
      <c r="AP111" s="177">
        <f t="shared" si="92"/>
        <v>0</v>
      </c>
      <c r="AQ111" s="177">
        <f t="shared" si="92"/>
        <v>0</v>
      </c>
      <c r="AR111" s="177">
        <f t="shared" si="92"/>
        <v>0</v>
      </c>
      <c r="AS111" s="177">
        <f t="shared" si="92"/>
        <v>0</v>
      </c>
      <c r="AT111" s="177">
        <f t="shared" si="92"/>
        <v>0</v>
      </c>
      <c r="AU111" s="177">
        <f t="shared" si="92"/>
        <v>0</v>
      </c>
      <c r="AV111" s="177">
        <f t="shared" si="92"/>
        <v>0</v>
      </c>
      <c r="AW111" s="177">
        <f t="shared" si="92"/>
        <v>0</v>
      </c>
      <c r="AX111" s="177">
        <f t="shared" si="92"/>
        <v>0</v>
      </c>
      <c r="AY111" s="177">
        <f t="shared" si="92"/>
        <v>0</v>
      </c>
      <c r="AZ111" s="177">
        <f t="shared" si="92"/>
        <v>0</v>
      </c>
      <c r="BA111" s="177">
        <f t="shared" si="92"/>
        <v>0</v>
      </c>
      <c r="BB111" s="177">
        <f t="shared" si="92"/>
        <v>0</v>
      </c>
      <c r="BC111" s="177">
        <f t="shared" si="92"/>
        <v>0</v>
      </c>
      <c r="BD111" s="177">
        <f t="shared" si="92"/>
        <v>0</v>
      </c>
      <c r="BE111" s="177">
        <f t="shared" si="92"/>
        <v>0</v>
      </c>
      <c r="BF111" s="177">
        <f t="shared" si="92"/>
        <v>0</v>
      </c>
      <c r="BG111" s="177">
        <f t="shared" si="92"/>
        <v>0</v>
      </c>
      <c r="BH111" s="177">
        <f t="shared" si="92"/>
        <v>0</v>
      </c>
      <c r="BI111" s="177">
        <f t="shared" si="92"/>
        <v>0</v>
      </c>
      <c r="BJ111" s="177">
        <f t="shared" si="92"/>
        <v>0</v>
      </c>
      <c r="BK111" s="177">
        <f t="shared" si="92"/>
        <v>0</v>
      </c>
      <c r="BL111" s="177">
        <f t="shared" si="92"/>
        <v>0</v>
      </c>
    </row>
    <row r="112" spans="1:64" x14ac:dyDescent="0.2">
      <c r="D112" s="49" t="s">
        <v>518</v>
      </c>
    </row>
    <row r="113" spans="1:65" x14ac:dyDescent="0.2">
      <c r="D113" s="49" t="s">
        <v>518</v>
      </c>
    </row>
    <row r="114" spans="1:65" s="48" customFormat="1" x14ac:dyDescent="0.2">
      <c r="D114" s="49" t="s">
        <v>518</v>
      </c>
    </row>
    <row r="115" spans="1:65" s="48" customFormat="1" x14ac:dyDescent="0.2">
      <c r="D115" s="49" t="s">
        <v>518</v>
      </c>
    </row>
    <row r="117" spans="1:65" x14ac:dyDescent="0.2">
      <c r="A117" s="71"/>
      <c r="B117" s="71"/>
      <c r="AC117" s="177">
        <f t="shared" ref="AC117:BL117" si="93">AC61-AC62</f>
        <v>5.8207660913467407E-11</v>
      </c>
      <c r="AD117" s="177">
        <f t="shared" si="93"/>
        <v>-3.8562575355172157E-10</v>
      </c>
      <c r="AE117" s="177">
        <f t="shared" si="93"/>
        <v>4.220055416226387E-10</v>
      </c>
      <c r="AF117" s="177">
        <f t="shared" si="93"/>
        <v>-4.9476511776447296E-10</v>
      </c>
      <c r="AG117" s="177">
        <f t="shared" si="93"/>
        <v>3.8562575355172157E-10</v>
      </c>
      <c r="AH117" s="177">
        <f t="shared" si="93"/>
        <v>-5.8207660913467407E-11</v>
      </c>
      <c r="AI117" s="177">
        <f t="shared" si="93"/>
        <v>1.6007106751203537E-10</v>
      </c>
      <c r="AJ117" s="177">
        <f t="shared" si="93"/>
        <v>-1.0913936421275139E-10</v>
      </c>
      <c r="AK117" s="177">
        <f t="shared" si="93"/>
        <v>2.4010660126805305E-10</v>
      </c>
      <c r="AL117" s="177">
        <f t="shared" si="93"/>
        <v>-1.8917489796876907E-10</v>
      </c>
      <c r="AM117" s="177">
        <f t="shared" si="93"/>
        <v>0</v>
      </c>
      <c r="AN117" s="177">
        <f t="shared" si="93"/>
        <v>-1.6007106751203537E-10</v>
      </c>
      <c r="AO117" s="177">
        <f t="shared" si="93"/>
        <v>8.7311491370201111E-10</v>
      </c>
      <c r="AP117" s="177">
        <f t="shared" si="93"/>
        <v>-1.1714291758835316E-9</v>
      </c>
      <c r="AQ117" s="177">
        <f t="shared" si="93"/>
        <v>2.6193447411060333E-10</v>
      </c>
      <c r="AR117" s="177">
        <f t="shared" si="93"/>
        <v>-1.8917489796876907E-10</v>
      </c>
      <c r="AS117" s="177">
        <f t="shared" si="93"/>
        <v>1.1641532182693481E-10</v>
      </c>
      <c r="AT117" s="177">
        <f t="shared" si="93"/>
        <v>-5.8207660913467407E-11</v>
      </c>
      <c r="AU117" s="177">
        <f t="shared" si="93"/>
        <v>5.9662852436304092E-10</v>
      </c>
      <c r="AV117" s="177">
        <f t="shared" si="93"/>
        <v>-4.5110937207937241E-10</v>
      </c>
      <c r="AW117" s="177">
        <f t="shared" si="93"/>
        <v>1.3096723705530167E-10</v>
      </c>
      <c r="AX117" s="177">
        <f t="shared" si="93"/>
        <v>-5.8207660913467407E-10</v>
      </c>
      <c r="AY117" s="177">
        <f t="shared" si="93"/>
        <v>1.1350493878126144E-9</v>
      </c>
      <c r="AZ117" s="177">
        <f t="shared" si="93"/>
        <v>-6.5483618527650833E-10</v>
      </c>
      <c r="BA117" s="177">
        <f t="shared" si="93"/>
        <v>7.2759576141834259E-11</v>
      </c>
      <c r="BB117" s="177">
        <f t="shared" si="93"/>
        <v>5.8207660913467407E-11</v>
      </c>
      <c r="BC117" s="177">
        <f t="shared" si="93"/>
        <v>-8.7311491370201111E-11</v>
      </c>
      <c r="BD117" s="177">
        <f t="shared" si="93"/>
        <v>0</v>
      </c>
      <c r="BE117" s="177">
        <f t="shared" si="93"/>
        <v>3.1286617740988731E-10</v>
      </c>
      <c r="BF117" s="177">
        <f t="shared" si="93"/>
        <v>0</v>
      </c>
      <c r="BG117" s="177">
        <f t="shared" si="93"/>
        <v>-7.2759576141834259E-11</v>
      </c>
      <c r="BH117" s="177">
        <f t="shared" si="93"/>
        <v>-2.6193447411060333E-10</v>
      </c>
      <c r="BI117" s="177">
        <f t="shared" si="93"/>
        <v>-4.6566128730773926E-10</v>
      </c>
      <c r="BJ117" s="177">
        <f t="shared" si="93"/>
        <v>6.6938810050487518E-10</v>
      </c>
      <c r="BK117" s="177">
        <f t="shared" si="93"/>
        <v>-7.2759576141834259E-10</v>
      </c>
      <c r="BL117" s="177">
        <f t="shared" si="93"/>
        <v>5.5297277867794037E-10</v>
      </c>
    </row>
    <row r="118" spans="1:65" x14ac:dyDescent="0.2">
      <c r="A118" s="71"/>
      <c r="B118" s="71"/>
      <c r="C118" s="64" t="s">
        <v>519</v>
      </c>
      <c r="D118" s="150"/>
      <c r="E118" s="150"/>
    </row>
    <row r="119" spans="1:65" ht="15.75" x14ac:dyDescent="0.25">
      <c r="A119" s="71"/>
      <c r="B119" s="71"/>
      <c r="D119" s="150" t="s">
        <v>301</v>
      </c>
      <c r="H119" s="50"/>
      <c r="AC119" s="177">
        <f t="shared" ref="AC119:AL120" si="94">SUMIFS(AC$138:AC$147,$D$138:$D$147,$D119)</f>
        <v>610512.32547279133</v>
      </c>
      <c r="AD119" s="177">
        <f t="shared" si="94"/>
        <v>628112.59001757996</v>
      </c>
      <c r="AE119" s="177">
        <f t="shared" si="94"/>
        <v>646502.19497216807</v>
      </c>
      <c r="AF119" s="177">
        <f t="shared" si="94"/>
        <v>662949.61691408302</v>
      </c>
      <c r="AG119" s="177">
        <f t="shared" si="94"/>
        <v>678732.56612596824</v>
      </c>
      <c r="AH119" s="177">
        <f t="shared" si="94"/>
        <v>694492.05905990477</v>
      </c>
      <c r="AI119" s="177">
        <f t="shared" si="94"/>
        <v>710130.22291464231</v>
      </c>
      <c r="AJ119" s="177">
        <f t="shared" si="94"/>
        <v>725659.13078212808</v>
      </c>
      <c r="AK119" s="177">
        <f t="shared" si="94"/>
        <v>741677.75944602152</v>
      </c>
      <c r="AL119" s="177">
        <f t="shared" si="94"/>
        <v>757966.17790671415</v>
      </c>
      <c r="AM119" s="177">
        <f t="shared" ref="AM119:AV120" si="95">SUMIFS(AM$138:AM$147,$D$138:$D$147,$D119)</f>
        <v>774536.44594313693</v>
      </c>
      <c r="AN119" s="177">
        <f t="shared" si="95"/>
        <v>791168.98229041032</v>
      </c>
      <c r="AO119" s="177">
        <f t="shared" si="95"/>
        <v>807918.31605225848</v>
      </c>
      <c r="AP119" s="177">
        <f t="shared" si="95"/>
        <v>824757.37895023252</v>
      </c>
      <c r="AQ119" s="177">
        <f t="shared" si="95"/>
        <v>841630.27430750336</v>
      </c>
      <c r="AR119" s="177">
        <f t="shared" si="95"/>
        <v>858520.40808447939</v>
      </c>
      <c r="AS119" s="177">
        <f t="shared" si="95"/>
        <v>875357.71053204092</v>
      </c>
      <c r="AT119" s="177">
        <f t="shared" si="95"/>
        <v>893021.86888887314</v>
      </c>
      <c r="AU119" s="177">
        <f t="shared" si="95"/>
        <v>909884.28679497133</v>
      </c>
      <c r="AV119" s="177">
        <f t="shared" si="95"/>
        <v>926562.87579016772</v>
      </c>
      <c r="AW119" s="177">
        <f t="shared" ref="AW119:BF120" si="96">SUMIFS(AW$138:AW$147,$D$138:$D$147,$D119)</f>
        <v>943146.60745342181</v>
      </c>
      <c r="AX119" s="177">
        <f t="shared" si="96"/>
        <v>959675.2303953286</v>
      </c>
      <c r="AY119" s="177">
        <f t="shared" si="96"/>
        <v>976180.43625447049</v>
      </c>
      <c r="AZ119" s="177">
        <f t="shared" si="96"/>
        <v>992165.45642202464</v>
      </c>
      <c r="BA119" s="177">
        <f t="shared" si="96"/>
        <v>1008130.6626516132</v>
      </c>
      <c r="BB119" s="177">
        <f t="shared" si="96"/>
        <v>1024135.4698446975</v>
      </c>
      <c r="BC119" s="177">
        <f t="shared" si="96"/>
        <v>1040137.0380261221</v>
      </c>
      <c r="BD119" s="177">
        <f t="shared" si="96"/>
        <v>1056189.2315738648</v>
      </c>
      <c r="BE119" s="177">
        <f t="shared" si="96"/>
        <v>1072501.2363805841</v>
      </c>
      <c r="BF119" s="177">
        <f t="shared" si="96"/>
        <v>1088788.9847341136</v>
      </c>
      <c r="BG119" s="177">
        <f t="shared" ref="BG119:BL120" si="97">SUMIFS(BG$138:BG$147,$D$138:$D$147,$D119)</f>
        <v>1104968.9573080172</v>
      </c>
      <c r="BH119" s="177">
        <f t="shared" si="97"/>
        <v>1120994.1997860831</v>
      </c>
      <c r="BI119" s="177">
        <f t="shared" si="97"/>
        <v>1136906.5248310727</v>
      </c>
      <c r="BJ119" s="177">
        <f t="shared" si="97"/>
        <v>1152810.2411591194</v>
      </c>
      <c r="BK119" s="177">
        <f t="shared" si="97"/>
        <v>1168655.3211136812</v>
      </c>
      <c r="BL119" s="177">
        <f t="shared" si="97"/>
        <v>1184497.9012191172</v>
      </c>
    </row>
    <row r="120" spans="1:65" x14ac:dyDescent="0.2">
      <c r="D120" s="150" t="s">
        <v>303</v>
      </c>
      <c r="AC120" s="177">
        <f t="shared" si="94"/>
        <v>540432.83280989435</v>
      </c>
      <c r="AD120" s="177">
        <f t="shared" si="94"/>
        <v>554361.88748224173</v>
      </c>
      <c r="AE120" s="177">
        <f t="shared" si="94"/>
        <v>568921.54398829839</v>
      </c>
      <c r="AF120" s="177">
        <f t="shared" si="94"/>
        <v>581314.71798762376</v>
      </c>
      <c r="AG120" s="177">
        <f t="shared" si="94"/>
        <v>593721.26839253097</v>
      </c>
      <c r="AH120" s="177">
        <f t="shared" si="94"/>
        <v>605876.73940239102</v>
      </c>
      <c r="AI120" s="177">
        <f t="shared" si="94"/>
        <v>617775.30286807881</v>
      </c>
      <c r="AJ120" s="177">
        <f t="shared" si="94"/>
        <v>629662.58240347297</v>
      </c>
      <c r="AK120" s="177">
        <f t="shared" si="94"/>
        <v>641946.47710237617</v>
      </c>
      <c r="AL120" s="177">
        <f t="shared" si="94"/>
        <v>654510.20797775441</v>
      </c>
      <c r="AM120" s="177">
        <f t="shared" si="95"/>
        <v>667405.49186797696</v>
      </c>
      <c r="AN120" s="177">
        <f t="shared" si="95"/>
        <v>680637.81771802658</v>
      </c>
      <c r="AO120" s="177">
        <f t="shared" si="95"/>
        <v>694116.28954762302</v>
      </c>
      <c r="AP120" s="177">
        <f t="shared" si="95"/>
        <v>707808.85448434262</v>
      </c>
      <c r="AQ120" s="177">
        <f t="shared" si="95"/>
        <v>721588.55949655548</v>
      </c>
      <c r="AR120" s="177">
        <f t="shared" si="95"/>
        <v>735462.1943112287</v>
      </c>
      <c r="AS120" s="177">
        <f t="shared" si="95"/>
        <v>749378.23132790788</v>
      </c>
      <c r="AT120" s="177">
        <f t="shared" si="95"/>
        <v>763339.91938997747</v>
      </c>
      <c r="AU120" s="177">
        <f t="shared" si="95"/>
        <v>777044.73574279249</v>
      </c>
      <c r="AV120" s="177">
        <f t="shared" si="95"/>
        <v>790666.5586483808</v>
      </c>
      <c r="AW120" s="177">
        <f t="shared" si="96"/>
        <v>804266.45923562231</v>
      </c>
      <c r="AX120" s="177">
        <f t="shared" si="96"/>
        <v>817814.81070565281</v>
      </c>
      <c r="AY120" s="177">
        <f t="shared" si="96"/>
        <v>839994.82929652813</v>
      </c>
      <c r="AZ120" s="177">
        <f t="shared" si="96"/>
        <v>853408.36141432088</v>
      </c>
      <c r="BA120" s="177">
        <f t="shared" si="96"/>
        <v>866873.14827810822</v>
      </c>
      <c r="BB120" s="177">
        <f t="shared" si="96"/>
        <v>880435.45415921789</v>
      </c>
      <c r="BC120" s="177">
        <f t="shared" si="96"/>
        <v>894077.23804835347</v>
      </c>
      <c r="BD120" s="177">
        <f t="shared" si="96"/>
        <v>907813.58697971574</v>
      </c>
      <c r="BE120" s="177">
        <f t="shared" si="96"/>
        <v>922065.52801060479</v>
      </c>
      <c r="BF120" s="177">
        <f t="shared" si="96"/>
        <v>936317.41148746142</v>
      </c>
      <c r="BG120" s="177">
        <f t="shared" si="97"/>
        <v>950397.58441265661</v>
      </c>
      <c r="BH120" s="177">
        <f t="shared" si="97"/>
        <v>964244.40144162055</v>
      </c>
      <c r="BI120" s="177">
        <f t="shared" si="97"/>
        <v>978043.21533957974</v>
      </c>
      <c r="BJ120" s="177">
        <f t="shared" si="97"/>
        <v>991703.42696703097</v>
      </c>
      <c r="BK120" s="177">
        <f t="shared" si="97"/>
        <v>1005466.3831595391</v>
      </c>
      <c r="BL120" s="177">
        <f t="shared" si="97"/>
        <v>1019370.3805313042</v>
      </c>
    </row>
    <row r="121" spans="1:65" x14ac:dyDescent="0.2">
      <c r="D121" s="150" t="s">
        <v>520</v>
      </c>
      <c r="AC121" s="177">
        <f t="shared" ref="AC121:BL121" si="98">SUMIFS(AC$12:AC$95,$D$12:$D$95,"recycled",$F$12:$F$95,"Central")</f>
        <v>38020.587282679742</v>
      </c>
      <c r="AD121" s="177">
        <f t="shared" si="98"/>
        <v>41737.281124626606</v>
      </c>
      <c r="AE121" s="177">
        <f t="shared" si="98"/>
        <v>45250.045939444419</v>
      </c>
      <c r="AF121" s="177">
        <f t="shared" si="98"/>
        <v>47702.068018951461</v>
      </c>
      <c r="AG121" s="177">
        <f t="shared" si="98"/>
        <v>50493.089990078246</v>
      </c>
      <c r="AH121" s="177">
        <f t="shared" si="98"/>
        <v>53175.463064979442</v>
      </c>
      <c r="AI121" s="177">
        <f t="shared" si="98"/>
        <v>55961.170723746531</v>
      </c>
      <c r="AJ121" s="177">
        <f t="shared" si="98"/>
        <v>58644.662025843987</v>
      </c>
      <c r="AK121" s="177">
        <f t="shared" si="98"/>
        <v>61564.095599228371</v>
      </c>
      <c r="AL121" s="177">
        <f t="shared" si="98"/>
        <v>64453.796396126476</v>
      </c>
      <c r="AM121" s="177">
        <f t="shared" si="98"/>
        <v>67243.300145721631</v>
      </c>
      <c r="AN121" s="177">
        <f t="shared" si="98"/>
        <v>69983.232303181241</v>
      </c>
      <c r="AO121" s="177">
        <f t="shared" si="98"/>
        <v>72399.617273125856</v>
      </c>
      <c r="AP121" s="177">
        <f t="shared" si="98"/>
        <v>74429.641214239819</v>
      </c>
      <c r="AQ121" s="177">
        <f t="shared" si="98"/>
        <v>76263.007895872332</v>
      </c>
      <c r="AR121" s="177">
        <f t="shared" si="98"/>
        <v>77937.238876162679</v>
      </c>
      <c r="AS121" s="177">
        <f t="shared" si="98"/>
        <v>79453.029312342856</v>
      </c>
      <c r="AT121" s="177">
        <f t="shared" si="98"/>
        <v>81034.338162778397</v>
      </c>
      <c r="AU121" s="177">
        <f t="shared" si="98"/>
        <v>82346.759915905714</v>
      </c>
      <c r="AV121" s="177">
        <f t="shared" si="98"/>
        <v>83466.871766109281</v>
      </c>
      <c r="AW121" s="177">
        <f t="shared" si="98"/>
        <v>84406.341606210801</v>
      </c>
      <c r="AX121" s="177">
        <f t="shared" si="98"/>
        <v>85201.202666644123</v>
      </c>
      <c r="AY121" s="177">
        <f t="shared" si="98"/>
        <v>86006.018603637203</v>
      </c>
      <c r="AZ121" s="177">
        <f t="shared" si="98"/>
        <v>86694.706350190623</v>
      </c>
      <c r="BA121" s="177">
        <f t="shared" si="98"/>
        <v>87432.916522531479</v>
      </c>
      <c r="BB121" s="177">
        <f t="shared" si="98"/>
        <v>88197.942704869929</v>
      </c>
      <c r="BC121" s="177">
        <f t="shared" si="98"/>
        <v>88914.154379715445</v>
      </c>
      <c r="BD121" s="177">
        <f t="shared" si="98"/>
        <v>89616.026090987609</v>
      </c>
      <c r="BE121" s="177">
        <f t="shared" si="98"/>
        <v>90314.75879106221</v>
      </c>
      <c r="BF121" s="177">
        <f t="shared" si="98"/>
        <v>91260.592833538904</v>
      </c>
      <c r="BG121" s="177">
        <f t="shared" si="98"/>
        <v>92595.469513138814</v>
      </c>
      <c r="BH121" s="177">
        <f t="shared" si="98"/>
        <v>93649.065203411083</v>
      </c>
      <c r="BI121" s="177">
        <f t="shared" si="98"/>
        <v>94627.74269738351</v>
      </c>
      <c r="BJ121" s="177">
        <f t="shared" si="98"/>
        <v>95496.76789280193</v>
      </c>
      <c r="BK121" s="177">
        <f t="shared" si="98"/>
        <v>95589.150415629003</v>
      </c>
      <c r="BL121" s="177">
        <f t="shared" si="98"/>
        <v>95903.786292198391</v>
      </c>
    </row>
    <row r="122" spans="1:65" s="48" customFormat="1" x14ac:dyDescent="0.2"/>
    <row r="123" spans="1:65" s="61" customFormat="1" ht="12.75" x14ac:dyDescent="0.2">
      <c r="A123" s="150"/>
      <c r="B123" s="150"/>
      <c r="C123" s="150"/>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150"/>
      <c r="AE123" s="150"/>
      <c r="AF123" s="150"/>
      <c r="AG123" s="150"/>
      <c r="AH123" s="150"/>
      <c r="AI123" s="150"/>
      <c r="AJ123" s="150"/>
      <c r="AK123" s="150"/>
      <c r="AL123" s="150"/>
      <c r="AM123" s="150"/>
      <c r="AN123" s="150"/>
      <c r="AO123" s="150"/>
      <c r="AP123" s="150"/>
      <c r="AQ123" s="150"/>
      <c r="AR123" s="150"/>
      <c r="AS123" s="150"/>
      <c r="AT123" s="150"/>
      <c r="AU123" s="150"/>
      <c r="AV123" s="150"/>
      <c r="AW123" s="150"/>
      <c r="AX123" s="150"/>
      <c r="AY123" s="150"/>
      <c r="AZ123" s="150"/>
      <c r="BA123" s="150"/>
      <c r="BB123" s="150"/>
      <c r="BC123" s="150"/>
      <c r="BD123" s="150"/>
      <c r="BE123" s="150"/>
      <c r="BF123" s="150"/>
      <c r="BG123" s="150"/>
      <c r="BH123" s="150"/>
      <c r="BI123" s="150"/>
      <c r="BJ123" s="150"/>
      <c r="BK123" s="150"/>
      <c r="BL123" s="150"/>
      <c r="BM123" s="150"/>
    </row>
    <row r="124" spans="1:65" s="61" customFormat="1" ht="12.75" x14ac:dyDescent="0.2">
      <c r="A124" s="150"/>
      <c r="B124" s="150"/>
      <c r="C124" s="64" t="s">
        <v>521</v>
      </c>
      <c r="D124" s="150"/>
      <c r="E124" s="150"/>
      <c r="F124" s="150" t="s">
        <v>522</v>
      </c>
      <c r="G124" s="150"/>
      <c r="H124" s="150"/>
      <c r="I124" s="150"/>
      <c r="J124" s="150"/>
      <c r="K124" s="150"/>
      <c r="L124" s="150"/>
      <c r="M124" s="150"/>
      <c r="N124" s="150"/>
      <c r="O124" s="150"/>
      <c r="P124" s="150"/>
      <c r="Q124" s="150"/>
      <c r="R124" s="150"/>
      <c r="S124" s="150"/>
      <c r="T124" s="150"/>
      <c r="U124" s="150"/>
      <c r="V124" s="150"/>
      <c r="W124" s="150"/>
      <c r="X124" s="150"/>
      <c r="Y124" s="150"/>
      <c r="Z124" s="150"/>
      <c r="AA124" s="150"/>
      <c r="AB124" s="150"/>
      <c r="AC124" s="150"/>
      <c r="AD124" s="150"/>
      <c r="AE124" s="150"/>
      <c r="AF124" s="150"/>
      <c r="AG124" s="150"/>
      <c r="AH124" s="150"/>
      <c r="AI124" s="150"/>
      <c r="AJ124" s="150"/>
      <c r="AK124" s="150"/>
      <c r="AL124" s="150"/>
      <c r="AM124" s="150"/>
      <c r="AN124" s="150"/>
      <c r="AO124" s="150"/>
      <c r="AP124" s="150"/>
      <c r="AQ124" s="150"/>
      <c r="AR124" s="150"/>
      <c r="AS124" s="150"/>
      <c r="AT124" s="150"/>
      <c r="AU124" s="150"/>
      <c r="AV124" s="150"/>
      <c r="AW124" s="150"/>
      <c r="AX124" s="150"/>
      <c r="AY124" s="150"/>
      <c r="AZ124" s="150"/>
      <c r="BA124" s="150"/>
      <c r="BB124" s="150"/>
      <c r="BC124" s="150"/>
      <c r="BD124" s="150"/>
      <c r="BE124" s="150"/>
      <c r="BF124" s="150"/>
      <c r="BG124" s="150"/>
      <c r="BH124" s="150"/>
      <c r="BI124" s="150"/>
      <c r="BJ124" s="150"/>
      <c r="BK124" s="150"/>
      <c r="BL124" s="150"/>
      <c r="BM124" s="150"/>
    </row>
    <row r="125" spans="1:65" s="61" customFormat="1" ht="12.75" x14ac:dyDescent="0.2">
      <c r="A125" s="51"/>
      <c r="B125" s="51"/>
      <c r="C125" s="150" t="s">
        <v>287</v>
      </c>
      <c r="D125" s="150" t="s">
        <v>301</v>
      </c>
      <c r="E125" s="150"/>
      <c r="F125" s="150" t="s">
        <v>262</v>
      </c>
      <c r="G125" s="150"/>
      <c r="H125" s="150"/>
      <c r="I125" s="150"/>
      <c r="J125" s="150"/>
      <c r="K125" s="150"/>
      <c r="L125" s="150"/>
      <c r="M125" s="150"/>
      <c r="N125" s="150"/>
      <c r="O125" s="150"/>
      <c r="P125" s="150"/>
      <c r="Q125" s="150"/>
      <c r="R125" s="150"/>
      <c r="S125" s="150"/>
      <c r="T125" s="150"/>
      <c r="U125" s="150"/>
      <c r="V125" s="150"/>
      <c r="W125" s="150"/>
      <c r="X125" s="150"/>
      <c r="Y125" s="150"/>
      <c r="Z125" s="150"/>
      <c r="AA125" s="150"/>
      <c r="AB125" s="150"/>
      <c r="AC125" s="178">
        <v>1</v>
      </c>
      <c r="AD125" s="178">
        <v>1</v>
      </c>
      <c r="AE125" s="178">
        <v>1</v>
      </c>
      <c r="AF125" s="178">
        <v>1</v>
      </c>
      <c r="AG125" s="178">
        <v>1</v>
      </c>
      <c r="AH125" s="178">
        <v>1</v>
      </c>
      <c r="AI125" s="178">
        <v>1</v>
      </c>
      <c r="AJ125" s="178">
        <v>1</v>
      </c>
      <c r="AK125" s="178">
        <v>1</v>
      </c>
      <c r="AL125" s="178">
        <v>1</v>
      </c>
      <c r="AM125" s="178">
        <v>1</v>
      </c>
      <c r="AN125" s="178">
        <v>1</v>
      </c>
      <c r="AO125" s="178">
        <v>1</v>
      </c>
      <c r="AP125" s="178">
        <v>1</v>
      </c>
      <c r="AQ125" s="178">
        <v>1</v>
      </c>
      <c r="AR125" s="178">
        <v>1</v>
      </c>
      <c r="AS125" s="178">
        <v>1</v>
      </c>
      <c r="AT125" s="178">
        <v>1</v>
      </c>
      <c r="AU125" s="178">
        <v>1</v>
      </c>
      <c r="AV125" s="178">
        <v>1</v>
      </c>
      <c r="AW125" s="178">
        <v>1</v>
      </c>
      <c r="AX125" s="178">
        <v>1</v>
      </c>
      <c r="AY125" s="178">
        <v>1</v>
      </c>
      <c r="AZ125" s="178">
        <v>1</v>
      </c>
      <c r="BA125" s="178">
        <v>1</v>
      </c>
      <c r="BB125" s="178">
        <v>1</v>
      </c>
      <c r="BC125" s="178">
        <v>1</v>
      </c>
      <c r="BD125" s="178">
        <v>1</v>
      </c>
      <c r="BE125" s="178">
        <v>1</v>
      </c>
      <c r="BF125" s="178">
        <v>1</v>
      </c>
      <c r="BG125" s="178">
        <v>1</v>
      </c>
      <c r="BH125" s="178">
        <v>1</v>
      </c>
      <c r="BI125" s="178">
        <v>1</v>
      </c>
      <c r="BJ125" s="178">
        <v>1</v>
      </c>
      <c r="BK125" s="178">
        <v>1</v>
      </c>
      <c r="BL125" s="178">
        <v>1</v>
      </c>
      <c r="BM125" s="178">
        <v>1</v>
      </c>
    </row>
    <row r="126" spans="1:65" s="61" customFormat="1" ht="12.75" x14ac:dyDescent="0.2">
      <c r="A126" s="51"/>
      <c r="B126" s="51"/>
      <c r="C126" s="150" t="s">
        <v>287</v>
      </c>
      <c r="D126" s="150" t="s">
        <v>301</v>
      </c>
      <c r="E126" s="150"/>
      <c r="F126" s="150" t="s">
        <v>265</v>
      </c>
      <c r="G126" s="150"/>
      <c r="H126" s="150"/>
      <c r="I126" s="150"/>
      <c r="J126" s="150"/>
      <c r="K126" s="150"/>
      <c r="L126" s="150"/>
      <c r="M126" s="150"/>
      <c r="N126" s="150"/>
      <c r="O126" s="150"/>
      <c r="P126" s="150"/>
      <c r="Q126" s="150"/>
      <c r="R126" s="150"/>
      <c r="S126" s="150"/>
      <c r="T126" s="150"/>
      <c r="U126" s="150"/>
      <c r="V126" s="150"/>
      <c r="W126" s="150"/>
      <c r="X126" s="150"/>
      <c r="Y126" s="150"/>
      <c r="Z126" s="150"/>
      <c r="AA126" s="150"/>
      <c r="AB126" s="150"/>
      <c r="AC126" s="178">
        <v>0.78720158441280375</v>
      </c>
      <c r="AD126" s="178">
        <v>0.78763096700023516</v>
      </c>
      <c r="AE126" s="178">
        <v>0.78746145940390544</v>
      </c>
      <c r="AF126" s="178">
        <v>0.78723027944817825</v>
      </c>
      <c r="AG126" s="178">
        <v>0.786744803953217</v>
      </c>
      <c r="AH126" s="178">
        <v>0.78634065316690682</v>
      </c>
      <c r="AI126" s="178">
        <v>0.78526736294941524</v>
      </c>
      <c r="AJ126" s="178">
        <v>0.78441564606474889</v>
      </c>
      <c r="AK126" s="178">
        <v>0.78314833028897946</v>
      </c>
      <c r="AL126" s="178">
        <v>0.78227912458690574</v>
      </c>
      <c r="AM126" s="178">
        <v>0.78136118967247514</v>
      </c>
      <c r="AN126" s="178">
        <v>0.77969199835488734</v>
      </c>
      <c r="AO126" s="178">
        <v>0.7779940908362154</v>
      </c>
      <c r="AP126" s="178">
        <v>0.77680555237418969</v>
      </c>
      <c r="AQ126" s="178">
        <v>0.77556115437471373</v>
      </c>
      <c r="AR126" s="178">
        <v>0.77463338747683652</v>
      </c>
      <c r="AS126" s="178">
        <v>0.77370379671696998</v>
      </c>
      <c r="AT126" s="178">
        <v>0.7731937649334395</v>
      </c>
      <c r="AU126" s="178">
        <v>0.77189012367807852</v>
      </c>
      <c r="AV126" s="178">
        <v>0.77077496635856257</v>
      </c>
      <c r="AW126" s="178">
        <v>0.76956852516030871</v>
      </c>
      <c r="AX126" s="178">
        <v>0.76846974174482852</v>
      </c>
      <c r="AY126" s="178">
        <v>0.76734469952734641</v>
      </c>
      <c r="AZ126" s="178">
        <v>0.76575584415584419</v>
      </c>
      <c r="BA126" s="178">
        <v>0.76415576974236188</v>
      </c>
      <c r="BB126" s="178">
        <v>0.76264591439688711</v>
      </c>
      <c r="BC126" s="178">
        <v>0.7610647596344855</v>
      </c>
      <c r="BD126" s="178">
        <v>0.75965623225856971</v>
      </c>
      <c r="BE126" s="178">
        <v>0.75802840821367923</v>
      </c>
      <c r="BF126" s="178">
        <v>0.75646051379638435</v>
      </c>
      <c r="BG126" s="178">
        <v>0.75484657971286473</v>
      </c>
      <c r="BH126" s="178">
        <v>0.75342364349692792</v>
      </c>
      <c r="BI126" s="178">
        <v>0.75194902411860287</v>
      </c>
      <c r="BJ126" s="178">
        <v>0.75058552228587905</v>
      </c>
      <c r="BK126" s="178">
        <v>0.74914657563473441</v>
      </c>
      <c r="BL126" s="178">
        <v>0.74783280103885164</v>
      </c>
      <c r="BM126" s="178">
        <v>0.74648302148302148</v>
      </c>
    </row>
    <row r="127" spans="1:65" s="61" customFormat="1" ht="12.75" x14ac:dyDescent="0.2">
      <c r="A127" s="51"/>
      <c r="B127" s="51"/>
      <c r="C127" s="150" t="s">
        <v>290</v>
      </c>
      <c r="D127" s="150" t="s">
        <v>301</v>
      </c>
      <c r="E127" s="150"/>
      <c r="F127" s="150" t="s">
        <v>265</v>
      </c>
      <c r="G127" s="150"/>
      <c r="H127" s="150"/>
      <c r="I127" s="150"/>
      <c r="J127" s="150"/>
      <c r="K127" s="150"/>
      <c r="L127" s="150"/>
      <c r="M127" s="150"/>
      <c r="N127" s="150"/>
      <c r="O127" s="150"/>
      <c r="P127" s="150"/>
      <c r="Q127" s="150"/>
      <c r="R127" s="150"/>
      <c r="S127" s="150"/>
      <c r="T127" s="150"/>
      <c r="U127" s="150"/>
      <c r="V127" s="150"/>
      <c r="W127" s="150"/>
      <c r="X127" s="150"/>
      <c r="Y127" s="150"/>
      <c r="Z127" s="150"/>
      <c r="AA127" s="150"/>
      <c r="AB127" s="150"/>
      <c r="AC127" s="178">
        <v>0.68177499331927904</v>
      </c>
      <c r="AD127" s="178">
        <v>0.68169164418930028</v>
      </c>
      <c r="AE127" s="178">
        <v>0.67911427240780731</v>
      </c>
      <c r="AF127" s="178">
        <v>0.688616549456319</v>
      </c>
      <c r="AG127" s="178">
        <v>0.68564004709512405</v>
      </c>
      <c r="AH127" s="178">
        <v>0.68304873521769105</v>
      </c>
      <c r="AI127" s="178">
        <v>0.68024331153776019</v>
      </c>
      <c r="AJ127" s="178">
        <v>0.67777250759547225</v>
      </c>
      <c r="AK127" s="178">
        <v>0.67589547708185771</v>
      </c>
      <c r="AL127" s="178">
        <v>0.67397051854438428</v>
      </c>
      <c r="AM127" s="178">
        <v>0.67195558783342979</v>
      </c>
      <c r="AN127" s="178">
        <v>0.66832381093715221</v>
      </c>
      <c r="AO127" s="178">
        <v>0.66429522020870391</v>
      </c>
      <c r="AP127" s="178">
        <v>0.66008744534665831</v>
      </c>
      <c r="AQ127" s="178">
        <v>0.65574284495949031</v>
      </c>
      <c r="AR127" s="178">
        <v>0.65117829867008892</v>
      </c>
      <c r="AS127" s="178">
        <v>0.6464132998650336</v>
      </c>
      <c r="AT127" s="178">
        <v>0.64777121272061355</v>
      </c>
      <c r="AU127" s="178">
        <v>0.64512932440229798</v>
      </c>
      <c r="AV127" s="178">
        <v>0.64238761793179999</v>
      </c>
      <c r="AW127" s="178">
        <v>0.63979622778822243</v>
      </c>
      <c r="AX127" s="178">
        <v>0.6373680128855217</v>
      </c>
      <c r="AY127" s="178">
        <v>0.63499518587229642</v>
      </c>
      <c r="AZ127" s="178">
        <v>0.63219571893689241</v>
      </c>
      <c r="BA127" s="178">
        <v>0.62940381711457016</v>
      </c>
      <c r="BB127" s="178">
        <v>0.6268391594329189</v>
      </c>
      <c r="BC127" s="178">
        <v>0.62423469668157883</v>
      </c>
      <c r="BD127" s="178">
        <v>0.62176081711262343</v>
      </c>
      <c r="BE127" s="178">
        <v>0.61930432003409153</v>
      </c>
      <c r="BF127" s="178">
        <v>0.61692820878613686</v>
      </c>
      <c r="BG127" s="178">
        <v>0.6146089472052898</v>
      </c>
      <c r="BH127" s="178">
        <v>0.61235977931146812</v>
      </c>
      <c r="BI127" s="178">
        <v>0.61017765249927269</v>
      </c>
      <c r="BJ127" s="178">
        <v>0.60806414933902841</v>
      </c>
      <c r="BK127" s="178">
        <v>0.60601335217581986</v>
      </c>
      <c r="BL127" s="178">
        <v>0.60404213196993872</v>
      </c>
      <c r="BM127" s="178">
        <v>0.60208520923178999</v>
      </c>
    </row>
    <row r="128" spans="1:65" s="61" customFormat="1" ht="12.75" x14ac:dyDescent="0.2">
      <c r="A128" s="51"/>
      <c r="B128" s="51"/>
      <c r="C128" s="150" t="s">
        <v>287</v>
      </c>
      <c r="D128" s="150" t="s">
        <v>303</v>
      </c>
      <c r="E128" s="150"/>
      <c r="F128" s="150" t="s">
        <v>262</v>
      </c>
      <c r="G128" s="150"/>
      <c r="H128" s="150"/>
      <c r="I128" s="150"/>
      <c r="J128" s="150"/>
      <c r="K128" s="150"/>
      <c r="L128" s="150"/>
      <c r="M128" s="150"/>
      <c r="N128" s="150"/>
      <c r="O128" s="150"/>
      <c r="P128" s="150"/>
      <c r="Q128" s="150"/>
      <c r="R128" s="150"/>
      <c r="S128" s="150"/>
      <c r="T128" s="150"/>
      <c r="U128" s="150"/>
      <c r="V128" s="150"/>
      <c r="W128" s="150"/>
      <c r="X128" s="150"/>
      <c r="Y128" s="150"/>
      <c r="Z128" s="150"/>
      <c r="AA128" s="150"/>
      <c r="AB128" s="150"/>
      <c r="AC128" s="178">
        <v>1</v>
      </c>
      <c r="AD128" s="178">
        <v>1</v>
      </c>
      <c r="AE128" s="178">
        <v>1</v>
      </c>
      <c r="AF128" s="178">
        <v>1</v>
      </c>
      <c r="AG128" s="178">
        <v>1</v>
      </c>
      <c r="AH128" s="178">
        <v>1</v>
      </c>
      <c r="AI128" s="178">
        <v>1</v>
      </c>
      <c r="AJ128" s="178">
        <v>1</v>
      </c>
      <c r="AK128" s="178">
        <v>1</v>
      </c>
      <c r="AL128" s="178">
        <v>1</v>
      </c>
      <c r="AM128" s="178">
        <v>1</v>
      </c>
      <c r="AN128" s="178">
        <v>1</v>
      </c>
      <c r="AO128" s="178">
        <v>1</v>
      </c>
      <c r="AP128" s="178">
        <v>1</v>
      </c>
      <c r="AQ128" s="178">
        <v>1</v>
      </c>
      <c r="AR128" s="178">
        <v>1</v>
      </c>
      <c r="AS128" s="178">
        <v>1</v>
      </c>
      <c r="AT128" s="178">
        <v>1</v>
      </c>
      <c r="AU128" s="178">
        <v>1</v>
      </c>
      <c r="AV128" s="178">
        <v>1</v>
      </c>
      <c r="AW128" s="178">
        <v>1</v>
      </c>
      <c r="AX128" s="178">
        <v>1</v>
      </c>
      <c r="AY128" s="178">
        <v>1</v>
      </c>
      <c r="AZ128" s="178">
        <v>1</v>
      </c>
      <c r="BA128" s="178">
        <v>1</v>
      </c>
      <c r="BB128" s="178">
        <v>1</v>
      </c>
      <c r="BC128" s="178">
        <v>1</v>
      </c>
      <c r="BD128" s="178">
        <v>1</v>
      </c>
      <c r="BE128" s="178">
        <v>1</v>
      </c>
      <c r="BF128" s="178">
        <v>1</v>
      </c>
      <c r="BG128" s="178">
        <v>1</v>
      </c>
      <c r="BH128" s="178">
        <v>1</v>
      </c>
      <c r="BI128" s="178">
        <v>1</v>
      </c>
      <c r="BJ128" s="178">
        <v>1</v>
      </c>
      <c r="BK128" s="178">
        <v>1</v>
      </c>
      <c r="BL128" s="178">
        <v>1</v>
      </c>
      <c r="BM128" s="178">
        <v>1</v>
      </c>
    </row>
    <row r="129" spans="1:65" s="61" customFormat="1" ht="12.75" x14ac:dyDescent="0.2">
      <c r="A129" s="51"/>
      <c r="B129" s="51"/>
      <c r="C129" s="150" t="s">
        <v>287</v>
      </c>
      <c r="D129" s="150" t="s">
        <v>303</v>
      </c>
      <c r="E129" s="150"/>
      <c r="F129" s="150" t="s">
        <v>265</v>
      </c>
      <c r="G129" s="150"/>
      <c r="H129" s="150"/>
      <c r="I129" s="150"/>
      <c r="J129" s="150"/>
      <c r="K129" s="150"/>
      <c r="L129" s="150"/>
      <c r="M129" s="150"/>
      <c r="N129" s="150"/>
      <c r="O129" s="150"/>
      <c r="P129" s="150"/>
      <c r="Q129" s="150"/>
      <c r="R129" s="150"/>
      <c r="S129" s="150"/>
      <c r="T129" s="150"/>
      <c r="U129" s="150"/>
      <c r="V129" s="150"/>
      <c r="W129" s="150"/>
      <c r="X129" s="150"/>
      <c r="Y129" s="150"/>
      <c r="Z129" s="150"/>
      <c r="AA129" s="150"/>
      <c r="AB129" s="150"/>
      <c r="AC129" s="178">
        <v>5.8612568247510977E-3</v>
      </c>
      <c r="AD129" s="178">
        <v>5.6959214067358191E-3</v>
      </c>
      <c r="AE129" s="178">
        <v>5.6526207605344294E-3</v>
      </c>
      <c r="AF129" s="178">
        <v>5.5839102531709539E-3</v>
      </c>
      <c r="AG129" s="178">
        <v>5.5126517841623006E-3</v>
      </c>
      <c r="AH129" s="178">
        <v>5.4471286548279148E-3</v>
      </c>
      <c r="AI129" s="178">
        <v>5.3905761178225922E-3</v>
      </c>
      <c r="AJ129" s="178">
        <v>5.3403588721162064E-3</v>
      </c>
      <c r="AK129" s="178">
        <v>5.292492154934195E-3</v>
      </c>
      <c r="AL129" s="178">
        <v>5.2228975526334032E-3</v>
      </c>
      <c r="AM129" s="178">
        <v>5.1546391752577319E-3</v>
      </c>
      <c r="AN129" s="178">
        <v>5.1866745875793997E-3</v>
      </c>
      <c r="AO129" s="178">
        <v>5.2220517166349832E-3</v>
      </c>
      <c r="AP129" s="178">
        <v>5.2454360125523975E-3</v>
      </c>
      <c r="AQ129" s="178">
        <v>5.267979844251031E-3</v>
      </c>
      <c r="AR129" s="178">
        <v>5.2847109423257302E-3</v>
      </c>
      <c r="AS129" s="178">
        <v>5.2966827241387182E-3</v>
      </c>
      <c r="AT129" s="178">
        <v>5.3020821481397197E-3</v>
      </c>
      <c r="AU129" s="178">
        <v>5.2204696182111491E-3</v>
      </c>
      <c r="AV129" s="178">
        <v>5.1399704396549823E-3</v>
      </c>
      <c r="AW129" s="178">
        <v>5.0864036517769811E-3</v>
      </c>
      <c r="AX129" s="178">
        <v>5.0109212385969423E-3</v>
      </c>
      <c r="AY129" s="178">
        <v>4.9586428089128968E-3</v>
      </c>
      <c r="AZ129" s="178">
        <v>4.8831168831168833E-3</v>
      </c>
      <c r="BA129" s="178">
        <v>4.8294349970327624E-3</v>
      </c>
      <c r="BB129" s="178">
        <v>4.7579685893429568E-3</v>
      </c>
      <c r="BC129" s="178">
        <v>4.6881207787048077E-3</v>
      </c>
      <c r="BD129" s="178">
        <v>4.6396899042696893E-3</v>
      </c>
      <c r="BE129" s="178">
        <v>4.5738767948124131E-3</v>
      </c>
      <c r="BF129" s="178">
        <v>4.5099904852521407E-3</v>
      </c>
      <c r="BG129" s="178">
        <v>4.4665478089518625E-3</v>
      </c>
      <c r="BH129" s="178">
        <v>4.4044710933451772E-3</v>
      </c>
      <c r="BI129" s="178">
        <v>4.345365248032718E-3</v>
      </c>
      <c r="BJ129" s="178">
        <v>4.3058408100025225E-3</v>
      </c>
      <c r="BK129" s="178">
        <v>4.2493421520517745E-3</v>
      </c>
      <c r="BL129" s="178">
        <v>4.1940125644895241E-3</v>
      </c>
      <c r="BM129" s="178">
        <v>4.1580041580041582E-3</v>
      </c>
    </row>
    <row r="130" spans="1:65" s="61" customFormat="1" ht="12.75" x14ac:dyDescent="0.2">
      <c r="A130" s="51"/>
      <c r="B130" s="51"/>
      <c r="C130" s="150" t="s">
        <v>290</v>
      </c>
      <c r="D130" s="150" t="s">
        <v>303</v>
      </c>
      <c r="E130" s="150"/>
      <c r="F130" s="150" t="s">
        <v>265</v>
      </c>
      <c r="G130" s="150"/>
      <c r="H130" s="150"/>
      <c r="I130" s="150"/>
      <c r="J130" s="150"/>
      <c r="K130" s="150"/>
      <c r="L130" s="150"/>
      <c r="M130" s="150"/>
      <c r="N130" s="150"/>
      <c r="O130" s="150"/>
      <c r="P130" s="150"/>
      <c r="Q130" s="150"/>
      <c r="R130" s="150"/>
      <c r="S130" s="150"/>
      <c r="T130" s="150"/>
      <c r="U130" s="150"/>
      <c r="V130" s="150"/>
      <c r="W130" s="150"/>
      <c r="X130" s="150"/>
      <c r="Y130" s="150"/>
      <c r="Z130" s="150"/>
      <c r="AA130" s="150"/>
      <c r="AB130" s="150"/>
      <c r="AC130" s="178">
        <v>3.7738650197452421E-2</v>
      </c>
      <c r="AD130" s="178">
        <v>3.6665753148033289E-2</v>
      </c>
      <c r="AE130" s="178">
        <v>3.5903298192133455E-2</v>
      </c>
      <c r="AF130" s="178">
        <v>3.5273636652527737E-2</v>
      </c>
      <c r="AG130" s="178">
        <v>3.4671755105355043E-2</v>
      </c>
      <c r="AH130" s="178">
        <v>3.4125258524685793E-2</v>
      </c>
      <c r="AI130" s="178">
        <v>3.3631177221455179E-2</v>
      </c>
      <c r="AJ130" s="178">
        <v>3.3202148525132362E-2</v>
      </c>
      <c r="AK130" s="178">
        <v>3.2897399575027825E-2</v>
      </c>
      <c r="AL130" s="178">
        <v>3.2511909809692464E-2</v>
      </c>
      <c r="AM130" s="178">
        <v>3.2102807764743536E-2</v>
      </c>
      <c r="AN130" s="178">
        <v>3.2301946526180403E-2</v>
      </c>
      <c r="AO130" s="178">
        <v>3.2574221713660277E-2</v>
      </c>
      <c r="AP130" s="178">
        <v>3.2816989381636477E-2</v>
      </c>
      <c r="AQ130" s="178">
        <v>3.2984674041186948E-2</v>
      </c>
      <c r="AR130" s="178">
        <v>3.3165993532882902E-2</v>
      </c>
      <c r="AS130" s="178">
        <v>3.3401026753616975E-2</v>
      </c>
      <c r="AT130" s="178">
        <v>3.3881650310741314E-2</v>
      </c>
      <c r="AU130" s="178">
        <v>3.3428664609518079E-2</v>
      </c>
      <c r="AV130" s="178">
        <v>3.2891410248504657E-2</v>
      </c>
      <c r="AW130" s="178">
        <v>3.2458002304566684E-2</v>
      </c>
      <c r="AX130" s="178">
        <v>3.2034838632702976E-2</v>
      </c>
      <c r="AY130" s="178">
        <v>8.8016344550642278E-2</v>
      </c>
      <c r="AZ130" s="178">
        <v>8.7179901632530532E-2</v>
      </c>
      <c r="BA130" s="178">
        <v>8.6390317563041427E-2</v>
      </c>
      <c r="BB130" s="178">
        <v>8.5542559015093111E-2</v>
      </c>
      <c r="BC130" s="178">
        <v>8.4790661375952162E-2</v>
      </c>
      <c r="BD130" s="178">
        <v>8.4080802397671572E-2</v>
      </c>
      <c r="BE130" s="178">
        <v>8.3321791935226125E-2</v>
      </c>
      <c r="BF130" s="178">
        <v>8.2648009063063813E-2</v>
      </c>
      <c r="BG130" s="178">
        <v>8.1991941316251676E-2</v>
      </c>
      <c r="BH130" s="178">
        <v>8.1322909668356438E-2</v>
      </c>
      <c r="BI130" s="178">
        <v>8.0680917653903644E-2</v>
      </c>
      <c r="BJ130" s="178">
        <v>8.0117462106605766E-2</v>
      </c>
      <c r="BK130" s="178">
        <v>7.9518541981384916E-2</v>
      </c>
      <c r="BL130" s="178">
        <v>7.894939166202164E-2</v>
      </c>
      <c r="BM130" s="178">
        <v>7.836595422017914E-2</v>
      </c>
    </row>
    <row r="131" spans="1:65" s="61" customFormat="1" ht="12.75" x14ac:dyDescent="0.2">
      <c r="A131" s="51"/>
      <c r="B131" s="51"/>
      <c r="C131" s="150" t="s">
        <v>283</v>
      </c>
      <c r="D131" s="150" t="s">
        <v>310</v>
      </c>
      <c r="E131" s="150"/>
      <c r="F131" s="150" t="s">
        <v>262</v>
      </c>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78">
        <v>1</v>
      </c>
      <c r="AD131" s="178">
        <v>1</v>
      </c>
      <c r="AE131" s="178">
        <v>1</v>
      </c>
      <c r="AF131" s="178">
        <v>1</v>
      </c>
      <c r="AG131" s="178">
        <v>1</v>
      </c>
      <c r="AH131" s="178">
        <v>1</v>
      </c>
      <c r="AI131" s="178">
        <v>1</v>
      </c>
      <c r="AJ131" s="178">
        <v>1</v>
      </c>
      <c r="AK131" s="178">
        <v>1</v>
      </c>
      <c r="AL131" s="178">
        <v>1</v>
      </c>
      <c r="AM131" s="178">
        <v>1</v>
      </c>
      <c r="AN131" s="178">
        <v>1</v>
      </c>
      <c r="AO131" s="178">
        <v>1</v>
      </c>
      <c r="AP131" s="178">
        <v>1</v>
      </c>
      <c r="AQ131" s="178">
        <v>1</v>
      </c>
      <c r="AR131" s="178">
        <v>1</v>
      </c>
      <c r="AS131" s="178">
        <v>1</v>
      </c>
      <c r="AT131" s="178">
        <v>1</v>
      </c>
      <c r="AU131" s="178">
        <v>1</v>
      </c>
      <c r="AV131" s="178">
        <v>1</v>
      </c>
      <c r="AW131" s="178">
        <v>1</v>
      </c>
      <c r="AX131" s="178">
        <v>1</v>
      </c>
      <c r="AY131" s="178">
        <v>1</v>
      </c>
      <c r="AZ131" s="178">
        <v>1</v>
      </c>
      <c r="BA131" s="178">
        <v>1</v>
      </c>
      <c r="BB131" s="178">
        <v>1</v>
      </c>
      <c r="BC131" s="178">
        <v>1</v>
      </c>
      <c r="BD131" s="178">
        <v>1</v>
      </c>
      <c r="BE131" s="178">
        <v>1</v>
      </c>
      <c r="BF131" s="178">
        <v>1</v>
      </c>
      <c r="BG131" s="178">
        <v>1</v>
      </c>
      <c r="BH131" s="178">
        <v>1</v>
      </c>
      <c r="BI131" s="178">
        <v>1</v>
      </c>
      <c r="BJ131" s="178">
        <v>1</v>
      </c>
      <c r="BK131" s="178">
        <v>1</v>
      </c>
      <c r="BL131" s="178">
        <v>1</v>
      </c>
      <c r="BM131" s="178">
        <v>1</v>
      </c>
    </row>
    <row r="132" spans="1:65" s="61" customFormat="1" ht="12.75" x14ac:dyDescent="0.2">
      <c r="A132" s="51"/>
      <c r="B132" s="51"/>
      <c r="C132" s="150" t="s">
        <v>312</v>
      </c>
      <c r="D132" s="150" t="s">
        <v>310</v>
      </c>
      <c r="E132" s="150"/>
      <c r="F132" s="150" t="s">
        <v>262</v>
      </c>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78">
        <v>1</v>
      </c>
      <c r="AD132" s="178">
        <v>1</v>
      </c>
      <c r="AE132" s="178">
        <v>1</v>
      </c>
      <c r="AF132" s="178">
        <v>1</v>
      </c>
      <c r="AG132" s="178">
        <v>1</v>
      </c>
      <c r="AH132" s="178">
        <v>1</v>
      </c>
      <c r="AI132" s="178">
        <v>1</v>
      </c>
      <c r="AJ132" s="178">
        <v>1</v>
      </c>
      <c r="AK132" s="178">
        <v>1</v>
      </c>
      <c r="AL132" s="178">
        <v>1</v>
      </c>
      <c r="AM132" s="178">
        <v>1</v>
      </c>
      <c r="AN132" s="178">
        <v>1</v>
      </c>
      <c r="AO132" s="178">
        <v>1</v>
      </c>
      <c r="AP132" s="178">
        <v>1</v>
      </c>
      <c r="AQ132" s="178">
        <v>1</v>
      </c>
      <c r="AR132" s="178">
        <v>1</v>
      </c>
      <c r="AS132" s="178">
        <v>1</v>
      </c>
      <c r="AT132" s="178">
        <v>1</v>
      </c>
      <c r="AU132" s="178">
        <v>1</v>
      </c>
      <c r="AV132" s="178">
        <v>1</v>
      </c>
      <c r="AW132" s="178">
        <v>1</v>
      </c>
      <c r="AX132" s="178">
        <v>1</v>
      </c>
      <c r="AY132" s="178">
        <v>1</v>
      </c>
      <c r="AZ132" s="178">
        <v>1</v>
      </c>
      <c r="BA132" s="178">
        <v>1</v>
      </c>
      <c r="BB132" s="178">
        <v>1</v>
      </c>
      <c r="BC132" s="178">
        <v>1</v>
      </c>
      <c r="BD132" s="178">
        <v>1</v>
      </c>
      <c r="BE132" s="178">
        <v>1</v>
      </c>
      <c r="BF132" s="178">
        <v>1</v>
      </c>
      <c r="BG132" s="178">
        <v>1</v>
      </c>
      <c r="BH132" s="178">
        <v>1</v>
      </c>
      <c r="BI132" s="178">
        <v>1</v>
      </c>
      <c r="BJ132" s="178">
        <v>1</v>
      </c>
      <c r="BK132" s="178">
        <v>1</v>
      </c>
      <c r="BL132" s="178">
        <v>1</v>
      </c>
      <c r="BM132" s="178">
        <v>1</v>
      </c>
    </row>
    <row r="133" spans="1:65" s="61" customFormat="1" ht="12.75" x14ac:dyDescent="0.2">
      <c r="A133" s="51"/>
      <c r="B133" s="51"/>
      <c r="C133" s="150" t="s">
        <v>283</v>
      </c>
      <c r="D133" s="150" t="s">
        <v>310</v>
      </c>
      <c r="E133" s="150"/>
      <c r="F133" s="150" t="s">
        <v>265</v>
      </c>
      <c r="G133" s="150"/>
      <c r="H133" s="150"/>
      <c r="I133" s="150"/>
      <c r="J133" s="150"/>
      <c r="K133" s="150"/>
      <c r="L133" s="150"/>
      <c r="M133" s="150"/>
      <c r="N133" s="150"/>
      <c r="O133" s="150"/>
      <c r="P133" s="150"/>
      <c r="Q133" s="150"/>
      <c r="R133" s="150"/>
      <c r="S133" s="150"/>
      <c r="T133" s="150"/>
      <c r="U133" s="150"/>
      <c r="V133" s="150"/>
      <c r="W133" s="150"/>
      <c r="X133" s="150"/>
      <c r="Y133" s="150"/>
      <c r="Z133" s="150"/>
      <c r="AA133" s="150"/>
      <c r="AB133" s="150"/>
      <c r="AC133" s="178">
        <v>0</v>
      </c>
      <c r="AD133" s="178">
        <v>0</v>
      </c>
      <c r="AE133" s="178">
        <v>0</v>
      </c>
      <c r="AF133" s="178">
        <v>0</v>
      </c>
      <c r="AG133" s="178">
        <v>0</v>
      </c>
      <c r="AH133" s="178">
        <v>0</v>
      </c>
      <c r="AI133" s="178">
        <v>0</v>
      </c>
      <c r="AJ133" s="178">
        <v>0</v>
      </c>
      <c r="AK133" s="178">
        <v>0</v>
      </c>
      <c r="AL133" s="178">
        <v>0</v>
      </c>
      <c r="AM133" s="178">
        <v>0</v>
      </c>
      <c r="AN133" s="178">
        <v>0</v>
      </c>
      <c r="AO133" s="178">
        <v>0</v>
      </c>
      <c r="AP133" s="178">
        <v>0</v>
      </c>
      <c r="AQ133" s="178">
        <v>0</v>
      </c>
      <c r="AR133" s="178">
        <v>0</v>
      </c>
      <c r="AS133" s="178">
        <v>0</v>
      </c>
      <c r="AT133" s="178">
        <v>0</v>
      </c>
      <c r="AU133" s="178">
        <v>0</v>
      </c>
      <c r="AV133" s="178">
        <v>0</v>
      </c>
      <c r="AW133" s="178">
        <v>0</v>
      </c>
      <c r="AX133" s="178">
        <v>0</v>
      </c>
      <c r="AY133" s="178">
        <v>0</v>
      </c>
      <c r="AZ133" s="178">
        <v>0</v>
      </c>
      <c r="BA133" s="178">
        <v>0</v>
      </c>
      <c r="BB133" s="178">
        <v>0</v>
      </c>
      <c r="BC133" s="178">
        <v>0</v>
      </c>
      <c r="BD133" s="178">
        <v>0</v>
      </c>
      <c r="BE133" s="178">
        <v>0</v>
      </c>
      <c r="BF133" s="178">
        <v>0</v>
      </c>
      <c r="BG133" s="178">
        <v>0</v>
      </c>
      <c r="BH133" s="178">
        <v>0</v>
      </c>
      <c r="BI133" s="178">
        <v>0</v>
      </c>
      <c r="BJ133" s="178">
        <v>0</v>
      </c>
      <c r="BK133" s="178">
        <v>0</v>
      </c>
      <c r="BL133" s="178">
        <v>0</v>
      </c>
      <c r="BM133" s="178">
        <v>0</v>
      </c>
    </row>
    <row r="134" spans="1:65" s="61" customFormat="1" ht="12.75" x14ac:dyDescent="0.2">
      <c r="A134" s="51"/>
      <c r="B134" s="51"/>
      <c r="C134" s="150" t="s">
        <v>312</v>
      </c>
      <c r="D134" s="150" t="s">
        <v>310</v>
      </c>
      <c r="E134" s="150"/>
      <c r="F134" s="150" t="s">
        <v>265</v>
      </c>
      <c r="G134" s="150"/>
      <c r="H134" s="150"/>
      <c r="I134" s="150"/>
      <c r="J134" s="150"/>
      <c r="K134" s="150"/>
      <c r="L134" s="150"/>
      <c r="M134" s="150"/>
      <c r="N134" s="150"/>
      <c r="O134" s="150"/>
      <c r="P134" s="150"/>
      <c r="Q134" s="150"/>
      <c r="R134" s="150"/>
      <c r="S134" s="150"/>
      <c r="T134" s="150"/>
      <c r="U134" s="150"/>
      <c r="V134" s="150"/>
      <c r="W134" s="150"/>
      <c r="X134" s="150"/>
      <c r="Y134" s="150"/>
      <c r="Z134" s="150"/>
      <c r="AA134" s="150"/>
      <c r="AB134" s="150"/>
      <c r="AC134" s="178">
        <v>0</v>
      </c>
      <c r="AD134" s="178">
        <v>0</v>
      </c>
      <c r="AE134" s="178">
        <v>0</v>
      </c>
      <c r="AF134" s="178">
        <v>0</v>
      </c>
      <c r="AG134" s="178">
        <v>0</v>
      </c>
      <c r="AH134" s="178">
        <v>0</v>
      </c>
      <c r="AI134" s="178">
        <v>0</v>
      </c>
      <c r="AJ134" s="178">
        <v>0</v>
      </c>
      <c r="AK134" s="178">
        <v>0</v>
      </c>
      <c r="AL134" s="178">
        <v>0</v>
      </c>
      <c r="AM134" s="178">
        <v>0</v>
      </c>
      <c r="AN134" s="178">
        <v>0</v>
      </c>
      <c r="AO134" s="178">
        <v>0</v>
      </c>
      <c r="AP134" s="178">
        <v>0</v>
      </c>
      <c r="AQ134" s="178">
        <v>0</v>
      </c>
      <c r="AR134" s="178">
        <v>0</v>
      </c>
      <c r="AS134" s="178">
        <v>0</v>
      </c>
      <c r="AT134" s="178">
        <v>0</v>
      </c>
      <c r="AU134" s="178">
        <v>0</v>
      </c>
      <c r="AV134" s="178">
        <v>0</v>
      </c>
      <c r="AW134" s="178">
        <v>0</v>
      </c>
      <c r="AX134" s="178">
        <v>0</v>
      </c>
      <c r="AY134" s="178">
        <v>0</v>
      </c>
      <c r="AZ134" s="178">
        <v>0</v>
      </c>
      <c r="BA134" s="178">
        <v>0</v>
      </c>
      <c r="BB134" s="178">
        <v>0</v>
      </c>
      <c r="BC134" s="178">
        <v>0</v>
      </c>
      <c r="BD134" s="178">
        <v>0</v>
      </c>
      <c r="BE134" s="178">
        <v>0</v>
      </c>
      <c r="BF134" s="178">
        <v>0</v>
      </c>
      <c r="BG134" s="178">
        <v>0</v>
      </c>
      <c r="BH134" s="178">
        <v>0</v>
      </c>
      <c r="BI134" s="178">
        <v>0</v>
      </c>
      <c r="BJ134" s="178">
        <v>0</v>
      </c>
      <c r="BK134" s="178">
        <v>0</v>
      </c>
      <c r="BL134" s="178">
        <v>0</v>
      </c>
      <c r="BM134" s="178">
        <v>0</v>
      </c>
    </row>
    <row r="135" spans="1:65" s="61" customFormat="1" ht="12.75" x14ac:dyDescent="0.2">
      <c r="A135" s="150"/>
      <c r="B135" s="150"/>
      <c r="C135" s="150"/>
      <c r="D135" s="150"/>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0"/>
      <c r="BC135" s="150"/>
      <c r="BD135" s="150"/>
      <c r="BE135" s="150"/>
      <c r="BF135" s="150"/>
      <c r="BG135" s="150"/>
      <c r="BH135" s="150"/>
      <c r="BI135" s="150"/>
      <c r="BJ135" s="150"/>
      <c r="BK135" s="150"/>
      <c r="BL135" s="150"/>
      <c r="BM135" s="150"/>
    </row>
    <row r="136" spans="1:65" s="61" customFormat="1" ht="12.75" x14ac:dyDescent="0.2">
      <c r="A136" s="150"/>
      <c r="B136" s="150"/>
      <c r="C136" s="150"/>
      <c r="D136" s="150"/>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c r="AA136" s="150"/>
      <c r="AB136" s="150"/>
      <c r="AC136" s="150"/>
      <c r="AD136" s="150"/>
      <c r="AE136" s="150"/>
      <c r="AF136" s="150"/>
      <c r="AG136" s="150"/>
      <c r="AH136" s="150"/>
      <c r="AI136" s="150"/>
      <c r="AJ136" s="150"/>
      <c r="AK136" s="150"/>
      <c r="AL136" s="150"/>
      <c r="AM136" s="150"/>
      <c r="AN136" s="150"/>
      <c r="AO136" s="150"/>
      <c r="AP136" s="150"/>
      <c r="AQ136" s="150"/>
      <c r="AR136" s="150"/>
      <c r="AS136" s="150"/>
      <c r="AT136" s="150"/>
      <c r="AU136" s="150"/>
      <c r="AV136" s="150"/>
      <c r="AW136" s="150"/>
      <c r="AX136" s="150"/>
      <c r="AY136" s="150"/>
      <c r="AZ136" s="150"/>
      <c r="BA136" s="150"/>
      <c r="BB136" s="150"/>
      <c r="BC136" s="150"/>
      <c r="BD136" s="150"/>
      <c r="BE136" s="150"/>
      <c r="BF136" s="150"/>
      <c r="BG136" s="150"/>
      <c r="BH136" s="150"/>
      <c r="BI136" s="150"/>
      <c r="BJ136" s="150"/>
      <c r="BK136" s="150"/>
      <c r="BL136" s="150"/>
      <c r="BM136" s="150"/>
    </row>
    <row r="137" spans="1:65" s="61" customFormat="1" ht="12.75" x14ac:dyDescent="0.2">
      <c r="A137" s="150"/>
      <c r="B137" s="150"/>
      <c r="C137" s="64" t="s">
        <v>519</v>
      </c>
      <c r="D137" s="150"/>
      <c r="E137" s="150"/>
      <c r="F137" s="150"/>
      <c r="G137" s="150"/>
      <c r="H137" s="150"/>
      <c r="I137" s="150"/>
      <c r="J137" s="150"/>
      <c r="K137" s="150"/>
      <c r="L137" s="150"/>
      <c r="M137" s="150"/>
      <c r="N137" s="150"/>
      <c r="O137" s="150"/>
      <c r="P137" s="150"/>
      <c r="Q137" s="150"/>
      <c r="R137" s="150"/>
      <c r="S137" s="150"/>
      <c r="T137" s="150"/>
      <c r="U137" s="150"/>
      <c r="V137" s="150"/>
      <c r="W137" s="150"/>
      <c r="X137" s="150"/>
      <c r="Y137" s="150"/>
      <c r="Z137" s="150"/>
      <c r="AA137" s="150"/>
      <c r="AB137" s="150"/>
      <c r="AC137" s="150"/>
      <c r="AD137" s="150"/>
      <c r="AE137" s="150"/>
      <c r="AF137" s="150"/>
      <c r="AG137" s="150"/>
      <c r="AH137" s="150"/>
      <c r="AI137" s="150"/>
      <c r="AJ137" s="150"/>
      <c r="AK137" s="150"/>
      <c r="AL137" s="150"/>
      <c r="AM137" s="150"/>
      <c r="AN137" s="150"/>
      <c r="AO137" s="150"/>
      <c r="AP137" s="150"/>
      <c r="AQ137" s="150"/>
      <c r="AR137" s="150"/>
      <c r="AS137" s="150"/>
      <c r="AT137" s="150"/>
      <c r="AU137" s="150"/>
      <c r="AV137" s="150"/>
      <c r="AW137" s="150"/>
      <c r="AX137" s="150"/>
      <c r="AY137" s="150"/>
      <c r="AZ137" s="150"/>
      <c r="BA137" s="150"/>
      <c r="BB137" s="150"/>
      <c r="BC137" s="150"/>
      <c r="BD137" s="150"/>
      <c r="BE137" s="150"/>
      <c r="BF137" s="150"/>
      <c r="BG137" s="150"/>
      <c r="BH137" s="150"/>
      <c r="BI137" s="150"/>
      <c r="BJ137" s="150"/>
      <c r="BK137" s="150"/>
      <c r="BL137" s="150"/>
      <c r="BM137" s="150"/>
    </row>
    <row r="138" spans="1:65" s="61" customFormat="1" ht="12.75" x14ac:dyDescent="0.2">
      <c r="A138" s="51"/>
      <c r="B138" s="51"/>
      <c r="C138" s="150" t="str">
        <f>C125</f>
        <v>Standard</v>
      </c>
      <c r="D138" s="150" t="str">
        <f t="shared" ref="D138:F138" si="99">D125</f>
        <v>Water</v>
      </c>
      <c r="E138" s="150"/>
      <c r="F138" s="150" t="str">
        <f t="shared" si="99"/>
        <v>Central</v>
      </c>
      <c r="G138" s="150"/>
      <c r="H138" s="150"/>
      <c r="I138" s="150"/>
      <c r="J138" s="150"/>
      <c r="K138" s="150"/>
      <c r="L138" s="150"/>
      <c r="M138" s="150"/>
      <c r="N138" s="150"/>
      <c r="O138" s="150"/>
      <c r="P138" s="150"/>
      <c r="Q138" s="150"/>
      <c r="R138" s="150"/>
      <c r="S138" s="150"/>
      <c r="T138" s="150"/>
      <c r="U138" s="150"/>
      <c r="V138" s="150"/>
      <c r="W138" s="150"/>
      <c r="X138" s="150"/>
      <c r="Y138" s="150"/>
      <c r="Z138" s="150"/>
      <c r="AA138" s="150"/>
      <c r="AB138" s="150"/>
      <c r="AC138" s="177">
        <f t="shared" ref="AC138:BM144" si="100">SUMIFS(AC$12:AC$59,$C$12:$C$59,$C138,$D$12:$D$59,$D138,$F$12:$F$59,$F138)*AC125</f>
        <v>541931.1784396735</v>
      </c>
      <c r="AD138" s="177">
        <f t="shared" si="100"/>
        <v>555740.103888351</v>
      </c>
      <c r="AE138" s="177">
        <f t="shared" si="100"/>
        <v>570153.03126827651</v>
      </c>
      <c r="AF138" s="177">
        <f t="shared" si="100"/>
        <v>582426.37246275321</v>
      </c>
      <c r="AG138" s="177">
        <f t="shared" si="100"/>
        <v>594713.50994321238</v>
      </c>
      <c r="AH138" s="177">
        <f t="shared" si="100"/>
        <v>606744.64297669998</v>
      </c>
      <c r="AI138" s="177">
        <f t="shared" si="100"/>
        <v>618509.57783544401</v>
      </c>
      <c r="AJ138" s="177">
        <f t="shared" si="100"/>
        <v>630266.17110919952</v>
      </c>
      <c r="AK138" s="177">
        <f t="shared" si="100"/>
        <v>642403.94115154375</v>
      </c>
      <c r="AL138" s="177">
        <f t="shared" si="100"/>
        <v>654831.08803563181</v>
      </c>
      <c r="AM138" s="177">
        <f t="shared" si="100"/>
        <v>667595.68786877557</v>
      </c>
      <c r="AN138" s="177">
        <f t="shared" si="100"/>
        <v>680635.09749168833</v>
      </c>
      <c r="AO138" s="177">
        <f t="shared" si="100"/>
        <v>693911.6093401179</v>
      </c>
      <c r="AP138" s="177">
        <f t="shared" si="100"/>
        <v>707406.74771104753</v>
      </c>
      <c r="AQ138" s="177">
        <f t="shared" si="100"/>
        <v>720995.60391015443</v>
      </c>
      <c r="AR138" s="177">
        <f t="shared" si="100"/>
        <v>734676.5875476778</v>
      </c>
      <c r="AS138" s="177">
        <f t="shared" si="100"/>
        <v>748392.07148963737</v>
      </c>
      <c r="AT138" s="177">
        <f t="shared" si="100"/>
        <v>762120.33191674133</v>
      </c>
      <c r="AU138" s="177">
        <f t="shared" si="100"/>
        <v>775724.54861662386</v>
      </c>
      <c r="AV138" s="177">
        <f t="shared" si="100"/>
        <v>789269.2779898569</v>
      </c>
      <c r="AW138" s="177">
        <f t="shared" si="100"/>
        <v>802788.21595737454</v>
      </c>
      <c r="AX138" s="177">
        <f t="shared" si="100"/>
        <v>816265.0197647817</v>
      </c>
      <c r="AY138" s="177">
        <f t="shared" si="100"/>
        <v>829741.74915309704</v>
      </c>
      <c r="AZ138" s="177">
        <f t="shared" si="100"/>
        <v>842953.43197488203</v>
      </c>
      <c r="BA138" s="177">
        <f t="shared" si="100"/>
        <v>856215.16074370255</v>
      </c>
      <c r="BB138" s="177">
        <f t="shared" si="100"/>
        <v>869596.42155036295</v>
      </c>
      <c r="BC138" s="177">
        <f t="shared" si="100"/>
        <v>883051.35724136373</v>
      </c>
      <c r="BD138" s="177">
        <f t="shared" si="100"/>
        <v>896611.63809744618</v>
      </c>
      <c r="BE138" s="177">
        <f t="shared" si="100"/>
        <v>910741.13195829699</v>
      </c>
      <c r="BF138" s="177">
        <f t="shared" si="100"/>
        <v>924861.65842174122</v>
      </c>
      <c r="BG138" s="177">
        <f t="shared" si="100"/>
        <v>938793.73721856484</v>
      </c>
      <c r="BH138" s="177">
        <f t="shared" si="100"/>
        <v>952495.01939509483</v>
      </c>
      <c r="BI138" s="177">
        <f t="shared" si="100"/>
        <v>966163.67716428952</v>
      </c>
      <c r="BJ138" s="177">
        <f t="shared" si="100"/>
        <v>979667.52665246942</v>
      </c>
      <c r="BK138" s="177">
        <f t="shared" si="100"/>
        <v>993295.6858657829</v>
      </c>
      <c r="BL138" s="177">
        <f t="shared" si="100"/>
        <v>1007081.1321380943</v>
      </c>
      <c r="BM138" s="177">
        <f t="shared" si="100"/>
        <v>1020996.9097114869</v>
      </c>
    </row>
    <row r="139" spans="1:65" s="61" customFormat="1" ht="12.75" x14ac:dyDescent="0.2">
      <c r="A139" s="51"/>
      <c r="B139" s="51"/>
      <c r="C139" s="150" t="str">
        <f t="shared" ref="C139:F147" si="101">C126</f>
        <v>Standard</v>
      </c>
      <c r="D139" s="150" t="str">
        <f t="shared" si="101"/>
        <v>Water</v>
      </c>
      <c r="E139" s="150"/>
      <c r="F139" s="150" t="str">
        <f t="shared" si="101"/>
        <v>Western</v>
      </c>
      <c r="G139" s="150"/>
      <c r="H139" s="150"/>
      <c r="I139" s="150"/>
      <c r="J139" s="150"/>
      <c r="K139" s="150"/>
      <c r="L139" s="150"/>
      <c r="M139" s="150"/>
      <c r="N139" s="150"/>
      <c r="O139" s="150"/>
      <c r="P139" s="150"/>
      <c r="Q139" s="150"/>
      <c r="R139" s="150"/>
      <c r="S139" s="150"/>
      <c r="T139" s="150"/>
      <c r="U139" s="150"/>
      <c r="V139" s="150"/>
      <c r="W139" s="150"/>
      <c r="X139" s="150"/>
      <c r="Y139" s="150"/>
      <c r="Z139" s="150"/>
      <c r="AA139" s="150"/>
      <c r="AB139" s="150"/>
      <c r="AC139" s="177">
        <f t="shared" si="100"/>
        <v>33797.686965558416</v>
      </c>
      <c r="AD139" s="177">
        <f t="shared" si="100"/>
        <v>34367.412813596275</v>
      </c>
      <c r="AE139" s="177">
        <f t="shared" si="100"/>
        <v>35018.986914241592</v>
      </c>
      <c r="AF139" s="177">
        <f t="shared" si="100"/>
        <v>35599.3871997358</v>
      </c>
      <c r="AG139" s="177">
        <f t="shared" si="100"/>
        <v>36226.306665570475</v>
      </c>
      <c r="AH139" s="177">
        <f t="shared" si="100"/>
        <v>36974.776217113933</v>
      </c>
      <c r="AI139" s="177">
        <f t="shared" si="100"/>
        <v>37706.394689765897</v>
      </c>
      <c r="AJ139" s="177">
        <f t="shared" si="100"/>
        <v>38401.455252492247</v>
      </c>
      <c r="AK139" s="177">
        <f t="shared" si="100"/>
        <v>38978.121651877715</v>
      </c>
      <c r="AL139" s="177">
        <f t="shared" si="100"/>
        <v>39508.183976083979</v>
      </c>
      <c r="AM139" s="177">
        <f t="shared" si="100"/>
        <v>39998.102969678854</v>
      </c>
      <c r="AN139" s="177">
        <f t="shared" si="100"/>
        <v>40464.774682206771</v>
      </c>
      <c r="AO139" s="177">
        <f t="shared" si="100"/>
        <v>40911.279221074459</v>
      </c>
      <c r="AP139" s="177">
        <f t="shared" si="100"/>
        <v>41358.723703967131</v>
      </c>
      <c r="AQ139" s="177">
        <f t="shared" si="100"/>
        <v>41813.000013813456</v>
      </c>
      <c r="AR139" s="177">
        <f t="shared" si="100"/>
        <v>42290.243347172764</v>
      </c>
      <c r="AS139" s="177">
        <f t="shared" si="100"/>
        <v>42761.038529047444</v>
      </c>
      <c r="AT139" s="177">
        <f t="shared" si="100"/>
        <v>43298.816697930626</v>
      </c>
      <c r="AU139" s="177">
        <f t="shared" si="100"/>
        <v>43816.45384564728</v>
      </c>
      <c r="AV139" s="177">
        <f t="shared" si="100"/>
        <v>44397.464148966385</v>
      </c>
      <c r="AW139" s="177">
        <f t="shared" si="100"/>
        <v>45077.519021347274</v>
      </c>
      <c r="AX139" s="177">
        <f t="shared" si="100"/>
        <v>45872.702815321638</v>
      </c>
      <c r="AY139" s="177">
        <f t="shared" si="100"/>
        <v>46762.3946947023</v>
      </c>
      <c r="AZ139" s="177">
        <f t="shared" si="100"/>
        <v>47593.22814152277</v>
      </c>
      <c r="BA139" s="177">
        <f t="shared" si="100"/>
        <v>48380.789182205466</v>
      </c>
      <c r="BB139" s="177">
        <f t="shared" si="100"/>
        <v>49106.976037531313</v>
      </c>
      <c r="BC139" s="177">
        <f t="shared" si="100"/>
        <v>49810.744004593871</v>
      </c>
      <c r="BD139" s="177">
        <f t="shared" si="100"/>
        <v>50559.087891631127</v>
      </c>
      <c r="BE139" s="177">
        <f t="shared" si="100"/>
        <v>51301.269223622141</v>
      </c>
      <c r="BF139" s="177">
        <f t="shared" si="100"/>
        <v>52040.341005166374</v>
      </c>
      <c r="BG139" s="177">
        <f t="shared" si="100"/>
        <v>52739.900213684334</v>
      </c>
      <c r="BH139" s="177">
        <f t="shared" si="100"/>
        <v>53477.792944197732</v>
      </c>
      <c r="BI139" s="177">
        <f t="shared" si="100"/>
        <v>54261.652029243531</v>
      </c>
      <c r="BJ139" s="177">
        <f t="shared" si="100"/>
        <v>55097.937494355072</v>
      </c>
      <c r="BK139" s="177">
        <f t="shared" si="100"/>
        <v>55822.267424412414</v>
      </c>
      <c r="BL139" s="177">
        <f t="shared" si="100"/>
        <v>56522.531871044637</v>
      </c>
      <c r="BM139" s="177">
        <f t="shared" si="100"/>
        <v>57201.356216831657</v>
      </c>
    </row>
    <row r="140" spans="1:65" s="61" customFormat="1" ht="12.75" x14ac:dyDescent="0.2">
      <c r="A140" s="51"/>
      <c r="B140" s="51"/>
      <c r="C140" s="150" t="str">
        <f t="shared" si="101"/>
        <v>Western Greenfield</v>
      </c>
      <c r="D140" s="150" t="str">
        <f t="shared" si="101"/>
        <v>Water</v>
      </c>
      <c r="E140" s="150"/>
      <c r="F140" s="150" t="str">
        <f t="shared" si="101"/>
        <v>Western</v>
      </c>
      <c r="G140" s="150"/>
      <c r="H140" s="150"/>
      <c r="I140" s="150"/>
      <c r="J140" s="150"/>
      <c r="K140" s="150"/>
      <c r="L140" s="150"/>
      <c r="M140" s="150"/>
      <c r="N140" s="150"/>
      <c r="O140" s="150"/>
      <c r="P140" s="150"/>
      <c r="Q140" s="150"/>
      <c r="R140" s="150"/>
      <c r="S140" s="150"/>
      <c r="T140" s="150"/>
      <c r="U140" s="150"/>
      <c r="V140" s="150"/>
      <c r="W140" s="150"/>
      <c r="X140" s="150"/>
      <c r="Y140" s="150"/>
      <c r="Z140" s="150"/>
      <c r="AA140" s="150"/>
      <c r="AB140" s="150"/>
      <c r="AC140" s="177">
        <f t="shared" si="100"/>
        <v>34783.460067559354</v>
      </c>
      <c r="AD140" s="177">
        <f t="shared" si="100"/>
        <v>38005.073315632646</v>
      </c>
      <c r="AE140" s="177">
        <f t="shared" si="100"/>
        <v>41330.176789650017</v>
      </c>
      <c r="AF140" s="177">
        <f t="shared" si="100"/>
        <v>44923.85725159393</v>
      </c>
      <c r="AG140" s="177">
        <f t="shared" si="100"/>
        <v>47792.749517185439</v>
      </c>
      <c r="AH140" s="177">
        <f t="shared" si="100"/>
        <v>50772.639866090889</v>
      </c>
      <c r="AI140" s="177">
        <f t="shared" si="100"/>
        <v>53914.250389432375</v>
      </c>
      <c r="AJ140" s="177">
        <f t="shared" si="100"/>
        <v>56991.504420436329</v>
      </c>
      <c r="AK140" s="177">
        <f t="shared" si="100"/>
        <v>60295.696642600044</v>
      </c>
      <c r="AL140" s="177">
        <f t="shared" si="100"/>
        <v>63626.905894998294</v>
      </c>
      <c r="AM140" s="177">
        <f t="shared" si="100"/>
        <v>66942.655104682533</v>
      </c>
      <c r="AN140" s="177">
        <f t="shared" si="100"/>
        <v>70069.110116515178</v>
      </c>
      <c r="AO140" s="177">
        <f t="shared" si="100"/>
        <v>73095.427491066177</v>
      </c>
      <c r="AP140" s="177">
        <f t="shared" si="100"/>
        <v>75991.907535217862</v>
      </c>
      <c r="AQ140" s="177">
        <f t="shared" si="100"/>
        <v>78821.670383535427</v>
      </c>
      <c r="AR140" s="177">
        <f t="shared" si="100"/>
        <v>81553.577189628792</v>
      </c>
      <c r="AS140" s="177">
        <f t="shared" si="100"/>
        <v>84204.600513356127</v>
      </c>
      <c r="AT140" s="177">
        <f t="shared" si="100"/>
        <v>87602.72027420107</v>
      </c>
      <c r="AU140" s="177">
        <f t="shared" si="100"/>
        <v>90343.284332700234</v>
      </c>
      <c r="AV140" s="177">
        <f t="shared" si="100"/>
        <v>92896.133651344426</v>
      </c>
      <c r="AW140" s="177">
        <f t="shared" si="100"/>
        <v>95280.872474699951</v>
      </c>
      <c r="AX140" s="177">
        <f t="shared" si="100"/>
        <v>97537.507815225283</v>
      </c>
      <c r="AY140" s="177">
        <f t="shared" si="100"/>
        <v>99676.292406671084</v>
      </c>
      <c r="AZ140" s="177">
        <f t="shared" si="100"/>
        <v>101618.79630561984</v>
      </c>
      <c r="BA140" s="177">
        <f t="shared" si="100"/>
        <v>103534.71272570522</v>
      </c>
      <c r="BB140" s="177">
        <f t="shared" si="100"/>
        <v>105432.07225680329</v>
      </c>
      <c r="BC140" s="177">
        <f t="shared" si="100"/>
        <v>107274.93678016444</v>
      </c>
      <c r="BD140" s="177">
        <f t="shared" si="100"/>
        <v>109018.50558478734</v>
      </c>
      <c r="BE140" s="177">
        <f t="shared" si="100"/>
        <v>110458.83519866494</v>
      </c>
      <c r="BF140" s="177">
        <f t="shared" si="100"/>
        <v>111886.98530720585</v>
      </c>
      <c r="BG140" s="177">
        <f t="shared" si="100"/>
        <v>113435.31987576798</v>
      </c>
      <c r="BH140" s="177">
        <f t="shared" si="100"/>
        <v>115021.38744679048</v>
      </c>
      <c r="BI140" s="177">
        <f t="shared" si="100"/>
        <v>116481.19563753971</v>
      </c>
      <c r="BJ140" s="177">
        <f t="shared" si="100"/>
        <v>118044.77701229499</v>
      </c>
      <c r="BK140" s="177">
        <f t="shared" si="100"/>
        <v>119537.36782348606</v>
      </c>
      <c r="BL140" s="177">
        <f t="shared" si="100"/>
        <v>120894.23720997819</v>
      </c>
      <c r="BM140" s="177">
        <f t="shared" si="100"/>
        <v>122141.44610028306</v>
      </c>
    </row>
    <row r="141" spans="1:65" s="61" customFormat="1" ht="12.75" x14ac:dyDescent="0.2">
      <c r="A141" s="51"/>
      <c r="B141" s="51"/>
      <c r="C141" s="150" t="str">
        <f t="shared" si="101"/>
        <v>Standard</v>
      </c>
      <c r="D141" s="150" t="str">
        <f t="shared" si="101"/>
        <v>Sewer</v>
      </c>
      <c r="E141" s="150"/>
      <c r="F141" s="150" t="str">
        <f t="shared" si="101"/>
        <v>Central</v>
      </c>
      <c r="G141" s="150"/>
      <c r="H141" s="150"/>
      <c r="I141" s="150"/>
      <c r="J141" s="150"/>
      <c r="K141" s="150"/>
      <c r="L141" s="150"/>
      <c r="M141" s="150"/>
      <c r="N141" s="150"/>
      <c r="O141" s="150"/>
      <c r="P141" s="150"/>
      <c r="Q141" s="150"/>
      <c r="R141" s="150"/>
      <c r="S141" s="150"/>
      <c r="T141" s="150"/>
      <c r="U141" s="150"/>
      <c r="V141" s="150"/>
      <c r="W141" s="150"/>
      <c r="X141" s="150"/>
      <c r="Y141" s="150"/>
      <c r="Z141" s="150"/>
      <c r="AA141" s="150"/>
      <c r="AB141" s="150"/>
      <c r="AC141" s="177">
        <f t="shared" si="100"/>
        <v>538413.17843967408</v>
      </c>
      <c r="AD141" s="177">
        <f t="shared" si="100"/>
        <v>552222.10388835159</v>
      </c>
      <c r="AE141" s="177">
        <f t="shared" si="100"/>
        <v>566635.03126827709</v>
      </c>
      <c r="AF141" s="177">
        <f t="shared" si="100"/>
        <v>578908.3724627539</v>
      </c>
      <c r="AG141" s="177">
        <f t="shared" si="100"/>
        <v>591195.50994321308</v>
      </c>
      <c r="AH141" s="177">
        <f t="shared" si="100"/>
        <v>603226.64297670068</v>
      </c>
      <c r="AI141" s="177">
        <f t="shared" si="100"/>
        <v>614991.57783544459</v>
      </c>
      <c r="AJ141" s="177">
        <f t="shared" si="100"/>
        <v>626748.17110920011</v>
      </c>
      <c r="AK141" s="177">
        <f t="shared" si="100"/>
        <v>638885.94115154445</v>
      </c>
      <c r="AL141" s="177">
        <f t="shared" si="100"/>
        <v>651313.08803563239</v>
      </c>
      <c r="AM141" s="177">
        <f t="shared" si="100"/>
        <v>664077.68786877615</v>
      </c>
      <c r="AN141" s="177">
        <f t="shared" si="100"/>
        <v>677117.09749168891</v>
      </c>
      <c r="AO141" s="177">
        <f t="shared" si="100"/>
        <v>690393.60934011859</v>
      </c>
      <c r="AP141" s="177">
        <f t="shared" si="100"/>
        <v>703888.74771104835</v>
      </c>
      <c r="AQ141" s="177">
        <f t="shared" si="100"/>
        <v>717477.60391015501</v>
      </c>
      <c r="AR141" s="177">
        <f t="shared" si="100"/>
        <v>731158.58754767838</v>
      </c>
      <c r="AS141" s="177">
        <f t="shared" si="100"/>
        <v>744874.07148963807</v>
      </c>
      <c r="AT141" s="177">
        <f t="shared" si="100"/>
        <v>758602.33191674191</v>
      </c>
      <c r="AU141" s="177">
        <f t="shared" si="100"/>
        <v>772206.54861662444</v>
      </c>
      <c r="AV141" s="177">
        <f t="shared" si="100"/>
        <v>785751.27798985748</v>
      </c>
      <c r="AW141" s="177">
        <f t="shared" si="100"/>
        <v>799270.21595737524</v>
      </c>
      <c r="AX141" s="177">
        <f t="shared" si="100"/>
        <v>812747.01976478228</v>
      </c>
      <c r="AY141" s="177">
        <f t="shared" si="100"/>
        <v>826223.74915309786</v>
      </c>
      <c r="AZ141" s="177">
        <f t="shared" si="100"/>
        <v>839435.43197488261</v>
      </c>
      <c r="BA141" s="177">
        <f t="shared" si="100"/>
        <v>852697.16074370302</v>
      </c>
      <c r="BB141" s="177">
        <f t="shared" si="100"/>
        <v>866078.42155036377</v>
      </c>
      <c r="BC141" s="177">
        <f t="shared" si="100"/>
        <v>879533.3572413642</v>
      </c>
      <c r="BD141" s="177">
        <f t="shared" si="100"/>
        <v>893093.63809744676</v>
      </c>
      <c r="BE141" s="177">
        <f t="shared" si="100"/>
        <v>907223.13195829769</v>
      </c>
      <c r="BF141" s="177">
        <f t="shared" si="100"/>
        <v>921343.65842174157</v>
      </c>
      <c r="BG141" s="177">
        <f t="shared" si="100"/>
        <v>935275.73721856542</v>
      </c>
      <c r="BH141" s="177">
        <f t="shared" si="100"/>
        <v>948977.0193950953</v>
      </c>
      <c r="BI141" s="177">
        <f t="shared" si="100"/>
        <v>962645.67716428998</v>
      </c>
      <c r="BJ141" s="177">
        <f t="shared" si="100"/>
        <v>976149.52665247011</v>
      </c>
      <c r="BK141" s="177">
        <f t="shared" si="100"/>
        <v>989777.68586578337</v>
      </c>
      <c r="BL141" s="177">
        <f t="shared" si="100"/>
        <v>1003563.132138095</v>
      </c>
      <c r="BM141" s="177">
        <f t="shared" si="100"/>
        <v>1017478.9097114875</v>
      </c>
    </row>
    <row r="142" spans="1:65" s="61" customFormat="1" ht="12.75" x14ac:dyDescent="0.2">
      <c r="A142" s="51"/>
      <c r="B142" s="51"/>
      <c r="C142" s="150" t="str">
        <f t="shared" si="101"/>
        <v>Standard</v>
      </c>
      <c r="D142" s="150" t="str">
        <f t="shared" si="101"/>
        <v>Sewer</v>
      </c>
      <c r="E142" s="150"/>
      <c r="F142" s="150" t="str">
        <f t="shared" si="101"/>
        <v>Western</v>
      </c>
      <c r="G142" s="150"/>
      <c r="H142" s="150"/>
      <c r="I142" s="150"/>
      <c r="J142" s="150"/>
      <c r="K142" s="150"/>
      <c r="L142" s="150"/>
      <c r="M142" s="150"/>
      <c r="N142" s="150"/>
      <c r="O142" s="150"/>
      <c r="P142" s="150"/>
      <c r="Q142" s="150"/>
      <c r="R142" s="150"/>
      <c r="S142" s="150"/>
      <c r="T142" s="150"/>
      <c r="U142" s="150"/>
      <c r="V142" s="150"/>
      <c r="W142" s="150"/>
      <c r="X142" s="150"/>
      <c r="Y142" s="150"/>
      <c r="Z142" s="150"/>
      <c r="AA142" s="150"/>
      <c r="AB142" s="150"/>
      <c r="AC142" s="177">
        <f t="shared" si="100"/>
        <v>238.27740803227059</v>
      </c>
      <c r="AD142" s="177">
        <f t="shared" si="100"/>
        <v>235.54281147454509</v>
      </c>
      <c r="AE142" s="177">
        <f t="shared" si="100"/>
        <v>238.48248010679399</v>
      </c>
      <c r="AF142" s="177">
        <f t="shared" si="100"/>
        <v>239.77336809041012</v>
      </c>
      <c r="AG142" s="177">
        <f t="shared" si="100"/>
        <v>241.26012352100869</v>
      </c>
      <c r="AH142" s="177">
        <f t="shared" si="100"/>
        <v>243.70621623816044</v>
      </c>
      <c r="AI142" s="177">
        <f t="shared" si="100"/>
        <v>246.54477547688992</v>
      </c>
      <c r="AJ142" s="177">
        <f t="shared" si="100"/>
        <v>249.25848013637432</v>
      </c>
      <c r="AK142" s="177">
        <f t="shared" si="100"/>
        <v>251.34069798832246</v>
      </c>
      <c r="AL142" s="177">
        <f t="shared" si="100"/>
        <v>251.86345023933319</v>
      </c>
      <c r="AM142" s="177">
        <f t="shared" si="100"/>
        <v>252.10965866944755</v>
      </c>
      <c r="AN142" s="177">
        <f t="shared" si="100"/>
        <v>257.34929269961833</v>
      </c>
      <c r="AO142" s="177">
        <f t="shared" si="100"/>
        <v>262.69311171242111</v>
      </c>
      <c r="AP142" s="177">
        <f t="shared" si="100"/>
        <v>267.31288607603608</v>
      </c>
      <c r="AQ142" s="177">
        <f t="shared" si="100"/>
        <v>271.99743449403041</v>
      </c>
      <c r="AR142" s="177">
        <f t="shared" si="100"/>
        <v>276.45839125845191</v>
      </c>
      <c r="AS142" s="177">
        <f t="shared" si="100"/>
        <v>280.65510460079884</v>
      </c>
      <c r="AT142" s="177">
        <f t="shared" si="100"/>
        <v>284.82225067064979</v>
      </c>
      <c r="AU142" s="177">
        <f t="shared" si="100"/>
        <v>284.43275210076985</v>
      </c>
      <c r="AV142" s="177">
        <f t="shared" si="100"/>
        <v>284.34346944889984</v>
      </c>
      <c r="AW142" s="177">
        <f t="shared" si="100"/>
        <v>286.33422567658675</v>
      </c>
      <c r="AX142" s="177">
        <f t="shared" si="100"/>
        <v>287.68980708060667</v>
      </c>
      <c r="AY142" s="177">
        <f t="shared" si="100"/>
        <v>290.87160775449274</v>
      </c>
      <c r="AZ142" s="177">
        <f t="shared" si="100"/>
        <v>292.356844522681</v>
      </c>
      <c r="BA142" s="177">
        <f t="shared" si="100"/>
        <v>294.7487204709908</v>
      </c>
      <c r="BB142" s="177">
        <f t="shared" si="100"/>
        <v>295.51389450724622</v>
      </c>
      <c r="BC142" s="177">
        <f t="shared" si="100"/>
        <v>296.13802482797013</v>
      </c>
      <c r="BD142" s="177">
        <f t="shared" si="100"/>
        <v>298.21239315711466</v>
      </c>
      <c r="BE142" s="177">
        <f t="shared" si="100"/>
        <v>299.11427978406971</v>
      </c>
      <c r="BF142" s="177">
        <f t="shared" si="100"/>
        <v>299.97530431773839</v>
      </c>
      <c r="BG142" s="177">
        <f t="shared" si="100"/>
        <v>301.88216419127457</v>
      </c>
      <c r="BH142" s="177">
        <f t="shared" si="100"/>
        <v>302.58143453909372</v>
      </c>
      <c r="BI142" s="177">
        <f t="shared" si="100"/>
        <v>303.65556314176808</v>
      </c>
      <c r="BJ142" s="177">
        <f t="shared" si="100"/>
        <v>306.25549350585192</v>
      </c>
      <c r="BK142" s="177">
        <f t="shared" si="100"/>
        <v>306.94471775797558</v>
      </c>
      <c r="BL142" s="177">
        <f t="shared" si="100"/>
        <v>307.42432667166094</v>
      </c>
      <c r="BM142" s="177">
        <f t="shared" si="100"/>
        <v>309.13427696781287</v>
      </c>
    </row>
    <row r="143" spans="1:65" s="61" customFormat="1" ht="12.75" x14ac:dyDescent="0.2">
      <c r="A143" s="51"/>
      <c r="B143" s="51"/>
      <c r="C143" s="150" t="str">
        <f t="shared" si="101"/>
        <v>Western Greenfield</v>
      </c>
      <c r="D143" s="150" t="str">
        <f t="shared" si="101"/>
        <v>Sewer</v>
      </c>
      <c r="E143" s="150"/>
      <c r="F143" s="150" t="str">
        <f t="shared" si="101"/>
        <v>Western</v>
      </c>
      <c r="G143" s="150"/>
      <c r="H143" s="150"/>
      <c r="I143" s="150"/>
      <c r="J143" s="150"/>
      <c r="K143" s="150"/>
      <c r="L143" s="150"/>
      <c r="M143" s="150"/>
      <c r="N143" s="150"/>
      <c r="O143" s="150"/>
      <c r="P143" s="150"/>
      <c r="Q143" s="150"/>
      <c r="R143" s="150"/>
      <c r="S143" s="150"/>
      <c r="T143" s="150"/>
      <c r="U143" s="150"/>
      <c r="V143" s="150"/>
      <c r="W143" s="150"/>
      <c r="X143" s="150"/>
      <c r="Y143" s="150"/>
      <c r="Z143" s="150"/>
      <c r="AA143" s="150"/>
      <c r="AB143" s="150"/>
      <c r="AC143" s="177">
        <f t="shared" si="100"/>
        <v>1781.3769621879037</v>
      </c>
      <c r="AD143" s="177">
        <f t="shared" si="100"/>
        <v>1904.2407824156483</v>
      </c>
      <c r="AE143" s="177">
        <f t="shared" si="100"/>
        <v>2048.0302399144944</v>
      </c>
      <c r="AF143" s="177">
        <f t="shared" si="100"/>
        <v>2166.572156779449</v>
      </c>
      <c r="AG143" s="177">
        <f t="shared" si="100"/>
        <v>2284.4983257969643</v>
      </c>
      <c r="AH143" s="177">
        <f t="shared" si="100"/>
        <v>2406.3902094521814</v>
      </c>
      <c r="AI143" s="177">
        <f t="shared" si="100"/>
        <v>2537.1802571572653</v>
      </c>
      <c r="AJ143" s="177">
        <f t="shared" si="100"/>
        <v>2665.1528141364875</v>
      </c>
      <c r="AK143" s="177">
        <f t="shared" si="100"/>
        <v>2809.1952528434263</v>
      </c>
      <c r="AL143" s="177">
        <f t="shared" si="100"/>
        <v>2945.2564918827325</v>
      </c>
      <c r="AM143" s="177">
        <f t="shared" si="100"/>
        <v>3075.6943405313941</v>
      </c>
      <c r="AN143" s="177">
        <f t="shared" si="100"/>
        <v>3263.3709336381003</v>
      </c>
      <c r="AO143" s="177">
        <f t="shared" si="100"/>
        <v>3459.9870957919361</v>
      </c>
      <c r="AP143" s="177">
        <f t="shared" si="100"/>
        <v>3652.7938872181762</v>
      </c>
      <c r="AQ143" s="177">
        <f t="shared" si="100"/>
        <v>3838.9581519063827</v>
      </c>
      <c r="AR143" s="177">
        <f t="shared" si="100"/>
        <v>4027.1483722918415</v>
      </c>
      <c r="AS143" s="177">
        <f t="shared" si="100"/>
        <v>4223.5047336690113</v>
      </c>
      <c r="AT143" s="177">
        <f t="shared" si="100"/>
        <v>4452.7652225649263</v>
      </c>
      <c r="AU143" s="177">
        <f t="shared" si="100"/>
        <v>4553.7543740673009</v>
      </c>
      <c r="AV143" s="177">
        <f t="shared" si="100"/>
        <v>4630.9371890744496</v>
      </c>
      <c r="AW143" s="177">
        <f t="shared" si="100"/>
        <v>4709.9090525704951</v>
      </c>
      <c r="AX143" s="177">
        <f t="shared" si="100"/>
        <v>4780.1011337898472</v>
      </c>
      <c r="AY143" s="177">
        <f t="shared" si="100"/>
        <v>13480.208535675742</v>
      </c>
      <c r="AZ143" s="177">
        <f t="shared" si="100"/>
        <v>13680.572594915649</v>
      </c>
      <c r="BA143" s="177">
        <f t="shared" si="100"/>
        <v>13881.238813934184</v>
      </c>
      <c r="BB143" s="177">
        <f t="shared" si="100"/>
        <v>14061.518714346868</v>
      </c>
      <c r="BC143" s="177">
        <f t="shared" si="100"/>
        <v>14247.742782161329</v>
      </c>
      <c r="BD143" s="177">
        <f t="shared" si="100"/>
        <v>14421.736489111941</v>
      </c>
      <c r="BE143" s="177">
        <f t="shared" si="100"/>
        <v>14543.281772523042</v>
      </c>
      <c r="BF143" s="177">
        <f t="shared" si="100"/>
        <v>14673.777761402052</v>
      </c>
      <c r="BG143" s="177">
        <f t="shared" si="100"/>
        <v>14819.965029899944</v>
      </c>
      <c r="BH143" s="177">
        <f t="shared" si="100"/>
        <v>14964.800611986155</v>
      </c>
      <c r="BI143" s="177">
        <f t="shared" si="100"/>
        <v>15093.882612147911</v>
      </c>
      <c r="BJ143" s="177">
        <f t="shared" si="100"/>
        <v>15247.644821054982</v>
      </c>
      <c r="BK143" s="177">
        <f t="shared" si="100"/>
        <v>15381.752575997674</v>
      </c>
      <c r="BL143" s="177">
        <f t="shared" si="100"/>
        <v>15499.824066537501</v>
      </c>
      <c r="BM143" s="177">
        <f t="shared" si="100"/>
        <v>15598.591626252488</v>
      </c>
    </row>
    <row r="144" spans="1:65" s="61" customFormat="1" ht="12.75" x14ac:dyDescent="0.2">
      <c r="A144" s="51"/>
      <c r="B144" s="51"/>
      <c r="C144" s="150" t="str">
        <f t="shared" si="101"/>
        <v>Wyndham</v>
      </c>
      <c r="D144" s="150" t="str">
        <f t="shared" si="101"/>
        <v>Recycled</v>
      </c>
      <c r="E144" s="150"/>
      <c r="F144" s="150" t="str">
        <f t="shared" si="101"/>
        <v>Central</v>
      </c>
      <c r="G144" s="150"/>
      <c r="H144" s="150"/>
      <c r="I144" s="150"/>
      <c r="J144" s="150"/>
      <c r="K144" s="150"/>
      <c r="L144" s="150"/>
      <c r="M144" s="150"/>
      <c r="N144" s="150"/>
      <c r="O144" s="150"/>
      <c r="P144" s="150"/>
      <c r="Q144" s="150"/>
      <c r="R144" s="150"/>
      <c r="S144" s="150"/>
      <c r="T144" s="150"/>
      <c r="U144" s="150"/>
      <c r="V144" s="150"/>
      <c r="W144" s="150"/>
      <c r="X144" s="150"/>
      <c r="Y144" s="150"/>
      <c r="Z144" s="150"/>
      <c r="AA144" s="150"/>
      <c r="AB144" s="150"/>
      <c r="AC144" s="177">
        <f t="shared" si="100"/>
        <v>34949.793641339871</v>
      </c>
      <c r="AD144" s="177">
        <f t="shared" si="100"/>
        <v>38334.037382983239</v>
      </c>
      <c r="AE144" s="177">
        <f t="shared" si="100"/>
        <v>41782.541661213829</v>
      </c>
      <c r="AF144" s="177">
        <f t="shared" si="100"/>
        <v>44732.804840082645</v>
      </c>
      <c r="AG144" s="177">
        <f t="shared" si="100"/>
        <v>47603.447415080445</v>
      </c>
      <c r="AH144" s="177">
        <f t="shared" si="100"/>
        <v>50379.955240029944</v>
      </c>
      <c r="AI144" s="177">
        <f t="shared" si="100"/>
        <v>53161.062981888237</v>
      </c>
      <c r="AJ144" s="177">
        <f t="shared" si="100"/>
        <v>55893.362503866112</v>
      </c>
      <c r="AK144" s="177">
        <f t="shared" si="100"/>
        <v>58719.229051547241</v>
      </c>
      <c r="AL144" s="177">
        <f t="shared" si="100"/>
        <v>61577.012723836859</v>
      </c>
      <c r="AM144" s="177">
        <f t="shared" si="100"/>
        <v>64400.656434779245</v>
      </c>
      <c r="AN144" s="177">
        <f t="shared" si="100"/>
        <v>67182.444368980243</v>
      </c>
      <c r="AO144" s="177">
        <f t="shared" si="100"/>
        <v>69781.530821053049</v>
      </c>
      <c r="AP144" s="177">
        <f t="shared" si="100"/>
        <v>72096.086017646434</v>
      </c>
      <c r="AQ144" s="177">
        <f t="shared" si="100"/>
        <v>74170.046956759383</v>
      </c>
      <c r="AR144" s="177">
        <f t="shared" si="100"/>
        <v>76044.142916461031</v>
      </c>
      <c r="AS144" s="177">
        <f t="shared" si="100"/>
        <v>77739.086114401944</v>
      </c>
      <c r="AT144" s="177">
        <f t="shared" si="100"/>
        <v>79377.21213859017</v>
      </c>
      <c r="AU144" s="177">
        <f t="shared" si="100"/>
        <v>80852.486027247942</v>
      </c>
      <c r="AV144" s="177">
        <f t="shared" si="100"/>
        <v>82150.178896678612</v>
      </c>
      <c r="AW144" s="177">
        <f t="shared" si="100"/>
        <v>83268.760251444706</v>
      </c>
      <c r="AX144" s="177">
        <f t="shared" si="100"/>
        <v>84225.481459044415</v>
      </c>
      <c r="AY144" s="177">
        <f t="shared" si="100"/>
        <v>85106.250031340809</v>
      </c>
      <c r="AZ144" s="177">
        <f t="shared" si="100"/>
        <v>85890.978190765716</v>
      </c>
      <c r="BA144" s="177">
        <f t="shared" si="100"/>
        <v>86652.447356648598</v>
      </c>
      <c r="BB144" s="177">
        <f t="shared" si="100"/>
        <v>87415.695030759263</v>
      </c>
      <c r="BC144" s="177">
        <f t="shared" si="100"/>
        <v>88155.424705237354</v>
      </c>
      <c r="BD144" s="177">
        <f t="shared" si="100"/>
        <v>88876.225398112481</v>
      </c>
      <c r="BE144" s="177">
        <f t="shared" si="100"/>
        <v>89585.992094587345</v>
      </c>
      <c r="BF144" s="177">
        <f t="shared" si="100"/>
        <v>90413.792464063124</v>
      </c>
      <c r="BG144" s="177">
        <f t="shared" si="100"/>
        <v>91495.130988600969</v>
      </c>
      <c r="BH144" s="177">
        <f t="shared" si="100"/>
        <v>92562.598096006026</v>
      </c>
      <c r="BI144" s="177">
        <f t="shared" si="100"/>
        <v>93585.670396694768</v>
      </c>
      <c r="BJ144" s="177">
        <f t="shared" ref="BJ144:BM144" si="102">SUMIFS(BJ$12:BJ$59,$C$12:$C$59,$C144,$D$12:$D$59,$D144,$F$12:$F$59,$F144)*BJ131</f>
        <v>94531.719144748349</v>
      </c>
      <c r="BK144" s="177">
        <f t="shared" si="102"/>
        <v>95050.934780188676</v>
      </c>
      <c r="BL144" s="177">
        <f t="shared" si="102"/>
        <v>95467.860536193533</v>
      </c>
      <c r="BM144" s="177">
        <f t="shared" si="102"/>
        <v>95849.587854744357</v>
      </c>
    </row>
    <row r="145" spans="1:65" s="61" customFormat="1" ht="12.75" x14ac:dyDescent="0.2">
      <c r="A145" s="51"/>
      <c r="B145" s="51"/>
      <c r="C145" s="150" t="str">
        <f t="shared" si="101"/>
        <v>Other</v>
      </c>
      <c r="D145" s="150" t="str">
        <f t="shared" si="101"/>
        <v>Recycled</v>
      </c>
      <c r="E145" s="150"/>
      <c r="F145" s="150" t="str">
        <f t="shared" si="101"/>
        <v>Central</v>
      </c>
      <c r="G145" s="150"/>
      <c r="H145" s="150"/>
      <c r="I145" s="150"/>
      <c r="J145" s="150"/>
      <c r="K145" s="150"/>
      <c r="L145" s="150"/>
      <c r="M145" s="150"/>
      <c r="N145" s="150"/>
      <c r="O145" s="150"/>
      <c r="P145" s="150"/>
      <c r="Q145" s="150"/>
      <c r="R145" s="150"/>
      <c r="S145" s="150"/>
      <c r="T145" s="150"/>
      <c r="U145" s="150"/>
      <c r="V145" s="150"/>
      <c r="W145" s="150"/>
      <c r="X145" s="150"/>
      <c r="Y145" s="150"/>
      <c r="Z145" s="150"/>
      <c r="AA145" s="150"/>
      <c r="AB145" s="150"/>
      <c r="AC145" s="177">
        <f t="shared" ref="AC145:BM147" si="103">SUMIFS(AC$12:AC$59,$C$12:$C$59,$C145,$D$12:$D$59,$D145,$F$12:$F$59,$F145)*AC132</f>
        <v>19</v>
      </c>
      <c r="AD145" s="177">
        <f>SUMIFS(AD$12:AD$59,$C$12:$C$59,$C145,$D$12:$D$59,$D145,$F$12:$F$59,$F145)*AD132</f>
        <v>19</v>
      </c>
      <c r="AE145" s="177">
        <f t="shared" si="103"/>
        <v>19</v>
      </c>
      <c r="AF145" s="177">
        <f t="shared" si="103"/>
        <v>19</v>
      </c>
      <c r="AG145" s="177">
        <f t="shared" si="103"/>
        <v>19</v>
      </c>
      <c r="AH145" s="177">
        <f t="shared" si="103"/>
        <v>19</v>
      </c>
      <c r="AI145" s="177">
        <f t="shared" si="103"/>
        <v>19</v>
      </c>
      <c r="AJ145" s="177">
        <f t="shared" si="103"/>
        <v>19</v>
      </c>
      <c r="AK145" s="177">
        <f t="shared" si="103"/>
        <v>19</v>
      </c>
      <c r="AL145" s="177">
        <f t="shared" si="103"/>
        <v>19</v>
      </c>
      <c r="AM145" s="177">
        <f t="shared" si="103"/>
        <v>19</v>
      </c>
      <c r="AN145" s="177">
        <f t="shared" si="103"/>
        <v>19</v>
      </c>
      <c r="AO145" s="177">
        <f t="shared" si="103"/>
        <v>19</v>
      </c>
      <c r="AP145" s="177">
        <f t="shared" si="103"/>
        <v>19</v>
      </c>
      <c r="AQ145" s="177">
        <f t="shared" si="103"/>
        <v>19</v>
      </c>
      <c r="AR145" s="177">
        <f t="shared" si="103"/>
        <v>19</v>
      </c>
      <c r="AS145" s="177">
        <f t="shared" si="103"/>
        <v>19</v>
      </c>
      <c r="AT145" s="177">
        <f t="shared" si="103"/>
        <v>19</v>
      </c>
      <c r="AU145" s="177">
        <f t="shared" si="103"/>
        <v>19</v>
      </c>
      <c r="AV145" s="177">
        <f t="shared" si="103"/>
        <v>19</v>
      </c>
      <c r="AW145" s="177">
        <f t="shared" si="103"/>
        <v>19</v>
      </c>
      <c r="AX145" s="177">
        <f t="shared" si="103"/>
        <v>19</v>
      </c>
      <c r="AY145" s="177">
        <f t="shared" si="103"/>
        <v>19</v>
      </c>
      <c r="AZ145" s="177">
        <f t="shared" si="103"/>
        <v>19</v>
      </c>
      <c r="BA145" s="177">
        <f t="shared" si="103"/>
        <v>19</v>
      </c>
      <c r="BB145" s="177">
        <f t="shared" si="103"/>
        <v>19</v>
      </c>
      <c r="BC145" s="177">
        <f t="shared" si="103"/>
        <v>19</v>
      </c>
      <c r="BD145" s="177">
        <f t="shared" si="103"/>
        <v>19</v>
      </c>
      <c r="BE145" s="177">
        <f t="shared" si="103"/>
        <v>19</v>
      </c>
      <c r="BF145" s="177">
        <f t="shared" si="103"/>
        <v>19</v>
      </c>
      <c r="BG145" s="177">
        <f t="shared" si="103"/>
        <v>19</v>
      </c>
      <c r="BH145" s="177">
        <f t="shared" si="103"/>
        <v>19</v>
      </c>
      <c r="BI145" s="177">
        <f t="shared" si="103"/>
        <v>19</v>
      </c>
      <c r="BJ145" s="177">
        <f t="shared" si="103"/>
        <v>19</v>
      </c>
      <c r="BK145" s="177">
        <f t="shared" si="103"/>
        <v>19</v>
      </c>
      <c r="BL145" s="177">
        <f t="shared" si="103"/>
        <v>19</v>
      </c>
      <c r="BM145" s="177">
        <f t="shared" si="103"/>
        <v>19</v>
      </c>
    </row>
    <row r="146" spans="1:65" s="61" customFormat="1" ht="12.75" x14ac:dyDescent="0.2">
      <c r="A146" s="51"/>
      <c r="B146" s="51"/>
      <c r="C146" s="150" t="str">
        <f t="shared" si="101"/>
        <v>Wyndham</v>
      </c>
      <c r="D146" s="150" t="str">
        <f t="shared" si="101"/>
        <v>Recycled</v>
      </c>
      <c r="E146" s="150"/>
      <c r="F146" s="150" t="str">
        <f t="shared" si="101"/>
        <v>Western</v>
      </c>
      <c r="G146" s="150"/>
      <c r="H146" s="150"/>
      <c r="I146" s="150"/>
      <c r="J146" s="150"/>
      <c r="K146" s="150"/>
      <c r="L146" s="150"/>
      <c r="M146" s="150"/>
      <c r="N146" s="150"/>
      <c r="O146" s="150"/>
      <c r="P146" s="150"/>
      <c r="Q146" s="150"/>
      <c r="R146" s="150"/>
      <c r="S146" s="150"/>
      <c r="T146" s="150"/>
      <c r="U146" s="150"/>
      <c r="V146" s="150"/>
      <c r="W146" s="150"/>
      <c r="X146" s="150"/>
      <c r="Y146" s="150"/>
      <c r="Z146" s="150"/>
      <c r="AA146" s="150"/>
      <c r="AB146" s="150"/>
      <c r="AC146" s="177">
        <f t="shared" si="103"/>
        <v>0</v>
      </c>
      <c r="AD146" s="177">
        <f t="shared" si="103"/>
        <v>0</v>
      </c>
      <c r="AE146" s="177">
        <f t="shared" si="103"/>
        <v>0</v>
      </c>
      <c r="AF146" s="177">
        <f t="shared" si="103"/>
        <v>0</v>
      </c>
      <c r="AG146" s="177">
        <f t="shared" si="103"/>
        <v>0</v>
      </c>
      <c r="AH146" s="177">
        <f t="shared" si="103"/>
        <v>0</v>
      </c>
      <c r="AI146" s="177">
        <f t="shared" si="103"/>
        <v>0</v>
      </c>
      <c r="AJ146" s="177">
        <f t="shared" si="103"/>
        <v>0</v>
      </c>
      <c r="AK146" s="177">
        <f t="shared" si="103"/>
        <v>0</v>
      </c>
      <c r="AL146" s="177">
        <f t="shared" si="103"/>
        <v>0</v>
      </c>
      <c r="AM146" s="177">
        <f t="shared" si="103"/>
        <v>0</v>
      </c>
      <c r="AN146" s="177">
        <f t="shared" si="103"/>
        <v>0</v>
      </c>
      <c r="AO146" s="177">
        <f t="shared" si="103"/>
        <v>0</v>
      </c>
      <c r="AP146" s="177">
        <f t="shared" si="103"/>
        <v>0</v>
      </c>
      <c r="AQ146" s="177">
        <f t="shared" si="103"/>
        <v>0</v>
      </c>
      <c r="AR146" s="177">
        <f t="shared" si="103"/>
        <v>0</v>
      </c>
      <c r="AS146" s="177">
        <f t="shared" si="103"/>
        <v>0</v>
      </c>
      <c r="AT146" s="177">
        <f t="shared" si="103"/>
        <v>0</v>
      </c>
      <c r="AU146" s="177">
        <f t="shared" si="103"/>
        <v>0</v>
      </c>
      <c r="AV146" s="177">
        <f t="shared" si="103"/>
        <v>0</v>
      </c>
      <c r="AW146" s="177">
        <f t="shared" si="103"/>
        <v>0</v>
      </c>
      <c r="AX146" s="177">
        <f t="shared" si="103"/>
        <v>0</v>
      </c>
      <c r="AY146" s="177">
        <f t="shared" si="103"/>
        <v>0</v>
      </c>
      <c r="AZ146" s="177">
        <f t="shared" si="103"/>
        <v>0</v>
      </c>
      <c r="BA146" s="177">
        <f t="shared" si="103"/>
        <v>0</v>
      </c>
      <c r="BB146" s="177">
        <f t="shared" si="103"/>
        <v>0</v>
      </c>
      <c r="BC146" s="177">
        <f t="shared" si="103"/>
        <v>0</v>
      </c>
      <c r="BD146" s="177">
        <f t="shared" si="103"/>
        <v>0</v>
      </c>
      <c r="BE146" s="177">
        <f t="shared" si="103"/>
        <v>0</v>
      </c>
      <c r="BF146" s="177">
        <f t="shared" si="103"/>
        <v>0</v>
      </c>
      <c r="BG146" s="177">
        <f t="shared" si="103"/>
        <v>0</v>
      </c>
      <c r="BH146" s="177">
        <f t="shared" si="103"/>
        <v>0</v>
      </c>
      <c r="BI146" s="177">
        <f t="shared" si="103"/>
        <v>0</v>
      </c>
      <c r="BJ146" s="177">
        <f t="shared" si="103"/>
        <v>0</v>
      </c>
      <c r="BK146" s="177">
        <f t="shared" si="103"/>
        <v>0</v>
      </c>
      <c r="BL146" s="177">
        <f t="shared" si="103"/>
        <v>0</v>
      </c>
      <c r="BM146" s="177">
        <f t="shared" si="103"/>
        <v>0</v>
      </c>
    </row>
    <row r="147" spans="1:65" s="61" customFormat="1" ht="12.75" x14ac:dyDescent="0.2">
      <c r="A147" s="51"/>
      <c r="B147" s="51"/>
      <c r="C147" s="150" t="str">
        <f t="shared" si="101"/>
        <v>Other</v>
      </c>
      <c r="D147" s="150" t="str">
        <f t="shared" si="101"/>
        <v>Recycled</v>
      </c>
      <c r="E147" s="150"/>
      <c r="F147" s="150" t="str">
        <f t="shared" si="101"/>
        <v>Western</v>
      </c>
      <c r="G147" s="150"/>
      <c r="H147" s="150"/>
      <c r="I147" s="150"/>
      <c r="J147" s="150"/>
      <c r="K147" s="150"/>
      <c r="L147" s="150"/>
      <c r="M147" s="150"/>
      <c r="N147" s="150"/>
      <c r="O147" s="150"/>
      <c r="P147" s="150"/>
      <c r="Q147" s="150"/>
      <c r="R147" s="150"/>
      <c r="S147" s="150"/>
      <c r="T147" s="150"/>
      <c r="U147" s="150"/>
      <c r="V147" s="150"/>
      <c r="W147" s="150"/>
      <c r="X147" s="150"/>
      <c r="Y147" s="150"/>
      <c r="Z147" s="150"/>
      <c r="AA147" s="150"/>
      <c r="AB147" s="150"/>
      <c r="AC147" s="177">
        <f t="shared" si="103"/>
        <v>0</v>
      </c>
      <c r="AD147" s="177">
        <f t="shared" si="103"/>
        <v>0</v>
      </c>
      <c r="AE147" s="177">
        <f t="shared" si="103"/>
        <v>0</v>
      </c>
      <c r="AF147" s="177">
        <f t="shared" si="103"/>
        <v>0</v>
      </c>
      <c r="AG147" s="177">
        <f t="shared" si="103"/>
        <v>0</v>
      </c>
      <c r="AH147" s="177">
        <f t="shared" si="103"/>
        <v>0</v>
      </c>
      <c r="AI147" s="177">
        <f t="shared" si="103"/>
        <v>0</v>
      </c>
      <c r="AJ147" s="177">
        <f t="shared" si="103"/>
        <v>0</v>
      </c>
      <c r="AK147" s="177">
        <f t="shared" si="103"/>
        <v>0</v>
      </c>
      <c r="AL147" s="177">
        <f t="shared" si="103"/>
        <v>0</v>
      </c>
      <c r="AM147" s="177">
        <f t="shared" si="103"/>
        <v>0</v>
      </c>
      <c r="AN147" s="177">
        <f t="shared" si="103"/>
        <v>0</v>
      </c>
      <c r="AO147" s="177">
        <f t="shared" si="103"/>
        <v>0</v>
      </c>
      <c r="AP147" s="177">
        <f t="shared" si="103"/>
        <v>0</v>
      </c>
      <c r="AQ147" s="177">
        <f t="shared" si="103"/>
        <v>0</v>
      </c>
      <c r="AR147" s="177">
        <f t="shared" si="103"/>
        <v>0</v>
      </c>
      <c r="AS147" s="177">
        <f t="shared" si="103"/>
        <v>0</v>
      </c>
      <c r="AT147" s="177">
        <f t="shared" si="103"/>
        <v>0</v>
      </c>
      <c r="AU147" s="177">
        <f t="shared" si="103"/>
        <v>0</v>
      </c>
      <c r="AV147" s="177">
        <f t="shared" si="103"/>
        <v>0</v>
      </c>
      <c r="AW147" s="177">
        <f t="shared" si="103"/>
        <v>0</v>
      </c>
      <c r="AX147" s="177">
        <f t="shared" si="103"/>
        <v>0</v>
      </c>
      <c r="AY147" s="177">
        <f t="shared" si="103"/>
        <v>0</v>
      </c>
      <c r="AZ147" s="177">
        <f t="shared" si="103"/>
        <v>0</v>
      </c>
      <c r="BA147" s="177">
        <f t="shared" si="103"/>
        <v>0</v>
      </c>
      <c r="BB147" s="177">
        <f t="shared" si="103"/>
        <v>0</v>
      </c>
      <c r="BC147" s="177">
        <f t="shared" si="103"/>
        <v>0</v>
      </c>
      <c r="BD147" s="177">
        <f t="shared" si="103"/>
        <v>0</v>
      </c>
      <c r="BE147" s="177">
        <f t="shared" si="103"/>
        <v>0</v>
      </c>
      <c r="BF147" s="177">
        <f t="shared" si="103"/>
        <v>0</v>
      </c>
      <c r="BG147" s="177">
        <f t="shared" si="103"/>
        <v>0</v>
      </c>
      <c r="BH147" s="177">
        <f t="shared" si="103"/>
        <v>0</v>
      </c>
      <c r="BI147" s="177">
        <f t="shared" si="103"/>
        <v>0</v>
      </c>
      <c r="BJ147" s="177">
        <f t="shared" si="103"/>
        <v>0</v>
      </c>
      <c r="BK147" s="177">
        <f t="shared" si="103"/>
        <v>0</v>
      </c>
      <c r="BL147" s="177">
        <f t="shared" si="103"/>
        <v>0</v>
      </c>
      <c r="BM147" s="177">
        <f t="shared" si="103"/>
        <v>0</v>
      </c>
    </row>
    <row r="148" spans="1:65" s="61" customFormat="1" ht="12.75" x14ac:dyDescent="0.2">
      <c r="A148" s="150"/>
      <c r="B148" s="150"/>
      <c r="C148" s="150"/>
      <c r="D148" s="150"/>
      <c r="E148" s="150"/>
      <c r="F148" s="150"/>
      <c r="G148" s="150"/>
      <c r="H148" s="150"/>
      <c r="I148" s="150"/>
      <c r="J148" s="150"/>
      <c r="K148" s="150"/>
      <c r="L148" s="150"/>
      <c r="M148" s="150"/>
      <c r="N148" s="150"/>
      <c r="O148" s="150"/>
      <c r="P148" s="150"/>
      <c r="Q148" s="150"/>
      <c r="R148" s="150"/>
      <c r="S148" s="150"/>
      <c r="T148" s="150"/>
      <c r="U148" s="150"/>
      <c r="V148" s="150"/>
      <c r="W148" s="150"/>
      <c r="X148" s="150"/>
      <c r="Y148" s="150"/>
      <c r="Z148" s="150"/>
      <c r="AA148" s="150"/>
      <c r="AB148" s="83" t="s">
        <v>523</v>
      </c>
      <c r="AC148" s="72"/>
      <c r="AD148" s="179"/>
      <c r="AE148" s="179"/>
      <c r="AF148" s="179"/>
      <c r="AG148" s="179"/>
      <c r="AH148" s="179"/>
      <c r="AI148" s="179"/>
      <c r="AJ148" s="179"/>
      <c r="AK148" s="179"/>
      <c r="AL148" s="179"/>
      <c r="AM148" s="179"/>
      <c r="AN148" s="179"/>
      <c r="AO148" s="150"/>
      <c r="AP148" s="150"/>
      <c r="AQ148" s="150"/>
      <c r="AR148" s="150"/>
      <c r="AS148" s="150"/>
      <c r="AT148" s="150"/>
      <c r="AU148" s="150"/>
      <c r="AV148" s="150"/>
      <c r="AW148" s="150"/>
      <c r="AX148" s="150"/>
      <c r="AY148" s="150"/>
      <c r="AZ148" s="150"/>
      <c r="BA148" s="150"/>
      <c r="BB148" s="150"/>
      <c r="BC148" s="150"/>
      <c r="BD148" s="150"/>
      <c r="BE148" s="150"/>
      <c r="BF148" s="150"/>
      <c r="BG148" s="150"/>
      <c r="BH148" s="150"/>
      <c r="BI148" s="150"/>
      <c r="BJ148" s="150"/>
      <c r="BK148" s="150"/>
      <c r="BL148" s="150"/>
      <c r="BM148" s="150"/>
    </row>
    <row r="149" spans="1:65" s="61" customFormat="1" ht="12.75" x14ac:dyDescent="0.2">
      <c r="A149" s="150"/>
      <c r="B149" s="150"/>
      <c r="C149" s="64" t="s">
        <v>524</v>
      </c>
      <c r="D149" s="150"/>
      <c r="E149" s="150"/>
      <c r="F149" s="150"/>
      <c r="G149" s="150"/>
      <c r="H149" s="150"/>
      <c r="I149" s="150"/>
      <c r="J149" s="150"/>
      <c r="K149" s="150"/>
      <c r="L149" s="150"/>
      <c r="M149" s="150"/>
      <c r="N149" s="150"/>
      <c r="O149" s="150"/>
      <c r="P149" s="150"/>
      <c r="Q149" s="150"/>
      <c r="R149" s="150"/>
      <c r="S149" s="150"/>
      <c r="T149" s="150"/>
      <c r="U149" s="150"/>
      <c r="V149" s="150"/>
      <c r="W149" s="150"/>
      <c r="X149" s="150"/>
      <c r="Y149" s="150"/>
      <c r="Z149" s="150"/>
      <c r="AA149" s="150"/>
      <c r="AB149" s="150"/>
      <c r="AC149" s="150"/>
      <c r="AD149" s="150"/>
      <c r="AE149" s="150"/>
      <c r="AF149" s="150"/>
      <c r="AG149" s="150"/>
      <c r="AH149" s="150"/>
      <c r="AI149" s="150"/>
      <c r="AJ149" s="150"/>
      <c r="AK149" s="150"/>
      <c r="AL149" s="150"/>
      <c r="AM149" s="150"/>
      <c r="AN149" s="150"/>
      <c r="AO149" s="150"/>
      <c r="AP149" s="150"/>
      <c r="AQ149" s="150"/>
      <c r="AR149" s="150"/>
      <c r="AS149" s="150"/>
      <c r="AT149" s="150"/>
      <c r="AU149" s="150"/>
      <c r="AV149" s="150"/>
      <c r="AW149" s="150"/>
      <c r="AX149" s="150"/>
      <c r="AY149" s="150"/>
      <c r="AZ149" s="150"/>
      <c r="BA149" s="150"/>
      <c r="BB149" s="150"/>
      <c r="BC149" s="150"/>
      <c r="BD149" s="150"/>
      <c r="BE149" s="150"/>
      <c r="BF149" s="150"/>
      <c r="BG149" s="150"/>
      <c r="BH149" s="150"/>
      <c r="BI149" s="150"/>
      <c r="BJ149" s="150"/>
      <c r="BK149" s="150"/>
      <c r="BL149" s="150"/>
      <c r="BM149" s="150"/>
    </row>
    <row r="150" spans="1:65" s="61" customFormat="1" ht="12.75" x14ac:dyDescent="0.2">
      <c r="A150" s="51"/>
      <c r="B150" s="51"/>
      <c r="C150" s="150" t="str">
        <f>C138</f>
        <v>Standard</v>
      </c>
      <c r="D150" s="150" t="str">
        <f t="shared" ref="D150:F150" si="104">D138</f>
        <v>Water</v>
      </c>
      <c r="E150" s="150"/>
      <c r="F150" s="150" t="str">
        <f t="shared" si="104"/>
        <v>Central</v>
      </c>
      <c r="G150" s="150"/>
      <c r="H150" s="150"/>
      <c r="I150" s="150"/>
      <c r="J150" s="150"/>
      <c r="K150" s="150"/>
      <c r="L150" s="150"/>
      <c r="M150" s="150"/>
      <c r="N150" s="150"/>
      <c r="O150" s="150"/>
      <c r="P150" s="150"/>
      <c r="Q150" s="150"/>
      <c r="R150" s="150"/>
      <c r="S150" s="150"/>
      <c r="T150" s="150"/>
      <c r="U150" s="150"/>
      <c r="V150" s="150"/>
      <c r="W150" s="150"/>
      <c r="X150" s="150"/>
      <c r="Y150" s="150"/>
      <c r="Z150" s="150"/>
      <c r="AA150" s="150"/>
      <c r="AB150" s="150"/>
      <c r="AC150" s="150"/>
      <c r="AD150" s="177">
        <f>AD138-AC138</f>
        <v>13808.925448677503</v>
      </c>
      <c r="AE150" s="177">
        <f t="shared" ref="AE150:BM150" si="105">AE138-AD138</f>
        <v>14412.927379925502</v>
      </c>
      <c r="AF150" s="177">
        <f t="shared" si="105"/>
        <v>12273.341194476699</v>
      </c>
      <c r="AG150" s="177">
        <f t="shared" si="105"/>
        <v>12287.137480459176</v>
      </c>
      <c r="AH150" s="177">
        <f t="shared" si="105"/>
        <v>12031.133033487597</v>
      </c>
      <c r="AI150" s="177">
        <f t="shared" si="105"/>
        <v>11764.934858744033</v>
      </c>
      <c r="AJ150" s="177">
        <f t="shared" si="105"/>
        <v>11756.593273755512</v>
      </c>
      <c r="AK150" s="177">
        <f t="shared" si="105"/>
        <v>12137.770042344229</v>
      </c>
      <c r="AL150" s="177">
        <f t="shared" si="105"/>
        <v>12427.146884088055</v>
      </c>
      <c r="AM150" s="177">
        <f t="shared" si="105"/>
        <v>12764.599833143759</v>
      </c>
      <c r="AN150" s="177">
        <f t="shared" si="105"/>
        <v>13039.409622912761</v>
      </c>
      <c r="AO150" s="177">
        <f t="shared" si="105"/>
        <v>13276.511848429567</v>
      </c>
      <c r="AP150" s="177">
        <f t="shared" si="105"/>
        <v>13495.138370929635</v>
      </c>
      <c r="AQ150" s="177">
        <f t="shared" si="105"/>
        <v>13588.8561991069</v>
      </c>
      <c r="AR150" s="177">
        <f t="shared" si="105"/>
        <v>13680.983637523372</v>
      </c>
      <c r="AS150" s="177">
        <f t="shared" si="105"/>
        <v>13715.483941959566</v>
      </c>
      <c r="AT150" s="177">
        <f t="shared" si="105"/>
        <v>13728.26042710396</v>
      </c>
      <c r="AU150" s="177">
        <f t="shared" si="105"/>
        <v>13604.216699882527</v>
      </c>
      <c r="AV150" s="177">
        <f t="shared" si="105"/>
        <v>13544.729373233044</v>
      </c>
      <c r="AW150" s="177">
        <f t="shared" si="105"/>
        <v>13518.937967517646</v>
      </c>
      <c r="AX150" s="177">
        <f t="shared" si="105"/>
        <v>13476.803807407152</v>
      </c>
      <c r="AY150" s="177">
        <f t="shared" si="105"/>
        <v>13476.729388315347</v>
      </c>
      <c r="AZ150" s="177">
        <f t="shared" si="105"/>
        <v>13211.682821784983</v>
      </c>
      <c r="BA150" s="177">
        <f t="shared" si="105"/>
        <v>13261.728768820525</v>
      </c>
      <c r="BB150" s="177">
        <f t="shared" si="105"/>
        <v>13381.260806660401</v>
      </c>
      <c r="BC150" s="177">
        <f t="shared" si="105"/>
        <v>13454.935691000777</v>
      </c>
      <c r="BD150" s="177">
        <f t="shared" si="105"/>
        <v>13560.280856082449</v>
      </c>
      <c r="BE150" s="177">
        <f t="shared" si="105"/>
        <v>14129.493860850809</v>
      </c>
      <c r="BF150" s="177">
        <f t="shared" si="105"/>
        <v>14120.526463444228</v>
      </c>
      <c r="BG150" s="177">
        <f t="shared" si="105"/>
        <v>13932.078796823625</v>
      </c>
      <c r="BH150" s="177">
        <f t="shared" si="105"/>
        <v>13701.282176529989</v>
      </c>
      <c r="BI150" s="177">
        <f t="shared" si="105"/>
        <v>13668.657769194688</v>
      </c>
      <c r="BJ150" s="177">
        <f t="shared" si="105"/>
        <v>13503.849488179898</v>
      </c>
      <c r="BK150" s="177">
        <f t="shared" si="105"/>
        <v>13628.159213313484</v>
      </c>
      <c r="BL150" s="177">
        <f t="shared" si="105"/>
        <v>13785.446272311383</v>
      </c>
      <c r="BM150" s="177">
        <f t="shared" si="105"/>
        <v>13915.77757339261</v>
      </c>
    </row>
    <row r="151" spans="1:65" s="61" customFormat="1" ht="12.75" x14ac:dyDescent="0.2">
      <c r="A151" s="51"/>
      <c r="B151" s="51"/>
      <c r="C151" s="150" t="str">
        <f t="shared" ref="C151:F159" si="106">C139</f>
        <v>Standard</v>
      </c>
      <c r="D151" s="150" t="str">
        <f t="shared" si="106"/>
        <v>Water</v>
      </c>
      <c r="E151" s="150"/>
      <c r="F151" s="150" t="str">
        <f t="shared" si="106"/>
        <v>Western</v>
      </c>
      <c r="G151" s="150"/>
      <c r="H151" s="150"/>
      <c r="I151" s="150"/>
      <c r="J151" s="150"/>
      <c r="K151" s="150"/>
      <c r="L151" s="150"/>
      <c r="M151" s="150"/>
      <c r="N151" s="150"/>
      <c r="O151" s="150"/>
      <c r="P151" s="150"/>
      <c r="Q151" s="150"/>
      <c r="R151" s="150"/>
      <c r="S151" s="150"/>
      <c r="T151" s="150"/>
      <c r="U151" s="150"/>
      <c r="V151" s="150"/>
      <c r="W151" s="150"/>
      <c r="X151" s="150"/>
      <c r="Y151" s="150"/>
      <c r="Z151" s="150"/>
      <c r="AA151" s="150"/>
      <c r="AB151" s="150"/>
      <c r="AC151" s="150"/>
      <c r="AD151" s="177">
        <f t="shared" ref="AD151:BM158" si="107">AD139-AC139</f>
        <v>569.72584803785867</v>
      </c>
      <c r="AE151" s="177">
        <f t="shared" si="107"/>
        <v>651.57410064531723</v>
      </c>
      <c r="AF151" s="177">
        <f t="shared" si="107"/>
        <v>580.40028549420822</v>
      </c>
      <c r="AG151" s="177">
        <f t="shared" si="107"/>
        <v>626.91946583467507</v>
      </c>
      <c r="AH151" s="177">
        <f t="shared" si="107"/>
        <v>748.46955154345778</v>
      </c>
      <c r="AI151" s="177">
        <f t="shared" si="107"/>
        <v>731.61847265196411</v>
      </c>
      <c r="AJ151" s="177">
        <f t="shared" si="107"/>
        <v>695.06056272635033</v>
      </c>
      <c r="AK151" s="177">
        <f t="shared" si="107"/>
        <v>576.66639938546723</v>
      </c>
      <c r="AL151" s="177">
        <f t="shared" si="107"/>
        <v>530.06232420626475</v>
      </c>
      <c r="AM151" s="177">
        <f t="shared" si="107"/>
        <v>489.91899359487434</v>
      </c>
      <c r="AN151" s="177">
        <f t="shared" si="107"/>
        <v>466.67171252791741</v>
      </c>
      <c r="AO151" s="177">
        <f t="shared" si="107"/>
        <v>446.5045388676881</v>
      </c>
      <c r="AP151" s="177">
        <f t="shared" si="107"/>
        <v>447.44448289267166</v>
      </c>
      <c r="AQ151" s="177">
        <f t="shared" si="107"/>
        <v>454.2763098463256</v>
      </c>
      <c r="AR151" s="177">
        <f t="shared" si="107"/>
        <v>477.24333335930714</v>
      </c>
      <c r="AS151" s="177">
        <f t="shared" si="107"/>
        <v>470.79518187468057</v>
      </c>
      <c r="AT151" s="177">
        <f t="shared" si="107"/>
        <v>537.77816888318193</v>
      </c>
      <c r="AU151" s="177">
        <f t="shared" si="107"/>
        <v>517.637147716654</v>
      </c>
      <c r="AV151" s="177">
        <f t="shared" si="107"/>
        <v>581.01030331910442</v>
      </c>
      <c r="AW151" s="177">
        <f t="shared" si="107"/>
        <v>680.05487238088972</v>
      </c>
      <c r="AX151" s="177">
        <f t="shared" si="107"/>
        <v>795.18379397436365</v>
      </c>
      <c r="AY151" s="177">
        <f t="shared" si="107"/>
        <v>889.6918793806617</v>
      </c>
      <c r="AZ151" s="177">
        <f t="shared" si="107"/>
        <v>830.83344682047027</v>
      </c>
      <c r="BA151" s="177">
        <f t="shared" si="107"/>
        <v>787.56104068269633</v>
      </c>
      <c r="BB151" s="177">
        <f t="shared" si="107"/>
        <v>726.18685532584641</v>
      </c>
      <c r="BC151" s="177">
        <f t="shared" si="107"/>
        <v>703.76796706255845</v>
      </c>
      <c r="BD151" s="177">
        <f t="shared" si="107"/>
        <v>748.34388703725563</v>
      </c>
      <c r="BE151" s="177">
        <f t="shared" si="107"/>
        <v>742.1813319910143</v>
      </c>
      <c r="BF151" s="177">
        <f t="shared" si="107"/>
        <v>739.07178154423309</v>
      </c>
      <c r="BG151" s="177">
        <f t="shared" si="107"/>
        <v>699.55920851795963</v>
      </c>
      <c r="BH151" s="177">
        <f t="shared" si="107"/>
        <v>737.89273051339842</v>
      </c>
      <c r="BI151" s="177">
        <f t="shared" si="107"/>
        <v>783.85908504579857</v>
      </c>
      <c r="BJ151" s="177">
        <f t="shared" si="107"/>
        <v>836.28546511154127</v>
      </c>
      <c r="BK151" s="177">
        <f t="shared" si="107"/>
        <v>724.3299300573417</v>
      </c>
      <c r="BL151" s="177">
        <f t="shared" si="107"/>
        <v>700.26444663222355</v>
      </c>
      <c r="BM151" s="177">
        <f t="shared" si="107"/>
        <v>678.82434578701941</v>
      </c>
    </row>
    <row r="152" spans="1:65" s="61" customFormat="1" ht="12.75" x14ac:dyDescent="0.2">
      <c r="A152" s="51"/>
      <c r="B152" s="51"/>
      <c r="C152" s="150" t="str">
        <f t="shared" si="106"/>
        <v>Western Greenfield</v>
      </c>
      <c r="D152" s="150" t="str">
        <f t="shared" si="106"/>
        <v>Water</v>
      </c>
      <c r="E152" s="150"/>
      <c r="F152" s="150" t="str">
        <f t="shared" si="106"/>
        <v>Western</v>
      </c>
      <c r="G152" s="150"/>
      <c r="H152" s="150"/>
      <c r="I152" s="150"/>
      <c r="J152" s="150"/>
      <c r="K152" s="150"/>
      <c r="L152" s="150"/>
      <c r="M152" s="150"/>
      <c r="N152" s="150"/>
      <c r="O152" s="150"/>
      <c r="P152" s="150"/>
      <c r="Q152" s="150"/>
      <c r="R152" s="150"/>
      <c r="S152" s="150"/>
      <c r="T152" s="150"/>
      <c r="U152" s="150"/>
      <c r="V152" s="150"/>
      <c r="W152" s="150"/>
      <c r="X152" s="150"/>
      <c r="Y152" s="150"/>
      <c r="Z152" s="150"/>
      <c r="AA152" s="150"/>
      <c r="AB152" s="150"/>
      <c r="AC152" s="150"/>
      <c r="AD152" s="177">
        <f t="shared" si="107"/>
        <v>3221.6132480732922</v>
      </c>
      <c r="AE152" s="177">
        <f t="shared" si="107"/>
        <v>3325.1034740173709</v>
      </c>
      <c r="AF152" s="177">
        <f t="shared" si="107"/>
        <v>3593.6804619439135</v>
      </c>
      <c r="AG152" s="177">
        <f t="shared" si="107"/>
        <v>2868.8922655915085</v>
      </c>
      <c r="AH152" s="177">
        <f t="shared" si="107"/>
        <v>2979.8903489054501</v>
      </c>
      <c r="AI152" s="177">
        <f t="shared" si="107"/>
        <v>3141.6105233414855</v>
      </c>
      <c r="AJ152" s="177">
        <f t="shared" si="107"/>
        <v>3077.2540310039549</v>
      </c>
      <c r="AK152" s="177">
        <f t="shared" si="107"/>
        <v>3304.1922221637142</v>
      </c>
      <c r="AL152" s="177">
        <f t="shared" si="107"/>
        <v>3331.2092523982501</v>
      </c>
      <c r="AM152" s="177">
        <f t="shared" si="107"/>
        <v>3315.7492096842398</v>
      </c>
      <c r="AN152" s="177">
        <f t="shared" si="107"/>
        <v>3126.4550118326442</v>
      </c>
      <c r="AO152" s="177">
        <f t="shared" si="107"/>
        <v>3026.3173745509994</v>
      </c>
      <c r="AP152" s="177">
        <f t="shared" si="107"/>
        <v>2896.4800441516854</v>
      </c>
      <c r="AQ152" s="177">
        <f t="shared" si="107"/>
        <v>2829.7628483175649</v>
      </c>
      <c r="AR152" s="177">
        <f t="shared" si="107"/>
        <v>2731.9068060933641</v>
      </c>
      <c r="AS152" s="177">
        <f t="shared" si="107"/>
        <v>2651.0233237273351</v>
      </c>
      <c r="AT152" s="177">
        <f t="shared" si="107"/>
        <v>3398.1197608449438</v>
      </c>
      <c r="AU152" s="177">
        <f t="shared" si="107"/>
        <v>2740.5640584991634</v>
      </c>
      <c r="AV152" s="177">
        <f t="shared" si="107"/>
        <v>2552.849318644192</v>
      </c>
      <c r="AW152" s="177">
        <f t="shared" si="107"/>
        <v>2384.7388233555248</v>
      </c>
      <c r="AX152" s="177">
        <f t="shared" si="107"/>
        <v>2256.6353405253321</v>
      </c>
      <c r="AY152" s="177">
        <f t="shared" si="107"/>
        <v>2138.7845914458012</v>
      </c>
      <c r="AZ152" s="177">
        <f t="shared" si="107"/>
        <v>1942.5038989487512</v>
      </c>
      <c r="BA152" s="177">
        <f t="shared" si="107"/>
        <v>1915.9164200853847</v>
      </c>
      <c r="BB152" s="177">
        <f t="shared" si="107"/>
        <v>1897.3595310980745</v>
      </c>
      <c r="BC152" s="177">
        <f t="shared" si="107"/>
        <v>1842.864523361146</v>
      </c>
      <c r="BD152" s="177">
        <f t="shared" si="107"/>
        <v>1743.5688046229043</v>
      </c>
      <c r="BE152" s="177">
        <f t="shared" si="107"/>
        <v>1440.3296138775913</v>
      </c>
      <c r="BF152" s="177">
        <f t="shared" si="107"/>
        <v>1428.1501085409109</v>
      </c>
      <c r="BG152" s="177">
        <f t="shared" si="107"/>
        <v>1548.3345685621316</v>
      </c>
      <c r="BH152" s="177">
        <f t="shared" si="107"/>
        <v>1586.0675710225041</v>
      </c>
      <c r="BI152" s="177">
        <f t="shared" si="107"/>
        <v>1459.8081907492306</v>
      </c>
      <c r="BJ152" s="177">
        <f t="shared" si="107"/>
        <v>1563.5813747552747</v>
      </c>
      <c r="BK152" s="177">
        <f t="shared" si="107"/>
        <v>1492.5908111910685</v>
      </c>
      <c r="BL152" s="177">
        <f t="shared" si="107"/>
        <v>1356.869386492137</v>
      </c>
      <c r="BM152" s="177">
        <f t="shared" si="107"/>
        <v>1247.2088903048716</v>
      </c>
    </row>
    <row r="153" spans="1:65" s="61" customFormat="1" ht="12.75" x14ac:dyDescent="0.2">
      <c r="A153" s="51"/>
      <c r="B153" s="51"/>
      <c r="C153" s="150" t="str">
        <f t="shared" si="106"/>
        <v>Standard</v>
      </c>
      <c r="D153" s="150" t="str">
        <f t="shared" si="106"/>
        <v>Sewer</v>
      </c>
      <c r="E153" s="150"/>
      <c r="F153" s="150" t="str">
        <f t="shared" si="106"/>
        <v>Central</v>
      </c>
      <c r="G153" s="150"/>
      <c r="H153" s="150"/>
      <c r="I153" s="150"/>
      <c r="J153" s="150"/>
      <c r="K153" s="150"/>
      <c r="L153" s="150"/>
      <c r="M153" s="150"/>
      <c r="N153" s="150"/>
      <c r="O153" s="150"/>
      <c r="P153" s="150"/>
      <c r="Q153" s="150"/>
      <c r="R153" s="150"/>
      <c r="S153" s="150"/>
      <c r="T153" s="150"/>
      <c r="U153" s="150"/>
      <c r="V153" s="150"/>
      <c r="W153" s="150"/>
      <c r="X153" s="150"/>
      <c r="Y153" s="150"/>
      <c r="Z153" s="150"/>
      <c r="AA153" s="150"/>
      <c r="AB153" s="150"/>
      <c r="AC153" s="150"/>
      <c r="AD153" s="177">
        <f t="shared" si="107"/>
        <v>13808.925448677503</v>
      </c>
      <c r="AE153" s="177">
        <f t="shared" si="107"/>
        <v>14412.927379925502</v>
      </c>
      <c r="AF153" s="177">
        <f t="shared" si="107"/>
        <v>12273.341194476816</v>
      </c>
      <c r="AG153" s="177">
        <f t="shared" si="107"/>
        <v>12287.137480459176</v>
      </c>
      <c r="AH153" s="177">
        <f t="shared" si="107"/>
        <v>12031.133033487597</v>
      </c>
      <c r="AI153" s="177">
        <f t="shared" si="107"/>
        <v>11764.934858743916</v>
      </c>
      <c r="AJ153" s="177">
        <f t="shared" si="107"/>
        <v>11756.593273755512</v>
      </c>
      <c r="AK153" s="177">
        <f t="shared" si="107"/>
        <v>12137.770042344346</v>
      </c>
      <c r="AL153" s="177">
        <f t="shared" si="107"/>
        <v>12427.146884087939</v>
      </c>
      <c r="AM153" s="177">
        <f t="shared" si="107"/>
        <v>12764.599833143759</v>
      </c>
      <c r="AN153" s="177">
        <f t="shared" si="107"/>
        <v>13039.409622912761</v>
      </c>
      <c r="AO153" s="177">
        <f t="shared" si="107"/>
        <v>13276.511848429684</v>
      </c>
      <c r="AP153" s="177">
        <f t="shared" si="107"/>
        <v>13495.138370929752</v>
      </c>
      <c r="AQ153" s="177">
        <f t="shared" si="107"/>
        <v>13588.856199106667</v>
      </c>
      <c r="AR153" s="177">
        <f t="shared" si="107"/>
        <v>13680.983637523372</v>
      </c>
      <c r="AS153" s="177">
        <f t="shared" si="107"/>
        <v>13715.483941959683</v>
      </c>
      <c r="AT153" s="177">
        <f t="shared" si="107"/>
        <v>13728.260427103844</v>
      </c>
      <c r="AU153" s="177">
        <f t="shared" si="107"/>
        <v>13604.216699882527</v>
      </c>
      <c r="AV153" s="177">
        <f t="shared" si="107"/>
        <v>13544.729373233044</v>
      </c>
      <c r="AW153" s="177">
        <f t="shared" si="107"/>
        <v>13518.937967517762</v>
      </c>
      <c r="AX153" s="177">
        <f t="shared" si="107"/>
        <v>13476.803807407035</v>
      </c>
      <c r="AY153" s="177">
        <f t="shared" si="107"/>
        <v>13476.72938831558</v>
      </c>
      <c r="AZ153" s="177">
        <f t="shared" si="107"/>
        <v>13211.682821784751</v>
      </c>
      <c r="BA153" s="177">
        <f t="shared" si="107"/>
        <v>13261.728768820409</v>
      </c>
      <c r="BB153" s="177">
        <f t="shared" si="107"/>
        <v>13381.26080666075</v>
      </c>
      <c r="BC153" s="177">
        <f t="shared" si="107"/>
        <v>13454.935691000428</v>
      </c>
      <c r="BD153" s="177">
        <f t="shared" si="107"/>
        <v>13560.280856082565</v>
      </c>
      <c r="BE153" s="177">
        <f t="shared" si="107"/>
        <v>14129.493860850926</v>
      </c>
      <c r="BF153" s="177">
        <f t="shared" si="107"/>
        <v>14120.526463443879</v>
      </c>
      <c r="BG153" s="177">
        <f t="shared" si="107"/>
        <v>13932.078796823858</v>
      </c>
      <c r="BH153" s="177">
        <f t="shared" si="107"/>
        <v>13701.282176529872</v>
      </c>
      <c r="BI153" s="177">
        <f t="shared" si="107"/>
        <v>13668.657769194688</v>
      </c>
      <c r="BJ153" s="177">
        <f t="shared" si="107"/>
        <v>13503.849488180131</v>
      </c>
      <c r="BK153" s="177">
        <f t="shared" si="107"/>
        <v>13628.159213313251</v>
      </c>
      <c r="BL153" s="177">
        <f t="shared" si="107"/>
        <v>13785.446272311616</v>
      </c>
      <c r="BM153" s="177">
        <f t="shared" si="107"/>
        <v>13915.777573392494</v>
      </c>
    </row>
    <row r="154" spans="1:65" s="61" customFormat="1" ht="12.75" x14ac:dyDescent="0.2">
      <c r="A154" s="51"/>
      <c r="B154" s="51"/>
      <c r="C154" s="150" t="str">
        <f t="shared" si="106"/>
        <v>Standard</v>
      </c>
      <c r="D154" s="150" t="str">
        <f t="shared" si="106"/>
        <v>Sewer</v>
      </c>
      <c r="E154" s="150"/>
      <c r="F154" s="150" t="str">
        <f t="shared" si="106"/>
        <v>Western</v>
      </c>
      <c r="G154" s="150"/>
      <c r="H154" s="150"/>
      <c r="I154" s="150"/>
      <c r="J154" s="150"/>
      <c r="K154" s="150"/>
      <c r="L154" s="150"/>
      <c r="M154" s="150"/>
      <c r="N154" s="150"/>
      <c r="O154" s="150"/>
      <c r="P154" s="150"/>
      <c r="Q154" s="150"/>
      <c r="R154" s="150"/>
      <c r="S154" s="150"/>
      <c r="T154" s="150"/>
      <c r="U154" s="150"/>
      <c r="V154" s="150"/>
      <c r="W154" s="150"/>
      <c r="X154" s="150"/>
      <c r="Y154" s="150"/>
      <c r="Z154" s="150"/>
      <c r="AA154" s="150"/>
      <c r="AB154" s="150"/>
      <c r="AC154" s="150"/>
      <c r="AD154" s="177">
        <f t="shared" si="107"/>
        <v>-2.7345965577254958</v>
      </c>
      <c r="AE154" s="177">
        <f t="shared" si="107"/>
        <v>2.9396686322488961</v>
      </c>
      <c r="AF154" s="177">
        <f t="shared" si="107"/>
        <v>1.2908879836161304</v>
      </c>
      <c r="AG154" s="177">
        <f t="shared" si="107"/>
        <v>1.4867554305985777</v>
      </c>
      <c r="AH154" s="177">
        <f t="shared" si="107"/>
        <v>2.4460927171517426</v>
      </c>
      <c r="AI154" s="177">
        <f t="shared" si="107"/>
        <v>2.8385592387294878</v>
      </c>
      <c r="AJ154" s="177">
        <f t="shared" si="107"/>
        <v>2.7137046594843923</v>
      </c>
      <c r="AK154" s="177">
        <f t="shared" si="107"/>
        <v>2.082217851948144</v>
      </c>
      <c r="AL154" s="177">
        <f t="shared" si="107"/>
        <v>0.5227522510107292</v>
      </c>
      <c r="AM154" s="177">
        <f t="shared" si="107"/>
        <v>0.24620843011436477</v>
      </c>
      <c r="AN154" s="177">
        <f t="shared" si="107"/>
        <v>5.2396340301707767</v>
      </c>
      <c r="AO154" s="177">
        <f t="shared" si="107"/>
        <v>5.3438190128027827</v>
      </c>
      <c r="AP154" s="177">
        <f t="shared" si="107"/>
        <v>4.6197743636149653</v>
      </c>
      <c r="AQ154" s="177">
        <f t="shared" si="107"/>
        <v>4.6845484179943355</v>
      </c>
      <c r="AR154" s="177">
        <f t="shared" si="107"/>
        <v>4.4609567644214962</v>
      </c>
      <c r="AS154" s="177">
        <f t="shared" si="107"/>
        <v>4.1967133423469249</v>
      </c>
      <c r="AT154" s="177">
        <f t="shared" si="107"/>
        <v>4.1671460698509577</v>
      </c>
      <c r="AU154" s="177">
        <f t="shared" si="107"/>
        <v>-0.38949856987994735</v>
      </c>
      <c r="AV154" s="177">
        <f t="shared" si="107"/>
        <v>-8.9282651870007612E-2</v>
      </c>
      <c r="AW154" s="177">
        <f t="shared" si="107"/>
        <v>1.9907562276869157</v>
      </c>
      <c r="AX154" s="177">
        <f t="shared" si="107"/>
        <v>1.3555814040199152</v>
      </c>
      <c r="AY154" s="177">
        <f t="shared" si="107"/>
        <v>3.1818006738860731</v>
      </c>
      <c r="AZ154" s="177">
        <f t="shared" si="107"/>
        <v>1.4852367681882583</v>
      </c>
      <c r="BA154" s="177">
        <f t="shared" si="107"/>
        <v>2.3918759483098029</v>
      </c>
      <c r="BB154" s="177">
        <f t="shared" si="107"/>
        <v>0.76517403625541647</v>
      </c>
      <c r="BC154" s="177">
        <f t="shared" si="107"/>
        <v>0.62413032072390706</v>
      </c>
      <c r="BD154" s="177">
        <f t="shared" si="107"/>
        <v>2.0743683291445336</v>
      </c>
      <c r="BE154" s="177">
        <f t="shared" si="107"/>
        <v>0.90188662695504718</v>
      </c>
      <c r="BF154" s="177">
        <f t="shared" si="107"/>
        <v>0.86102453366868303</v>
      </c>
      <c r="BG154" s="177">
        <f t="shared" si="107"/>
        <v>1.9068598735361775</v>
      </c>
      <c r="BH154" s="177">
        <f t="shared" si="107"/>
        <v>0.69927034781915154</v>
      </c>
      <c r="BI154" s="177">
        <f t="shared" si="107"/>
        <v>1.0741286026743637</v>
      </c>
      <c r="BJ154" s="177">
        <f t="shared" si="107"/>
        <v>2.599930364083832</v>
      </c>
      <c r="BK154" s="177">
        <f t="shared" si="107"/>
        <v>0.68922425212366534</v>
      </c>
      <c r="BL154" s="177">
        <f t="shared" si="107"/>
        <v>0.47960891368535385</v>
      </c>
      <c r="BM154" s="177">
        <f t="shared" si="107"/>
        <v>1.7099502961519306</v>
      </c>
    </row>
    <row r="155" spans="1:65" s="61" customFormat="1" ht="12.75" x14ac:dyDescent="0.2">
      <c r="A155" s="51"/>
      <c r="B155" s="51"/>
      <c r="C155" s="150" t="str">
        <f t="shared" si="106"/>
        <v>Western Greenfield</v>
      </c>
      <c r="D155" s="150" t="str">
        <f t="shared" si="106"/>
        <v>Sewer</v>
      </c>
      <c r="E155" s="150"/>
      <c r="F155" s="150" t="str">
        <f t="shared" si="106"/>
        <v>Western</v>
      </c>
      <c r="G155" s="150"/>
      <c r="H155" s="150"/>
      <c r="I155" s="150"/>
      <c r="J155" s="150"/>
      <c r="K155" s="150"/>
      <c r="L155" s="150"/>
      <c r="M155" s="150"/>
      <c r="N155" s="150"/>
      <c r="O155" s="150"/>
      <c r="P155" s="150"/>
      <c r="Q155" s="150"/>
      <c r="R155" s="150"/>
      <c r="S155" s="150"/>
      <c r="T155" s="150"/>
      <c r="U155" s="150"/>
      <c r="V155" s="150"/>
      <c r="W155" s="150"/>
      <c r="X155" s="150"/>
      <c r="Y155" s="150"/>
      <c r="Z155" s="150"/>
      <c r="AA155" s="150"/>
      <c r="AB155" s="150"/>
      <c r="AC155" s="150"/>
      <c r="AD155" s="177">
        <f t="shared" si="107"/>
        <v>122.86382022774455</v>
      </c>
      <c r="AE155" s="177">
        <f t="shared" si="107"/>
        <v>143.7894574988461</v>
      </c>
      <c r="AF155" s="177">
        <f t="shared" si="107"/>
        <v>118.5419168649546</v>
      </c>
      <c r="AG155" s="177">
        <f t="shared" si="107"/>
        <v>117.92616901751535</v>
      </c>
      <c r="AH155" s="177">
        <f t="shared" si="107"/>
        <v>121.89188365521704</v>
      </c>
      <c r="AI155" s="177">
        <f t="shared" si="107"/>
        <v>130.79004770508391</v>
      </c>
      <c r="AJ155" s="177">
        <f t="shared" si="107"/>
        <v>127.97255697922219</v>
      </c>
      <c r="AK155" s="177">
        <f t="shared" si="107"/>
        <v>144.04243870693881</v>
      </c>
      <c r="AL155" s="177">
        <f t="shared" si="107"/>
        <v>136.0612390393062</v>
      </c>
      <c r="AM155" s="177">
        <f t="shared" si="107"/>
        <v>130.43784864866166</v>
      </c>
      <c r="AN155" s="177">
        <f t="shared" si="107"/>
        <v>187.67659310670615</v>
      </c>
      <c r="AO155" s="177">
        <f t="shared" si="107"/>
        <v>196.61616215383583</v>
      </c>
      <c r="AP155" s="177">
        <f t="shared" si="107"/>
        <v>192.80679142624012</v>
      </c>
      <c r="AQ155" s="177">
        <f t="shared" si="107"/>
        <v>186.16426468820646</v>
      </c>
      <c r="AR155" s="177">
        <f t="shared" si="107"/>
        <v>188.19022038545882</v>
      </c>
      <c r="AS155" s="177">
        <f t="shared" si="107"/>
        <v>196.35636137716983</v>
      </c>
      <c r="AT155" s="177">
        <f t="shared" si="107"/>
        <v>229.26048889591493</v>
      </c>
      <c r="AU155" s="177">
        <f t="shared" si="107"/>
        <v>100.98915150237463</v>
      </c>
      <c r="AV155" s="177">
        <f t="shared" si="107"/>
        <v>77.182815007148747</v>
      </c>
      <c r="AW155" s="177">
        <f t="shared" si="107"/>
        <v>78.971863496045444</v>
      </c>
      <c r="AX155" s="177">
        <f t="shared" si="107"/>
        <v>70.192081219352076</v>
      </c>
      <c r="AY155" s="177">
        <f t="shared" si="107"/>
        <v>8700.1074018858944</v>
      </c>
      <c r="AZ155" s="177">
        <f t="shared" si="107"/>
        <v>200.36405923990787</v>
      </c>
      <c r="BA155" s="177">
        <f t="shared" si="107"/>
        <v>200.66621901853432</v>
      </c>
      <c r="BB155" s="177">
        <f t="shared" si="107"/>
        <v>180.27990041268458</v>
      </c>
      <c r="BC155" s="177">
        <f t="shared" si="107"/>
        <v>186.2240678144608</v>
      </c>
      <c r="BD155" s="177">
        <f t="shared" si="107"/>
        <v>173.99370695061225</v>
      </c>
      <c r="BE155" s="177">
        <f t="shared" si="107"/>
        <v>121.54528341110017</v>
      </c>
      <c r="BF155" s="177">
        <f t="shared" si="107"/>
        <v>130.49598887901084</v>
      </c>
      <c r="BG155" s="177">
        <f t="shared" si="107"/>
        <v>146.18726849789164</v>
      </c>
      <c r="BH155" s="177">
        <f t="shared" si="107"/>
        <v>144.83558208621071</v>
      </c>
      <c r="BI155" s="177">
        <f t="shared" si="107"/>
        <v>129.08200016175579</v>
      </c>
      <c r="BJ155" s="177">
        <f t="shared" si="107"/>
        <v>153.76220890707191</v>
      </c>
      <c r="BK155" s="177">
        <f t="shared" si="107"/>
        <v>134.10775494269183</v>
      </c>
      <c r="BL155" s="177">
        <f t="shared" si="107"/>
        <v>118.07149053982721</v>
      </c>
      <c r="BM155" s="177">
        <f t="shared" si="107"/>
        <v>98.767559714986419</v>
      </c>
    </row>
    <row r="156" spans="1:65" s="61" customFormat="1" ht="12.75" x14ac:dyDescent="0.2">
      <c r="A156" s="51"/>
      <c r="B156" s="51"/>
      <c r="C156" s="150" t="str">
        <f t="shared" si="106"/>
        <v>Wyndham</v>
      </c>
      <c r="D156" s="150" t="str">
        <f t="shared" si="106"/>
        <v>Recycled</v>
      </c>
      <c r="E156" s="150"/>
      <c r="F156" s="150" t="str">
        <f t="shared" si="106"/>
        <v>Central</v>
      </c>
      <c r="G156" s="150"/>
      <c r="H156" s="150"/>
      <c r="I156" s="150"/>
      <c r="J156" s="150"/>
      <c r="K156" s="150"/>
      <c r="L156" s="150"/>
      <c r="M156" s="150"/>
      <c r="N156" s="150"/>
      <c r="O156" s="150"/>
      <c r="P156" s="150"/>
      <c r="Q156" s="150"/>
      <c r="R156" s="150"/>
      <c r="S156" s="150"/>
      <c r="T156" s="150"/>
      <c r="U156" s="150"/>
      <c r="V156" s="150"/>
      <c r="W156" s="150"/>
      <c r="X156" s="150"/>
      <c r="Y156" s="150"/>
      <c r="Z156" s="150"/>
      <c r="AA156" s="150"/>
      <c r="AB156" s="150"/>
      <c r="AC156" s="150"/>
      <c r="AD156" s="177">
        <f t="shared" si="107"/>
        <v>3384.2437416433677</v>
      </c>
      <c r="AE156" s="177">
        <f t="shared" si="107"/>
        <v>3448.50427823059</v>
      </c>
      <c r="AF156" s="177">
        <f t="shared" si="107"/>
        <v>2950.2631788688159</v>
      </c>
      <c r="AG156" s="177">
        <f t="shared" si="107"/>
        <v>2870.6425749978007</v>
      </c>
      <c r="AH156" s="177">
        <f t="shared" si="107"/>
        <v>2776.5078249494982</v>
      </c>
      <c r="AI156" s="177">
        <f t="shared" si="107"/>
        <v>2781.1077418582936</v>
      </c>
      <c r="AJ156" s="177">
        <f t="shared" si="107"/>
        <v>2732.299521977875</v>
      </c>
      <c r="AK156" s="177">
        <f t="shared" si="107"/>
        <v>2825.8665476811293</v>
      </c>
      <c r="AL156" s="177">
        <f t="shared" si="107"/>
        <v>2857.7836722896172</v>
      </c>
      <c r="AM156" s="177">
        <f t="shared" si="107"/>
        <v>2823.643710942386</v>
      </c>
      <c r="AN156" s="177">
        <f t="shared" si="107"/>
        <v>2781.7879342009983</v>
      </c>
      <c r="AO156" s="177">
        <f t="shared" si="107"/>
        <v>2599.0864520728064</v>
      </c>
      <c r="AP156" s="177">
        <f t="shared" si="107"/>
        <v>2314.5551965933846</v>
      </c>
      <c r="AQ156" s="177">
        <f t="shared" si="107"/>
        <v>2073.9609391129488</v>
      </c>
      <c r="AR156" s="177">
        <f t="shared" si="107"/>
        <v>1874.0959597016481</v>
      </c>
      <c r="AS156" s="177">
        <f t="shared" si="107"/>
        <v>1694.9431979409128</v>
      </c>
      <c r="AT156" s="177">
        <f t="shared" si="107"/>
        <v>1638.1260241882264</v>
      </c>
      <c r="AU156" s="177">
        <f t="shared" si="107"/>
        <v>1475.2738886577717</v>
      </c>
      <c r="AV156" s="177">
        <f t="shared" si="107"/>
        <v>1297.6928694306698</v>
      </c>
      <c r="AW156" s="177">
        <f t="shared" si="107"/>
        <v>1118.5813547660946</v>
      </c>
      <c r="AX156" s="177">
        <f t="shared" si="107"/>
        <v>956.72120759970858</v>
      </c>
      <c r="AY156" s="177">
        <f t="shared" si="107"/>
        <v>880.76857229639427</v>
      </c>
      <c r="AZ156" s="177">
        <f t="shared" si="107"/>
        <v>784.72815942490706</v>
      </c>
      <c r="BA156" s="177">
        <f t="shared" si="107"/>
        <v>761.4691658828815</v>
      </c>
      <c r="BB156" s="177">
        <f t="shared" si="107"/>
        <v>763.24767411066568</v>
      </c>
      <c r="BC156" s="177">
        <f t="shared" si="107"/>
        <v>739.7296744780906</v>
      </c>
      <c r="BD156" s="177">
        <f t="shared" si="107"/>
        <v>720.80069287512742</v>
      </c>
      <c r="BE156" s="177">
        <f t="shared" si="107"/>
        <v>709.76669647486415</v>
      </c>
      <c r="BF156" s="177">
        <f t="shared" si="107"/>
        <v>827.80036947577901</v>
      </c>
      <c r="BG156" s="177">
        <f t="shared" si="107"/>
        <v>1081.3385245378449</v>
      </c>
      <c r="BH156" s="177">
        <f t="shared" si="107"/>
        <v>1067.4671074050566</v>
      </c>
      <c r="BI156" s="177">
        <f t="shared" si="107"/>
        <v>1023.072300688742</v>
      </c>
      <c r="BJ156" s="177">
        <f t="shared" si="107"/>
        <v>946.04874805358122</v>
      </c>
      <c r="BK156" s="177">
        <f t="shared" si="107"/>
        <v>519.21563544032688</v>
      </c>
      <c r="BL156" s="177">
        <f t="shared" si="107"/>
        <v>416.92575600485725</v>
      </c>
      <c r="BM156" s="177">
        <f t="shared" si="107"/>
        <v>381.72731855082384</v>
      </c>
    </row>
    <row r="157" spans="1:65" s="61" customFormat="1" ht="12.75" x14ac:dyDescent="0.2">
      <c r="A157" s="51"/>
      <c r="B157" s="51"/>
      <c r="C157" s="150" t="str">
        <f t="shared" si="106"/>
        <v>Other</v>
      </c>
      <c r="D157" s="150" t="str">
        <f t="shared" si="106"/>
        <v>Recycled</v>
      </c>
      <c r="E157" s="150"/>
      <c r="F157" s="150" t="str">
        <f t="shared" si="106"/>
        <v>Central</v>
      </c>
      <c r="G157" s="150"/>
      <c r="H157" s="150"/>
      <c r="I157" s="150"/>
      <c r="J157" s="150"/>
      <c r="K157" s="150"/>
      <c r="L157" s="150"/>
      <c r="M157" s="150"/>
      <c r="N157" s="150"/>
      <c r="O157" s="150"/>
      <c r="P157" s="150"/>
      <c r="Q157" s="150"/>
      <c r="R157" s="150"/>
      <c r="S157" s="150"/>
      <c r="T157" s="150"/>
      <c r="U157" s="150"/>
      <c r="V157" s="150"/>
      <c r="W157" s="150"/>
      <c r="X157" s="150"/>
      <c r="Y157" s="150"/>
      <c r="Z157" s="150"/>
      <c r="AA157" s="150"/>
      <c r="AB157" s="150"/>
      <c r="AC157" s="150"/>
      <c r="AD157" s="177">
        <f t="shared" si="107"/>
        <v>0</v>
      </c>
      <c r="AE157" s="177">
        <f t="shared" si="107"/>
        <v>0</v>
      </c>
      <c r="AF157" s="177">
        <f t="shared" si="107"/>
        <v>0</v>
      </c>
      <c r="AG157" s="177">
        <f t="shared" si="107"/>
        <v>0</v>
      </c>
      <c r="AH157" s="177">
        <f t="shared" si="107"/>
        <v>0</v>
      </c>
      <c r="AI157" s="177">
        <f t="shared" si="107"/>
        <v>0</v>
      </c>
      <c r="AJ157" s="177">
        <f t="shared" si="107"/>
        <v>0</v>
      </c>
      <c r="AK157" s="177">
        <f t="shared" si="107"/>
        <v>0</v>
      </c>
      <c r="AL157" s="177">
        <f t="shared" si="107"/>
        <v>0</v>
      </c>
      <c r="AM157" s="177">
        <f t="shared" si="107"/>
        <v>0</v>
      </c>
      <c r="AN157" s="177">
        <f t="shared" si="107"/>
        <v>0</v>
      </c>
      <c r="AO157" s="177">
        <f t="shared" si="107"/>
        <v>0</v>
      </c>
      <c r="AP157" s="177">
        <f t="shared" si="107"/>
        <v>0</v>
      </c>
      <c r="AQ157" s="177">
        <f t="shared" si="107"/>
        <v>0</v>
      </c>
      <c r="AR157" s="177">
        <f t="shared" si="107"/>
        <v>0</v>
      </c>
      <c r="AS157" s="177">
        <f t="shared" si="107"/>
        <v>0</v>
      </c>
      <c r="AT157" s="177">
        <f t="shared" si="107"/>
        <v>0</v>
      </c>
      <c r="AU157" s="177">
        <f t="shared" si="107"/>
        <v>0</v>
      </c>
      <c r="AV157" s="177">
        <f t="shared" si="107"/>
        <v>0</v>
      </c>
      <c r="AW157" s="177">
        <f t="shared" si="107"/>
        <v>0</v>
      </c>
      <c r="AX157" s="177">
        <f t="shared" si="107"/>
        <v>0</v>
      </c>
      <c r="AY157" s="177">
        <f t="shared" si="107"/>
        <v>0</v>
      </c>
      <c r="AZ157" s="177">
        <f t="shared" si="107"/>
        <v>0</v>
      </c>
      <c r="BA157" s="177">
        <f t="shared" si="107"/>
        <v>0</v>
      </c>
      <c r="BB157" s="177">
        <f t="shared" si="107"/>
        <v>0</v>
      </c>
      <c r="BC157" s="177">
        <f t="shared" si="107"/>
        <v>0</v>
      </c>
      <c r="BD157" s="177">
        <f t="shared" si="107"/>
        <v>0</v>
      </c>
      <c r="BE157" s="177">
        <f t="shared" si="107"/>
        <v>0</v>
      </c>
      <c r="BF157" s="177">
        <f t="shared" si="107"/>
        <v>0</v>
      </c>
      <c r="BG157" s="177">
        <f t="shared" si="107"/>
        <v>0</v>
      </c>
      <c r="BH157" s="177">
        <f t="shared" si="107"/>
        <v>0</v>
      </c>
      <c r="BI157" s="177">
        <f t="shared" si="107"/>
        <v>0</v>
      </c>
      <c r="BJ157" s="177">
        <f t="shared" si="107"/>
        <v>0</v>
      </c>
      <c r="BK157" s="177">
        <f t="shared" si="107"/>
        <v>0</v>
      </c>
      <c r="BL157" s="177">
        <f t="shared" si="107"/>
        <v>0</v>
      </c>
      <c r="BM157" s="177">
        <f t="shared" si="107"/>
        <v>0</v>
      </c>
    </row>
    <row r="158" spans="1:65" s="61" customFormat="1" ht="12.75" x14ac:dyDescent="0.2">
      <c r="A158" s="51"/>
      <c r="B158" s="51"/>
      <c r="C158" s="150" t="str">
        <f t="shared" si="106"/>
        <v>Wyndham</v>
      </c>
      <c r="D158" s="150" t="str">
        <f t="shared" si="106"/>
        <v>Recycled</v>
      </c>
      <c r="E158" s="150"/>
      <c r="F158" s="150" t="str">
        <f t="shared" si="106"/>
        <v>Western</v>
      </c>
      <c r="G158" s="150"/>
      <c r="H158" s="150"/>
      <c r="I158" s="150"/>
      <c r="J158" s="150"/>
      <c r="K158" s="150"/>
      <c r="L158" s="150"/>
      <c r="M158" s="150"/>
      <c r="N158" s="150"/>
      <c r="O158" s="150"/>
      <c r="P158" s="150"/>
      <c r="Q158" s="150"/>
      <c r="R158" s="150"/>
      <c r="S158" s="150"/>
      <c r="T158" s="150"/>
      <c r="U158" s="150"/>
      <c r="V158" s="150"/>
      <c r="W158" s="150"/>
      <c r="X158" s="150"/>
      <c r="Y158" s="150"/>
      <c r="Z158" s="150"/>
      <c r="AA158" s="150"/>
      <c r="AB158" s="150"/>
      <c r="AC158" s="150"/>
      <c r="AD158" s="177">
        <f t="shared" si="107"/>
        <v>0</v>
      </c>
      <c r="AE158" s="177">
        <f t="shared" si="107"/>
        <v>0</v>
      </c>
      <c r="AF158" s="177">
        <f t="shared" si="107"/>
        <v>0</v>
      </c>
      <c r="AG158" s="177">
        <f t="shared" ref="AG158:BM158" si="108">AG146-AF146</f>
        <v>0</v>
      </c>
      <c r="AH158" s="177">
        <f t="shared" si="108"/>
        <v>0</v>
      </c>
      <c r="AI158" s="177">
        <f t="shared" si="108"/>
        <v>0</v>
      </c>
      <c r="AJ158" s="177">
        <f t="shared" si="108"/>
        <v>0</v>
      </c>
      <c r="AK158" s="177">
        <f t="shared" si="108"/>
        <v>0</v>
      </c>
      <c r="AL158" s="177">
        <f t="shared" si="108"/>
        <v>0</v>
      </c>
      <c r="AM158" s="177">
        <f t="shared" si="108"/>
        <v>0</v>
      </c>
      <c r="AN158" s="177">
        <f t="shared" si="108"/>
        <v>0</v>
      </c>
      <c r="AO158" s="177">
        <f t="shared" si="108"/>
        <v>0</v>
      </c>
      <c r="AP158" s="177">
        <f t="shared" si="108"/>
        <v>0</v>
      </c>
      <c r="AQ158" s="177">
        <f t="shared" si="108"/>
        <v>0</v>
      </c>
      <c r="AR158" s="177">
        <f t="shared" si="108"/>
        <v>0</v>
      </c>
      <c r="AS158" s="177">
        <f t="shared" si="108"/>
        <v>0</v>
      </c>
      <c r="AT158" s="177">
        <f t="shared" si="108"/>
        <v>0</v>
      </c>
      <c r="AU158" s="177">
        <f t="shared" si="108"/>
        <v>0</v>
      </c>
      <c r="AV158" s="177">
        <f t="shared" si="108"/>
        <v>0</v>
      </c>
      <c r="AW158" s="177">
        <f t="shared" si="108"/>
        <v>0</v>
      </c>
      <c r="AX158" s="177">
        <f t="shared" si="108"/>
        <v>0</v>
      </c>
      <c r="AY158" s="177">
        <f t="shared" si="108"/>
        <v>0</v>
      </c>
      <c r="AZ158" s="177">
        <f t="shared" si="108"/>
        <v>0</v>
      </c>
      <c r="BA158" s="177">
        <f t="shared" si="108"/>
        <v>0</v>
      </c>
      <c r="BB158" s="177">
        <f t="shared" si="108"/>
        <v>0</v>
      </c>
      <c r="BC158" s="177">
        <f t="shared" si="108"/>
        <v>0</v>
      </c>
      <c r="BD158" s="177">
        <f t="shared" si="108"/>
        <v>0</v>
      </c>
      <c r="BE158" s="177">
        <f t="shared" si="108"/>
        <v>0</v>
      </c>
      <c r="BF158" s="177">
        <f t="shared" si="108"/>
        <v>0</v>
      </c>
      <c r="BG158" s="177">
        <f t="shared" si="108"/>
        <v>0</v>
      </c>
      <c r="BH158" s="177">
        <f t="shared" si="108"/>
        <v>0</v>
      </c>
      <c r="BI158" s="177">
        <f t="shared" si="108"/>
        <v>0</v>
      </c>
      <c r="BJ158" s="177">
        <f t="shared" si="108"/>
        <v>0</v>
      </c>
      <c r="BK158" s="177">
        <f t="shared" si="108"/>
        <v>0</v>
      </c>
      <c r="BL158" s="177">
        <f t="shared" si="108"/>
        <v>0</v>
      </c>
      <c r="BM158" s="177">
        <f t="shared" si="108"/>
        <v>0</v>
      </c>
    </row>
    <row r="159" spans="1:65" s="61" customFormat="1" ht="12.75" x14ac:dyDescent="0.2">
      <c r="A159" s="51"/>
      <c r="B159" s="51"/>
      <c r="C159" s="150" t="str">
        <f t="shared" si="106"/>
        <v>Other</v>
      </c>
      <c r="D159" s="150" t="str">
        <f t="shared" si="106"/>
        <v>Recycled</v>
      </c>
      <c r="E159" s="150"/>
      <c r="F159" s="150" t="str">
        <f t="shared" si="106"/>
        <v>Western</v>
      </c>
      <c r="G159" s="150"/>
      <c r="H159" s="150"/>
      <c r="I159" s="150"/>
      <c r="J159" s="150"/>
      <c r="K159" s="150"/>
      <c r="L159" s="150"/>
      <c r="M159" s="150"/>
      <c r="N159" s="150"/>
      <c r="O159" s="150"/>
      <c r="P159" s="150"/>
      <c r="Q159" s="150"/>
      <c r="R159" s="150"/>
      <c r="S159" s="150"/>
      <c r="T159" s="150"/>
      <c r="U159" s="150"/>
      <c r="V159" s="150"/>
      <c r="W159" s="150"/>
      <c r="X159" s="150"/>
      <c r="Y159" s="150"/>
      <c r="Z159" s="150"/>
      <c r="AA159" s="150"/>
      <c r="AB159" s="150"/>
      <c r="AC159" s="150"/>
      <c r="AD159" s="177">
        <f t="shared" ref="AD159:BM159" si="109">AD147-AC147</f>
        <v>0</v>
      </c>
      <c r="AE159" s="177">
        <f t="shared" si="109"/>
        <v>0</v>
      </c>
      <c r="AF159" s="177">
        <f t="shared" si="109"/>
        <v>0</v>
      </c>
      <c r="AG159" s="177">
        <f t="shared" si="109"/>
        <v>0</v>
      </c>
      <c r="AH159" s="177">
        <f t="shared" si="109"/>
        <v>0</v>
      </c>
      <c r="AI159" s="177">
        <f t="shared" si="109"/>
        <v>0</v>
      </c>
      <c r="AJ159" s="177">
        <f t="shared" si="109"/>
        <v>0</v>
      </c>
      <c r="AK159" s="177">
        <f t="shared" si="109"/>
        <v>0</v>
      </c>
      <c r="AL159" s="177">
        <f t="shared" si="109"/>
        <v>0</v>
      </c>
      <c r="AM159" s="177">
        <f t="shared" si="109"/>
        <v>0</v>
      </c>
      <c r="AN159" s="177">
        <f t="shared" si="109"/>
        <v>0</v>
      </c>
      <c r="AO159" s="177">
        <f t="shared" si="109"/>
        <v>0</v>
      </c>
      <c r="AP159" s="177">
        <f t="shared" si="109"/>
        <v>0</v>
      </c>
      <c r="AQ159" s="177">
        <f t="shared" si="109"/>
        <v>0</v>
      </c>
      <c r="AR159" s="177">
        <f t="shared" si="109"/>
        <v>0</v>
      </c>
      <c r="AS159" s="177">
        <f t="shared" si="109"/>
        <v>0</v>
      </c>
      <c r="AT159" s="177">
        <f t="shared" si="109"/>
        <v>0</v>
      </c>
      <c r="AU159" s="177">
        <f t="shared" si="109"/>
        <v>0</v>
      </c>
      <c r="AV159" s="177">
        <f t="shared" si="109"/>
        <v>0</v>
      </c>
      <c r="AW159" s="177">
        <f t="shared" si="109"/>
        <v>0</v>
      </c>
      <c r="AX159" s="177">
        <f t="shared" si="109"/>
        <v>0</v>
      </c>
      <c r="AY159" s="177">
        <f t="shared" si="109"/>
        <v>0</v>
      </c>
      <c r="AZ159" s="177">
        <f t="shared" si="109"/>
        <v>0</v>
      </c>
      <c r="BA159" s="177">
        <f t="shared" si="109"/>
        <v>0</v>
      </c>
      <c r="BB159" s="177">
        <f t="shared" si="109"/>
        <v>0</v>
      </c>
      <c r="BC159" s="177">
        <f t="shared" si="109"/>
        <v>0</v>
      </c>
      <c r="BD159" s="177">
        <f t="shared" si="109"/>
        <v>0</v>
      </c>
      <c r="BE159" s="177">
        <f t="shared" si="109"/>
        <v>0</v>
      </c>
      <c r="BF159" s="177">
        <f t="shared" si="109"/>
        <v>0</v>
      </c>
      <c r="BG159" s="177">
        <f t="shared" si="109"/>
        <v>0</v>
      </c>
      <c r="BH159" s="177">
        <f t="shared" si="109"/>
        <v>0</v>
      </c>
      <c r="BI159" s="177">
        <f t="shared" si="109"/>
        <v>0</v>
      </c>
      <c r="BJ159" s="177">
        <f t="shared" si="109"/>
        <v>0</v>
      </c>
      <c r="BK159" s="177">
        <f t="shared" si="109"/>
        <v>0</v>
      </c>
      <c r="BL159" s="177">
        <f t="shared" si="109"/>
        <v>0</v>
      </c>
      <c r="BM159" s="177">
        <f t="shared" si="109"/>
        <v>0</v>
      </c>
    </row>
    <row r="160" spans="1:65" s="61" customFormat="1" ht="12.75" x14ac:dyDescent="0.2">
      <c r="A160" s="150"/>
      <c r="B160" s="150"/>
      <c r="C160" s="64" t="s">
        <v>525</v>
      </c>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50"/>
      <c r="AL160" s="150"/>
      <c r="AM160" s="150"/>
      <c r="AN160" s="150"/>
      <c r="AO160" s="150"/>
      <c r="AP160" s="150"/>
      <c r="AQ160" s="150"/>
      <c r="AR160" s="150"/>
      <c r="AS160" s="150"/>
      <c r="AT160" s="150"/>
      <c r="AU160" s="150"/>
      <c r="AV160" s="150"/>
      <c r="AW160" s="150"/>
      <c r="AX160" s="150"/>
      <c r="AY160" s="150"/>
      <c r="AZ160" s="150"/>
      <c r="BA160" s="150"/>
      <c r="BB160" s="150"/>
      <c r="BC160" s="150"/>
      <c r="BD160" s="150"/>
      <c r="BE160" s="150"/>
      <c r="BF160" s="150"/>
      <c r="BG160" s="150"/>
      <c r="BH160" s="150"/>
      <c r="BI160" s="150"/>
      <c r="BJ160" s="150"/>
      <c r="BK160" s="150"/>
      <c r="BL160" s="150"/>
      <c r="BM160" s="150"/>
    </row>
    <row r="161" spans="3:65" s="61" customFormat="1" ht="12.75" x14ac:dyDescent="0.2">
      <c r="C161" s="150" t="s">
        <v>287</v>
      </c>
      <c r="D161" s="150" t="s">
        <v>301</v>
      </c>
      <c r="E161" s="150"/>
      <c r="F161" s="150" t="str">
        <f>F150</f>
        <v>Central</v>
      </c>
      <c r="G161" s="150"/>
      <c r="H161" s="150"/>
      <c r="I161" s="150"/>
      <c r="J161" s="150"/>
      <c r="K161" s="150"/>
      <c r="L161" s="150"/>
      <c r="M161" s="150"/>
      <c r="N161" s="150"/>
      <c r="O161" s="150"/>
      <c r="P161" s="150"/>
      <c r="Q161" s="150"/>
      <c r="R161" s="150"/>
      <c r="S161" s="150"/>
      <c r="T161" s="150"/>
      <c r="U161" s="150"/>
      <c r="V161" s="150"/>
      <c r="W161" s="150"/>
      <c r="X161" s="150"/>
      <c r="Y161" s="150"/>
      <c r="Z161" s="150"/>
      <c r="AA161" s="150"/>
      <c r="AB161" s="150"/>
      <c r="AC161" s="150"/>
      <c r="AD161" s="177">
        <f>AD150+AC161</f>
        <v>13808.925448677503</v>
      </c>
      <c r="AE161" s="177">
        <f t="shared" ref="AE161:BM161" si="110">AE150+AD161</f>
        <v>28221.852828603005</v>
      </c>
      <c r="AF161" s="177">
        <f t="shared" si="110"/>
        <v>40495.194023079704</v>
      </c>
      <c r="AG161" s="177">
        <f t="shared" si="110"/>
        <v>52782.33150353888</v>
      </c>
      <c r="AH161" s="177">
        <f t="shared" si="110"/>
        <v>64813.464537026477</v>
      </c>
      <c r="AI161" s="177">
        <f t="shared" si="110"/>
        <v>76578.39939577051</v>
      </c>
      <c r="AJ161" s="177">
        <f t="shared" si="110"/>
        <v>88334.992669526022</v>
      </c>
      <c r="AK161" s="177">
        <f t="shared" si="110"/>
        <v>100472.76271187025</v>
      </c>
      <c r="AL161" s="177">
        <f t="shared" si="110"/>
        <v>112899.90959595831</v>
      </c>
      <c r="AM161" s="177">
        <f t="shared" si="110"/>
        <v>125664.50942910207</v>
      </c>
      <c r="AN161" s="177">
        <f t="shared" si="110"/>
        <v>138703.91905201483</v>
      </c>
      <c r="AO161" s="177">
        <f t="shared" si="110"/>
        <v>151980.43090044439</v>
      </c>
      <c r="AP161" s="177">
        <f t="shared" si="110"/>
        <v>165475.56927137403</v>
      </c>
      <c r="AQ161" s="177">
        <f t="shared" si="110"/>
        <v>179064.42547048093</v>
      </c>
      <c r="AR161" s="177">
        <f t="shared" si="110"/>
        <v>192745.4091080043</v>
      </c>
      <c r="AS161" s="177">
        <f t="shared" si="110"/>
        <v>206460.89304996387</v>
      </c>
      <c r="AT161" s="177">
        <f t="shared" si="110"/>
        <v>220189.15347706783</v>
      </c>
      <c r="AU161" s="177">
        <f t="shared" si="110"/>
        <v>233793.37017695035</v>
      </c>
      <c r="AV161" s="177">
        <f t="shared" si="110"/>
        <v>247338.0995501834</v>
      </c>
      <c r="AW161" s="177">
        <f t="shared" si="110"/>
        <v>260857.03751770104</v>
      </c>
      <c r="AX161" s="177">
        <f t="shared" si="110"/>
        <v>274333.84132510819</v>
      </c>
      <c r="AY161" s="177">
        <f t="shared" si="110"/>
        <v>287810.57071342354</v>
      </c>
      <c r="AZ161" s="177">
        <f t="shared" si="110"/>
        <v>301022.25353520853</v>
      </c>
      <c r="BA161" s="177">
        <f t="shared" si="110"/>
        <v>314283.98230402905</v>
      </c>
      <c r="BB161" s="177">
        <f t="shared" si="110"/>
        <v>327665.24311068945</v>
      </c>
      <c r="BC161" s="177">
        <f t="shared" si="110"/>
        <v>341120.17880169023</v>
      </c>
      <c r="BD161" s="177">
        <f t="shared" si="110"/>
        <v>354680.45965777268</v>
      </c>
      <c r="BE161" s="177">
        <f t="shared" si="110"/>
        <v>368809.95351862349</v>
      </c>
      <c r="BF161" s="177">
        <f t="shared" si="110"/>
        <v>382930.47998206771</v>
      </c>
      <c r="BG161" s="177">
        <f t="shared" si="110"/>
        <v>396862.55877889134</v>
      </c>
      <c r="BH161" s="177">
        <f t="shared" si="110"/>
        <v>410563.84095542133</v>
      </c>
      <c r="BI161" s="177">
        <f t="shared" si="110"/>
        <v>424232.49872461602</v>
      </c>
      <c r="BJ161" s="177">
        <f t="shared" si="110"/>
        <v>437736.34821279591</v>
      </c>
      <c r="BK161" s="177">
        <f t="shared" si="110"/>
        <v>451364.5074261094</v>
      </c>
      <c r="BL161" s="177">
        <f t="shared" si="110"/>
        <v>465149.95369842078</v>
      </c>
      <c r="BM161" s="177">
        <f t="shared" si="110"/>
        <v>479065.73127181339</v>
      </c>
    </row>
    <row r="162" spans="3:65" s="61" customFormat="1" ht="12.75" x14ac:dyDescent="0.2">
      <c r="C162" s="150" t="s">
        <v>287</v>
      </c>
      <c r="D162" s="150" t="s">
        <v>301</v>
      </c>
      <c r="E162" s="150"/>
      <c r="F162" s="150" t="str">
        <f t="shared" ref="F162:F170" si="111">F151</f>
        <v>Western</v>
      </c>
      <c r="G162" s="150"/>
      <c r="H162" s="150"/>
      <c r="I162" s="150"/>
      <c r="J162" s="150"/>
      <c r="K162" s="150"/>
      <c r="L162" s="150"/>
      <c r="M162" s="150"/>
      <c r="N162" s="150"/>
      <c r="O162" s="150"/>
      <c r="P162" s="150"/>
      <c r="Q162" s="150"/>
      <c r="R162" s="150"/>
      <c r="S162" s="150"/>
      <c r="T162" s="150"/>
      <c r="U162" s="150"/>
      <c r="V162" s="150"/>
      <c r="W162" s="150"/>
      <c r="X162" s="150"/>
      <c r="Y162" s="150"/>
      <c r="Z162" s="150"/>
      <c r="AA162" s="150"/>
      <c r="AB162" s="150"/>
      <c r="AC162" s="150"/>
      <c r="AD162" s="177">
        <f t="shared" ref="AD162:BM169" si="112">AD151+AC162</f>
        <v>569.72584803785867</v>
      </c>
      <c r="AE162" s="177">
        <f t="shared" si="112"/>
        <v>1221.2999486831759</v>
      </c>
      <c r="AF162" s="177">
        <f t="shared" si="112"/>
        <v>1801.7002341773841</v>
      </c>
      <c r="AG162" s="177">
        <f t="shared" si="112"/>
        <v>2428.6197000120592</v>
      </c>
      <c r="AH162" s="177">
        <f t="shared" si="112"/>
        <v>3177.089251555517</v>
      </c>
      <c r="AI162" s="177">
        <f t="shared" si="112"/>
        <v>3908.7077242074811</v>
      </c>
      <c r="AJ162" s="177">
        <f t="shared" si="112"/>
        <v>4603.7682869338314</v>
      </c>
      <c r="AK162" s="177">
        <f t="shared" si="112"/>
        <v>5180.4346863192986</v>
      </c>
      <c r="AL162" s="177">
        <f t="shared" si="112"/>
        <v>5710.4970105255634</v>
      </c>
      <c r="AM162" s="177">
        <f t="shared" si="112"/>
        <v>6200.4160041204377</v>
      </c>
      <c r="AN162" s="177">
        <f t="shared" si="112"/>
        <v>6667.0877166483551</v>
      </c>
      <c r="AO162" s="177">
        <f t="shared" si="112"/>
        <v>7113.5922555160432</v>
      </c>
      <c r="AP162" s="177">
        <f t="shared" si="112"/>
        <v>7561.0367384087149</v>
      </c>
      <c r="AQ162" s="177">
        <f t="shared" si="112"/>
        <v>8015.3130482550405</v>
      </c>
      <c r="AR162" s="177">
        <f t="shared" si="112"/>
        <v>8492.5563816143476</v>
      </c>
      <c r="AS162" s="177">
        <f t="shared" si="112"/>
        <v>8963.3515634890282</v>
      </c>
      <c r="AT162" s="177">
        <f t="shared" si="112"/>
        <v>9501.1297323722101</v>
      </c>
      <c r="AU162" s="177">
        <f t="shared" si="112"/>
        <v>10018.766880088864</v>
      </c>
      <c r="AV162" s="177">
        <f t="shared" si="112"/>
        <v>10599.777183407969</v>
      </c>
      <c r="AW162" s="177">
        <f t="shared" si="112"/>
        <v>11279.832055788858</v>
      </c>
      <c r="AX162" s="177">
        <f t="shared" si="112"/>
        <v>12075.015849763222</v>
      </c>
      <c r="AY162" s="177">
        <f t="shared" si="112"/>
        <v>12964.707729143884</v>
      </c>
      <c r="AZ162" s="177">
        <f t="shared" si="112"/>
        <v>13795.541175964354</v>
      </c>
      <c r="BA162" s="177">
        <f t="shared" si="112"/>
        <v>14583.10221664705</v>
      </c>
      <c r="BB162" s="177">
        <f t="shared" si="112"/>
        <v>15309.289071972897</v>
      </c>
      <c r="BC162" s="177">
        <f t="shared" si="112"/>
        <v>16013.057039035455</v>
      </c>
      <c r="BD162" s="177">
        <f t="shared" si="112"/>
        <v>16761.400926072711</v>
      </c>
      <c r="BE162" s="177">
        <f t="shared" si="112"/>
        <v>17503.582258063725</v>
      </c>
      <c r="BF162" s="177">
        <f t="shared" si="112"/>
        <v>18242.654039607958</v>
      </c>
      <c r="BG162" s="177">
        <f t="shared" si="112"/>
        <v>18942.213248125918</v>
      </c>
      <c r="BH162" s="177">
        <f t="shared" si="112"/>
        <v>19680.105978639316</v>
      </c>
      <c r="BI162" s="177">
        <f t="shared" si="112"/>
        <v>20463.965063685115</v>
      </c>
      <c r="BJ162" s="177">
        <f t="shared" si="112"/>
        <v>21300.250528796656</v>
      </c>
      <c r="BK162" s="177">
        <f t="shared" si="112"/>
        <v>22024.580458853998</v>
      </c>
      <c r="BL162" s="177">
        <f t="shared" si="112"/>
        <v>22724.844905486221</v>
      </c>
      <c r="BM162" s="177">
        <f t="shared" si="112"/>
        <v>23403.669251273241</v>
      </c>
    </row>
    <row r="163" spans="3:65" s="61" customFormat="1" ht="12.75" x14ac:dyDescent="0.2">
      <c r="C163" s="150" t="s">
        <v>290</v>
      </c>
      <c r="D163" s="150" t="s">
        <v>301</v>
      </c>
      <c r="E163" s="150"/>
      <c r="F163" s="150" t="str">
        <f t="shared" si="111"/>
        <v>Western</v>
      </c>
      <c r="G163" s="150"/>
      <c r="H163" s="150"/>
      <c r="I163" s="150"/>
      <c r="J163" s="150"/>
      <c r="K163" s="150"/>
      <c r="L163" s="150"/>
      <c r="M163" s="150"/>
      <c r="N163" s="150"/>
      <c r="O163" s="150"/>
      <c r="P163" s="150"/>
      <c r="Q163" s="150"/>
      <c r="R163" s="150"/>
      <c r="S163" s="150"/>
      <c r="T163" s="150"/>
      <c r="U163" s="150"/>
      <c r="V163" s="150"/>
      <c r="W163" s="150"/>
      <c r="X163" s="150"/>
      <c r="Y163" s="150"/>
      <c r="Z163" s="150"/>
      <c r="AA163" s="150"/>
      <c r="AB163" s="150"/>
      <c r="AC163" s="150"/>
      <c r="AD163" s="177">
        <f t="shared" si="112"/>
        <v>3221.6132480732922</v>
      </c>
      <c r="AE163" s="177">
        <f t="shared" si="112"/>
        <v>6546.7167220906631</v>
      </c>
      <c r="AF163" s="177">
        <f t="shared" si="112"/>
        <v>10140.397184034577</v>
      </c>
      <c r="AG163" s="177">
        <f t="shared" si="112"/>
        <v>13009.289449626085</v>
      </c>
      <c r="AH163" s="177">
        <f t="shared" si="112"/>
        <v>15989.179798531535</v>
      </c>
      <c r="AI163" s="177">
        <f t="shared" si="112"/>
        <v>19130.790321873021</v>
      </c>
      <c r="AJ163" s="177">
        <f t="shared" si="112"/>
        <v>22208.044352876976</v>
      </c>
      <c r="AK163" s="177">
        <f t="shared" si="112"/>
        <v>25512.23657504069</v>
      </c>
      <c r="AL163" s="177">
        <f t="shared" si="112"/>
        <v>28843.44582743894</v>
      </c>
      <c r="AM163" s="177">
        <f t="shared" si="112"/>
        <v>32159.19503712318</v>
      </c>
      <c r="AN163" s="177">
        <f t="shared" si="112"/>
        <v>35285.650048955824</v>
      </c>
      <c r="AO163" s="177">
        <f t="shared" si="112"/>
        <v>38311.967423506823</v>
      </c>
      <c r="AP163" s="177">
        <f t="shared" si="112"/>
        <v>41208.447467658509</v>
      </c>
      <c r="AQ163" s="177">
        <f t="shared" si="112"/>
        <v>44038.210315976074</v>
      </c>
      <c r="AR163" s="177">
        <f t="shared" si="112"/>
        <v>46770.117122069438</v>
      </c>
      <c r="AS163" s="177">
        <f t="shared" si="112"/>
        <v>49421.140445796773</v>
      </c>
      <c r="AT163" s="177">
        <f t="shared" si="112"/>
        <v>52819.260206641717</v>
      </c>
      <c r="AU163" s="177">
        <f t="shared" si="112"/>
        <v>55559.82426514088</v>
      </c>
      <c r="AV163" s="177">
        <f t="shared" si="112"/>
        <v>58112.673583785072</v>
      </c>
      <c r="AW163" s="177">
        <f t="shared" si="112"/>
        <v>60497.412407140597</v>
      </c>
      <c r="AX163" s="177">
        <f t="shared" si="112"/>
        <v>62754.047747665929</v>
      </c>
      <c r="AY163" s="177">
        <f t="shared" si="112"/>
        <v>64892.83233911173</v>
      </c>
      <c r="AZ163" s="177">
        <f t="shared" si="112"/>
        <v>66835.336238060481</v>
      </c>
      <c r="BA163" s="177">
        <f t="shared" si="112"/>
        <v>68751.252658145866</v>
      </c>
      <c r="BB163" s="177">
        <f t="shared" si="112"/>
        <v>70648.612189243941</v>
      </c>
      <c r="BC163" s="177">
        <f t="shared" si="112"/>
        <v>72491.476712605087</v>
      </c>
      <c r="BD163" s="177">
        <f t="shared" si="112"/>
        <v>74235.045517227991</v>
      </c>
      <c r="BE163" s="177">
        <f t="shared" si="112"/>
        <v>75675.375131105582</v>
      </c>
      <c r="BF163" s="177">
        <f t="shared" si="112"/>
        <v>77103.525239646493</v>
      </c>
      <c r="BG163" s="177">
        <f t="shared" si="112"/>
        <v>78651.859808208625</v>
      </c>
      <c r="BH163" s="177">
        <f t="shared" si="112"/>
        <v>80237.927379231129</v>
      </c>
      <c r="BI163" s="177">
        <f t="shared" si="112"/>
        <v>81697.735569980359</v>
      </c>
      <c r="BJ163" s="177">
        <f t="shared" si="112"/>
        <v>83261.316944735634</v>
      </c>
      <c r="BK163" s="177">
        <f t="shared" si="112"/>
        <v>84753.907755926703</v>
      </c>
      <c r="BL163" s="177">
        <f t="shared" si="112"/>
        <v>86110.77714241884</v>
      </c>
      <c r="BM163" s="177">
        <f t="shared" si="112"/>
        <v>87357.986032723711</v>
      </c>
    </row>
    <row r="164" spans="3:65" s="61" customFormat="1" ht="12.75" x14ac:dyDescent="0.2">
      <c r="C164" s="150" t="s">
        <v>287</v>
      </c>
      <c r="D164" s="150" t="s">
        <v>303</v>
      </c>
      <c r="E164" s="150"/>
      <c r="F164" s="150" t="str">
        <f t="shared" si="111"/>
        <v>Central</v>
      </c>
      <c r="G164" s="150"/>
      <c r="H164" s="150"/>
      <c r="I164" s="150"/>
      <c r="J164" s="150"/>
      <c r="K164" s="150"/>
      <c r="L164" s="150"/>
      <c r="M164" s="150"/>
      <c r="N164" s="150"/>
      <c r="O164" s="150"/>
      <c r="P164" s="150"/>
      <c r="Q164" s="150"/>
      <c r="R164" s="150"/>
      <c r="S164" s="150"/>
      <c r="T164" s="150"/>
      <c r="U164" s="150"/>
      <c r="V164" s="150"/>
      <c r="W164" s="150"/>
      <c r="X164" s="150"/>
      <c r="Y164" s="150"/>
      <c r="Z164" s="150"/>
      <c r="AA164" s="150"/>
      <c r="AB164" s="150"/>
      <c r="AC164" s="150"/>
      <c r="AD164" s="177">
        <f t="shared" si="112"/>
        <v>13808.925448677503</v>
      </c>
      <c r="AE164" s="177">
        <f t="shared" si="112"/>
        <v>28221.852828603005</v>
      </c>
      <c r="AF164" s="177">
        <f t="shared" si="112"/>
        <v>40495.194023079821</v>
      </c>
      <c r="AG164" s="177">
        <f t="shared" si="112"/>
        <v>52782.331503538997</v>
      </c>
      <c r="AH164" s="177">
        <f t="shared" si="112"/>
        <v>64813.464537026593</v>
      </c>
      <c r="AI164" s="177">
        <f t="shared" si="112"/>
        <v>76578.39939577051</v>
      </c>
      <c r="AJ164" s="177">
        <f t="shared" si="112"/>
        <v>88334.992669526022</v>
      </c>
      <c r="AK164" s="177">
        <f t="shared" si="112"/>
        <v>100472.76271187037</v>
      </c>
      <c r="AL164" s="177">
        <f t="shared" si="112"/>
        <v>112899.90959595831</v>
      </c>
      <c r="AM164" s="177">
        <f t="shared" si="112"/>
        <v>125664.50942910207</v>
      </c>
      <c r="AN164" s="177">
        <f t="shared" si="112"/>
        <v>138703.91905201483</v>
      </c>
      <c r="AO164" s="177">
        <f t="shared" si="112"/>
        <v>151980.43090044451</v>
      </c>
      <c r="AP164" s="177">
        <f t="shared" si="112"/>
        <v>165475.56927137426</v>
      </c>
      <c r="AQ164" s="177">
        <f t="shared" si="112"/>
        <v>179064.42547048093</v>
      </c>
      <c r="AR164" s="177">
        <f t="shared" si="112"/>
        <v>192745.4091080043</v>
      </c>
      <c r="AS164" s="177">
        <f t="shared" si="112"/>
        <v>206460.89304996398</v>
      </c>
      <c r="AT164" s="177">
        <f t="shared" si="112"/>
        <v>220189.15347706783</v>
      </c>
      <c r="AU164" s="177">
        <f t="shared" si="112"/>
        <v>233793.37017695035</v>
      </c>
      <c r="AV164" s="177">
        <f t="shared" si="112"/>
        <v>247338.0995501834</v>
      </c>
      <c r="AW164" s="177">
        <f t="shared" si="112"/>
        <v>260857.03751770116</v>
      </c>
      <c r="AX164" s="177">
        <f t="shared" si="112"/>
        <v>274333.84132510819</v>
      </c>
      <c r="AY164" s="177">
        <f t="shared" si="112"/>
        <v>287810.57071342377</v>
      </c>
      <c r="AZ164" s="177">
        <f t="shared" si="112"/>
        <v>301022.25353520853</v>
      </c>
      <c r="BA164" s="177">
        <f t="shared" si="112"/>
        <v>314283.98230402893</v>
      </c>
      <c r="BB164" s="177">
        <f t="shared" si="112"/>
        <v>327665.24311068968</v>
      </c>
      <c r="BC164" s="177">
        <f t="shared" si="112"/>
        <v>341120.17880169011</v>
      </c>
      <c r="BD164" s="177">
        <f t="shared" si="112"/>
        <v>354680.45965777268</v>
      </c>
      <c r="BE164" s="177">
        <f t="shared" si="112"/>
        <v>368809.9535186236</v>
      </c>
      <c r="BF164" s="177">
        <f t="shared" si="112"/>
        <v>382930.47998206748</v>
      </c>
      <c r="BG164" s="177">
        <f t="shared" si="112"/>
        <v>396862.55877889134</v>
      </c>
      <c r="BH164" s="177">
        <f t="shared" si="112"/>
        <v>410563.84095542121</v>
      </c>
      <c r="BI164" s="177">
        <f t="shared" si="112"/>
        <v>424232.4987246159</v>
      </c>
      <c r="BJ164" s="177">
        <f t="shared" si="112"/>
        <v>437736.34821279603</v>
      </c>
      <c r="BK164" s="177">
        <f t="shared" si="112"/>
        <v>451364.50742610928</v>
      </c>
      <c r="BL164" s="177">
        <f t="shared" si="112"/>
        <v>465149.9536984209</v>
      </c>
      <c r="BM164" s="177">
        <f t="shared" si="112"/>
        <v>479065.73127181339</v>
      </c>
    </row>
    <row r="165" spans="3:65" s="61" customFormat="1" ht="12.75" x14ac:dyDescent="0.2">
      <c r="C165" s="150" t="s">
        <v>287</v>
      </c>
      <c r="D165" s="150" t="s">
        <v>303</v>
      </c>
      <c r="E165" s="150"/>
      <c r="F165" s="150" t="str">
        <f t="shared" si="111"/>
        <v>Western</v>
      </c>
      <c r="G165" s="150"/>
      <c r="H165" s="150"/>
      <c r="I165" s="150"/>
      <c r="J165" s="150"/>
      <c r="K165" s="150"/>
      <c r="L165" s="150"/>
      <c r="M165" s="150"/>
      <c r="N165" s="150"/>
      <c r="O165" s="150"/>
      <c r="P165" s="150"/>
      <c r="Q165" s="150"/>
      <c r="R165" s="150"/>
      <c r="S165" s="150"/>
      <c r="T165" s="150"/>
      <c r="U165" s="150"/>
      <c r="V165" s="150"/>
      <c r="W165" s="150"/>
      <c r="X165" s="150"/>
      <c r="Y165" s="150"/>
      <c r="Z165" s="150"/>
      <c r="AA165" s="150"/>
      <c r="AB165" s="150"/>
      <c r="AC165" s="150"/>
      <c r="AD165" s="177">
        <f t="shared" si="112"/>
        <v>-2.7345965577254958</v>
      </c>
      <c r="AE165" s="177">
        <f t="shared" si="112"/>
        <v>0.20507207452340026</v>
      </c>
      <c r="AF165" s="177">
        <f t="shared" si="112"/>
        <v>1.4959600581395307</v>
      </c>
      <c r="AG165" s="177">
        <f t="shared" si="112"/>
        <v>2.9827154887381084</v>
      </c>
      <c r="AH165" s="177">
        <f t="shared" si="112"/>
        <v>5.428808205889851</v>
      </c>
      <c r="AI165" s="177">
        <f t="shared" si="112"/>
        <v>8.2673674446193388</v>
      </c>
      <c r="AJ165" s="177">
        <f t="shared" si="112"/>
        <v>10.981072104103731</v>
      </c>
      <c r="AK165" s="177">
        <f t="shared" si="112"/>
        <v>13.063289956051875</v>
      </c>
      <c r="AL165" s="177">
        <f t="shared" si="112"/>
        <v>13.586042207062604</v>
      </c>
      <c r="AM165" s="177">
        <f t="shared" si="112"/>
        <v>13.832250637176969</v>
      </c>
      <c r="AN165" s="177">
        <f t="shared" si="112"/>
        <v>19.071884667347746</v>
      </c>
      <c r="AO165" s="177">
        <f t="shared" si="112"/>
        <v>24.415703680150528</v>
      </c>
      <c r="AP165" s="177">
        <f t="shared" si="112"/>
        <v>29.035478043765494</v>
      </c>
      <c r="AQ165" s="177">
        <f t="shared" si="112"/>
        <v>33.720026461759829</v>
      </c>
      <c r="AR165" s="177">
        <f t="shared" si="112"/>
        <v>38.180983226181326</v>
      </c>
      <c r="AS165" s="177">
        <f t="shared" si="112"/>
        <v>42.377696568528251</v>
      </c>
      <c r="AT165" s="177">
        <f t="shared" si="112"/>
        <v>46.544842638379208</v>
      </c>
      <c r="AU165" s="177">
        <f t="shared" si="112"/>
        <v>46.155344068499261</v>
      </c>
      <c r="AV165" s="177">
        <f t="shared" si="112"/>
        <v>46.066061416629253</v>
      </c>
      <c r="AW165" s="177">
        <f t="shared" si="112"/>
        <v>48.056817644316169</v>
      </c>
      <c r="AX165" s="177">
        <f t="shared" si="112"/>
        <v>49.412399048336084</v>
      </c>
      <c r="AY165" s="177">
        <f t="shared" si="112"/>
        <v>52.594199722222157</v>
      </c>
      <c r="AZ165" s="177">
        <f t="shared" si="112"/>
        <v>54.079436490410416</v>
      </c>
      <c r="BA165" s="177">
        <f t="shared" si="112"/>
        <v>56.471312438720219</v>
      </c>
      <c r="BB165" s="177">
        <f t="shared" si="112"/>
        <v>57.236486474975635</v>
      </c>
      <c r="BC165" s="177">
        <f t="shared" si="112"/>
        <v>57.860616795699542</v>
      </c>
      <c r="BD165" s="177">
        <f t="shared" si="112"/>
        <v>59.934985124844076</v>
      </c>
      <c r="BE165" s="177">
        <f t="shared" si="112"/>
        <v>60.836871751799123</v>
      </c>
      <c r="BF165" s="177">
        <f t="shared" si="112"/>
        <v>61.697896285467806</v>
      </c>
      <c r="BG165" s="177">
        <f t="shared" si="112"/>
        <v>63.604756159003983</v>
      </c>
      <c r="BH165" s="177">
        <f t="shared" si="112"/>
        <v>64.304026506823135</v>
      </c>
      <c r="BI165" s="177">
        <f t="shared" si="112"/>
        <v>65.378155109497499</v>
      </c>
      <c r="BJ165" s="177">
        <f t="shared" si="112"/>
        <v>67.978085473581331</v>
      </c>
      <c r="BK165" s="177">
        <f t="shared" si="112"/>
        <v>68.667309725704996</v>
      </c>
      <c r="BL165" s="177">
        <f t="shared" si="112"/>
        <v>69.14691863939035</v>
      </c>
      <c r="BM165" s="177">
        <f t="shared" si="112"/>
        <v>70.85686893554228</v>
      </c>
    </row>
    <row r="166" spans="3:65" s="61" customFormat="1" ht="12.75" x14ac:dyDescent="0.2">
      <c r="C166" s="150" t="s">
        <v>290</v>
      </c>
      <c r="D166" s="150" t="s">
        <v>303</v>
      </c>
      <c r="E166" s="150"/>
      <c r="F166" s="150" t="str">
        <f t="shared" si="111"/>
        <v>Western</v>
      </c>
      <c r="G166" s="150"/>
      <c r="H166" s="150"/>
      <c r="I166" s="150"/>
      <c r="J166" s="150"/>
      <c r="K166" s="150"/>
      <c r="L166" s="150"/>
      <c r="M166" s="150"/>
      <c r="N166" s="150"/>
      <c r="O166" s="150"/>
      <c r="P166" s="150"/>
      <c r="Q166" s="150"/>
      <c r="R166" s="150"/>
      <c r="S166" s="150"/>
      <c r="T166" s="150"/>
      <c r="U166" s="150"/>
      <c r="V166" s="150"/>
      <c r="W166" s="150"/>
      <c r="X166" s="150"/>
      <c r="Y166" s="150"/>
      <c r="Z166" s="150"/>
      <c r="AA166" s="150"/>
      <c r="AB166" s="150"/>
      <c r="AC166" s="150"/>
      <c r="AD166" s="177">
        <f t="shared" si="112"/>
        <v>122.86382022774455</v>
      </c>
      <c r="AE166" s="177">
        <f t="shared" si="112"/>
        <v>266.65327772659066</v>
      </c>
      <c r="AF166" s="177">
        <f t="shared" si="112"/>
        <v>385.19519459154526</v>
      </c>
      <c r="AG166" s="177">
        <f t="shared" si="112"/>
        <v>503.12136360906061</v>
      </c>
      <c r="AH166" s="177">
        <f t="shared" si="112"/>
        <v>625.01324726427765</v>
      </c>
      <c r="AI166" s="177">
        <f t="shared" si="112"/>
        <v>755.80329496936156</v>
      </c>
      <c r="AJ166" s="177">
        <f t="shared" si="112"/>
        <v>883.77585194858375</v>
      </c>
      <c r="AK166" s="177">
        <f t="shared" si="112"/>
        <v>1027.8182906555226</v>
      </c>
      <c r="AL166" s="177">
        <f t="shared" si="112"/>
        <v>1163.8795296948288</v>
      </c>
      <c r="AM166" s="177">
        <f t="shared" si="112"/>
        <v>1294.3173783434904</v>
      </c>
      <c r="AN166" s="177">
        <f t="shared" si="112"/>
        <v>1481.9939714501966</v>
      </c>
      <c r="AO166" s="177">
        <f t="shared" si="112"/>
        <v>1678.6101336040324</v>
      </c>
      <c r="AP166" s="177">
        <f t="shared" si="112"/>
        <v>1871.4169250302725</v>
      </c>
      <c r="AQ166" s="177">
        <f t="shared" si="112"/>
        <v>2057.581189718479</v>
      </c>
      <c r="AR166" s="177">
        <f t="shared" si="112"/>
        <v>2245.7714101039378</v>
      </c>
      <c r="AS166" s="177">
        <f t="shared" si="112"/>
        <v>2442.1277714811076</v>
      </c>
      <c r="AT166" s="177">
        <f t="shared" si="112"/>
        <v>2671.3882603770226</v>
      </c>
      <c r="AU166" s="177">
        <f t="shared" si="112"/>
        <v>2772.3774118793972</v>
      </c>
      <c r="AV166" s="177">
        <f t="shared" si="112"/>
        <v>2849.5602268865459</v>
      </c>
      <c r="AW166" s="177">
        <f t="shared" si="112"/>
        <v>2928.5320903825914</v>
      </c>
      <c r="AX166" s="177">
        <f t="shared" si="112"/>
        <v>2998.7241716019435</v>
      </c>
      <c r="AY166" s="177">
        <f t="shared" si="112"/>
        <v>11698.831573487838</v>
      </c>
      <c r="AZ166" s="177">
        <f t="shared" si="112"/>
        <v>11899.195632727746</v>
      </c>
      <c r="BA166" s="177">
        <f t="shared" si="112"/>
        <v>12099.86185174628</v>
      </c>
      <c r="BB166" s="177">
        <f t="shared" si="112"/>
        <v>12280.141752158965</v>
      </c>
      <c r="BC166" s="177">
        <f t="shared" si="112"/>
        <v>12466.365819973425</v>
      </c>
      <c r="BD166" s="177">
        <f t="shared" si="112"/>
        <v>12640.359526924038</v>
      </c>
      <c r="BE166" s="177">
        <f t="shared" si="112"/>
        <v>12761.904810335138</v>
      </c>
      <c r="BF166" s="177">
        <f t="shared" si="112"/>
        <v>12892.400799214149</v>
      </c>
      <c r="BG166" s="177">
        <f t="shared" si="112"/>
        <v>13038.58806771204</v>
      </c>
      <c r="BH166" s="177">
        <f t="shared" si="112"/>
        <v>13183.423649798251</v>
      </c>
      <c r="BI166" s="177">
        <f t="shared" si="112"/>
        <v>13312.505649960007</v>
      </c>
      <c r="BJ166" s="177">
        <f t="shared" si="112"/>
        <v>13466.267858867079</v>
      </c>
      <c r="BK166" s="177">
        <f t="shared" si="112"/>
        <v>13600.375613809771</v>
      </c>
      <c r="BL166" s="177">
        <f t="shared" si="112"/>
        <v>13718.447104349598</v>
      </c>
      <c r="BM166" s="177">
        <f t="shared" si="112"/>
        <v>13817.214664064584</v>
      </c>
    </row>
    <row r="167" spans="3:65" s="61" customFormat="1" ht="12.75" x14ac:dyDescent="0.2">
      <c r="C167" s="150" t="s">
        <v>283</v>
      </c>
      <c r="D167" s="150" t="s">
        <v>310</v>
      </c>
      <c r="E167" s="150"/>
      <c r="F167" s="150" t="str">
        <f t="shared" si="111"/>
        <v>Central</v>
      </c>
      <c r="G167" s="150"/>
      <c r="H167" s="150"/>
      <c r="I167" s="150"/>
      <c r="J167" s="150"/>
      <c r="K167" s="150"/>
      <c r="L167" s="150"/>
      <c r="M167" s="150"/>
      <c r="N167" s="150"/>
      <c r="O167" s="150"/>
      <c r="P167" s="150"/>
      <c r="Q167" s="150"/>
      <c r="R167" s="150"/>
      <c r="S167" s="150"/>
      <c r="T167" s="150"/>
      <c r="U167" s="150"/>
      <c r="V167" s="150"/>
      <c r="W167" s="150"/>
      <c r="X167" s="150"/>
      <c r="Y167" s="150"/>
      <c r="Z167" s="150"/>
      <c r="AA167" s="150"/>
      <c r="AB167" s="150"/>
      <c r="AC167" s="150"/>
      <c r="AD167" s="177">
        <f t="shared" si="112"/>
        <v>3384.2437416433677</v>
      </c>
      <c r="AE167" s="177">
        <f t="shared" si="112"/>
        <v>6832.7480198739577</v>
      </c>
      <c r="AF167" s="177">
        <f t="shared" si="112"/>
        <v>9783.0111987427736</v>
      </c>
      <c r="AG167" s="177">
        <f t="shared" si="112"/>
        <v>12653.653773740574</v>
      </c>
      <c r="AH167" s="177">
        <f t="shared" si="112"/>
        <v>15430.161598690072</v>
      </c>
      <c r="AI167" s="177">
        <f t="shared" si="112"/>
        <v>18211.269340548366</v>
      </c>
      <c r="AJ167" s="177">
        <f t="shared" si="112"/>
        <v>20943.568862526241</v>
      </c>
      <c r="AK167" s="177">
        <f t="shared" si="112"/>
        <v>23769.43541020737</v>
      </c>
      <c r="AL167" s="177">
        <f t="shared" si="112"/>
        <v>26627.219082496988</v>
      </c>
      <c r="AM167" s="177">
        <f t="shared" si="112"/>
        <v>29450.862793439373</v>
      </c>
      <c r="AN167" s="177">
        <f t="shared" si="112"/>
        <v>32232.650727640372</v>
      </c>
      <c r="AO167" s="177">
        <f t="shared" si="112"/>
        <v>34831.737179713178</v>
      </c>
      <c r="AP167" s="177">
        <f t="shared" si="112"/>
        <v>37146.292376306563</v>
      </c>
      <c r="AQ167" s="177">
        <f t="shared" si="112"/>
        <v>39220.253315419512</v>
      </c>
      <c r="AR167" s="177">
        <f t="shared" si="112"/>
        <v>41094.34927512116</v>
      </c>
      <c r="AS167" s="177">
        <f t="shared" si="112"/>
        <v>42789.292473062073</v>
      </c>
      <c r="AT167" s="177">
        <f t="shared" si="112"/>
        <v>44427.418497250299</v>
      </c>
      <c r="AU167" s="177">
        <f t="shared" si="112"/>
        <v>45902.692385908071</v>
      </c>
      <c r="AV167" s="177">
        <f t="shared" si="112"/>
        <v>47200.385255338741</v>
      </c>
      <c r="AW167" s="177">
        <f t="shared" si="112"/>
        <v>48318.966610104835</v>
      </c>
      <c r="AX167" s="177">
        <f t="shared" si="112"/>
        <v>49275.687817704544</v>
      </c>
      <c r="AY167" s="177">
        <f t="shared" si="112"/>
        <v>50156.456390000938</v>
      </c>
      <c r="AZ167" s="177">
        <f t="shared" si="112"/>
        <v>50941.184549425845</v>
      </c>
      <c r="BA167" s="177">
        <f t="shared" si="112"/>
        <v>51702.653715308727</v>
      </c>
      <c r="BB167" s="177">
        <f t="shared" si="112"/>
        <v>52465.901389419392</v>
      </c>
      <c r="BC167" s="177">
        <f t="shared" si="112"/>
        <v>53205.631063897483</v>
      </c>
      <c r="BD167" s="177">
        <f t="shared" si="112"/>
        <v>53926.43175677261</v>
      </c>
      <c r="BE167" s="177">
        <f t="shared" si="112"/>
        <v>54636.198453247474</v>
      </c>
      <c r="BF167" s="177">
        <f t="shared" si="112"/>
        <v>55463.998822723253</v>
      </c>
      <c r="BG167" s="177">
        <f t="shared" si="112"/>
        <v>56545.337347261098</v>
      </c>
      <c r="BH167" s="177">
        <f t="shared" si="112"/>
        <v>57612.804454666155</v>
      </c>
      <c r="BI167" s="177">
        <f t="shared" si="112"/>
        <v>58635.876755354897</v>
      </c>
      <c r="BJ167" s="177">
        <f t="shared" si="112"/>
        <v>59581.925503408478</v>
      </c>
      <c r="BK167" s="177">
        <f t="shared" si="112"/>
        <v>60101.141138848805</v>
      </c>
      <c r="BL167" s="177">
        <f t="shared" si="112"/>
        <v>60518.066894853662</v>
      </c>
      <c r="BM167" s="177">
        <f t="shared" si="112"/>
        <v>60899.794213404486</v>
      </c>
    </row>
    <row r="168" spans="3:65" s="61" customFormat="1" ht="12.75" x14ac:dyDescent="0.2">
      <c r="C168" s="150" t="s">
        <v>312</v>
      </c>
      <c r="D168" s="150" t="s">
        <v>310</v>
      </c>
      <c r="E168" s="150"/>
      <c r="F168" s="150" t="str">
        <f t="shared" si="111"/>
        <v>Central</v>
      </c>
      <c r="G168" s="150"/>
      <c r="H168" s="150"/>
      <c r="I168" s="150"/>
      <c r="J168" s="150"/>
      <c r="K168" s="150"/>
      <c r="L168" s="150"/>
      <c r="M168" s="150"/>
      <c r="N168" s="150"/>
      <c r="O168" s="150"/>
      <c r="P168" s="150"/>
      <c r="Q168" s="150"/>
      <c r="R168" s="150"/>
      <c r="S168" s="150"/>
      <c r="T168" s="150"/>
      <c r="U168" s="150"/>
      <c r="V168" s="150"/>
      <c r="W168" s="150"/>
      <c r="X168" s="150"/>
      <c r="Y168" s="150"/>
      <c r="Z168" s="150"/>
      <c r="AA168" s="150"/>
      <c r="AB168" s="150"/>
      <c r="AC168" s="150"/>
      <c r="AD168" s="177">
        <f t="shared" si="112"/>
        <v>0</v>
      </c>
      <c r="AE168" s="177">
        <f t="shared" si="112"/>
        <v>0</v>
      </c>
      <c r="AF168" s="177">
        <f t="shared" si="112"/>
        <v>0</v>
      </c>
      <c r="AG168" s="177">
        <f t="shared" si="112"/>
        <v>0</v>
      </c>
      <c r="AH168" s="177">
        <f t="shared" si="112"/>
        <v>0</v>
      </c>
      <c r="AI168" s="177">
        <f t="shared" si="112"/>
        <v>0</v>
      </c>
      <c r="AJ168" s="177">
        <f t="shared" si="112"/>
        <v>0</v>
      </c>
      <c r="AK168" s="177">
        <f t="shared" si="112"/>
        <v>0</v>
      </c>
      <c r="AL168" s="177">
        <f t="shared" si="112"/>
        <v>0</v>
      </c>
      <c r="AM168" s="177">
        <f t="shared" si="112"/>
        <v>0</v>
      </c>
      <c r="AN168" s="177">
        <f t="shared" si="112"/>
        <v>0</v>
      </c>
      <c r="AO168" s="177">
        <f t="shared" si="112"/>
        <v>0</v>
      </c>
      <c r="AP168" s="177">
        <f t="shared" si="112"/>
        <v>0</v>
      </c>
      <c r="AQ168" s="177">
        <f t="shared" si="112"/>
        <v>0</v>
      </c>
      <c r="AR168" s="177">
        <f t="shared" si="112"/>
        <v>0</v>
      </c>
      <c r="AS168" s="177">
        <f t="shared" si="112"/>
        <v>0</v>
      </c>
      <c r="AT168" s="177">
        <f t="shared" si="112"/>
        <v>0</v>
      </c>
      <c r="AU168" s="177">
        <f t="shared" si="112"/>
        <v>0</v>
      </c>
      <c r="AV168" s="177">
        <f t="shared" si="112"/>
        <v>0</v>
      </c>
      <c r="AW168" s="177">
        <f t="shared" si="112"/>
        <v>0</v>
      </c>
      <c r="AX168" s="177">
        <f t="shared" si="112"/>
        <v>0</v>
      </c>
      <c r="AY168" s="177">
        <f t="shared" si="112"/>
        <v>0</v>
      </c>
      <c r="AZ168" s="177">
        <f t="shared" si="112"/>
        <v>0</v>
      </c>
      <c r="BA168" s="177">
        <f t="shared" si="112"/>
        <v>0</v>
      </c>
      <c r="BB168" s="177">
        <f t="shared" si="112"/>
        <v>0</v>
      </c>
      <c r="BC168" s="177">
        <f t="shared" si="112"/>
        <v>0</v>
      </c>
      <c r="BD168" s="177">
        <f t="shared" si="112"/>
        <v>0</v>
      </c>
      <c r="BE168" s="177">
        <f t="shared" si="112"/>
        <v>0</v>
      </c>
      <c r="BF168" s="177">
        <f t="shared" si="112"/>
        <v>0</v>
      </c>
      <c r="BG168" s="177">
        <f t="shared" si="112"/>
        <v>0</v>
      </c>
      <c r="BH168" s="177">
        <f t="shared" si="112"/>
        <v>0</v>
      </c>
      <c r="BI168" s="177">
        <f t="shared" si="112"/>
        <v>0</v>
      </c>
      <c r="BJ168" s="177">
        <f t="shared" si="112"/>
        <v>0</v>
      </c>
      <c r="BK168" s="177">
        <f t="shared" si="112"/>
        <v>0</v>
      </c>
      <c r="BL168" s="177">
        <f t="shared" si="112"/>
        <v>0</v>
      </c>
      <c r="BM168" s="177">
        <f t="shared" si="112"/>
        <v>0</v>
      </c>
    </row>
    <row r="169" spans="3:65" s="61" customFormat="1" ht="12.75" x14ac:dyDescent="0.2">
      <c r="C169" s="150" t="s">
        <v>283</v>
      </c>
      <c r="D169" s="150" t="s">
        <v>310</v>
      </c>
      <c r="E169" s="150"/>
      <c r="F169" s="150" t="str">
        <f t="shared" si="111"/>
        <v>Western</v>
      </c>
      <c r="G169" s="150"/>
      <c r="H169" s="150"/>
      <c r="I169" s="150"/>
      <c r="J169" s="150"/>
      <c r="K169" s="150"/>
      <c r="L169" s="150"/>
      <c r="M169" s="150"/>
      <c r="N169" s="150"/>
      <c r="O169" s="150"/>
      <c r="P169" s="150"/>
      <c r="Q169" s="150"/>
      <c r="R169" s="150"/>
      <c r="S169" s="150"/>
      <c r="T169" s="150"/>
      <c r="U169" s="150"/>
      <c r="V169" s="150"/>
      <c r="W169" s="150"/>
      <c r="X169" s="150"/>
      <c r="Y169" s="150"/>
      <c r="Z169" s="150"/>
      <c r="AA169" s="150"/>
      <c r="AB169" s="150"/>
      <c r="AC169" s="150"/>
      <c r="AD169" s="177">
        <f t="shared" si="112"/>
        <v>0</v>
      </c>
      <c r="AE169" s="177">
        <f t="shared" si="112"/>
        <v>0</v>
      </c>
      <c r="AF169" s="177">
        <f t="shared" si="112"/>
        <v>0</v>
      </c>
      <c r="AG169" s="177">
        <f t="shared" ref="AG169:BM169" si="113">AG158+AF169</f>
        <v>0</v>
      </c>
      <c r="AH169" s="177">
        <f t="shared" si="113"/>
        <v>0</v>
      </c>
      <c r="AI169" s="177">
        <f t="shared" si="113"/>
        <v>0</v>
      </c>
      <c r="AJ169" s="177">
        <f t="shared" si="113"/>
        <v>0</v>
      </c>
      <c r="AK169" s="177">
        <f t="shared" si="113"/>
        <v>0</v>
      </c>
      <c r="AL169" s="177">
        <f t="shared" si="113"/>
        <v>0</v>
      </c>
      <c r="AM169" s="177">
        <f t="shared" si="113"/>
        <v>0</v>
      </c>
      <c r="AN169" s="177">
        <f t="shared" si="113"/>
        <v>0</v>
      </c>
      <c r="AO169" s="177">
        <f t="shared" si="113"/>
        <v>0</v>
      </c>
      <c r="AP169" s="177">
        <f t="shared" si="113"/>
        <v>0</v>
      </c>
      <c r="AQ169" s="177">
        <f t="shared" si="113"/>
        <v>0</v>
      </c>
      <c r="AR169" s="177">
        <f t="shared" si="113"/>
        <v>0</v>
      </c>
      <c r="AS169" s="177">
        <f t="shared" si="113"/>
        <v>0</v>
      </c>
      <c r="AT169" s="177">
        <f t="shared" si="113"/>
        <v>0</v>
      </c>
      <c r="AU169" s="177">
        <f t="shared" si="113"/>
        <v>0</v>
      </c>
      <c r="AV169" s="177">
        <f t="shared" si="113"/>
        <v>0</v>
      </c>
      <c r="AW169" s="177">
        <f t="shared" si="113"/>
        <v>0</v>
      </c>
      <c r="AX169" s="177">
        <f t="shared" si="113"/>
        <v>0</v>
      </c>
      <c r="AY169" s="177">
        <f t="shared" si="113"/>
        <v>0</v>
      </c>
      <c r="AZ169" s="177">
        <f t="shared" si="113"/>
        <v>0</v>
      </c>
      <c r="BA169" s="177">
        <f t="shared" si="113"/>
        <v>0</v>
      </c>
      <c r="BB169" s="177">
        <f t="shared" si="113"/>
        <v>0</v>
      </c>
      <c r="BC169" s="177">
        <f t="shared" si="113"/>
        <v>0</v>
      </c>
      <c r="BD169" s="177">
        <f t="shared" si="113"/>
        <v>0</v>
      </c>
      <c r="BE169" s="177">
        <f t="shared" si="113"/>
        <v>0</v>
      </c>
      <c r="BF169" s="177">
        <f t="shared" si="113"/>
        <v>0</v>
      </c>
      <c r="BG169" s="177">
        <f t="shared" si="113"/>
        <v>0</v>
      </c>
      <c r="BH169" s="177">
        <f t="shared" si="113"/>
        <v>0</v>
      </c>
      <c r="BI169" s="177">
        <f t="shared" si="113"/>
        <v>0</v>
      </c>
      <c r="BJ169" s="177">
        <f t="shared" si="113"/>
        <v>0</v>
      </c>
      <c r="BK169" s="177">
        <f t="shared" si="113"/>
        <v>0</v>
      </c>
      <c r="BL169" s="177">
        <f t="shared" si="113"/>
        <v>0</v>
      </c>
      <c r="BM169" s="177">
        <f t="shared" si="113"/>
        <v>0</v>
      </c>
    </row>
    <row r="170" spans="3:65" s="61" customFormat="1" ht="12.75" x14ac:dyDescent="0.2">
      <c r="C170" s="150" t="s">
        <v>312</v>
      </c>
      <c r="D170" s="150" t="s">
        <v>310</v>
      </c>
      <c r="E170" s="150"/>
      <c r="F170" s="150" t="str">
        <f t="shared" si="111"/>
        <v>Western</v>
      </c>
      <c r="G170" s="150"/>
      <c r="H170" s="150"/>
      <c r="I170" s="150"/>
      <c r="J170" s="150"/>
      <c r="K170" s="150"/>
      <c r="L170" s="150"/>
      <c r="M170" s="150"/>
      <c r="N170" s="150"/>
      <c r="O170" s="150"/>
      <c r="P170" s="150"/>
      <c r="Q170" s="150"/>
      <c r="R170" s="150"/>
      <c r="S170" s="150"/>
      <c r="T170" s="150"/>
      <c r="U170" s="150"/>
      <c r="V170" s="150"/>
      <c r="W170" s="150"/>
      <c r="X170" s="150"/>
      <c r="Y170" s="150"/>
      <c r="Z170" s="150"/>
      <c r="AA170" s="150"/>
      <c r="AB170" s="150"/>
      <c r="AC170" s="150"/>
      <c r="AD170" s="177">
        <f t="shared" ref="AD170:BM170" si="114">AD159+AC170</f>
        <v>0</v>
      </c>
      <c r="AE170" s="177">
        <f t="shared" si="114"/>
        <v>0</v>
      </c>
      <c r="AF170" s="177">
        <f t="shared" si="114"/>
        <v>0</v>
      </c>
      <c r="AG170" s="177">
        <f t="shared" si="114"/>
        <v>0</v>
      </c>
      <c r="AH170" s="177">
        <f t="shared" si="114"/>
        <v>0</v>
      </c>
      <c r="AI170" s="177">
        <f t="shared" si="114"/>
        <v>0</v>
      </c>
      <c r="AJ170" s="177">
        <f t="shared" si="114"/>
        <v>0</v>
      </c>
      <c r="AK170" s="177">
        <f t="shared" si="114"/>
        <v>0</v>
      </c>
      <c r="AL170" s="177">
        <f t="shared" si="114"/>
        <v>0</v>
      </c>
      <c r="AM170" s="177">
        <f t="shared" si="114"/>
        <v>0</v>
      </c>
      <c r="AN170" s="177">
        <f t="shared" si="114"/>
        <v>0</v>
      </c>
      <c r="AO170" s="177">
        <f t="shared" si="114"/>
        <v>0</v>
      </c>
      <c r="AP170" s="177">
        <f t="shared" si="114"/>
        <v>0</v>
      </c>
      <c r="AQ170" s="177">
        <f t="shared" si="114"/>
        <v>0</v>
      </c>
      <c r="AR170" s="177">
        <f t="shared" si="114"/>
        <v>0</v>
      </c>
      <c r="AS170" s="177">
        <f t="shared" si="114"/>
        <v>0</v>
      </c>
      <c r="AT170" s="177">
        <f t="shared" si="114"/>
        <v>0</v>
      </c>
      <c r="AU170" s="177">
        <f t="shared" si="114"/>
        <v>0</v>
      </c>
      <c r="AV170" s="177">
        <f t="shared" si="114"/>
        <v>0</v>
      </c>
      <c r="AW170" s="177">
        <f t="shared" si="114"/>
        <v>0</v>
      </c>
      <c r="AX170" s="177">
        <f t="shared" si="114"/>
        <v>0</v>
      </c>
      <c r="AY170" s="177">
        <f t="shared" si="114"/>
        <v>0</v>
      </c>
      <c r="AZ170" s="177">
        <f t="shared" si="114"/>
        <v>0</v>
      </c>
      <c r="BA170" s="177">
        <f t="shared" si="114"/>
        <v>0</v>
      </c>
      <c r="BB170" s="177">
        <f t="shared" si="114"/>
        <v>0</v>
      </c>
      <c r="BC170" s="177">
        <f t="shared" si="114"/>
        <v>0</v>
      </c>
      <c r="BD170" s="177">
        <f t="shared" si="114"/>
        <v>0</v>
      </c>
      <c r="BE170" s="177">
        <f t="shared" si="114"/>
        <v>0</v>
      </c>
      <c r="BF170" s="177">
        <f t="shared" si="114"/>
        <v>0</v>
      </c>
      <c r="BG170" s="177">
        <f t="shared" si="114"/>
        <v>0</v>
      </c>
      <c r="BH170" s="177">
        <f t="shared" si="114"/>
        <v>0</v>
      </c>
      <c r="BI170" s="177">
        <f t="shared" si="114"/>
        <v>0</v>
      </c>
      <c r="BJ170" s="177">
        <f t="shared" si="114"/>
        <v>0</v>
      </c>
      <c r="BK170" s="177">
        <f t="shared" si="114"/>
        <v>0</v>
      </c>
      <c r="BL170" s="177">
        <f t="shared" si="114"/>
        <v>0</v>
      </c>
      <c r="BM170" s="177">
        <f t="shared" si="114"/>
        <v>0</v>
      </c>
    </row>
    <row r="171" spans="3:65" s="61" customFormat="1" ht="12.75" x14ac:dyDescent="0.2">
      <c r="C171" s="150"/>
      <c r="D171" s="150"/>
      <c r="E171" s="150"/>
      <c r="F171" s="150"/>
      <c r="G171" s="150"/>
      <c r="H171" s="150"/>
      <c r="I171" s="150"/>
      <c r="J171" s="150"/>
      <c r="K171" s="150"/>
      <c r="L171" s="150"/>
      <c r="M171" s="150"/>
      <c r="N171" s="150"/>
      <c r="O171" s="150"/>
      <c r="P171" s="150"/>
      <c r="Q171" s="150"/>
      <c r="R171" s="150"/>
      <c r="S171" s="150"/>
      <c r="T171" s="150"/>
      <c r="U171" s="150"/>
      <c r="V171" s="150"/>
      <c r="W171" s="150"/>
      <c r="X171" s="150"/>
      <c r="Y171" s="150"/>
      <c r="Z171" s="150"/>
      <c r="AA171" s="150"/>
      <c r="AB171" s="150"/>
      <c r="AC171" s="150"/>
      <c r="AD171" s="150"/>
      <c r="AE171" s="150"/>
      <c r="AF171" s="150"/>
      <c r="AG171" s="150"/>
      <c r="AH171" s="150"/>
      <c r="AI171" s="150"/>
      <c r="AJ171" s="150"/>
      <c r="AK171" s="150"/>
      <c r="AL171" s="150"/>
      <c r="AM171" s="150"/>
      <c r="AN171" s="150"/>
      <c r="AO171" s="150"/>
      <c r="AP171" s="150"/>
      <c r="AQ171" s="150"/>
      <c r="AR171" s="150"/>
      <c r="AS171" s="150"/>
      <c r="AT171" s="150"/>
      <c r="AU171" s="150"/>
      <c r="AV171" s="150"/>
      <c r="AW171" s="150"/>
      <c r="AX171" s="150"/>
      <c r="AY171" s="150"/>
      <c r="AZ171" s="150"/>
      <c r="BA171" s="150"/>
      <c r="BB171" s="150"/>
      <c r="BC171" s="150"/>
      <c r="BD171" s="150"/>
      <c r="BE171" s="150"/>
      <c r="BF171" s="150"/>
      <c r="BG171" s="150"/>
      <c r="BH171" s="150"/>
      <c r="BI171" s="150"/>
      <c r="BJ171" s="150"/>
      <c r="BK171" s="150"/>
      <c r="BL171" s="150"/>
      <c r="BM171" s="150"/>
    </row>
    <row r="172" spans="3:65" s="61" customFormat="1" ht="12.75" x14ac:dyDescent="0.2">
      <c r="C172" s="150"/>
      <c r="D172" s="150"/>
      <c r="E172" s="150"/>
      <c r="F172" s="150"/>
      <c r="G172" s="150"/>
      <c r="H172" s="150"/>
      <c r="I172" s="150"/>
      <c r="J172" s="150"/>
      <c r="K172" s="150"/>
      <c r="L172" s="150"/>
      <c r="M172" s="150"/>
      <c r="N172" s="150"/>
      <c r="O172" s="150"/>
      <c r="P172" s="150"/>
      <c r="Q172" s="150"/>
      <c r="R172" s="150"/>
      <c r="S172" s="150"/>
      <c r="T172" s="150"/>
      <c r="U172" s="150"/>
      <c r="V172" s="150"/>
      <c r="W172" s="150"/>
      <c r="X172" s="150"/>
      <c r="Y172" s="150"/>
      <c r="Z172" s="150"/>
      <c r="AA172" s="150"/>
      <c r="AB172" s="150"/>
      <c r="AC172" s="150"/>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c r="AY172" s="150"/>
      <c r="AZ172" s="150"/>
      <c r="BA172" s="150"/>
      <c r="BB172" s="150"/>
      <c r="BC172" s="150"/>
      <c r="BD172" s="150"/>
      <c r="BE172" s="150"/>
      <c r="BF172" s="150"/>
      <c r="BG172" s="150"/>
      <c r="BH172" s="150"/>
      <c r="BI172" s="150"/>
      <c r="BJ172" s="150"/>
      <c r="BK172" s="150"/>
      <c r="BL172" s="150"/>
      <c r="BM172" s="150"/>
    </row>
    <row r="173" spans="3:65" s="61" customFormat="1" ht="12.75" x14ac:dyDescent="0.2">
      <c r="C173" s="150" t="str">
        <f>C138</f>
        <v>Standard</v>
      </c>
      <c r="D173" s="150" t="str">
        <f t="shared" ref="D173" si="115">D138</f>
        <v>Water</v>
      </c>
      <c r="E173" s="150"/>
      <c r="F173" s="150" t="str">
        <f t="shared" ref="F173:F182" si="116">F138</f>
        <v>Central</v>
      </c>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80">
        <f t="shared" ref="AC173:BM173" si="117">AC138/SUMIFS(AC$138:AC$147,$C$138:$C$147,$C173,$D$138:$D$147,$D173)</f>
        <v>0.94129582691364688</v>
      </c>
      <c r="AD173" s="180">
        <f t="shared" si="117"/>
        <v>0.94176076080902615</v>
      </c>
      <c r="AE173" s="180">
        <f t="shared" si="117"/>
        <v>0.94213382994902461</v>
      </c>
      <c r="AF173" s="180">
        <f t="shared" si="117"/>
        <v>0.94239821456766282</v>
      </c>
      <c r="AG173" s="180">
        <f t="shared" si="117"/>
        <v>0.9425835781607792</v>
      </c>
      <c r="AH173" s="180">
        <f t="shared" si="117"/>
        <v>0.94256072581526174</v>
      </c>
      <c r="AI173" s="180">
        <f t="shared" si="117"/>
        <v>0.94253965726456423</v>
      </c>
      <c r="AJ173" s="180">
        <f t="shared" si="117"/>
        <v>0.94257018922623848</v>
      </c>
      <c r="AK173" s="180">
        <f t="shared" si="117"/>
        <v>0.9427954978862968</v>
      </c>
      <c r="AL173" s="180">
        <f t="shared" si="117"/>
        <v>0.94309959760504891</v>
      </c>
      <c r="AM173" s="180">
        <f t="shared" si="117"/>
        <v>0.94347307242156042</v>
      </c>
      <c r="AN173" s="180">
        <f t="shared" si="117"/>
        <v>0.94388464588099574</v>
      </c>
      <c r="AO173" s="180">
        <f t="shared" si="117"/>
        <v>0.9443249797224198</v>
      </c>
      <c r="AP173" s="180">
        <f t="shared" si="117"/>
        <v>0.94476411468893251</v>
      </c>
      <c r="AQ173" s="180">
        <f t="shared" si="117"/>
        <v>0.94518546356356892</v>
      </c>
      <c r="AR173" s="180">
        <f t="shared" si="117"/>
        <v>0.94557007884304911</v>
      </c>
      <c r="AS173" s="180">
        <f t="shared" si="117"/>
        <v>0.94595099483583212</v>
      </c>
      <c r="AT173" s="180">
        <f t="shared" si="117"/>
        <v>0.94624064156854848</v>
      </c>
      <c r="AU173" s="180">
        <f t="shared" si="117"/>
        <v>0.94653537319792069</v>
      </c>
      <c r="AV173" s="180">
        <f t="shared" si="117"/>
        <v>0.94674435010438107</v>
      </c>
      <c r="AW173" s="180">
        <f t="shared" si="117"/>
        <v>0.94683413049770371</v>
      </c>
      <c r="AX173" s="180">
        <f t="shared" si="117"/>
        <v>0.94679190851545247</v>
      </c>
      <c r="AY173" s="180">
        <f t="shared" si="117"/>
        <v>0.94664897476762822</v>
      </c>
      <c r="AZ173" s="180">
        <f t="shared" si="117"/>
        <v>0.94655728860371924</v>
      </c>
      <c r="BA173" s="180">
        <f t="shared" si="117"/>
        <v>0.9465166860561689</v>
      </c>
      <c r="BB173" s="180">
        <f t="shared" si="117"/>
        <v>0.94654751885487276</v>
      </c>
      <c r="BC173" s="180">
        <f t="shared" si="117"/>
        <v>0.94660438671689495</v>
      </c>
      <c r="BD173" s="180">
        <f t="shared" si="117"/>
        <v>0.94662093484906307</v>
      </c>
      <c r="BE173" s="180">
        <f t="shared" si="117"/>
        <v>0.94667462768730792</v>
      </c>
      <c r="BF173" s="180">
        <f t="shared" si="117"/>
        <v>0.94672921026295831</v>
      </c>
      <c r="BG173" s="180">
        <f t="shared" si="117"/>
        <v>0.94680977203127115</v>
      </c>
      <c r="BH173" s="180">
        <f t="shared" si="117"/>
        <v>0.94683972341176859</v>
      </c>
      <c r="BI173" s="180">
        <f t="shared" si="117"/>
        <v>0.94682447556243254</v>
      </c>
      <c r="BJ173" s="180">
        <f t="shared" si="117"/>
        <v>0.94675321181135097</v>
      </c>
      <c r="BK173" s="180">
        <f t="shared" si="117"/>
        <v>0.94679123805922383</v>
      </c>
      <c r="BL173" s="180">
        <f t="shared" si="117"/>
        <v>0.9468575242981121</v>
      </c>
      <c r="BM173" s="180">
        <f t="shared" si="117"/>
        <v>0.94694727488957542</v>
      </c>
    </row>
    <row r="174" spans="3:65" s="61" customFormat="1" ht="12.75" x14ac:dyDescent="0.2">
      <c r="C174" s="150" t="str">
        <f t="shared" ref="C174:D182" si="118">C139</f>
        <v>Standard</v>
      </c>
      <c r="D174" s="150" t="str">
        <f t="shared" si="118"/>
        <v>Water</v>
      </c>
      <c r="E174" s="150"/>
      <c r="F174" s="150" t="str">
        <f t="shared" si="116"/>
        <v>Western</v>
      </c>
      <c r="G174" s="150"/>
      <c r="H174" s="150"/>
      <c r="I174" s="150"/>
      <c r="J174" s="150"/>
      <c r="K174" s="150"/>
      <c r="L174" s="150"/>
      <c r="M174" s="150"/>
      <c r="N174" s="150"/>
      <c r="O174" s="150"/>
      <c r="P174" s="150"/>
      <c r="Q174" s="150"/>
      <c r="R174" s="150"/>
      <c r="S174" s="150"/>
      <c r="T174" s="150"/>
      <c r="U174" s="150"/>
      <c r="V174" s="150"/>
      <c r="W174" s="150"/>
      <c r="X174" s="150"/>
      <c r="Y174" s="150"/>
      <c r="Z174" s="150"/>
      <c r="AA174" s="150"/>
      <c r="AB174" s="150"/>
      <c r="AC174" s="180">
        <f t="shared" ref="AC174:BM180" si="119">AC139/SUMIFS(AC$138:AC$147,$C$138:$C$147,$C174,$D$138:$D$147,$D174)</f>
        <v>5.870417308635309E-2</v>
      </c>
      <c r="AD174" s="180">
        <f t="shared" si="119"/>
        <v>5.8239239190973797E-2</v>
      </c>
      <c r="AE174" s="180">
        <f t="shared" si="119"/>
        <v>5.7866170050975441E-2</v>
      </c>
      <c r="AF174" s="180">
        <f t="shared" si="119"/>
        <v>5.7601785432337051E-2</v>
      </c>
      <c r="AG174" s="180">
        <f t="shared" si="119"/>
        <v>5.7416421839220785E-2</v>
      </c>
      <c r="AH174" s="180">
        <f t="shared" si="119"/>
        <v>5.7439274184738244E-2</v>
      </c>
      <c r="AI174" s="180">
        <f t="shared" si="119"/>
        <v>5.7460342735435821E-2</v>
      </c>
      <c r="AJ174" s="180">
        <f t="shared" si="119"/>
        <v>5.7429810773761553E-2</v>
      </c>
      <c r="AK174" s="180">
        <f t="shared" si="119"/>
        <v>5.7204502113703114E-2</v>
      </c>
      <c r="AL174" s="180">
        <f t="shared" si="119"/>
        <v>5.6900402394951019E-2</v>
      </c>
      <c r="AM174" s="180">
        <f t="shared" si="119"/>
        <v>5.6526927578439606E-2</v>
      </c>
      <c r="AN174" s="180">
        <f t="shared" si="119"/>
        <v>5.6115354119004174E-2</v>
      </c>
      <c r="AO174" s="180">
        <f t="shared" si="119"/>
        <v>5.5675020277580228E-2</v>
      </c>
      <c r="AP174" s="180">
        <f t="shared" si="119"/>
        <v>5.5235885311067483E-2</v>
      </c>
      <c r="AQ174" s="180">
        <f t="shared" si="119"/>
        <v>5.4814536436431069E-2</v>
      </c>
      <c r="AR174" s="180">
        <f t="shared" si="119"/>
        <v>5.4429921156950958E-2</v>
      </c>
      <c r="AS174" s="180">
        <f t="shared" si="119"/>
        <v>5.4049005164167975E-2</v>
      </c>
      <c r="AT174" s="180">
        <f t="shared" si="119"/>
        <v>5.3759358431451465E-2</v>
      </c>
      <c r="AU174" s="180">
        <f t="shared" si="119"/>
        <v>5.34646268020793E-2</v>
      </c>
      <c r="AV174" s="180">
        <f t="shared" si="119"/>
        <v>5.3255649895618914E-2</v>
      </c>
      <c r="AW174" s="180">
        <f t="shared" si="119"/>
        <v>5.3165869502296313E-2</v>
      </c>
      <c r="AX174" s="180">
        <f t="shared" si="119"/>
        <v>5.3208091484547582E-2</v>
      </c>
      <c r="AY174" s="180">
        <f t="shared" si="119"/>
        <v>5.3351025232371702E-2</v>
      </c>
      <c r="AZ174" s="180">
        <f t="shared" si="119"/>
        <v>5.3442711396280776E-2</v>
      </c>
      <c r="BA174" s="180">
        <f t="shared" si="119"/>
        <v>5.3483313943831115E-2</v>
      </c>
      <c r="BB174" s="180">
        <f t="shared" si="119"/>
        <v>5.3452481145127309E-2</v>
      </c>
      <c r="BC174" s="180">
        <f t="shared" si="119"/>
        <v>5.3395613283104972E-2</v>
      </c>
      <c r="BD174" s="180">
        <f t="shared" si="119"/>
        <v>5.3379065150936864E-2</v>
      </c>
      <c r="BE174" s="180">
        <f t="shared" si="119"/>
        <v>5.3325372312692104E-2</v>
      </c>
      <c r="BF174" s="180">
        <f t="shared" si="119"/>
        <v>5.3270789737041642E-2</v>
      </c>
      <c r="BG174" s="180">
        <f t="shared" si="119"/>
        <v>5.3190227968728916E-2</v>
      </c>
      <c r="BH174" s="180">
        <f t="shared" si="119"/>
        <v>5.3160276588231338E-2</v>
      </c>
      <c r="BI174" s="180">
        <f t="shared" si="119"/>
        <v>5.3175524437567456E-2</v>
      </c>
      <c r="BJ174" s="180">
        <f t="shared" si="119"/>
        <v>5.3246788188649037E-2</v>
      </c>
      <c r="BK174" s="180">
        <f t="shared" si="119"/>
        <v>5.3208761940776249E-2</v>
      </c>
      <c r="BL174" s="180">
        <f t="shared" si="119"/>
        <v>5.3142475701887924E-2</v>
      </c>
      <c r="BM174" s="180">
        <f t="shared" si="119"/>
        <v>5.3052725110424685E-2</v>
      </c>
    </row>
    <row r="175" spans="3:65" s="61" customFormat="1" ht="12.75" x14ac:dyDescent="0.2">
      <c r="C175" s="150" t="str">
        <f t="shared" si="118"/>
        <v>Western Greenfield</v>
      </c>
      <c r="D175" s="150" t="str">
        <f t="shared" si="118"/>
        <v>Water</v>
      </c>
      <c r="E175" s="150"/>
      <c r="F175" s="150" t="str">
        <f t="shared" si="116"/>
        <v>Western</v>
      </c>
      <c r="G175" s="150"/>
      <c r="H175" s="150"/>
      <c r="I175" s="150"/>
      <c r="J175" s="150"/>
      <c r="K175" s="150"/>
      <c r="L175" s="150"/>
      <c r="M175" s="150"/>
      <c r="N175" s="150"/>
      <c r="O175" s="150"/>
      <c r="P175" s="150"/>
      <c r="Q175" s="150"/>
      <c r="R175" s="150"/>
      <c r="S175" s="150"/>
      <c r="T175" s="150"/>
      <c r="U175" s="150"/>
      <c r="V175" s="150"/>
      <c r="W175" s="150"/>
      <c r="X175" s="150"/>
      <c r="Y175" s="150"/>
      <c r="Z175" s="150"/>
      <c r="AA175" s="150"/>
      <c r="AB175" s="150"/>
      <c r="AC175" s="180">
        <f t="shared" si="119"/>
        <v>1</v>
      </c>
      <c r="AD175" s="180">
        <f t="shared" si="119"/>
        <v>1</v>
      </c>
      <c r="AE175" s="180">
        <f t="shared" si="119"/>
        <v>1</v>
      </c>
      <c r="AF175" s="180">
        <f t="shared" si="119"/>
        <v>1</v>
      </c>
      <c r="AG175" s="180">
        <f t="shared" si="119"/>
        <v>1</v>
      </c>
      <c r="AH175" s="180">
        <f t="shared" si="119"/>
        <v>1</v>
      </c>
      <c r="AI175" s="180">
        <f t="shared" si="119"/>
        <v>1</v>
      </c>
      <c r="AJ175" s="180">
        <f t="shared" si="119"/>
        <v>1</v>
      </c>
      <c r="AK175" s="180">
        <f t="shared" si="119"/>
        <v>1</v>
      </c>
      <c r="AL175" s="180">
        <f t="shared" si="119"/>
        <v>1</v>
      </c>
      <c r="AM175" s="180">
        <f t="shared" si="119"/>
        <v>1</v>
      </c>
      <c r="AN175" s="180">
        <f t="shared" si="119"/>
        <v>1</v>
      </c>
      <c r="AO175" s="180">
        <f t="shared" si="119"/>
        <v>1</v>
      </c>
      <c r="AP175" s="180">
        <f t="shared" si="119"/>
        <v>1</v>
      </c>
      <c r="AQ175" s="180">
        <f t="shared" si="119"/>
        <v>1</v>
      </c>
      <c r="AR175" s="180">
        <f t="shared" si="119"/>
        <v>1</v>
      </c>
      <c r="AS175" s="180">
        <f t="shared" si="119"/>
        <v>1</v>
      </c>
      <c r="AT175" s="180">
        <f t="shared" si="119"/>
        <v>1</v>
      </c>
      <c r="AU175" s="180">
        <f t="shared" si="119"/>
        <v>1</v>
      </c>
      <c r="AV175" s="180">
        <f t="shared" si="119"/>
        <v>1</v>
      </c>
      <c r="AW175" s="180">
        <f t="shared" si="119"/>
        <v>1</v>
      </c>
      <c r="AX175" s="180">
        <f t="shared" si="119"/>
        <v>1</v>
      </c>
      <c r="AY175" s="180">
        <f t="shared" si="119"/>
        <v>1</v>
      </c>
      <c r="AZ175" s="180">
        <f t="shared" si="119"/>
        <v>1</v>
      </c>
      <c r="BA175" s="180">
        <f t="shared" si="119"/>
        <v>1</v>
      </c>
      <c r="BB175" s="180">
        <f t="shared" si="119"/>
        <v>1</v>
      </c>
      <c r="BC175" s="180">
        <f t="shared" si="119"/>
        <v>1</v>
      </c>
      <c r="BD175" s="180">
        <f t="shared" si="119"/>
        <v>1</v>
      </c>
      <c r="BE175" s="180">
        <f t="shared" si="119"/>
        <v>1</v>
      </c>
      <c r="BF175" s="180">
        <f t="shared" si="119"/>
        <v>1</v>
      </c>
      <c r="BG175" s="180">
        <f t="shared" si="119"/>
        <v>1</v>
      </c>
      <c r="BH175" s="180">
        <f t="shared" si="119"/>
        <v>1</v>
      </c>
      <c r="BI175" s="180">
        <f t="shared" si="119"/>
        <v>1</v>
      </c>
      <c r="BJ175" s="180">
        <f t="shared" si="119"/>
        <v>1</v>
      </c>
      <c r="BK175" s="180">
        <f t="shared" si="119"/>
        <v>1</v>
      </c>
      <c r="BL175" s="180">
        <f t="shared" si="119"/>
        <v>1</v>
      </c>
      <c r="BM175" s="180">
        <f t="shared" si="119"/>
        <v>1</v>
      </c>
    </row>
    <row r="176" spans="3:65" s="61" customFormat="1" ht="12.75" x14ac:dyDescent="0.2">
      <c r="C176" s="150" t="str">
        <f t="shared" si="118"/>
        <v>Standard</v>
      </c>
      <c r="D176" s="150" t="str">
        <f t="shared" si="118"/>
        <v>Sewer</v>
      </c>
      <c r="E176" s="150"/>
      <c r="F176" s="150" t="str">
        <f t="shared" si="116"/>
        <v>Central</v>
      </c>
      <c r="G176" s="150"/>
      <c r="H176" s="150"/>
      <c r="I176" s="150"/>
      <c r="J176" s="150"/>
      <c r="K176" s="150"/>
      <c r="L176" s="150"/>
      <c r="M176" s="150"/>
      <c r="N176" s="150"/>
      <c r="O176" s="150"/>
      <c r="P176" s="150"/>
      <c r="Q176" s="150"/>
      <c r="R176" s="150"/>
      <c r="S176" s="150"/>
      <c r="T176" s="150"/>
      <c r="U176" s="150"/>
      <c r="V176" s="150"/>
      <c r="W176" s="150"/>
      <c r="X176" s="150"/>
      <c r="Y176" s="150"/>
      <c r="Z176" s="150"/>
      <c r="AA176" s="150"/>
      <c r="AB176" s="150"/>
      <c r="AC176" s="180">
        <f t="shared" si="119"/>
        <v>0.9995576408353759</v>
      </c>
      <c r="AD176" s="180">
        <f t="shared" si="119"/>
        <v>0.99957364548598149</v>
      </c>
      <c r="AE176" s="180">
        <f t="shared" si="119"/>
        <v>0.99957930212944712</v>
      </c>
      <c r="AF176" s="180">
        <f t="shared" si="119"/>
        <v>0.99958598957828582</v>
      </c>
      <c r="AG176" s="180">
        <f t="shared" si="119"/>
        <v>0.99959207790970839</v>
      </c>
      <c r="AH176" s="180">
        <f t="shared" si="119"/>
        <v>0.9995961587564921</v>
      </c>
      <c r="AI176" s="180">
        <f t="shared" si="119"/>
        <v>0.99959926934561427</v>
      </c>
      <c r="AJ176" s="180">
        <f t="shared" si="119"/>
        <v>0.99960245693463268</v>
      </c>
      <c r="AK176" s="180">
        <f t="shared" si="119"/>
        <v>0.99960675005961008</v>
      </c>
      <c r="AL176" s="180">
        <f t="shared" si="119"/>
        <v>0.99961344843723576</v>
      </c>
      <c r="AM176" s="180">
        <f t="shared" si="119"/>
        <v>0.99962050526770319</v>
      </c>
      <c r="AN176" s="180">
        <f t="shared" si="119"/>
        <v>0.99962007823896915</v>
      </c>
      <c r="AO176" s="180">
        <f t="shared" si="119"/>
        <v>0.99961964712291784</v>
      </c>
      <c r="AP176" s="180">
        <f t="shared" si="119"/>
        <v>0.99962037834929751</v>
      </c>
      <c r="AQ176" s="180">
        <f t="shared" si="119"/>
        <v>0.99962104132975549</v>
      </c>
      <c r="AR176" s="180">
        <f t="shared" si="119"/>
        <v>0.99962203288891682</v>
      </c>
      <c r="AS176" s="180">
        <f t="shared" si="119"/>
        <v>0.99962335996191887</v>
      </c>
      <c r="AT176" s="180">
        <f t="shared" si="119"/>
        <v>0.99962468431688878</v>
      </c>
      <c r="AU176" s="180">
        <f t="shared" si="119"/>
        <v>0.99963179796403989</v>
      </c>
      <c r="AV176" s="180">
        <f t="shared" si="119"/>
        <v>0.99963825625495073</v>
      </c>
      <c r="AW176" s="180">
        <f t="shared" si="119"/>
        <v>0.99964188370965001</v>
      </c>
      <c r="AX176" s="180">
        <f t="shared" si="119"/>
        <v>0.99964615310552707</v>
      </c>
      <c r="AY176" s="180">
        <f t="shared" si="119"/>
        <v>0.99964807445573467</v>
      </c>
      <c r="AZ176" s="180">
        <f t="shared" si="119"/>
        <v>0.99965184331349366</v>
      </c>
      <c r="BA176" s="180">
        <f t="shared" si="119"/>
        <v>0.99965445308777168</v>
      </c>
      <c r="BB176" s="180">
        <f t="shared" si="119"/>
        <v>0.99965890721959971</v>
      </c>
      <c r="BC176" s="180">
        <f t="shared" si="119"/>
        <v>0.99966341430195138</v>
      </c>
      <c r="BD176" s="180">
        <f t="shared" si="119"/>
        <v>0.9996662020221101</v>
      </c>
      <c r="BE176" s="180">
        <f t="shared" si="119"/>
        <v>0.99967040556744047</v>
      </c>
      <c r="BF176" s="180">
        <f t="shared" si="119"/>
        <v>0.99967452137318513</v>
      </c>
      <c r="BG176" s="180">
        <f t="shared" si="119"/>
        <v>0.99967733071213227</v>
      </c>
      <c r="BH176" s="180">
        <f t="shared" si="119"/>
        <v>0.99968125151507037</v>
      </c>
      <c r="BI176" s="180">
        <f t="shared" si="119"/>
        <v>0.99968466091327801</v>
      </c>
      <c r="BJ176" s="180">
        <f t="shared" si="119"/>
        <v>0.99968636010036949</v>
      </c>
      <c r="BK176" s="180">
        <f t="shared" si="119"/>
        <v>0.99968998133262899</v>
      </c>
      <c r="BL176" s="180">
        <f t="shared" si="119"/>
        <v>0.99969376098871321</v>
      </c>
      <c r="BM176" s="180">
        <f t="shared" si="119"/>
        <v>0.99969626851209958</v>
      </c>
    </row>
    <row r="177" spans="1:65" s="61" customFormat="1" ht="12.75" x14ac:dyDescent="0.2">
      <c r="A177" s="150"/>
      <c r="B177" s="150"/>
      <c r="C177" s="150" t="str">
        <f t="shared" si="118"/>
        <v>Standard</v>
      </c>
      <c r="D177" s="150" t="str">
        <f t="shared" si="118"/>
        <v>Sewer</v>
      </c>
      <c r="E177" s="150"/>
      <c r="F177" s="150" t="str">
        <f t="shared" si="116"/>
        <v>Western</v>
      </c>
      <c r="G177" s="150"/>
      <c r="H177" s="150"/>
      <c r="I177" s="150"/>
      <c r="J177" s="150"/>
      <c r="K177" s="150"/>
      <c r="L177" s="150"/>
      <c r="M177" s="150"/>
      <c r="N177" s="150"/>
      <c r="O177" s="150"/>
      <c r="P177" s="150"/>
      <c r="Q177" s="150"/>
      <c r="R177" s="150"/>
      <c r="S177" s="150"/>
      <c r="T177" s="150"/>
      <c r="U177" s="150"/>
      <c r="V177" s="150"/>
      <c r="W177" s="150"/>
      <c r="X177" s="150"/>
      <c r="Y177" s="150"/>
      <c r="Z177" s="150"/>
      <c r="AA177" s="150"/>
      <c r="AB177" s="150"/>
      <c r="AC177" s="180">
        <f t="shared" si="119"/>
        <v>4.423591646239587E-4</v>
      </c>
      <c r="AD177" s="180">
        <f t="shared" si="119"/>
        <v>4.2635451401856615E-4</v>
      </c>
      <c r="AE177" s="180">
        <f t="shared" si="119"/>
        <v>4.2069787055291555E-4</v>
      </c>
      <c r="AF177" s="180">
        <f t="shared" si="119"/>
        <v>4.1401042171417457E-4</v>
      </c>
      <c r="AG177" s="180">
        <f t="shared" si="119"/>
        <v>4.0792209029172534E-4</v>
      </c>
      <c r="AH177" s="180">
        <f t="shared" si="119"/>
        <v>4.0384124350779623E-4</v>
      </c>
      <c r="AI177" s="180">
        <f t="shared" si="119"/>
        <v>4.0073065438567696E-4</v>
      </c>
      <c r="AJ177" s="180">
        <f t="shared" si="119"/>
        <v>3.9754306536731853E-4</v>
      </c>
      <c r="AK177" s="180">
        <f t="shared" si="119"/>
        <v>3.932499403899485E-4</v>
      </c>
      <c r="AL177" s="180">
        <f t="shared" si="119"/>
        <v>3.8655156276433709E-4</v>
      </c>
      <c r="AM177" s="180">
        <f t="shared" si="119"/>
        <v>3.7949473229677326E-4</v>
      </c>
      <c r="AN177" s="180">
        <f t="shared" si="119"/>
        <v>3.7992176103084362E-4</v>
      </c>
      <c r="AO177" s="180">
        <f t="shared" si="119"/>
        <v>3.8035287708207416E-4</v>
      </c>
      <c r="AP177" s="180">
        <f t="shared" si="119"/>
        <v>3.7962165070248025E-4</v>
      </c>
      <c r="AQ177" s="180">
        <f t="shared" si="119"/>
        <v>3.7895867024441947E-4</v>
      </c>
      <c r="AR177" s="180">
        <f t="shared" si="119"/>
        <v>3.7796711108306912E-4</v>
      </c>
      <c r="AS177" s="180">
        <f t="shared" si="119"/>
        <v>3.7664003808114433E-4</v>
      </c>
      <c r="AT177" s="180">
        <f t="shared" si="119"/>
        <v>3.7531568311119053E-4</v>
      </c>
      <c r="AU177" s="180">
        <f t="shared" si="119"/>
        <v>3.6820203596008645E-4</v>
      </c>
      <c r="AV177" s="180">
        <f t="shared" si="119"/>
        <v>3.6174374504937179E-4</v>
      </c>
      <c r="AW177" s="180">
        <f t="shared" si="119"/>
        <v>3.5811629034998577E-4</v>
      </c>
      <c r="AX177" s="180">
        <f t="shared" si="119"/>
        <v>3.5384689447280995E-4</v>
      </c>
      <c r="AY177" s="180">
        <f t="shared" si="119"/>
        <v>3.519255442653021E-4</v>
      </c>
      <c r="AZ177" s="180">
        <f t="shared" si="119"/>
        <v>3.4815668650636528E-4</v>
      </c>
      <c r="BA177" s="180">
        <f t="shared" si="119"/>
        <v>3.4554691222821068E-4</v>
      </c>
      <c r="BB177" s="180">
        <f t="shared" si="119"/>
        <v>3.4109278040030593E-4</v>
      </c>
      <c r="BC177" s="180">
        <f t="shared" si="119"/>
        <v>3.3658569804865846E-4</v>
      </c>
      <c r="BD177" s="180">
        <f t="shared" si="119"/>
        <v>3.3379797788993942E-4</v>
      </c>
      <c r="BE177" s="180">
        <f t="shared" si="119"/>
        <v>3.2959443255961714E-4</v>
      </c>
      <c r="BF177" s="180">
        <f t="shared" si="119"/>
        <v>3.2547862681477622E-4</v>
      </c>
      <c r="BG177" s="180">
        <f t="shared" si="119"/>
        <v>3.2266928786778808E-4</v>
      </c>
      <c r="BH177" s="180">
        <f t="shared" si="119"/>
        <v>3.1874848492967616E-4</v>
      </c>
      <c r="BI177" s="180">
        <f t="shared" si="119"/>
        <v>3.1533908672193815E-4</v>
      </c>
      <c r="BJ177" s="180">
        <f t="shared" si="119"/>
        <v>3.1363989963046582E-4</v>
      </c>
      <c r="BK177" s="180">
        <f t="shared" si="119"/>
        <v>3.1001866737095685E-4</v>
      </c>
      <c r="BL177" s="180">
        <f t="shared" si="119"/>
        <v>3.0623901128676122E-4</v>
      </c>
      <c r="BM177" s="180">
        <f t="shared" si="119"/>
        <v>3.0373148790036221E-4</v>
      </c>
    </row>
    <row r="178" spans="1:65" s="61" customFormat="1" ht="12.75" x14ac:dyDescent="0.2">
      <c r="A178" s="150"/>
      <c r="B178" s="150"/>
      <c r="C178" s="150" t="str">
        <f t="shared" si="118"/>
        <v>Western Greenfield</v>
      </c>
      <c r="D178" s="150" t="str">
        <f t="shared" si="118"/>
        <v>Sewer</v>
      </c>
      <c r="E178" s="150"/>
      <c r="F178" s="150" t="str">
        <f t="shared" si="116"/>
        <v>Western</v>
      </c>
      <c r="G178" s="150"/>
      <c r="H178" s="150"/>
      <c r="I178" s="150"/>
      <c r="J178" s="150"/>
      <c r="K178" s="150"/>
      <c r="L178" s="150"/>
      <c r="M178" s="150"/>
      <c r="N178" s="150"/>
      <c r="O178" s="150"/>
      <c r="P178" s="150"/>
      <c r="Q178" s="150"/>
      <c r="R178" s="150"/>
      <c r="S178" s="150"/>
      <c r="T178" s="150"/>
      <c r="U178" s="150"/>
      <c r="V178" s="150"/>
      <c r="W178" s="150"/>
      <c r="X178" s="150"/>
      <c r="Y178" s="150"/>
      <c r="Z178" s="150"/>
      <c r="AA178" s="150"/>
      <c r="AB178" s="150"/>
      <c r="AC178" s="180">
        <f t="shared" si="119"/>
        <v>1</v>
      </c>
      <c r="AD178" s="180">
        <f t="shared" si="119"/>
        <v>1</v>
      </c>
      <c r="AE178" s="180">
        <f t="shared" si="119"/>
        <v>1</v>
      </c>
      <c r="AF178" s="180">
        <f t="shared" si="119"/>
        <v>1</v>
      </c>
      <c r="AG178" s="180">
        <f t="shared" si="119"/>
        <v>1</v>
      </c>
      <c r="AH178" s="180">
        <f t="shared" si="119"/>
        <v>1</v>
      </c>
      <c r="AI178" s="180">
        <f t="shared" si="119"/>
        <v>1</v>
      </c>
      <c r="AJ178" s="180">
        <f t="shared" si="119"/>
        <v>1</v>
      </c>
      <c r="AK178" s="180">
        <f t="shared" si="119"/>
        <v>1</v>
      </c>
      <c r="AL178" s="180">
        <f t="shared" si="119"/>
        <v>1</v>
      </c>
      <c r="AM178" s="180">
        <f t="shared" si="119"/>
        <v>1</v>
      </c>
      <c r="AN178" s="180">
        <f t="shared" si="119"/>
        <v>1</v>
      </c>
      <c r="AO178" s="180">
        <f t="shared" si="119"/>
        <v>1</v>
      </c>
      <c r="AP178" s="180">
        <f t="shared" si="119"/>
        <v>1</v>
      </c>
      <c r="AQ178" s="180">
        <f t="shared" si="119"/>
        <v>1</v>
      </c>
      <c r="AR178" s="180">
        <f t="shared" si="119"/>
        <v>1</v>
      </c>
      <c r="AS178" s="180">
        <f t="shared" si="119"/>
        <v>1</v>
      </c>
      <c r="AT178" s="180">
        <f t="shared" si="119"/>
        <v>1</v>
      </c>
      <c r="AU178" s="180">
        <f t="shared" si="119"/>
        <v>1</v>
      </c>
      <c r="AV178" s="180">
        <f t="shared" si="119"/>
        <v>1</v>
      </c>
      <c r="AW178" s="180">
        <f t="shared" si="119"/>
        <v>1</v>
      </c>
      <c r="AX178" s="180">
        <f t="shared" si="119"/>
        <v>1</v>
      </c>
      <c r="AY178" s="180">
        <f t="shared" si="119"/>
        <v>1</v>
      </c>
      <c r="AZ178" s="180">
        <f t="shared" si="119"/>
        <v>1</v>
      </c>
      <c r="BA178" s="180">
        <f t="shared" si="119"/>
        <v>1</v>
      </c>
      <c r="BB178" s="180">
        <f t="shared" si="119"/>
        <v>1</v>
      </c>
      <c r="BC178" s="180">
        <f t="shared" si="119"/>
        <v>1</v>
      </c>
      <c r="BD178" s="180">
        <f t="shared" si="119"/>
        <v>1</v>
      </c>
      <c r="BE178" s="180">
        <f t="shared" si="119"/>
        <v>1</v>
      </c>
      <c r="BF178" s="180">
        <f t="shared" si="119"/>
        <v>1</v>
      </c>
      <c r="BG178" s="180">
        <f t="shared" si="119"/>
        <v>1</v>
      </c>
      <c r="BH178" s="180">
        <f t="shared" si="119"/>
        <v>1</v>
      </c>
      <c r="BI178" s="180">
        <f t="shared" si="119"/>
        <v>1</v>
      </c>
      <c r="BJ178" s="180">
        <f t="shared" si="119"/>
        <v>1</v>
      </c>
      <c r="BK178" s="180">
        <f t="shared" si="119"/>
        <v>1</v>
      </c>
      <c r="BL178" s="180">
        <f t="shared" si="119"/>
        <v>1</v>
      </c>
      <c r="BM178" s="180">
        <f t="shared" si="119"/>
        <v>1</v>
      </c>
    </row>
    <row r="179" spans="1:65" s="61" customFormat="1" ht="12.75" x14ac:dyDescent="0.2">
      <c r="A179" s="150"/>
      <c r="B179" s="150"/>
      <c r="C179" s="150" t="str">
        <f t="shared" si="118"/>
        <v>Wyndham</v>
      </c>
      <c r="D179" s="150" t="str">
        <f t="shared" si="118"/>
        <v>Recycled</v>
      </c>
      <c r="E179" s="150"/>
      <c r="F179" s="150" t="str">
        <f t="shared" si="116"/>
        <v>Central</v>
      </c>
      <c r="G179" s="150"/>
      <c r="H179" s="150"/>
      <c r="I179" s="150"/>
      <c r="J179" s="150"/>
      <c r="K179" s="150"/>
      <c r="L179" s="150"/>
      <c r="M179" s="150"/>
      <c r="N179" s="150"/>
      <c r="O179" s="150"/>
      <c r="P179" s="150"/>
      <c r="Q179" s="150"/>
      <c r="R179" s="150"/>
      <c r="S179" s="150"/>
      <c r="T179" s="150"/>
      <c r="U179" s="150"/>
      <c r="V179" s="150"/>
      <c r="W179" s="150"/>
      <c r="X179" s="150"/>
      <c r="Y179" s="150"/>
      <c r="Z179" s="150"/>
      <c r="AA179" s="150"/>
      <c r="AB179" s="150"/>
      <c r="AC179" s="180">
        <f t="shared" si="119"/>
        <v>1</v>
      </c>
      <c r="AD179" s="180">
        <f t="shared" si="119"/>
        <v>1</v>
      </c>
      <c r="AE179" s="180">
        <f t="shared" si="119"/>
        <v>1</v>
      </c>
      <c r="AF179" s="180">
        <f t="shared" si="119"/>
        <v>1</v>
      </c>
      <c r="AG179" s="180">
        <f t="shared" si="119"/>
        <v>1</v>
      </c>
      <c r="AH179" s="180">
        <f t="shared" si="119"/>
        <v>1</v>
      </c>
      <c r="AI179" s="180">
        <f t="shared" si="119"/>
        <v>1</v>
      </c>
      <c r="AJ179" s="180">
        <f t="shared" si="119"/>
        <v>1</v>
      </c>
      <c r="AK179" s="180">
        <f t="shared" si="119"/>
        <v>1</v>
      </c>
      <c r="AL179" s="180">
        <f t="shared" si="119"/>
        <v>1</v>
      </c>
      <c r="AM179" s="180">
        <f t="shared" si="119"/>
        <v>1</v>
      </c>
      <c r="AN179" s="180">
        <f t="shared" si="119"/>
        <v>1</v>
      </c>
      <c r="AO179" s="180">
        <f t="shared" si="119"/>
        <v>1</v>
      </c>
      <c r="AP179" s="180">
        <f t="shared" si="119"/>
        <v>1</v>
      </c>
      <c r="AQ179" s="180">
        <f t="shared" si="119"/>
        <v>1</v>
      </c>
      <c r="AR179" s="180">
        <f t="shared" si="119"/>
        <v>1</v>
      </c>
      <c r="AS179" s="180">
        <f t="shared" si="119"/>
        <v>1</v>
      </c>
      <c r="AT179" s="180">
        <f t="shared" si="119"/>
        <v>1</v>
      </c>
      <c r="AU179" s="180">
        <f t="shared" si="119"/>
        <v>1</v>
      </c>
      <c r="AV179" s="180">
        <f t="shared" si="119"/>
        <v>1</v>
      </c>
      <c r="AW179" s="180">
        <f t="shared" si="119"/>
        <v>1</v>
      </c>
      <c r="AX179" s="180">
        <f t="shared" si="119"/>
        <v>1</v>
      </c>
      <c r="AY179" s="180">
        <f t="shared" si="119"/>
        <v>1</v>
      </c>
      <c r="AZ179" s="180">
        <f t="shared" si="119"/>
        <v>1</v>
      </c>
      <c r="BA179" s="180">
        <f t="shared" si="119"/>
        <v>1</v>
      </c>
      <c r="BB179" s="180">
        <f t="shared" si="119"/>
        <v>1</v>
      </c>
      <c r="BC179" s="180">
        <f t="shared" si="119"/>
        <v>1</v>
      </c>
      <c r="BD179" s="180">
        <f t="shared" si="119"/>
        <v>1</v>
      </c>
      <c r="BE179" s="180">
        <f t="shared" si="119"/>
        <v>1</v>
      </c>
      <c r="BF179" s="180">
        <f t="shared" si="119"/>
        <v>1</v>
      </c>
      <c r="BG179" s="180">
        <f t="shared" si="119"/>
        <v>1</v>
      </c>
      <c r="BH179" s="180">
        <f t="shared" si="119"/>
        <v>1</v>
      </c>
      <c r="BI179" s="180">
        <f t="shared" si="119"/>
        <v>1</v>
      </c>
      <c r="BJ179" s="180">
        <f t="shared" si="119"/>
        <v>1</v>
      </c>
      <c r="BK179" s="180">
        <f t="shared" si="119"/>
        <v>1</v>
      </c>
      <c r="BL179" s="180">
        <f t="shared" si="119"/>
        <v>1</v>
      </c>
      <c r="BM179" s="180">
        <f t="shared" si="119"/>
        <v>1</v>
      </c>
    </row>
    <row r="180" spans="1:65" s="61" customFormat="1" ht="12.75" x14ac:dyDescent="0.2">
      <c r="A180" s="150"/>
      <c r="B180" s="150"/>
      <c r="C180" s="150" t="str">
        <f t="shared" si="118"/>
        <v>Other</v>
      </c>
      <c r="D180" s="150" t="str">
        <f t="shared" si="118"/>
        <v>Recycled</v>
      </c>
      <c r="E180" s="150"/>
      <c r="F180" s="150" t="str">
        <f t="shared" si="116"/>
        <v>Central</v>
      </c>
      <c r="G180" s="150"/>
      <c r="H180" s="150"/>
      <c r="I180" s="150"/>
      <c r="J180" s="150"/>
      <c r="K180" s="150"/>
      <c r="L180" s="150"/>
      <c r="M180" s="150"/>
      <c r="N180" s="150"/>
      <c r="O180" s="150"/>
      <c r="P180" s="150"/>
      <c r="Q180" s="150"/>
      <c r="R180" s="150"/>
      <c r="S180" s="150"/>
      <c r="T180" s="150"/>
      <c r="U180" s="150"/>
      <c r="V180" s="150"/>
      <c r="W180" s="150"/>
      <c r="X180" s="150"/>
      <c r="Y180" s="150"/>
      <c r="Z180" s="150"/>
      <c r="AA180" s="150"/>
      <c r="AB180" s="150"/>
      <c r="AC180" s="180">
        <f t="shared" si="119"/>
        <v>1</v>
      </c>
      <c r="AD180" s="180">
        <f t="shared" si="119"/>
        <v>1</v>
      </c>
      <c r="AE180" s="180">
        <f t="shared" si="119"/>
        <v>1</v>
      </c>
      <c r="AF180" s="180">
        <f t="shared" si="119"/>
        <v>1</v>
      </c>
      <c r="AG180" s="180">
        <f t="shared" si="119"/>
        <v>1</v>
      </c>
      <c r="AH180" s="180">
        <f t="shared" si="119"/>
        <v>1</v>
      </c>
      <c r="AI180" s="180">
        <f t="shared" si="119"/>
        <v>1</v>
      </c>
      <c r="AJ180" s="180">
        <f t="shared" si="119"/>
        <v>1</v>
      </c>
      <c r="AK180" s="180">
        <f t="shared" si="119"/>
        <v>1</v>
      </c>
      <c r="AL180" s="180">
        <f t="shared" si="119"/>
        <v>1</v>
      </c>
      <c r="AM180" s="180">
        <f t="shared" si="119"/>
        <v>1</v>
      </c>
      <c r="AN180" s="180">
        <f t="shared" si="119"/>
        <v>1</v>
      </c>
      <c r="AO180" s="180">
        <f t="shared" si="119"/>
        <v>1</v>
      </c>
      <c r="AP180" s="180">
        <f t="shared" si="119"/>
        <v>1</v>
      </c>
      <c r="AQ180" s="180">
        <f t="shared" si="119"/>
        <v>1</v>
      </c>
      <c r="AR180" s="180">
        <f t="shared" si="119"/>
        <v>1</v>
      </c>
      <c r="AS180" s="180">
        <f t="shared" si="119"/>
        <v>1</v>
      </c>
      <c r="AT180" s="180">
        <f t="shared" si="119"/>
        <v>1</v>
      </c>
      <c r="AU180" s="180">
        <f t="shared" si="119"/>
        <v>1</v>
      </c>
      <c r="AV180" s="180">
        <f t="shared" si="119"/>
        <v>1</v>
      </c>
      <c r="AW180" s="180">
        <f t="shared" si="119"/>
        <v>1</v>
      </c>
      <c r="AX180" s="180">
        <f t="shared" si="119"/>
        <v>1</v>
      </c>
      <c r="AY180" s="180">
        <f t="shared" si="119"/>
        <v>1</v>
      </c>
      <c r="AZ180" s="180">
        <f t="shared" si="119"/>
        <v>1</v>
      </c>
      <c r="BA180" s="180">
        <f t="shared" si="119"/>
        <v>1</v>
      </c>
      <c r="BB180" s="180">
        <f t="shared" si="119"/>
        <v>1</v>
      </c>
      <c r="BC180" s="180">
        <f t="shared" si="119"/>
        <v>1</v>
      </c>
      <c r="BD180" s="180">
        <f t="shared" si="119"/>
        <v>1</v>
      </c>
      <c r="BE180" s="180">
        <f t="shared" si="119"/>
        <v>1</v>
      </c>
      <c r="BF180" s="180">
        <f t="shared" si="119"/>
        <v>1</v>
      </c>
      <c r="BG180" s="180">
        <f t="shared" si="119"/>
        <v>1</v>
      </c>
      <c r="BH180" s="180">
        <f t="shared" si="119"/>
        <v>1</v>
      </c>
      <c r="BI180" s="180">
        <f t="shared" si="119"/>
        <v>1</v>
      </c>
      <c r="BJ180" s="180">
        <f t="shared" ref="BJ180:BM180" si="120">BJ145/SUMIFS(BJ$138:BJ$147,$C$138:$C$147,$C180,$D$138:$D$147,$D180)</f>
        <v>1</v>
      </c>
      <c r="BK180" s="180">
        <f t="shared" si="120"/>
        <v>1</v>
      </c>
      <c r="BL180" s="180">
        <f t="shared" si="120"/>
        <v>1</v>
      </c>
      <c r="BM180" s="180">
        <f t="shared" si="120"/>
        <v>1</v>
      </c>
    </row>
    <row r="181" spans="1:65" s="61" customFormat="1" ht="12.75" x14ac:dyDescent="0.2">
      <c r="A181" s="150"/>
      <c r="B181" s="150"/>
      <c r="C181" s="150" t="str">
        <f t="shared" si="118"/>
        <v>Wyndham</v>
      </c>
      <c r="D181" s="150" t="str">
        <f t="shared" si="118"/>
        <v>Recycled</v>
      </c>
      <c r="E181" s="150"/>
      <c r="F181" s="150" t="str">
        <f t="shared" si="116"/>
        <v>Western</v>
      </c>
      <c r="G181" s="150"/>
      <c r="H181" s="150"/>
      <c r="I181" s="150"/>
      <c r="J181" s="150"/>
      <c r="K181" s="150"/>
      <c r="L181" s="150"/>
      <c r="M181" s="150"/>
      <c r="N181" s="150"/>
      <c r="O181" s="150"/>
      <c r="P181" s="150"/>
      <c r="Q181" s="150"/>
      <c r="R181" s="150"/>
      <c r="S181" s="150"/>
      <c r="T181" s="150"/>
      <c r="U181" s="150"/>
      <c r="V181" s="150"/>
      <c r="W181" s="150"/>
      <c r="X181" s="150"/>
      <c r="Y181" s="150"/>
      <c r="Z181" s="150"/>
      <c r="AA181" s="150"/>
      <c r="AB181" s="150"/>
      <c r="AC181" s="180">
        <f t="shared" ref="AC181:BM182" si="121">AC146/SUMIFS(AC$138:AC$147,$C$138:$C$147,$C181,$D$138:$D$147,$D181)</f>
        <v>0</v>
      </c>
      <c r="AD181" s="180">
        <f t="shared" si="121"/>
        <v>0</v>
      </c>
      <c r="AE181" s="180">
        <f t="shared" si="121"/>
        <v>0</v>
      </c>
      <c r="AF181" s="180">
        <f t="shared" si="121"/>
        <v>0</v>
      </c>
      <c r="AG181" s="180">
        <f t="shared" si="121"/>
        <v>0</v>
      </c>
      <c r="AH181" s="180">
        <f t="shared" si="121"/>
        <v>0</v>
      </c>
      <c r="AI181" s="180">
        <f t="shared" si="121"/>
        <v>0</v>
      </c>
      <c r="AJ181" s="180">
        <f t="shared" si="121"/>
        <v>0</v>
      </c>
      <c r="AK181" s="180">
        <f t="shared" si="121"/>
        <v>0</v>
      </c>
      <c r="AL181" s="180">
        <f t="shared" si="121"/>
        <v>0</v>
      </c>
      <c r="AM181" s="180">
        <f t="shared" si="121"/>
        <v>0</v>
      </c>
      <c r="AN181" s="180">
        <f t="shared" si="121"/>
        <v>0</v>
      </c>
      <c r="AO181" s="180">
        <f t="shared" si="121"/>
        <v>0</v>
      </c>
      <c r="AP181" s="180">
        <f t="shared" si="121"/>
        <v>0</v>
      </c>
      <c r="AQ181" s="180">
        <f t="shared" si="121"/>
        <v>0</v>
      </c>
      <c r="AR181" s="180">
        <f t="shared" si="121"/>
        <v>0</v>
      </c>
      <c r="AS181" s="180">
        <f t="shared" si="121"/>
        <v>0</v>
      </c>
      <c r="AT181" s="180">
        <f t="shared" si="121"/>
        <v>0</v>
      </c>
      <c r="AU181" s="180">
        <f t="shared" si="121"/>
        <v>0</v>
      </c>
      <c r="AV181" s="180">
        <f t="shared" si="121"/>
        <v>0</v>
      </c>
      <c r="AW181" s="180">
        <f t="shared" si="121"/>
        <v>0</v>
      </c>
      <c r="AX181" s="180">
        <f t="shared" si="121"/>
        <v>0</v>
      </c>
      <c r="AY181" s="180">
        <f t="shared" si="121"/>
        <v>0</v>
      </c>
      <c r="AZ181" s="180">
        <f t="shared" si="121"/>
        <v>0</v>
      </c>
      <c r="BA181" s="180">
        <f t="shared" si="121"/>
        <v>0</v>
      </c>
      <c r="BB181" s="180">
        <f t="shared" si="121"/>
        <v>0</v>
      </c>
      <c r="BC181" s="180">
        <f t="shared" si="121"/>
        <v>0</v>
      </c>
      <c r="BD181" s="180">
        <f t="shared" si="121"/>
        <v>0</v>
      </c>
      <c r="BE181" s="180">
        <f t="shared" si="121"/>
        <v>0</v>
      </c>
      <c r="BF181" s="180">
        <f t="shared" si="121"/>
        <v>0</v>
      </c>
      <c r="BG181" s="180">
        <f t="shared" si="121"/>
        <v>0</v>
      </c>
      <c r="BH181" s="180">
        <f t="shared" si="121"/>
        <v>0</v>
      </c>
      <c r="BI181" s="180">
        <f t="shared" si="121"/>
        <v>0</v>
      </c>
      <c r="BJ181" s="180">
        <f t="shared" si="121"/>
        <v>0</v>
      </c>
      <c r="BK181" s="180">
        <f t="shared" si="121"/>
        <v>0</v>
      </c>
      <c r="BL181" s="180">
        <f t="shared" si="121"/>
        <v>0</v>
      </c>
      <c r="BM181" s="180">
        <f t="shared" si="121"/>
        <v>0</v>
      </c>
    </row>
    <row r="182" spans="1:65" s="61" customFormat="1" ht="12.75" x14ac:dyDescent="0.2">
      <c r="A182" s="150"/>
      <c r="B182" s="150"/>
      <c r="C182" s="150" t="str">
        <f t="shared" si="118"/>
        <v>Other</v>
      </c>
      <c r="D182" s="150" t="str">
        <f t="shared" si="118"/>
        <v>Recycled</v>
      </c>
      <c r="E182" s="150"/>
      <c r="F182" s="150" t="str">
        <f t="shared" si="116"/>
        <v>Western</v>
      </c>
      <c r="G182" s="150"/>
      <c r="H182" s="150"/>
      <c r="I182" s="150"/>
      <c r="J182" s="150"/>
      <c r="K182" s="150"/>
      <c r="L182" s="150"/>
      <c r="M182" s="150"/>
      <c r="N182" s="150"/>
      <c r="O182" s="150"/>
      <c r="P182" s="150"/>
      <c r="Q182" s="150"/>
      <c r="R182" s="150"/>
      <c r="S182" s="150"/>
      <c r="T182" s="150"/>
      <c r="U182" s="150"/>
      <c r="V182" s="150"/>
      <c r="W182" s="150"/>
      <c r="X182" s="150"/>
      <c r="Y182" s="150"/>
      <c r="Z182" s="150"/>
      <c r="AA182" s="150"/>
      <c r="AB182" s="150"/>
      <c r="AC182" s="180">
        <f t="shared" si="121"/>
        <v>0</v>
      </c>
      <c r="AD182" s="180">
        <f t="shared" si="121"/>
        <v>0</v>
      </c>
      <c r="AE182" s="180">
        <f t="shared" si="121"/>
        <v>0</v>
      </c>
      <c r="AF182" s="180">
        <f t="shared" si="121"/>
        <v>0</v>
      </c>
      <c r="AG182" s="180">
        <f t="shared" si="121"/>
        <v>0</v>
      </c>
      <c r="AH182" s="180">
        <f t="shared" si="121"/>
        <v>0</v>
      </c>
      <c r="AI182" s="180">
        <f t="shared" si="121"/>
        <v>0</v>
      </c>
      <c r="AJ182" s="180">
        <f t="shared" si="121"/>
        <v>0</v>
      </c>
      <c r="AK182" s="180">
        <f t="shared" si="121"/>
        <v>0</v>
      </c>
      <c r="AL182" s="180">
        <f t="shared" si="121"/>
        <v>0</v>
      </c>
      <c r="AM182" s="180">
        <f t="shared" si="121"/>
        <v>0</v>
      </c>
      <c r="AN182" s="180">
        <f t="shared" si="121"/>
        <v>0</v>
      </c>
      <c r="AO182" s="180">
        <f t="shared" si="121"/>
        <v>0</v>
      </c>
      <c r="AP182" s="180">
        <f t="shared" si="121"/>
        <v>0</v>
      </c>
      <c r="AQ182" s="180">
        <f t="shared" si="121"/>
        <v>0</v>
      </c>
      <c r="AR182" s="180">
        <f t="shared" si="121"/>
        <v>0</v>
      </c>
      <c r="AS182" s="180">
        <f t="shared" si="121"/>
        <v>0</v>
      </c>
      <c r="AT182" s="180">
        <f t="shared" si="121"/>
        <v>0</v>
      </c>
      <c r="AU182" s="180">
        <f t="shared" si="121"/>
        <v>0</v>
      </c>
      <c r="AV182" s="180">
        <f t="shared" si="121"/>
        <v>0</v>
      </c>
      <c r="AW182" s="180">
        <f t="shared" si="121"/>
        <v>0</v>
      </c>
      <c r="AX182" s="180">
        <f t="shared" si="121"/>
        <v>0</v>
      </c>
      <c r="AY182" s="180">
        <f t="shared" si="121"/>
        <v>0</v>
      </c>
      <c r="AZ182" s="180">
        <f t="shared" si="121"/>
        <v>0</v>
      </c>
      <c r="BA182" s="180">
        <f t="shared" si="121"/>
        <v>0</v>
      </c>
      <c r="BB182" s="180">
        <f t="shared" si="121"/>
        <v>0</v>
      </c>
      <c r="BC182" s="180">
        <f t="shared" si="121"/>
        <v>0</v>
      </c>
      <c r="BD182" s="180">
        <f t="shared" si="121"/>
        <v>0</v>
      </c>
      <c r="BE182" s="180">
        <f t="shared" si="121"/>
        <v>0</v>
      </c>
      <c r="BF182" s="180">
        <f t="shared" si="121"/>
        <v>0</v>
      </c>
      <c r="BG182" s="180">
        <f t="shared" si="121"/>
        <v>0</v>
      </c>
      <c r="BH182" s="180">
        <f t="shared" si="121"/>
        <v>0</v>
      </c>
      <c r="BI182" s="180">
        <f t="shared" si="121"/>
        <v>0</v>
      </c>
      <c r="BJ182" s="180">
        <f t="shared" si="121"/>
        <v>0</v>
      </c>
      <c r="BK182" s="180">
        <f t="shared" si="121"/>
        <v>0</v>
      </c>
      <c r="BL182" s="180">
        <f t="shared" si="121"/>
        <v>0</v>
      </c>
      <c r="BM182" s="180">
        <f t="shared" si="121"/>
        <v>0</v>
      </c>
    </row>
    <row r="183" spans="1:65" s="61" customFormat="1" ht="12.75" x14ac:dyDescent="0.2">
      <c r="A183" s="150"/>
      <c r="B183" s="150"/>
      <c r="C183" s="150"/>
      <c r="D183" s="150"/>
      <c r="E183" s="150"/>
      <c r="F183" s="150"/>
      <c r="G183" s="150"/>
      <c r="H183" s="150"/>
      <c r="I183" s="150"/>
      <c r="J183" s="150"/>
      <c r="K183" s="150"/>
      <c r="L183" s="150"/>
      <c r="M183" s="150"/>
      <c r="N183" s="150"/>
      <c r="O183" s="150"/>
      <c r="P183" s="150"/>
      <c r="Q183" s="150"/>
      <c r="R183" s="150"/>
      <c r="S183" s="150"/>
      <c r="T183" s="150"/>
      <c r="U183" s="150"/>
      <c r="V183" s="150"/>
      <c r="W183" s="150"/>
      <c r="X183" s="150"/>
      <c r="Y183" s="150"/>
      <c r="Z183" s="150"/>
      <c r="AA183" s="150"/>
      <c r="AB183" s="150"/>
      <c r="AC183" s="150"/>
      <c r="AD183" s="150"/>
      <c r="AE183" s="150"/>
      <c r="AF183" s="150"/>
      <c r="AG183" s="150"/>
      <c r="AH183" s="150"/>
      <c r="AI183" s="150"/>
      <c r="AJ183" s="150"/>
      <c r="AK183" s="150"/>
      <c r="AL183" s="150"/>
      <c r="AM183" s="150"/>
      <c r="AN183" s="150"/>
      <c r="AO183" s="150"/>
      <c r="AP183" s="150"/>
      <c r="AQ183" s="150"/>
      <c r="AR183" s="150"/>
      <c r="AS183" s="150"/>
      <c r="AT183" s="150"/>
      <c r="AU183" s="150"/>
      <c r="AV183" s="150"/>
      <c r="AW183" s="150"/>
      <c r="AX183" s="150"/>
      <c r="AY183" s="150"/>
      <c r="AZ183" s="150"/>
      <c r="BA183" s="150"/>
      <c r="BB183" s="150"/>
      <c r="BC183" s="150"/>
      <c r="BD183" s="150"/>
      <c r="BE183" s="150"/>
      <c r="BF183" s="150"/>
      <c r="BG183" s="150"/>
      <c r="BH183" s="150"/>
      <c r="BI183" s="150"/>
      <c r="BJ183" s="150"/>
      <c r="BK183" s="150"/>
      <c r="BL183" s="150"/>
      <c r="BM183" s="150"/>
    </row>
    <row r="184" spans="1:65" s="61" customFormat="1" ht="12.75" x14ac:dyDescent="0.2">
      <c r="A184" s="150"/>
      <c r="B184" s="150"/>
      <c r="C184" s="150"/>
      <c r="D184" s="150"/>
      <c r="E184" s="150"/>
      <c r="F184" s="150"/>
      <c r="G184" s="150"/>
      <c r="H184" s="150"/>
      <c r="I184" s="150"/>
      <c r="J184" s="150"/>
      <c r="K184" s="150"/>
      <c r="L184" s="150"/>
      <c r="M184" s="150"/>
      <c r="N184" s="150"/>
      <c r="O184" s="150"/>
      <c r="P184" s="150"/>
      <c r="Q184" s="150"/>
      <c r="R184" s="150"/>
      <c r="S184" s="150"/>
      <c r="T184" s="150"/>
      <c r="U184" s="150"/>
      <c r="V184" s="150"/>
      <c r="W184" s="150"/>
      <c r="X184" s="150"/>
      <c r="Y184" s="150"/>
      <c r="Z184" s="150"/>
      <c r="AA184" s="150"/>
      <c r="AB184" s="150"/>
      <c r="AC184" s="150"/>
      <c r="AD184" s="150"/>
      <c r="AE184" s="150"/>
      <c r="AF184" s="150"/>
      <c r="AG184" s="150"/>
      <c r="AH184" s="150"/>
      <c r="AI184" s="150"/>
      <c r="AJ184" s="150"/>
      <c r="AK184" s="150"/>
      <c r="AL184" s="150"/>
      <c r="AM184" s="150"/>
      <c r="AN184" s="150"/>
      <c r="AO184" s="150"/>
      <c r="AP184" s="150"/>
      <c r="AQ184" s="150"/>
      <c r="AR184" s="150"/>
      <c r="AS184" s="150"/>
      <c r="AT184" s="150"/>
      <c r="AU184" s="150"/>
      <c r="AV184" s="150"/>
      <c r="AW184" s="150"/>
      <c r="AX184" s="150"/>
      <c r="AY184" s="150"/>
      <c r="AZ184" s="150"/>
      <c r="BA184" s="150"/>
      <c r="BB184" s="150"/>
      <c r="BC184" s="150"/>
      <c r="BD184" s="150"/>
      <c r="BE184" s="150"/>
      <c r="BF184" s="150"/>
      <c r="BG184" s="150"/>
      <c r="BH184" s="150"/>
      <c r="BI184" s="150"/>
      <c r="BJ184" s="150"/>
      <c r="BK184" s="150"/>
      <c r="BL184" s="150"/>
      <c r="BM184" s="150"/>
    </row>
    <row r="185" spans="1:65" customFormat="1" ht="11.25" x14ac:dyDescent="0.2">
      <c r="A185" s="126"/>
      <c r="B185" s="127" t="s">
        <v>45</v>
      </c>
      <c r="C185" s="127"/>
      <c r="D185" s="127"/>
      <c r="E185" s="127"/>
      <c r="F185" s="127"/>
      <c r="G185" s="128"/>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row>
    <row r="186" spans="1:65" s="61" customFormat="1" ht="12.75" x14ac:dyDescent="0.2">
      <c r="A186" s="150"/>
      <c r="B186" s="150"/>
      <c r="C186" s="150"/>
      <c r="D186" s="150"/>
      <c r="E186" s="150"/>
      <c r="F186" s="150"/>
      <c r="G186" s="150"/>
      <c r="H186" s="150"/>
      <c r="I186" s="150"/>
      <c r="J186" s="150"/>
      <c r="K186" s="150"/>
      <c r="L186" s="150"/>
      <c r="M186" s="150"/>
      <c r="N186" s="150"/>
      <c r="O186" s="150"/>
      <c r="P186" s="150"/>
      <c r="Q186" s="150"/>
      <c r="R186" s="150"/>
      <c r="S186" s="150"/>
      <c r="T186" s="150"/>
      <c r="U186" s="150"/>
      <c r="V186" s="150"/>
      <c r="W186" s="150"/>
      <c r="X186" s="150"/>
      <c r="Y186" s="150"/>
      <c r="Z186" s="150"/>
      <c r="AA186" s="150"/>
      <c r="AB186" s="150"/>
      <c r="AC186" s="150"/>
      <c r="AD186" s="150"/>
      <c r="AE186" s="150"/>
      <c r="AF186" s="150"/>
      <c r="AG186" s="150"/>
      <c r="AH186" s="150"/>
      <c r="AI186" s="150"/>
      <c r="AJ186" s="150"/>
      <c r="AK186" s="150"/>
      <c r="AL186" s="150"/>
      <c r="AM186" s="150"/>
      <c r="AN186" s="150"/>
      <c r="AO186" s="150"/>
      <c r="AP186" s="150"/>
      <c r="AQ186" s="150"/>
      <c r="AR186" s="150"/>
      <c r="AS186" s="150"/>
      <c r="AT186" s="150"/>
      <c r="AU186" s="150"/>
      <c r="AV186" s="150"/>
      <c r="AW186" s="150"/>
      <c r="AX186" s="150"/>
      <c r="AY186" s="150"/>
      <c r="AZ186" s="150"/>
      <c r="BA186" s="150"/>
      <c r="BB186" s="150"/>
      <c r="BC186" s="150"/>
      <c r="BD186" s="150"/>
      <c r="BE186" s="150"/>
      <c r="BF186" s="150"/>
      <c r="BG186" s="150"/>
      <c r="BH186" s="150"/>
      <c r="BI186" s="150"/>
      <c r="BJ186" s="150"/>
      <c r="BK186" s="150"/>
      <c r="BL186" s="150"/>
      <c r="BM186" s="150"/>
    </row>
    <row r="187" spans="1:65" s="61" customFormat="1" ht="12.75" x14ac:dyDescent="0.2">
      <c r="A187" s="150"/>
      <c r="B187" s="150"/>
      <c r="C187" s="150"/>
      <c r="D187" s="150"/>
      <c r="E187" s="150"/>
      <c r="F187" s="150"/>
      <c r="G187" s="150"/>
      <c r="H187" s="150"/>
      <c r="I187" s="150"/>
      <c r="J187" s="150"/>
      <c r="K187" s="150"/>
      <c r="L187" s="150"/>
      <c r="M187" s="150"/>
      <c r="N187" s="150"/>
      <c r="O187" s="150"/>
      <c r="P187" s="150"/>
      <c r="Q187" s="150"/>
      <c r="R187" s="150"/>
      <c r="S187" s="150"/>
      <c r="T187" s="150"/>
      <c r="U187" s="150"/>
      <c r="V187" s="150"/>
      <c r="W187" s="150"/>
      <c r="X187" s="150"/>
      <c r="Y187" s="150"/>
      <c r="Z187" s="150"/>
      <c r="AA187" s="150"/>
      <c r="AB187" s="150"/>
      <c r="AC187" s="150"/>
      <c r="AD187" s="150"/>
      <c r="AE187" s="150"/>
      <c r="AF187" s="150"/>
      <c r="AG187" s="150"/>
      <c r="AH187" s="150"/>
      <c r="AI187" s="150"/>
      <c r="AJ187" s="150"/>
      <c r="AK187" s="150"/>
      <c r="AL187" s="150"/>
      <c r="AM187" s="150"/>
      <c r="AN187" s="150"/>
      <c r="AO187" s="150"/>
      <c r="AP187" s="150"/>
      <c r="AQ187" s="150"/>
      <c r="AR187" s="150"/>
      <c r="AS187" s="150"/>
      <c r="AT187" s="150"/>
      <c r="AU187" s="150"/>
      <c r="AV187" s="150"/>
      <c r="AW187" s="150"/>
      <c r="AX187" s="150"/>
      <c r="AY187" s="150"/>
      <c r="AZ187" s="150"/>
      <c r="BA187" s="150"/>
      <c r="BB187" s="150"/>
      <c r="BC187" s="150"/>
      <c r="BD187" s="150"/>
      <c r="BE187" s="150"/>
      <c r="BF187" s="150"/>
      <c r="BG187" s="150"/>
      <c r="BH187" s="150"/>
      <c r="BI187" s="150"/>
      <c r="BJ187" s="150"/>
      <c r="BK187" s="150"/>
      <c r="BL187" s="150"/>
      <c r="BM187" s="150"/>
    </row>
    <row r="188" spans="1:65" s="61" customFormat="1" ht="12.75" x14ac:dyDescent="0.2">
      <c r="A188" s="150"/>
      <c r="B188" s="150"/>
      <c r="C188" s="150"/>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c r="AA188" s="150"/>
      <c r="AB188" s="150"/>
      <c r="AC188" s="150"/>
      <c r="AD188" s="150"/>
      <c r="AE188" s="150"/>
      <c r="AF188" s="150"/>
      <c r="AG188" s="150"/>
      <c r="AH188" s="150"/>
      <c r="AI188" s="150"/>
      <c r="AJ188" s="150"/>
      <c r="AK188" s="150"/>
      <c r="AL188" s="150"/>
      <c r="AM188" s="150"/>
      <c r="AN188" s="150"/>
      <c r="AO188" s="150"/>
      <c r="AP188" s="150"/>
      <c r="AQ188" s="150"/>
      <c r="AR188" s="150"/>
      <c r="AS188" s="150"/>
      <c r="AT188" s="150"/>
      <c r="AU188" s="150"/>
      <c r="AV188" s="150"/>
      <c r="AW188" s="150"/>
      <c r="AX188" s="150"/>
      <c r="AY188" s="150"/>
      <c r="AZ188" s="150"/>
      <c r="BA188" s="150"/>
      <c r="BB188" s="150"/>
      <c r="BC188" s="150"/>
      <c r="BD188" s="150"/>
      <c r="BE188" s="150"/>
      <c r="BF188" s="150"/>
      <c r="BG188" s="150"/>
      <c r="BH188" s="150"/>
      <c r="BI188" s="150"/>
      <c r="BJ188" s="150"/>
      <c r="BK188" s="150"/>
      <c r="BL188" s="150"/>
      <c r="BM188" s="150"/>
    </row>
    <row r="189" spans="1:65" s="61" customFormat="1" ht="12.75" x14ac:dyDescent="0.2">
      <c r="A189" s="150"/>
      <c r="B189" s="150"/>
      <c r="C189" s="150"/>
      <c r="D189" s="150"/>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50"/>
      <c r="AJ189" s="150"/>
      <c r="AK189" s="150"/>
      <c r="AL189" s="150"/>
      <c r="AM189" s="150"/>
      <c r="AN189" s="150"/>
      <c r="AO189" s="150"/>
      <c r="AP189" s="150"/>
      <c r="AQ189" s="150"/>
      <c r="AR189" s="150"/>
      <c r="AS189" s="150"/>
      <c r="AT189" s="150"/>
      <c r="AU189" s="150"/>
      <c r="AV189" s="150"/>
      <c r="AW189" s="150"/>
      <c r="AX189" s="150"/>
      <c r="AY189" s="150"/>
      <c r="AZ189" s="150"/>
      <c r="BA189" s="150"/>
      <c r="BB189" s="150"/>
      <c r="BC189" s="150"/>
      <c r="BD189" s="150"/>
      <c r="BE189" s="150"/>
      <c r="BF189" s="150"/>
      <c r="BG189" s="150"/>
      <c r="BH189" s="150"/>
      <c r="BI189" s="150"/>
      <c r="BJ189" s="150"/>
      <c r="BK189" s="150"/>
      <c r="BL189" s="150"/>
      <c r="BM189" s="150"/>
    </row>
    <row r="190" spans="1:65" s="61" customFormat="1" ht="12.75" x14ac:dyDescent="0.2">
      <c r="A190" s="150"/>
      <c r="B190" s="150"/>
      <c r="C190" s="150"/>
      <c r="D190" s="150"/>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50"/>
      <c r="AM190" s="150"/>
      <c r="AN190" s="150"/>
      <c r="AO190" s="150"/>
      <c r="AP190" s="150"/>
      <c r="AQ190" s="150"/>
      <c r="AR190" s="150"/>
      <c r="AS190" s="150"/>
      <c r="AT190" s="150"/>
      <c r="AU190" s="150"/>
      <c r="AV190" s="150"/>
      <c r="AW190" s="150"/>
      <c r="AX190" s="150"/>
      <c r="AY190" s="150"/>
      <c r="AZ190" s="150"/>
      <c r="BA190" s="150"/>
      <c r="BB190" s="150"/>
      <c r="BC190" s="150"/>
      <c r="BD190" s="150"/>
      <c r="BE190" s="150"/>
      <c r="BF190" s="150"/>
      <c r="BG190" s="150"/>
      <c r="BH190" s="150"/>
      <c r="BI190" s="150"/>
      <c r="BJ190" s="150"/>
      <c r="BK190" s="150"/>
      <c r="BL190" s="150"/>
      <c r="BM190" s="150"/>
    </row>
    <row r="191" spans="1:65" s="61" customFormat="1" ht="12.75" x14ac:dyDescent="0.2">
      <c r="A191" s="150"/>
      <c r="B191" s="150"/>
      <c r="C191" s="150"/>
      <c r="D191" s="150"/>
      <c r="E191" s="150"/>
      <c r="F191" s="150"/>
      <c r="G191" s="150"/>
      <c r="H191" s="150"/>
      <c r="I191" s="150"/>
      <c r="J191" s="150"/>
      <c r="K191" s="150"/>
      <c r="L191" s="150"/>
      <c r="M191" s="150"/>
      <c r="N191" s="150"/>
      <c r="O191" s="150"/>
      <c r="P191" s="150"/>
      <c r="Q191" s="150"/>
      <c r="R191" s="150"/>
      <c r="S191" s="150"/>
      <c r="T191" s="150"/>
      <c r="U191" s="150"/>
      <c r="V191" s="150"/>
      <c r="W191" s="150"/>
      <c r="X191" s="150"/>
      <c r="Y191" s="150"/>
      <c r="Z191" s="150"/>
      <c r="AA191" s="150"/>
      <c r="AB191" s="150"/>
      <c r="AC191" s="150"/>
      <c r="AD191" s="150"/>
      <c r="AE191" s="150"/>
      <c r="AF191" s="150"/>
      <c r="AG191" s="150"/>
      <c r="AH191" s="150"/>
      <c r="AI191" s="150"/>
      <c r="AJ191" s="150"/>
      <c r="AK191" s="150"/>
      <c r="AL191" s="150"/>
      <c r="AM191" s="150"/>
      <c r="AN191" s="150"/>
      <c r="AO191" s="150"/>
      <c r="AP191" s="150"/>
      <c r="AQ191" s="150"/>
      <c r="AR191" s="150"/>
      <c r="AS191" s="150"/>
      <c r="AT191" s="150"/>
      <c r="AU191" s="150"/>
      <c r="AV191" s="150"/>
      <c r="AW191" s="150"/>
      <c r="AX191" s="150"/>
      <c r="AY191" s="150"/>
      <c r="AZ191" s="150"/>
      <c r="BA191" s="150"/>
      <c r="BB191" s="150"/>
      <c r="BC191" s="150"/>
      <c r="BD191" s="150"/>
      <c r="BE191" s="150"/>
      <c r="BF191" s="150"/>
      <c r="BG191" s="150"/>
      <c r="BH191" s="150"/>
      <c r="BI191" s="150"/>
      <c r="BJ191" s="150"/>
      <c r="BK191" s="150"/>
      <c r="BL191" s="150"/>
      <c r="BM191" s="150"/>
    </row>
    <row r="192" spans="1:65" s="61" customFormat="1" ht="12.75" x14ac:dyDescent="0.2">
      <c r="A192" s="150"/>
      <c r="B192" s="150"/>
      <c r="C192" s="150"/>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c r="AA192" s="150"/>
      <c r="AB192" s="150"/>
      <c r="AC192" s="150"/>
      <c r="AD192" s="150"/>
      <c r="AE192" s="150"/>
      <c r="AF192" s="150"/>
      <c r="AG192" s="150"/>
      <c r="AH192" s="150"/>
      <c r="AI192" s="150"/>
      <c r="AJ192" s="150"/>
      <c r="AK192" s="150"/>
      <c r="AL192" s="150"/>
      <c r="AM192" s="150"/>
      <c r="AN192" s="150"/>
      <c r="AO192" s="150"/>
      <c r="AP192" s="150"/>
      <c r="AQ192" s="150"/>
      <c r="AR192" s="150"/>
      <c r="AS192" s="150"/>
      <c r="AT192" s="150"/>
      <c r="AU192" s="150"/>
      <c r="AV192" s="150"/>
      <c r="AW192" s="150"/>
      <c r="AX192" s="150"/>
      <c r="AY192" s="150"/>
      <c r="AZ192" s="150"/>
      <c r="BA192" s="150"/>
      <c r="BB192" s="150"/>
      <c r="BC192" s="150"/>
      <c r="BD192" s="150"/>
      <c r="BE192" s="150"/>
      <c r="BF192" s="150"/>
      <c r="BG192" s="150"/>
      <c r="BH192" s="150"/>
      <c r="BI192" s="150"/>
      <c r="BJ192" s="150"/>
      <c r="BK192" s="150"/>
      <c r="BL192" s="150"/>
      <c r="BM192" s="150"/>
    </row>
    <row r="193" s="61" customFormat="1" ht="12.75" x14ac:dyDescent="0.2"/>
    <row r="194" s="61" customFormat="1" ht="12.75" x14ac:dyDescent="0.2"/>
    <row r="195" s="61" customFormat="1" ht="12.75" x14ac:dyDescent="0.2"/>
    <row r="196" s="61" customFormat="1" ht="12.75" x14ac:dyDescent="0.2"/>
    <row r="197" s="61" customFormat="1" ht="12.75" x14ac:dyDescent="0.2"/>
    <row r="198" s="61" customFormat="1" ht="12.75" x14ac:dyDescent="0.2"/>
    <row r="199" s="61" customFormat="1" ht="12.75" x14ac:dyDescent="0.2"/>
    <row r="200" s="61" customFormat="1" ht="12.75" x14ac:dyDescent="0.2"/>
    <row r="201" s="61" customFormat="1" ht="12.75" x14ac:dyDescent="0.2"/>
    <row r="202" s="61" customFormat="1" ht="12.75" x14ac:dyDescent="0.2"/>
    <row r="203" s="61" customFormat="1" ht="12.75" x14ac:dyDescent="0.2"/>
    <row r="204" s="61" customFormat="1" ht="12.75" x14ac:dyDescent="0.2"/>
    <row r="205" s="61" customFormat="1" ht="12.75" x14ac:dyDescent="0.2"/>
    <row r="206" s="61" customFormat="1" ht="12.75" x14ac:dyDescent="0.2"/>
    <row r="207" s="61" customFormat="1" ht="12.75" x14ac:dyDescent="0.2"/>
    <row r="208" s="61" customFormat="1" ht="12.75" x14ac:dyDescent="0.2"/>
    <row r="209" s="61" customFormat="1" ht="12.75" x14ac:dyDescent="0.2"/>
    <row r="210" s="61" customFormat="1" ht="12.75" x14ac:dyDescent="0.2"/>
    <row r="211" s="61" customFormat="1" ht="12.75" x14ac:dyDescent="0.2"/>
    <row r="212" s="61" customFormat="1" ht="12.75" x14ac:dyDescent="0.2"/>
    <row r="213" s="61" customFormat="1" ht="12.75" x14ac:dyDescent="0.2"/>
    <row r="214" s="61" customFormat="1" ht="12.75" x14ac:dyDescent="0.2"/>
    <row r="215" s="61" customFormat="1" ht="12.75" x14ac:dyDescent="0.2"/>
    <row r="216" s="61" customFormat="1" ht="12.75" x14ac:dyDescent="0.2"/>
    <row r="217" s="61" customFormat="1" ht="12.75" x14ac:dyDescent="0.2"/>
    <row r="218" s="61" customFormat="1" ht="12.75" x14ac:dyDescent="0.2"/>
    <row r="219" s="61" customFormat="1" ht="12.75" x14ac:dyDescent="0.2"/>
    <row r="220" s="61" customFormat="1" ht="12.75" x14ac:dyDescent="0.2"/>
    <row r="221" s="61" customFormat="1" ht="12.75" x14ac:dyDescent="0.2"/>
    <row r="222" s="61" customFormat="1" ht="12.75" x14ac:dyDescent="0.2"/>
    <row r="223" s="61" customFormat="1" ht="12.75" x14ac:dyDescent="0.2"/>
    <row r="224" s="61" customFormat="1" ht="12.75" x14ac:dyDescent="0.2"/>
    <row r="225" s="61" customFormat="1" ht="12.75" x14ac:dyDescent="0.2"/>
    <row r="226" s="61" customFormat="1" ht="12.75" x14ac:dyDescent="0.2"/>
    <row r="227" s="61" customFormat="1" ht="12.75" x14ac:dyDescent="0.2"/>
    <row r="228" s="61" customFormat="1" ht="12.75" x14ac:dyDescent="0.2"/>
    <row r="229" s="61" customFormat="1" ht="12.75" x14ac:dyDescent="0.2"/>
    <row r="230" s="61" customFormat="1" ht="12.75" x14ac:dyDescent="0.2"/>
    <row r="231" s="61" customFormat="1" ht="12.75" x14ac:dyDescent="0.2"/>
    <row r="232" s="61" customFormat="1" ht="12.75" x14ac:dyDescent="0.2"/>
    <row r="233" s="61" customFormat="1" ht="12.75" x14ac:dyDescent="0.2"/>
    <row r="234" s="61" customFormat="1" ht="12.75" x14ac:dyDescent="0.2"/>
    <row r="235" s="61" customFormat="1" ht="12.75" x14ac:dyDescent="0.2"/>
    <row r="236" s="61" customFormat="1" ht="12.75" x14ac:dyDescent="0.2"/>
    <row r="237" s="61" customFormat="1" ht="12.75" x14ac:dyDescent="0.2"/>
    <row r="238" s="61" customFormat="1" ht="12.75" x14ac:dyDescent="0.2"/>
    <row r="239" s="61" customFormat="1" ht="12.75" x14ac:dyDescent="0.2"/>
    <row r="240" s="61" customFormat="1" ht="12.75" x14ac:dyDescent="0.2"/>
    <row r="241" s="61" customFormat="1" ht="12.75" x14ac:dyDescent="0.2"/>
    <row r="242" s="61" customFormat="1" ht="12.75" x14ac:dyDescent="0.2"/>
    <row r="243" s="61" customFormat="1" ht="12.75" x14ac:dyDescent="0.2"/>
    <row r="244" s="61" customFormat="1" ht="12.75" x14ac:dyDescent="0.2"/>
    <row r="245" s="61" customFormat="1" ht="12.75" x14ac:dyDescent="0.2"/>
    <row r="246" s="61" customFormat="1" ht="12.75" x14ac:dyDescent="0.2"/>
    <row r="247" s="61" customFormat="1" ht="12.75" x14ac:dyDescent="0.2"/>
    <row r="248" s="61" customFormat="1" ht="12.75" x14ac:dyDescent="0.2"/>
    <row r="249" s="61" customFormat="1" ht="12.75" x14ac:dyDescent="0.2"/>
    <row r="250" s="61" customFormat="1" ht="12.75" x14ac:dyDescent="0.2"/>
    <row r="251" s="61" customFormat="1" ht="12.75" x14ac:dyDescent="0.2"/>
    <row r="252" s="61" customFormat="1" ht="12.75" x14ac:dyDescent="0.2"/>
    <row r="253" s="61" customFormat="1" ht="12.75" x14ac:dyDescent="0.2"/>
    <row r="254" s="61" customFormat="1" ht="12.75" x14ac:dyDescent="0.2"/>
    <row r="255" s="61" customFormat="1" ht="12.75" x14ac:dyDescent="0.2"/>
    <row r="256" s="61" customFormat="1" ht="12.75" x14ac:dyDescent="0.2"/>
    <row r="257" s="61" customFormat="1" ht="12.75" x14ac:dyDescent="0.2"/>
    <row r="258" s="48" customFormat="1" x14ac:dyDescent="0.2"/>
    <row r="259" s="48" customFormat="1" x14ac:dyDescent="0.2"/>
    <row r="260" s="48" customFormat="1" x14ac:dyDescent="0.2"/>
    <row r="261" s="48" customFormat="1" x14ac:dyDescent="0.2"/>
    <row r="262" s="48" customFormat="1" x14ac:dyDescent="0.2"/>
    <row r="263" s="48" customFormat="1" x14ac:dyDescent="0.2"/>
    <row r="264" s="48" customFormat="1" x14ac:dyDescent="0.2"/>
    <row r="265" s="48" customFormat="1" x14ac:dyDescent="0.2"/>
    <row r="266" s="48" customFormat="1" x14ac:dyDescent="0.2"/>
    <row r="267" s="48" customFormat="1" x14ac:dyDescent="0.2"/>
  </sheetData>
  <conditionalFormatting sqref="H64:J111">
    <cfRule type="cellIs" dxfId="12" priority="3" operator="lessThan">
      <formula>0</formula>
    </cfRule>
  </conditionalFormatting>
  <conditionalFormatting sqref="AA88:AA111">
    <cfRule type="cellIs" dxfId="11" priority="57" operator="lessThan">
      <formula>0</formula>
    </cfRule>
  </conditionalFormatting>
  <conditionalFormatting sqref="AA64:AB87 AC138:BM147">
    <cfRule type="cellIs" dxfId="10" priority="58" operator="lessThan">
      <formula>0</formula>
    </cfRule>
  </conditionalFormatting>
  <conditionalFormatting sqref="AB64:AB111">
    <cfRule type="cellIs" dxfId="9" priority="36" operator="lessThan">
      <formula>0</formula>
    </cfRule>
  </conditionalFormatting>
  <conditionalFormatting sqref="AC173:BM182">
    <cfRule type="cellIs" dxfId="8" priority="2" operator="lessThan">
      <formula>0</formula>
    </cfRule>
  </conditionalFormatting>
  <conditionalFormatting sqref="AD150:BM159 AD161:BM170">
    <cfRule type="cellIs" dxfId="7" priority="1" operator="lessThan">
      <formula>0</formula>
    </cfRule>
  </conditionalFormatting>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27723-8688-4988-A680-CDF22CFE17E3}">
  <sheetPr codeName="Sheet6">
    <tabColor rgb="FFFF6565"/>
  </sheetPr>
  <dimension ref="A1:BZ104"/>
  <sheetViews>
    <sheetView showGridLines="0" zoomScale="85" zoomScaleNormal="85" workbookViewId="0">
      <pane xSplit="2" ySplit="7" topLeftCell="C8" activePane="bottomRight" state="frozen"/>
      <selection pane="topRight" activeCell="AA111" sqref="AA111"/>
      <selection pane="bottomLeft" activeCell="AA111" sqref="AA111"/>
      <selection pane="bottomRight"/>
    </sheetView>
  </sheetViews>
  <sheetFormatPr defaultColWidth="11" defaultRowHeight="12.75" outlineLevelRow="1" outlineLevelCol="1" x14ac:dyDescent="0.2"/>
  <cols>
    <col min="1" max="1" width="4.6640625" style="61" customWidth="1"/>
    <col min="2" max="2" width="5.1640625" style="61" customWidth="1"/>
    <col min="3" max="3" width="11" style="61"/>
    <col min="4" max="4" width="22.33203125" style="61" customWidth="1"/>
    <col min="5" max="6" width="11" style="61"/>
    <col min="7" max="7" width="15.6640625" style="61" bestFit="1" customWidth="1"/>
    <col min="8" max="8" width="11.5" style="61" bestFit="1" customWidth="1"/>
    <col min="9" max="11" width="11" style="61"/>
    <col min="12" max="12" width="11" style="61" customWidth="1"/>
    <col min="13" max="14" width="10.1640625" style="61" hidden="1" customWidth="1" outlineLevel="1"/>
    <col min="15" max="15" width="12.6640625" style="61" hidden="1" customWidth="1" outlineLevel="1"/>
    <col min="16" max="18" width="11.6640625" style="61" hidden="1" customWidth="1" outlineLevel="1"/>
    <col min="19" max="19" width="15.83203125" style="61" hidden="1" customWidth="1" outlineLevel="1"/>
    <col min="20" max="20" width="10.5" style="61" hidden="1" customWidth="1" outlineLevel="1"/>
    <col min="21" max="27" width="11.6640625" style="61" hidden="1" customWidth="1" outlineLevel="1"/>
    <col min="28" max="28" width="16" style="61" bestFit="1" customWidth="1" collapsed="1"/>
    <col min="29" max="29" width="17.33203125" style="61" bestFit="1" customWidth="1"/>
    <col min="30" max="39" width="16" style="61" bestFit="1" customWidth="1"/>
    <col min="40" max="40" width="17.1640625" style="61" bestFit="1" customWidth="1"/>
    <col min="41" max="49" width="16" style="61" bestFit="1" customWidth="1"/>
    <col min="50" max="64" width="16" bestFit="1" customWidth="1"/>
    <col min="75" max="16384" width="11" style="61"/>
  </cols>
  <sheetData>
    <row r="1" spans="1:78" s="51" customFormat="1" x14ac:dyDescent="0.2">
      <c r="B1" s="52" t="s">
        <v>526</v>
      </c>
      <c r="AX1"/>
      <c r="AY1"/>
      <c r="AZ1"/>
      <c r="BA1"/>
      <c r="BB1"/>
      <c r="BC1"/>
      <c r="BD1"/>
      <c r="BE1"/>
      <c r="BF1"/>
      <c r="BG1"/>
      <c r="BH1"/>
      <c r="BI1"/>
      <c r="BJ1"/>
      <c r="BK1"/>
      <c r="BL1"/>
      <c r="BM1"/>
      <c r="BN1"/>
      <c r="BO1"/>
      <c r="BP1"/>
      <c r="BQ1"/>
      <c r="BR1"/>
      <c r="BS1"/>
      <c r="BT1"/>
      <c r="BU1"/>
      <c r="BV1"/>
    </row>
    <row r="2" spans="1:78" s="51" customFormat="1" hidden="1" x14ac:dyDescent="0.2">
      <c r="AX2"/>
      <c r="AY2"/>
      <c r="AZ2"/>
      <c r="BA2"/>
      <c r="BB2"/>
      <c r="BC2"/>
      <c r="BD2"/>
      <c r="BE2"/>
      <c r="BF2"/>
      <c r="BG2"/>
      <c r="BH2"/>
      <c r="BI2"/>
      <c r="BJ2"/>
      <c r="BK2"/>
      <c r="BL2"/>
      <c r="BM2"/>
      <c r="BN2"/>
      <c r="BO2"/>
      <c r="BP2"/>
      <c r="BQ2"/>
      <c r="BR2"/>
      <c r="BS2"/>
      <c r="BT2"/>
      <c r="BU2"/>
      <c r="BV2"/>
    </row>
    <row r="3" spans="1:78" s="51" customFormat="1" hidden="1" x14ac:dyDescent="0.2">
      <c r="AX3"/>
      <c r="AY3"/>
      <c r="AZ3"/>
      <c r="BA3"/>
      <c r="BB3"/>
      <c r="BC3"/>
      <c r="BD3"/>
      <c r="BE3"/>
      <c r="BF3"/>
      <c r="BG3"/>
      <c r="BH3"/>
      <c r="BI3"/>
      <c r="BJ3"/>
      <c r="BK3"/>
      <c r="BL3"/>
      <c r="BM3"/>
      <c r="BN3"/>
      <c r="BO3"/>
      <c r="BP3"/>
      <c r="BQ3"/>
      <c r="BR3"/>
      <c r="BS3"/>
      <c r="BT3"/>
      <c r="BU3"/>
      <c r="BV3"/>
    </row>
    <row r="4" spans="1:78" s="51" customFormat="1" x14ac:dyDescent="0.2">
      <c r="C4" s="51" t="s">
        <v>426</v>
      </c>
      <c r="I4" s="54"/>
      <c r="J4" s="54">
        <f>'INPUT Growth'!J4</f>
        <v>-19</v>
      </c>
      <c r="K4" s="54">
        <f>'INPUT Growth'!K4</f>
        <v>-18</v>
      </c>
      <c r="L4" s="54">
        <f>'INPUT Growth'!L4</f>
        <v>-17</v>
      </c>
      <c r="M4" s="54">
        <f>'INPUT Growth'!M4</f>
        <v>-16</v>
      </c>
      <c r="N4" s="54">
        <f>'INPUT Growth'!N4</f>
        <v>-15</v>
      </c>
      <c r="O4" s="54">
        <f>'INPUT Growth'!O4</f>
        <v>-14</v>
      </c>
      <c r="P4" s="54">
        <f>'INPUT Growth'!P4</f>
        <v>-13</v>
      </c>
      <c r="Q4" s="54">
        <f>'INPUT Growth'!Q4</f>
        <v>-12</v>
      </c>
      <c r="R4" s="54">
        <f>'INPUT Growth'!R4</f>
        <v>-11</v>
      </c>
      <c r="S4" s="54">
        <f>'INPUT Growth'!S4</f>
        <v>-10</v>
      </c>
      <c r="T4" s="54">
        <f>'INPUT Growth'!T4</f>
        <v>-9</v>
      </c>
      <c r="U4" s="54">
        <f>'INPUT Growth'!U4</f>
        <v>-8</v>
      </c>
      <c r="V4" s="54">
        <f>'INPUT Growth'!V4</f>
        <v>-7</v>
      </c>
      <c r="W4" s="54">
        <f>'INPUT Growth'!W4</f>
        <v>-6</v>
      </c>
      <c r="X4" s="54">
        <f>'INPUT Growth'!X4</f>
        <v>-5</v>
      </c>
      <c r="Y4" s="54">
        <f>'INPUT Growth'!Y4</f>
        <v>-4</v>
      </c>
      <c r="Z4" s="54">
        <f>'INPUT Growth'!Z4</f>
        <v>-3</v>
      </c>
      <c r="AA4" s="54">
        <f>'INPUT Growth'!AA4</f>
        <v>-2</v>
      </c>
      <c r="AB4" s="54">
        <f>'INPUT Growth'!AB4</f>
        <v>-1</v>
      </c>
      <c r="AC4" s="54">
        <f t="shared" ref="AC4" si="0">AD4-1</f>
        <v>0</v>
      </c>
      <c r="AD4" s="54">
        <v>1</v>
      </c>
      <c r="AE4" s="54">
        <f t="shared" ref="AE4:AT6" si="1">AD4+1</f>
        <v>2</v>
      </c>
      <c r="AF4" s="54">
        <f t="shared" si="1"/>
        <v>3</v>
      </c>
      <c r="AG4" s="54">
        <f t="shared" si="1"/>
        <v>4</v>
      </c>
      <c r="AH4" s="54">
        <f t="shared" si="1"/>
        <v>5</v>
      </c>
      <c r="AI4" s="54">
        <f t="shared" si="1"/>
        <v>6</v>
      </c>
      <c r="AJ4" s="54">
        <f t="shared" si="1"/>
        <v>7</v>
      </c>
      <c r="AK4" s="54">
        <f t="shared" si="1"/>
        <v>8</v>
      </c>
      <c r="AL4" s="54">
        <f t="shared" si="1"/>
        <v>9</v>
      </c>
      <c r="AM4" s="54">
        <f t="shared" si="1"/>
        <v>10</v>
      </c>
      <c r="AN4" s="54">
        <f t="shared" si="1"/>
        <v>11</v>
      </c>
      <c r="AO4" s="54">
        <f t="shared" si="1"/>
        <v>12</v>
      </c>
      <c r="AP4" s="54">
        <f t="shared" si="1"/>
        <v>13</v>
      </c>
      <c r="AQ4" s="54">
        <f t="shared" si="1"/>
        <v>14</v>
      </c>
      <c r="AR4" s="54">
        <f t="shared" si="1"/>
        <v>15</v>
      </c>
      <c r="AS4" s="54">
        <f t="shared" si="1"/>
        <v>16</v>
      </c>
      <c r="AT4" s="54">
        <f t="shared" si="1"/>
        <v>17</v>
      </c>
      <c r="AU4" s="54">
        <f t="shared" ref="AU4:BJ6" si="2">AT4+1</f>
        <v>18</v>
      </c>
      <c r="AV4" s="54">
        <f t="shared" si="2"/>
        <v>19</v>
      </c>
      <c r="AW4" s="54">
        <f t="shared" si="2"/>
        <v>20</v>
      </c>
      <c r="AX4" s="54">
        <f t="shared" si="2"/>
        <v>21</v>
      </c>
      <c r="AY4" s="54">
        <f t="shared" si="2"/>
        <v>22</v>
      </c>
      <c r="AZ4" s="54">
        <f t="shared" si="2"/>
        <v>23</v>
      </c>
      <c r="BA4" s="54">
        <f t="shared" si="2"/>
        <v>24</v>
      </c>
      <c r="BB4" s="54">
        <f t="shared" si="2"/>
        <v>25</v>
      </c>
      <c r="BC4" s="54">
        <f t="shared" si="2"/>
        <v>26</v>
      </c>
      <c r="BD4" s="54">
        <f t="shared" si="2"/>
        <v>27</v>
      </c>
      <c r="BE4" s="54">
        <f t="shared" si="2"/>
        <v>28</v>
      </c>
      <c r="BF4" s="54">
        <f t="shared" si="2"/>
        <v>29</v>
      </c>
      <c r="BG4" s="54">
        <f t="shared" si="2"/>
        <v>30</v>
      </c>
      <c r="BH4" s="54">
        <f t="shared" si="2"/>
        <v>31</v>
      </c>
      <c r="BI4" s="54">
        <f t="shared" si="2"/>
        <v>32</v>
      </c>
      <c r="BJ4" s="54">
        <f t="shared" si="2"/>
        <v>33</v>
      </c>
      <c r="BK4" s="54">
        <f t="shared" ref="BK4:BL6" si="3">BJ4+1</f>
        <v>34</v>
      </c>
      <c r="BL4" s="54">
        <f t="shared" si="3"/>
        <v>35</v>
      </c>
      <c r="BM4"/>
      <c r="BN4"/>
      <c r="BO4"/>
      <c r="BP4"/>
      <c r="BQ4"/>
      <c r="BR4"/>
      <c r="BS4"/>
      <c r="BT4"/>
      <c r="BU4"/>
      <c r="BV4"/>
      <c r="BW4" s="54"/>
      <c r="BX4" s="54"/>
      <c r="BY4" s="54"/>
      <c r="BZ4" s="54"/>
    </row>
    <row r="5" spans="1:78" s="51" customFormat="1" x14ac:dyDescent="0.2">
      <c r="C5" s="51" t="s">
        <v>427</v>
      </c>
      <c r="I5" s="54"/>
      <c r="J5" s="54">
        <f>'INPUT Growth'!J5</f>
        <v>2004</v>
      </c>
      <c r="K5" s="54">
        <f>'INPUT Growth'!K5</f>
        <v>2005</v>
      </c>
      <c r="L5" s="54">
        <f>'INPUT Growth'!L5</f>
        <v>2006</v>
      </c>
      <c r="M5" s="54">
        <f>'INPUT Growth'!M5</f>
        <v>2007</v>
      </c>
      <c r="N5" s="54">
        <f>'INPUT Growth'!N5</f>
        <v>2008</v>
      </c>
      <c r="O5" s="54">
        <f>'INPUT Growth'!O5</f>
        <v>2009</v>
      </c>
      <c r="P5" s="54">
        <f>'INPUT Growth'!P5</f>
        <v>2010</v>
      </c>
      <c r="Q5" s="54">
        <f>'INPUT Growth'!Q5</f>
        <v>2011</v>
      </c>
      <c r="R5" s="54">
        <f>'INPUT Growth'!R5</f>
        <v>2012</v>
      </c>
      <c r="S5" s="54">
        <f>'INPUT Growth'!S5</f>
        <v>2013</v>
      </c>
      <c r="T5" s="54">
        <f>'INPUT Growth'!T5</f>
        <v>2014</v>
      </c>
      <c r="U5" s="54">
        <f>'INPUT Growth'!U5</f>
        <v>2015</v>
      </c>
      <c r="V5" s="54">
        <f>'INPUT Growth'!V5</f>
        <v>2016</v>
      </c>
      <c r="W5" s="54">
        <f>'INPUT Growth'!W5</f>
        <v>2017</v>
      </c>
      <c r="X5" s="54">
        <f>'INPUT Growth'!X5</f>
        <v>2018</v>
      </c>
      <c r="Y5" s="54">
        <f>'INPUT Growth'!Y5</f>
        <v>2019</v>
      </c>
      <c r="Z5" s="54">
        <f>'INPUT Growth'!Z5</f>
        <v>2020</v>
      </c>
      <c r="AA5" s="54">
        <f>'INPUT Growth'!AA5</f>
        <v>2021</v>
      </c>
      <c r="AB5" s="54">
        <f>'INPUT Growth'!AB5</f>
        <v>2022</v>
      </c>
      <c r="AC5" s="54">
        <f t="shared" ref="AC5:AR6" si="4">AB5+1</f>
        <v>2023</v>
      </c>
      <c r="AD5" s="54">
        <f t="shared" si="4"/>
        <v>2024</v>
      </c>
      <c r="AE5" s="54">
        <f t="shared" si="4"/>
        <v>2025</v>
      </c>
      <c r="AF5" s="54">
        <f t="shared" si="4"/>
        <v>2026</v>
      </c>
      <c r="AG5" s="54">
        <f t="shared" si="4"/>
        <v>2027</v>
      </c>
      <c r="AH5" s="54">
        <f t="shared" si="4"/>
        <v>2028</v>
      </c>
      <c r="AI5" s="54">
        <f t="shared" si="4"/>
        <v>2029</v>
      </c>
      <c r="AJ5" s="54">
        <f t="shared" si="4"/>
        <v>2030</v>
      </c>
      <c r="AK5" s="54">
        <f t="shared" si="4"/>
        <v>2031</v>
      </c>
      <c r="AL5" s="54">
        <f t="shared" si="4"/>
        <v>2032</v>
      </c>
      <c r="AM5" s="54">
        <f t="shared" si="4"/>
        <v>2033</v>
      </c>
      <c r="AN5" s="54">
        <f t="shared" si="4"/>
        <v>2034</v>
      </c>
      <c r="AO5" s="54">
        <f t="shared" si="4"/>
        <v>2035</v>
      </c>
      <c r="AP5" s="54">
        <f t="shared" si="4"/>
        <v>2036</v>
      </c>
      <c r="AQ5" s="54">
        <f t="shared" si="1"/>
        <v>2037</v>
      </c>
      <c r="AR5" s="54">
        <f t="shared" si="1"/>
        <v>2038</v>
      </c>
      <c r="AS5" s="54">
        <f t="shared" si="1"/>
        <v>2039</v>
      </c>
      <c r="AT5" s="54">
        <f t="shared" si="1"/>
        <v>2040</v>
      </c>
      <c r="AU5" s="54">
        <f t="shared" si="2"/>
        <v>2041</v>
      </c>
      <c r="AV5" s="54">
        <f t="shared" si="2"/>
        <v>2042</v>
      </c>
      <c r="AW5" s="54">
        <f t="shared" si="2"/>
        <v>2043</v>
      </c>
      <c r="AX5" s="54">
        <f t="shared" si="2"/>
        <v>2044</v>
      </c>
      <c r="AY5" s="54">
        <f t="shared" si="2"/>
        <v>2045</v>
      </c>
      <c r="AZ5" s="54">
        <f t="shared" si="2"/>
        <v>2046</v>
      </c>
      <c r="BA5" s="54">
        <f t="shared" si="2"/>
        <v>2047</v>
      </c>
      <c r="BB5" s="54">
        <f t="shared" si="2"/>
        <v>2048</v>
      </c>
      <c r="BC5" s="54">
        <f t="shared" si="2"/>
        <v>2049</v>
      </c>
      <c r="BD5" s="54">
        <f t="shared" si="2"/>
        <v>2050</v>
      </c>
      <c r="BE5" s="54">
        <f t="shared" si="2"/>
        <v>2051</v>
      </c>
      <c r="BF5" s="54">
        <f t="shared" si="2"/>
        <v>2052</v>
      </c>
      <c r="BG5" s="54">
        <f t="shared" si="2"/>
        <v>2053</v>
      </c>
      <c r="BH5" s="54">
        <f t="shared" si="2"/>
        <v>2054</v>
      </c>
      <c r="BI5" s="54">
        <f t="shared" si="2"/>
        <v>2055</v>
      </c>
      <c r="BJ5" s="54">
        <f t="shared" si="2"/>
        <v>2056</v>
      </c>
      <c r="BK5" s="54">
        <f t="shared" si="3"/>
        <v>2057</v>
      </c>
      <c r="BL5" s="54">
        <f t="shared" si="3"/>
        <v>2058</v>
      </c>
      <c r="BM5"/>
      <c r="BN5"/>
      <c r="BO5"/>
      <c r="BP5"/>
      <c r="BQ5"/>
      <c r="BR5"/>
      <c r="BS5"/>
      <c r="BT5"/>
      <c r="BU5"/>
      <c r="BV5"/>
      <c r="BW5" s="54"/>
      <c r="BX5" s="54"/>
      <c r="BY5" s="54"/>
      <c r="BZ5" s="54"/>
    </row>
    <row r="6" spans="1:78" s="51" customFormat="1" x14ac:dyDescent="0.2">
      <c r="C6" s="51" t="s">
        <v>428</v>
      </c>
      <c r="I6" s="54"/>
      <c r="J6" s="54">
        <f>'INPUT Growth'!J6</f>
        <v>2005</v>
      </c>
      <c r="K6" s="54">
        <f>'INPUT Growth'!K6</f>
        <v>2006</v>
      </c>
      <c r="L6" s="54">
        <f>'INPUT Growth'!L6</f>
        <v>2007</v>
      </c>
      <c r="M6" s="54">
        <f>'INPUT Growth'!M6</f>
        <v>2008</v>
      </c>
      <c r="N6" s="54">
        <f>'INPUT Growth'!N6</f>
        <v>2009</v>
      </c>
      <c r="O6" s="54">
        <f>'INPUT Growth'!O6</f>
        <v>2010</v>
      </c>
      <c r="P6" s="54">
        <f>'INPUT Growth'!P6</f>
        <v>2011</v>
      </c>
      <c r="Q6" s="54">
        <f>'INPUT Growth'!Q6</f>
        <v>2012</v>
      </c>
      <c r="R6" s="54">
        <f>'INPUT Growth'!R6</f>
        <v>2013</v>
      </c>
      <c r="S6" s="54">
        <f>'INPUT Growth'!S6</f>
        <v>2014</v>
      </c>
      <c r="T6" s="54">
        <f>'INPUT Growth'!T6</f>
        <v>2015</v>
      </c>
      <c r="U6" s="54">
        <f>'INPUT Growth'!U6</f>
        <v>2016</v>
      </c>
      <c r="V6" s="54">
        <f>'INPUT Growth'!V6</f>
        <v>2017</v>
      </c>
      <c r="W6" s="54">
        <f>'INPUT Growth'!W6</f>
        <v>2018</v>
      </c>
      <c r="X6" s="54">
        <f>'INPUT Growth'!X6</f>
        <v>2019</v>
      </c>
      <c r="Y6" s="54">
        <f>'INPUT Growth'!Y6</f>
        <v>2020</v>
      </c>
      <c r="Z6" s="54">
        <f>'INPUT Growth'!Z6</f>
        <v>2021</v>
      </c>
      <c r="AA6" s="54">
        <f>'INPUT Growth'!AA6</f>
        <v>2022</v>
      </c>
      <c r="AB6" s="54">
        <f>'INPUT Growth'!AB6</f>
        <v>2023</v>
      </c>
      <c r="AC6" s="54">
        <f t="shared" si="4"/>
        <v>2024</v>
      </c>
      <c r="AD6" s="54">
        <f t="shared" si="4"/>
        <v>2025</v>
      </c>
      <c r="AE6" s="54">
        <f t="shared" si="4"/>
        <v>2026</v>
      </c>
      <c r="AF6" s="54">
        <f t="shared" si="4"/>
        <v>2027</v>
      </c>
      <c r="AG6" s="54">
        <f t="shared" si="4"/>
        <v>2028</v>
      </c>
      <c r="AH6" s="54">
        <f t="shared" si="4"/>
        <v>2029</v>
      </c>
      <c r="AI6" s="54">
        <f t="shared" si="4"/>
        <v>2030</v>
      </c>
      <c r="AJ6" s="54">
        <f t="shared" si="4"/>
        <v>2031</v>
      </c>
      <c r="AK6" s="54">
        <f t="shared" si="4"/>
        <v>2032</v>
      </c>
      <c r="AL6" s="54">
        <f t="shared" si="4"/>
        <v>2033</v>
      </c>
      <c r="AM6" s="54">
        <f t="shared" si="4"/>
        <v>2034</v>
      </c>
      <c r="AN6" s="54">
        <f t="shared" si="4"/>
        <v>2035</v>
      </c>
      <c r="AO6" s="54">
        <f t="shared" si="4"/>
        <v>2036</v>
      </c>
      <c r="AP6" s="54">
        <f t="shared" si="4"/>
        <v>2037</v>
      </c>
      <c r="AQ6" s="54">
        <f t="shared" si="4"/>
        <v>2038</v>
      </c>
      <c r="AR6" s="54">
        <f t="shared" si="4"/>
        <v>2039</v>
      </c>
      <c r="AS6" s="54">
        <f t="shared" si="1"/>
        <v>2040</v>
      </c>
      <c r="AT6" s="54">
        <f t="shared" si="1"/>
        <v>2041</v>
      </c>
      <c r="AU6" s="54">
        <f t="shared" si="2"/>
        <v>2042</v>
      </c>
      <c r="AV6" s="54">
        <f t="shared" si="2"/>
        <v>2043</v>
      </c>
      <c r="AW6" s="54">
        <f t="shared" si="2"/>
        <v>2044</v>
      </c>
      <c r="AX6" s="54">
        <f t="shared" si="2"/>
        <v>2045</v>
      </c>
      <c r="AY6" s="54">
        <f t="shared" si="2"/>
        <v>2046</v>
      </c>
      <c r="AZ6" s="54">
        <f t="shared" si="2"/>
        <v>2047</v>
      </c>
      <c r="BA6" s="54">
        <f t="shared" si="2"/>
        <v>2048</v>
      </c>
      <c r="BB6" s="54">
        <f t="shared" si="2"/>
        <v>2049</v>
      </c>
      <c r="BC6" s="54">
        <f t="shared" si="2"/>
        <v>2050</v>
      </c>
      <c r="BD6" s="54">
        <f t="shared" si="2"/>
        <v>2051</v>
      </c>
      <c r="BE6" s="54">
        <f t="shared" si="2"/>
        <v>2052</v>
      </c>
      <c r="BF6" s="54">
        <f t="shared" si="2"/>
        <v>2053</v>
      </c>
      <c r="BG6" s="54">
        <f t="shared" si="2"/>
        <v>2054</v>
      </c>
      <c r="BH6" s="54">
        <f t="shared" si="2"/>
        <v>2055</v>
      </c>
      <c r="BI6" s="54">
        <f t="shared" si="2"/>
        <v>2056</v>
      </c>
      <c r="BJ6" s="54">
        <f t="shared" si="2"/>
        <v>2057</v>
      </c>
      <c r="BK6" s="54">
        <f t="shared" si="3"/>
        <v>2058</v>
      </c>
      <c r="BL6" s="54">
        <f t="shared" si="3"/>
        <v>2059</v>
      </c>
      <c r="BM6"/>
      <c r="BN6"/>
      <c r="BO6"/>
      <c r="BP6"/>
      <c r="BQ6"/>
      <c r="BR6"/>
      <c r="BS6"/>
      <c r="BT6"/>
      <c r="BU6"/>
      <c r="BV6"/>
      <c r="BW6" s="54"/>
      <c r="BX6" s="54"/>
      <c r="BY6" s="54"/>
      <c r="BZ6" s="54"/>
    </row>
    <row r="7" spans="1:78" s="51" customFormat="1" x14ac:dyDescent="0.2">
      <c r="A7" s="55"/>
      <c r="B7" s="56"/>
      <c r="C7" s="55" t="s">
        <v>429</v>
      </c>
      <c r="D7" s="55"/>
      <c r="E7" s="55"/>
      <c r="F7" s="58"/>
      <c r="G7" s="55"/>
      <c r="H7" s="55"/>
      <c r="I7" s="59"/>
      <c r="J7" s="59" t="str">
        <f>'INPUT Growth'!J7</f>
        <v>2004-05</v>
      </c>
      <c r="K7" s="60" t="str">
        <f>'INPUT Growth'!K7</f>
        <v>2005-06</v>
      </c>
      <c r="L7" s="60" t="str">
        <f>'INPUT Growth'!L7</f>
        <v>2006-07</v>
      </c>
      <c r="M7" s="60" t="str">
        <f>'INPUT Growth'!M7</f>
        <v>2007-08</v>
      </c>
      <c r="N7" s="60" t="str">
        <f>'INPUT Growth'!N7</f>
        <v>2008-09</v>
      </c>
      <c r="O7" s="60" t="str">
        <f>'INPUT Growth'!O7</f>
        <v>2009-10</v>
      </c>
      <c r="P7" s="60" t="str">
        <f>'INPUT Growth'!P7</f>
        <v>2010-11</v>
      </c>
      <c r="Q7" s="60" t="str">
        <f>'INPUT Growth'!Q7</f>
        <v>2011-12</v>
      </c>
      <c r="R7" s="60" t="str">
        <f>'INPUT Growth'!R7</f>
        <v>2012-13</v>
      </c>
      <c r="S7" s="60" t="str">
        <f>'INPUT Growth'!S7</f>
        <v>2013-14</v>
      </c>
      <c r="T7" s="60" t="str">
        <f>'INPUT Growth'!T7</f>
        <v>2014-15</v>
      </c>
      <c r="U7" s="60" t="str">
        <f>'INPUT Growth'!U7</f>
        <v>2015-16</v>
      </c>
      <c r="V7" s="60" t="str">
        <f>'INPUT Growth'!V7</f>
        <v>2016-17</v>
      </c>
      <c r="W7" s="60" t="str">
        <f>'INPUT Growth'!W7</f>
        <v>2017-18</v>
      </c>
      <c r="X7" s="60" t="str">
        <f>'INPUT Growth'!X7</f>
        <v>2018-19</v>
      </c>
      <c r="Y7" s="60" t="str">
        <f>'INPUT Growth'!Y7</f>
        <v>2019-20</v>
      </c>
      <c r="Z7" s="60" t="str">
        <f>'INPUT Growth'!Z7</f>
        <v>2020-21</v>
      </c>
      <c r="AA7" s="60" t="str">
        <f>'INPUT Growth'!AA7</f>
        <v>2021-22</v>
      </c>
      <c r="AB7" s="60" t="str">
        <f>'INPUT Growth'!AB7</f>
        <v>2022-23</v>
      </c>
      <c r="AC7" s="60" t="s">
        <v>450</v>
      </c>
      <c r="AD7" s="60" t="s">
        <v>11</v>
      </c>
      <c r="AE7" s="60" t="s">
        <v>12</v>
      </c>
      <c r="AF7" s="60" t="s">
        <v>13</v>
      </c>
      <c r="AG7" s="60" t="s">
        <v>14</v>
      </c>
      <c r="AH7" s="60" t="s">
        <v>15</v>
      </c>
      <c r="AI7" s="60" t="s">
        <v>16</v>
      </c>
      <c r="AJ7" s="60" t="s">
        <v>17</v>
      </c>
      <c r="AK7" s="60" t="s">
        <v>18</v>
      </c>
      <c r="AL7" s="60" t="s">
        <v>19</v>
      </c>
      <c r="AM7" s="60" t="str">
        <f>AM5&amp;"-"&amp;RIGHT(AM6,2)</f>
        <v>2033-34</v>
      </c>
      <c r="AN7" s="60" t="str">
        <f t="shared" ref="AN7:BL7" si="5">AN5&amp;"-"&amp;RIGHT(AN6,2)</f>
        <v>2034-35</v>
      </c>
      <c r="AO7" s="60" t="str">
        <f t="shared" si="5"/>
        <v>2035-36</v>
      </c>
      <c r="AP7" s="60" t="str">
        <f t="shared" si="5"/>
        <v>2036-37</v>
      </c>
      <c r="AQ7" s="60" t="str">
        <f t="shared" si="5"/>
        <v>2037-38</v>
      </c>
      <c r="AR7" s="60" t="str">
        <f t="shared" si="5"/>
        <v>2038-39</v>
      </c>
      <c r="AS7" s="60" t="str">
        <f t="shared" si="5"/>
        <v>2039-40</v>
      </c>
      <c r="AT7" s="60" t="str">
        <f t="shared" si="5"/>
        <v>2040-41</v>
      </c>
      <c r="AU7" s="60" t="str">
        <f t="shared" si="5"/>
        <v>2041-42</v>
      </c>
      <c r="AV7" s="60" t="str">
        <f t="shared" si="5"/>
        <v>2042-43</v>
      </c>
      <c r="AW7" s="60" t="str">
        <f t="shared" si="5"/>
        <v>2043-44</v>
      </c>
      <c r="AX7" s="60" t="str">
        <f t="shared" si="5"/>
        <v>2044-45</v>
      </c>
      <c r="AY7" s="60" t="str">
        <f t="shared" si="5"/>
        <v>2045-46</v>
      </c>
      <c r="AZ7" s="60" t="str">
        <f t="shared" si="5"/>
        <v>2046-47</v>
      </c>
      <c r="BA7" s="60" t="str">
        <f t="shared" si="5"/>
        <v>2047-48</v>
      </c>
      <c r="BB7" s="60" t="str">
        <f t="shared" si="5"/>
        <v>2048-49</v>
      </c>
      <c r="BC7" s="60" t="str">
        <f t="shared" si="5"/>
        <v>2049-50</v>
      </c>
      <c r="BD7" s="60" t="str">
        <f t="shared" si="5"/>
        <v>2050-51</v>
      </c>
      <c r="BE7" s="60" t="str">
        <f t="shared" si="5"/>
        <v>2051-52</v>
      </c>
      <c r="BF7" s="60" t="str">
        <f t="shared" si="5"/>
        <v>2052-53</v>
      </c>
      <c r="BG7" s="60" t="str">
        <f t="shared" si="5"/>
        <v>2053-54</v>
      </c>
      <c r="BH7" s="60" t="str">
        <f t="shared" si="5"/>
        <v>2054-55</v>
      </c>
      <c r="BI7" s="60" t="str">
        <f t="shared" si="5"/>
        <v>2055-56</v>
      </c>
      <c r="BJ7" s="60" t="str">
        <f t="shared" si="5"/>
        <v>2056-57</v>
      </c>
      <c r="BK7" s="60" t="str">
        <f t="shared" si="5"/>
        <v>2057-58</v>
      </c>
      <c r="BL7" s="60" t="str">
        <f t="shared" si="5"/>
        <v>2058-59</v>
      </c>
      <c r="BM7"/>
      <c r="BN7"/>
      <c r="BO7"/>
      <c r="BP7"/>
      <c r="BQ7"/>
      <c r="BR7"/>
      <c r="BS7"/>
      <c r="BT7"/>
      <c r="BU7"/>
      <c r="BV7"/>
      <c r="BW7" s="60"/>
      <c r="BX7" s="60"/>
      <c r="BY7" s="60"/>
      <c r="BZ7" s="60"/>
    </row>
    <row r="8" spans="1:78" s="51" customFormat="1" x14ac:dyDescent="0.2">
      <c r="A8" s="73"/>
      <c r="B8" s="74"/>
      <c r="C8" s="73"/>
      <c r="D8" s="73"/>
      <c r="E8" s="73"/>
      <c r="F8" s="75"/>
      <c r="G8" s="73"/>
      <c r="H8" s="73"/>
      <c r="I8" s="76"/>
      <c r="J8" s="76"/>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c r="AY8"/>
      <c r="AZ8"/>
      <c r="BA8"/>
      <c r="BB8"/>
      <c r="BC8"/>
      <c r="BD8"/>
      <c r="BE8"/>
      <c r="BF8"/>
      <c r="BG8"/>
      <c r="BH8"/>
      <c r="BI8"/>
      <c r="BJ8"/>
      <c r="BK8"/>
      <c r="BL8"/>
      <c r="BM8"/>
      <c r="BN8"/>
      <c r="BO8"/>
      <c r="BP8"/>
      <c r="BQ8"/>
      <c r="BR8"/>
      <c r="BS8"/>
      <c r="BT8"/>
      <c r="BU8"/>
      <c r="BV8"/>
      <c r="BW8" s="77"/>
      <c r="BX8" s="77"/>
      <c r="BY8" s="77"/>
      <c r="BZ8" s="77"/>
    </row>
    <row r="9" spans="1:78" s="51" customFormat="1" ht="15.75" x14ac:dyDescent="0.25">
      <c r="A9" s="73"/>
      <c r="B9" s="78" t="s">
        <v>527</v>
      </c>
      <c r="C9" s="73"/>
      <c r="D9" s="73"/>
      <c r="E9" s="73"/>
      <c r="F9" s="75"/>
      <c r="G9" s="73"/>
      <c r="H9" s="73"/>
      <c r="I9" s="76"/>
      <c r="J9" s="76"/>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c r="AY9"/>
      <c r="AZ9"/>
      <c r="BA9"/>
      <c r="BB9"/>
      <c r="BC9"/>
      <c r="BD9"/>
      <c r="BE9"/>
      <c r="BF9"/>
      <c r="BG9"/>
      <c r="BH9"/>
      <c r="BI9"/>
      <c r="BJ9"/>
      <c r="BK9"/>
      <c r="BL9"/>
      <c r="BM9"/>
      <c r="BN9"/>
      <c r="BO9"/>
      <c r="BP9"/>
      <c r="BQ9"/>
      <c r="BR9"/>
      <c r="BS9"/>
      <c r="BT9"/>
      <c r="BU9"/>
      <c r="BV9"/>
      <c r="BW9" s="77"/>
      <c r="BX9" s="77"/>
      <c r="BY9" s="77"/>
      <c r="BZ9" s="77"/>
    </row>
    <row r="10" spans="1:78" outlineLevel="1" x14ac:dyDescent="0.2">
      <c r="A10" s="150"/>
      <c r="B10" s="150"/>
      <c r="C10" s="62" t="s">
        <v>528</v>
      </c>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BW10" s="150"/>
      <c r="BX10" s="150"/>
      <c r="BY10" s="150"/>
      <c r="BZ10" s="150"/>
    </row>
    <row r="11" spans="1:78" outlineLevel="1" x14ac:dyDescent="0.2">
      <c r="A11" s="150"/>
      <c r="B11" s="150"/>
      <c r="C11" s="150"/>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BW11" s="150"/>
      <c r="BX11" s="150"/>
      <c r="BY11" s="150"/>
      <c r="BZ11" s="150"/>
    </row>
    <row r="12" spans="1:78" outlineLevel="1" x14ac:dyDescent="0.2">
      <c r="A12" s="150"/>
      <c r="B12" s="150"/>
      <c r="C12" s="64" t="s">
        <v>192</v>
      </c>
      <c r="D12" s="150"/>
      <c r="E12" s="150"/>
      <c r="F12" s="150"/>
      <c r="G12" s="150" t="s">
        <v>529</v>
      </c>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BW12" s="150"/>
      <c r="BX12" s="150"/>
      <c r="BY12" s="150"/>
      <c r="BZ12" s="150"/>
    </row>
    <row r="13" spans="1:78" outlineLevel="1" x14ac:dyDescent="0.2">
      <c r="A13" s="150"/>
      <c r="B13" s="150"/>
      <c r="C13" s="150" t="s">
        <v>530</v>
      </c>
      <c r="D13" s="150"/>
      <c r="E13" s="150" t="s">
        <v>301</v>
      </c>
      <c r="F13" s="150"/>
      <c r="G13" s="181">
        <v>171047</v>
      </c>
      <c r="H13" s="150"/>
      <c r="I13" s="150" t="s">
        <v>531</v>
      </c>
      <c r="J13" s="150" t="s">
        <v>532</v>
      </c>
      <c r="K13" s="150"/>
      <c r="L13" s="150"/>
      <c r="M13" s="150"/>
      <c r="N13" s="150"/>
      <c r="O13" s="150"/>
      <c r="P13" s="150"/>
      <c r="Q13" s="150"/>
      <c r="R13" s="150"/>
      <c r="S13" s="150"/>
      <c r="T13" s="150"/>
      <c r="U13" s="150"/>
      <c r="V13" s="150"/>
      <c r="W13" s="150"/>
      <c r="X13" s="150"/>
      <c r="Y13" s="150"/>
      <c r="Z13" s="150"/>
      <c r="AA13" s="150"/>
      <c r="AB13" s="150"/>
      <c r="AC13" s="182">
        <v>382.84</v>
      </c>
      <c r="AD13" s="182">
        <v>395.24401599999999</v>
      </c>
      <c r="AE13" s="182">
        <v>408.04992211840005</v>
      </c>
      <c r="AF13" s="182">
        <v>408.04992211839993</v>
      </c>
      <c r="AG13" s="182">
        <v>408.04992211840005</v>
      </c>
      <c r="AH13" s="182">
        <v>408.04992211839993</v>
      </c>
      <c r="AI13" s="182">
        <v>408.04992211840005</v>
      </c>
      <c r="AJ13" s="182">
        <v>408.04992211839993</v>
      </c>
      <c r="AK13" s="182">
        <v>408.04992211840005</v>
      </c>
      <c r="AL13" s="182">
        <v>408.04992211840005</v>
      </c>
      <c r="AM13" s="183">
        <f>AL13</f>
        <v>408.04992211840005</v>
      </c>
      <c r="AN13" s="183">
        <f t="shared" ref="AN13:AW13" si="6">AM13</f>
        <v>408.04992211840005</v>
      </c>
      <c r="AO13" s="183">
        <f t="shared" si="6"/>
        <v>408.04992211840005</v>
      </c>
      <c r="AP13" s="183">
        <f t="shared" si="6"/>
        <v>408.04992211840005</v>
      </c>
      <c r="AQ13" s="183">
        <f t="shared" si="6"/>
        <v>408.04992211840005</v>
      </c>
      <c r="AR13" s="183">
        <f t="shared" si="6"/>
        <v>408.04992211840005</v>
      </c>
      <c r="AS13" s="183">
        <f t="shared" si="6"/>
        <v>408.04992211840005</v>
      </c>
      <c r="AT13" s="183">
        <f t="shared" si="6"/>
        <v>408.04992211840005</v>
      </c>
      <c r="AU13" s="183">
        <f t="shared" si="6"/>
        <v>408.04992211840005</v>
      </c>
      <c r="AV13" s="183">
        <f t="shared" si="6"/>
        <v>408.04992211840005</v>
      </c>
      <c r="AW13" s="183">
        <f t="shared" si="6"/>
        <v>408.04992211840005</v>
      </c>
      <c r="BW13" s="150"/>
      <c r="BX13" s="150"/>
      <c r="BY13" s="150"/>
      <c r="BZ13" s="150"/>
    </row>
    <row r="14" spans="1:78" outlineLevel="1" x14ac:dyDescent="0.2">
      <c r="A14" s="150"/>
      <c r="B14" s="150"/>
      <c r="C14" s="150" t="s">
        <v>533</v>
      </c>
      <c r="D14" s="150"/>
      <c r="E14" s="150" t="s">
        <v>301</v>
      </c>
      <c r="F14" s="150"/>
      <c r="G14" s="181">
        <v>39595</v>
      </c>
      <c r="H14" s="150"/>
      <c r="I14" s="150" t="s">
        <v>531</v>
      </c>
      <c r="J14" s="150" t="s">
        <v>532</v>
      </c>
      <c r="K14" s="150"/>
      <c r="L14" s="150"/>
      <c r="M14" s="150"/>
      <c r="N14" s="150"/>
      <c r="O14" s="150"/>
      <c r="P14" s="150"/>
      <c r="Q14" s="150"/>
      <c r="R14" s="150"/>
      <c r="S14" s="150"/>
      <c r="T14" s="150"/>
      <c r="U14" s="150"/>
      <c r="V14" s="150"/>
      <c r="W14" s="150"/>
      <c r="X14" s="150"/>
      <c r="Y14" s="150"/>
      <c r="Z14" s="150"/>
      <c r="AA14" s="150"/>
      <c r="AB14" s="150"/>
      <c r="AC14" s="184">
        <v>3567.2600000000007</v>
      </c>
      <c r="AD14" s="184">
        <v>3454.8913100000004</v>
      </c>
      <c r="AE14" s="184">
        <v>3346.0622337350005</v>
      </c>
      <c r="AF14" s="184">
        <v>3346.0622337350005</v>
      </c>
      <c r="AG14" s="184">
        <v>3346.0622337350005</v>
      </c>
      <c r="AH14" s="184">
        <v>3346.062233735001</v>
      </c>
      <c r="AI14" s="184">
        <v>3346.0622337350005</v>
      </c>
      <c r="AJ14" s="184">
        <v>3346.0622337350005</v>
      </c>
      <c r="AK14" s="184">
        <v>3346.062233735001</v>
      </c>
      <c r="AL14" s="184">
        <v>3346.0622337350005</v>
      </c>
      <c r="AM14" s="183">
        <f t="shared" ref="AM14:AW21" si="7">AL14</f>
        <v>3346.0622337350005</v>
      </c>
      <c r="AN14" s="183">
        <f t="shared" si="7"/>
        <v>3346.0622337350005</v>
      </c>
      <c r="AO14" s="183">
        <f t="shared" si="7"/>
        <v>3346.0622337350005</v>
      </c>
      <c r="AP14" s="183">
        <f t="shared" si="7"/>
        <v>3346.0622337350005</v>
      </c>
      <c r="AQ14" s="183">
        <f t="shared" si="7"/>
        <v>3346.0622337350005</v>
      </c>
      <c r="AR14" s="183">
        <f t="shared" si="7"/>
        <v>3346.0622337350005</v>
      </c>
      <c r="AS14" s="183">
        <f t="shared" si="7"/>
        <v>3346.0622337350005</v>
      </c>
      <c r="AT14" s="183">
        <f t="shared" si="7"/>
        <v>3346.0622337350005</v>
      </c>
      <c r="AU14" s="183">
        <f t="shared" si="7"/>
        <v>3346.0622337350005</v>
      </c>
      <c r="AV14" s="183">
        <f t="shared" si="7"/>
        <v>3346.0622337350005</v>
      </c>
      <c r="AW14" s="183">
        <f t="shared" si="7"/>
        <v>3346.0622337350005</v>
      </c>
      <c r="BW14" s="150"/>
      <c r="BX14" s="150"/>
      <c r="BY14" s="150"/>
      <c r="BZ14" s="150"/>
    </row>
    <row r="15" spans="1:78" outlineLevel="1" x14ac:dyDescent="0.2">
      <c r="A15" s="150"/>
      <c r="B15" s="150"/>
      <c r="C15" s="150" t="s">
        <v>534</v>
      </c>
      <c r="D15" s="150"/>
      <c r="E15" s="150" t="s">
        <v>301</v>
      </c>
      <c r="F15" s="150"/>
      <c r="G15" s="150"/>
      <c r="H15" s="150"/>
      <c r="I15" s="150" t="s">
        <v>535</v>
      </c>
      <c r="J15" s="150" t="s">
        <v>536</v>
      </c>
      <c r="K15" s="150" t="s">
        <v>537</v>
      </c>
      <c r="L15" s="150"/>
      <c r="M15" s="150"/>
      <c r="N15" s="150"/>
      <c r="O15" s="150"/>
      <c r="P15" s="150"/>
      <c r="Q15" s="150"/>
      <c r="R15" s="150"/>
      <c r="S15" s="150"/>
      <c r="T15" s="150"/>
      <c r="U15" s="150"/>
      <c r="V15" s="150"/>
      <c r="W15" s="150"/>
      <c r="X15" s="150"/>
      <c r="Y15" s="150"/>
      <c r="Z15" s="150"/>
      <c r="AA15" s="150"/>
      <c r="AB15" s="150"/>
      <c r="AC15" s="185"/>
      <c r="AD15" s="185"/>
      <c r="AE15" s="185"/>
      <c r="AF15" s="185"/>
      <c r="AG15" s="185"/>
      <c r="AH15" s="185"/>
      <c r="AI15" s="185"/>
      <c r="AJ15" s="185"/>
      <c r="AK15" s="185"/>
      <c r="AL15" s="185"/>
      <c r="AM15" s="183">
        <f t="shared" si="7"/>
        <v>0</v>
      </c>
      <c r="AN15" s="183">
        <f t="shared" si="7"/>
        <v>0</v>
      </c>
      <c r="AO15" s="183">
        <f t="shared" si="7"/>
        <v>0</v>
      </c>
      <c r="AP15" s="183">
        <f t="shared" si="7"/>
        <v>0</v>
      </c>
      <c r="AQ15" s="183">
        <f t="shared" si="7"/>
        <v>0</v>
      </c>
      <c r="AR15" s="183">
        <f t="shared" si="7"/>
        <v>0</v>
      </c>
      <c r="AS15" s="183">
        <f t="shared" si="7"/>
        <v>0</v>
      </c>
      <c r="AT15" s="183">
        <f t="shared" si="7"/>
        <v>0</v>
      </c>
      <c r="AU15" s="183">
        <f t="shared" si="7"/>
        <v>0</v>
      </c>
      <c r="AV15" s="183">
        <f t="shared" si="7"/>
        <v>0</v>
      </c>
      <c r="AW15" s="183">
        <f t="shared" si="7"/>
        <v>0</v>
      </c>
      <c r="BW15" s="150"/>
      <c r="BX15" s="150"/>
      <c r="BY15" s="150"/>
      <c r="BZ15" s="150"/>
    </row>
    <row r="16" spans="1:78" outlineLevel="1" x14ac:dyDescent="0.2">
      <c r="A16" s="150"/>
      <c r="B16" s="150"/>
      <c r="C16" s="150" t="s">
        <v>538</v>
      </c>
      <c r="D16" s="150"/>
      <c r="E16" s="150" t="s">
        <v>301</v>
      </c>
      <c r="F16" s="150"/>
      <c r="G16" s="181">
        <v>25000</v>
      </c>
      <c r="H16" s="150"/>
      <c r="I16" s="150" t="s">
        <v>531</v>
      </c>
      <c r="J16" s="150" t="s">
        <v>532</v>
      </c>
      <c r="K16" s="150"/>
      <c r="L16" s="150"/>
      <c r="M16" s="150"/>
      <c r="N16" s="150"/>
      <c r="O16" s="150"/>
      <c r="P16" s="150"/>
      <c r="Q16" s="150"/>
      <c r="R16" s="150"/>
      <c r="S16" s="150"/>
      <c r="T16" s="150"/>
      <c r="U16" s="150"/>
      <c r="V16" s="150"/>
      <c r="W16" s="150"/>
      <c r="X16" s="150"/>
      <c r="Y16" s="150"/>
      <c r="Z16" s="150"/>
      <c r="AA16" s="150"/>
      <c r="AB16" s="150"/>
      <c r="AC16" s="186">
        <v>529.01</v>
      </c>
      <c r="AD16" s="186">
        <v>529.0100000000001</v>
      </c>
      <c r="AE16" s="186">
        <v>529.0100000000001</v>
      </c>
      <c r="AF16" s="186">
        <v>529.00999999999988</v>
      </c>
      <c r="AG16" s="186">
        <v>529.00999999999988</v>
      </c>
      <c r="AH16" s="186">
        <v>529.0100000000001</v>
      </c>
      <c r="AI16" s="186">
        <v>529.01</v>
      </c>
      <c r="AJ16" s="186">
        <v>529.0100000000001</v>
      </c>
      <c r="AK16" s="186">
        <v>529.0100000000001</v>
      </c>
      <c r="AL16" s="186">
        <v>529.01</v>
      </c>
      <c r="AM16" s="183">
        <f t="shared" si="7"/>
        <v>529.01</v>
      </c>
      <c r="AN16" s="183">
        <f t="shared" si="7"/>
        <v>529.01</v>
      </c>
      <c r="AO16" s="183">
        <f t="shared" si="7"/>
        <v>529.01</v>
      </c>
      <c r="AP16" s="183">
        <f t="shared" si="7"/>
        <v>529.01</v>
      </c>
      <c r="AQ16" s="183">
        <f t="shared" si="7"/>
        <v>529.01</v>
      </c>
      <c r="AR16" s="183">
        <f t="shared" si="7"/>
        <v>529.01</v>
      </c>
      <c r="AS16" s="183">
        <f t="shared" si="7"/>
        <v>529.01</v>
      </c>
      <c r="AT16" s="183">
        <f t="shared" si="7"/>
        <v>529.01</v>
      </c>
      <c r="AU16" s="183">
        <f t="shared" si="7"/>
        <v>529.01</v>
      </c>
      <c r="AV16" s="183">
        <f t="shared" si="7"/>
        <v>529.01</v>
      </c>
      <c r="AW16" s="183">
        <f t="shared" si="7"/>
        <v>529.01</v>
      </c>
      <c r="BW16" s="150"/>
      <c r="BX16" s="150"/>
      <c r="BY16" s="150"/>
      <c r="BZ16" s="150"/>
    </row>
    <row r="17" spans="3:49" outlineLevel="1" x14ac:dyDescent="0.2">
      <c r="C17" s="150" t="s">
        <v>539</v>
      </c>
      <c r="D17" s="150"/>
      <c r="E17" s="150" t="s">
        <v>301</v>
      </c>
      <c r="F17" s="150"/>
      <c r="G17" s="150"/>
      <c r="H17" s="150"/>
      <c r="I17" s="150" t="s">
        <v>540</v>
      </c>
      <c r="J17" s="150" t="s">
        <v>476</v>
      </c>
      <c r="K17" s="150"/>
      <c r="L17" s="150"/>
      <c r="M17" s="150"/>
      <c r="N17" s="150"/>
      <c r="O17" s="150"/>
      <c r="P17" s="150"/>
      <c r="Q17" s="150"/>
      <c r="R17" s="150"/>
      <c r="S17" s="150"/>
      <c r="T17" s="150"/>
      <c r="U17" s="150"/>
      <c r="V17" s="150"/>
      <c r="W17" s="150"/>
      <c r="X17" s="150"/>
      <c r="Y17" s="150"/>
      <c r="Z17" s="150"/>
      <c r="AA17" s="150"/>
      <c r="AB17" s="150"/>
      <c r="AC17" s="182">
        <v>296.5428</v>
      </c>
      <c r="AD17" s="182">
        <v>298.61859959999998</v>
      </c>
      <c r="AE17" s="182">
        <v>300.70892979720003</v>
      </c>
      <c r="AF17" s="182">
        <v>300.70892979719991</v>
      </c>
      <c r="AG17" s="182">
        <v>300.70892979720003</v>
      </c>
      <c r="AH17" s="182">
        <v>300.70892979720003</v>
      </c>
      <c r="AI17" s="182">
        <v>300.70892979719997</v>
      </c>
      <c r="AJ17" s="182">
        <v>300.70892979719997</v>
      </c>
      <c r="AK17" s="182">
        <v>300.70892979719991</v>
      </c>
      <c r="AL17" s="182">
        <v>300.70892979719997</v>
      </c>
      <c r="AM17" s="183">
        <f t="shared" si="7"/>
        <v>300.70892979719997</v>
      </c>
      <c r="AN17" s="183">
        <f t="shared" si="7"/>
        <v>300.70892979719997</v>
      </c>
      <c r="AO17" s="183">
        <f t="shared" si="7"/>
        <v>300.70892979719997</v>
      </c>
      <c r="AP17" s="183">
        <f t="shared" si="7"/>
        <v>300.70892979719997</v>
      </c>
      <c r="AQ17" s="183">
        <f t="shared" si="7"/>
        <v>300.70892979719997</v>
      </c>
      <c r="AR17" s="183">
        <f t="shared" si="7"/>
        <v>300.70892979719997</v>
      </c>
      <c r="AS17" s="183">
        <f t="shared" si="7"/>
        <v>300.70892979719997</v>
      </c>
      <c r="AT17" s="183">
        <f t="shared" si="7"/>
        <v>300.70892979719997</v>
      </c>
      <c r="AU17" s="183">
        <f t="shared" si="7"/>
        <v>300.70892979719997</v>
      </c>
      <c r="AV17" s="183">
        <f t="shared" si="7"/>
        <v>300.70892979719997</v>
      </c>
      <c r="AW17" s="183">
        <f t="shared" si="7"/>
        <v>300.70892979719997</v>
      </c>
    </row>
    <row r="18" spans="3:49" outlineLevel="1" x14ac:dyDescent="0.2">
      <c r="C18" s="150" t="s">
        <v>541</v>
      </c>
      <c r="D18" s="150"/>
      <c r="E18" s="150" t="s">
        <v>303</v>
      </c>
      <c r="F18" s="150"/>
      <c r="G18" s="150"/>
      <c r="H18" s="150"/>
      <c r="I18" s="150" t="s">
        <v>540</v>
      </c>
      <c r="J18" s="150" t="s">
        <v>476</v>
      </c>
      <c r="K18" s="150"/>
      <c r="L18" s="150"/>
      <c r="M18" s="150"/>
      <c r="N18" s="150"/>
      <c r="O18" s="150"/>
      <c r="P18" s="150"/>
      <c r="Q18" s="150"/>
      <c r="R18" s="150"/>
      <c r="S18" s="150"/>
      <c r="T18" s="150"/>
      <c r="U18" s="150"/>
      <c r="V18" s="150"/>
      <c r="W18" s="150"/>
      <c r="X18" s="150"/>
      <c r="Y18" s="150"/>
      <c r="Z18" s="150"/>
      <c r="AA18" s="150"/>
      <c r="AB18" s="150"/>
      <c r="AC18" s="182">
        <v>68.119399999999999</v>
      </c>
      <c r="AD18" s="182">
        <v>68.119399999999985</v>
      </c>
      <c r="AE18" s="182">
        <v>68.119399999999999</v>
      </c>
      <c r="AF18" s="182">
        <v>68.119399999999999</v>
      </c>
      <c r="AG18" s="182">
        <v>68.119400000000013</v>
      </c>
      <c r="AH18" s="182">
        <v>68.119399999999999</v>
      </c>
      <c r="AI18" s="182">
        <v>68.119399999999999</v>
      </c>
      <c r="AJ18" s="182">
        <v>68.119399999999999</v>
      </c>
      <c r="AK18" s="182">
        <v>68.119399999999999</v>
      </c>
      <c r="AL18" s="182">
        <v>68.119399999999999</v>
      </c>
      <c r="AM18" s="183">
        <f t="shared" si="7"/>
        <v>68.119399999999999</v>
      </c>
      <c r="AN18" s="183">
        <f t="shared" si="7"/>
        <v>68.119399999999999</v>
      </c>
      <c r="AO18" s="183">
        <f t="shared" si="7"/>
        <v>68.119399999999999</v>
      </c>
      <c r="AP18" s="183">
        <f t="shared" si="7"/>
        <v>68.119399999999999</v>
      </c>
      <c r="AQ18" s="183">
        <f t="shared" si="7"/>
        <v>68.119399999999999</v>
      </c>
      <c r="AR18" s="183">
        <f t="shared" si="7"/>
        <v>68.119399999999999</v>
      </c>
      <c r="AS18" s="183">
        <f t="shared" si="7"/>
        <v>68.119399999999999</v>
      </c>
      <c r="AT18" s="183">
        <f t="shared" si="7"/>
        <v>68.119399999999999</v>
      </c>
      <c r="AU18" s="183">
        <f t="shared" si="7"/>
        <v>68.119399999999999</v>
      </c>
      <c r="AV18" s="183">
        <f t="shared" si="7"/>
        <v>68.119399999999999</v>
      </c>
      <c r="AW18" s="183">
        <f t="shared" si="7"/>
        <v>68.119399999999999</v>
      </c>
    </row>
    <row r="19" spans="3:49" outlineLevel="1" x14ac:dyDescent="0.2">
      <c r="C19" s="150" t="s">
        <v>542</v>
      </c>
      <c r="D19" s="150"/>
      <c r="E19" s="150" t="s">
        <v>303</v>
      </c>
      <c r="F19" s="150"/>
      <c r="G19" s="150"/>
      <c r="H19" s="150"/>
      <c r="I19" s="150" t="s">
        <v>540</v>
      </c>
      <c r="J19" s="150" t="s">
        <v>476</v>
      </c>
      <c r="K19" s="150"/>
      <c r="L19" s="150"/>
      <c r="M19" s="150"/>
      <c r="N19" s="150"/>
      <c r="O19" s="150"/>
      <c r="P19" s="150"/>
      <c r="Q19" s="150"/>
      <c r="R19" s="150"/>
      <c r="S19" s="150"/>
      <c r="T19" s="150"/>
      <c r="U19" s="150"/>
      <c r="V19" s="150"/>
      <c r="W19" s="150"/>
      <c r="X19" s="150"/>
      <c r="Y19" s="150"/>
      <c r="Z19" s="150"/>
      <c r="AA19" s="150"/>
      <c r="AB19" s="150"/>
      <c r="AC19" s="182">
        <v>45.545900000000003</v>
      </c>
      <c r="AD19" s="182">
        <v>45.54590000000001</v>
      </c>
      <c r="AE19" s="182">
        <v>45.545899999999996</v>
      </c>
      <c r="AF19" s="182">
        <v>45.54590000000001</v>
      </c>
      <c r="AG19" s="182">
        <v>45.54590000000001</v>
      </c>
      <c r="AH19" s="182">
        <v>45.545900000000003</v>
      </c>
      <c r="AI19" s="182">
        <v>45.545899999999996</v>
      </c>
      <c r="AJ19" s="182">
        <v>45.545900000000003</v>
      </c>
      <c r="AK19" s="182">
        <v>45.545900000000003</v>
      </c>
      <c r="AL19" s="182">
        <v>45.54590000000001</v>
      </c>
      <c r="AM19" s="183">
        <f t="shared" si="7"/>
        <v>45.54590000000001</v>
      </c>
      <c r="AN19" s="183">
        <f t="shared" si="7"/>
        <v>45.54590000000001</v>
      </c>
      <c r="AO19" s="183">
        <f t="shared" si="7"/>
        <v>45.54590000000001</v>
      </c>
      <c r="AP19" s="183">
        <f t="shared" si="7"/>
        <v>45.54590000000001</v>
      </c>
      <c r="AQ19" s="183">
        <f t="shared" si="7"/>
        <v>45.54590000000001</v>
      </c>
      <c r="AR19" s="183">
        <f t="shared" si="7"/>
        <v>45.54590000000001</v>
      </c>
      <c r="AS19" s="183">
        <f t="shared" si="7"/>
        <v>45.54590000000001</v>
      </c>
      <c r="AT19" s="183">
        <f t="shared" si="7"/>
        <v>45.54590000000001</v>
      </c>
      <c r="AU19" s="183">
        <f t="shared" si="7"/>
        <v>45.54590000000001</v>
      </c>
      <c r="AV19" s="183">
        <f t="shared" si="7"/>
        <v>45.54590000000001</v>
      </c>
      <c r="AW19" s="183">
        <f t="shared" si="7"/>
        <v>45.54590000000001</v>
      </c>
    </row>
    <row r="20" spans="3:49" outlineLevel="1" x14ac:dyDescent="0.2">
      <c r="C20" s="150" t="s">
        <v>543</v>
      </c>
      <c r="D20" s="150"/>
      <c r="E20" s="150" t="s">
        <v>303</v>
      </c>
      <c r="F20" s="150"/>
      <c r="G20" s="181">
        <v>12</v>
      </c>
      <c r="H20" s="150"/>
      <c r="I20" s="150" t="s">
        <v>544</v>
      </c>
      <c r="J20" s="150" t="s">
        <v>532</v>
      </c>
      <c r="K20" s="150"/>
      <c r="L20" s="150"/>
      <c r="M20" s="150"/>
      <c r="N20" s="150"/>
      <c r="O20" s="150"/>
      <c r="P20" s="150"/>
      <c r="Q20" s="150"/>
      <c r="R20" s="150"/>
      <c r="S20" s="150"/>
      <c r="T20" s="150"/>
      <c r="U20" s="150"/>
      <c r="V20" s="150"/>
      <c r="W20" s="150"/>
      <c r="X20" s="150"/>
      <c r="Y20" s="150"/>
      <c r="Z20" s="150"/>
      <c r="AA20" s="150"/>
      <c r="AB20" s="150"/>
      <c r="AC20" s="182">
        <v>7784255.8499999987</v>
      </c>
      <c r="AD20" s="182">
        <v>8036465.7395399995</v>
      </c>
      <c r="AE20" s="182">
        <v>8296847.2295010956</v>
      </c>
      <c r="AF20" s="182">
        <v>8296847.2295010947</v>
      </c>
      <c r="AG20" s="182">
        <v>8296847.2295010956</v>
      </c>
      <c r="AH20" s="182">
        <v>8296847.2295010956</v>
      </c>
      <c r="AI20" s="182">
        <v>8296847.2295010947</v>
      </c>
      <c r="AJ20" s="182">
        <v>8296847.2295010956</v>
      </c>
      <c r="AK20" s="182">
        <v>8296847.2295010956</v>
      </c>
      <c r="AL20" s="182">
        <v>8296847.2295010947</v>
      </c>
      <c r="AM20" s="183">
        <f t="shared" si="7"/>
        <v>8296847.2295010947</v>
      </c>
      <c r="AN20" s="183">
        <f t="shared" si="7"/>
        <v>8296847.2295010947</v>
      </c>
      <c r="AO20" s="183">
        <f t="shared" si="7"/>
        <v>8296847.2295010947</v>
      </c>
      <c r="AP20" s="183">
        <f t="shared" si="7"/>
        <v>8296847.2295010947</v>
      </c>
      <c r="AQ20" s="183">
        <f t="shared" si="7"/>
        <v>8296847.2295010947</v>
      </c>
      <c r="AR20" s="183">
        <f t="shared" si="7"/>
        <v>8296847.2295010947</v>
      </c>
      <c r="AS20" s="183">
        <f t="shared" si="7"/>
        <v>8296847.2295010947</v>
      </c>
      <c r="AT20" s="183">
        <f t="shared" si="7"/>
        <v>8296847.2295010947</v>
      </c>
      <c r="AU20" s="183">
        <f t="shared" si="7"/>
        <v>8296847.2295010947</v>
      </c>
      <c r="AV20" s="183">
        <f t="shared" si="7"/>
        <v>8296847.2295010947</v>
      </c>
      <c r="AW20" s="183">
        <f t="shared" si="7"/>
        <v>8296847.2295010947</v>
      </c>
    </row>
    <row r="21" spans="3:49" outlineLevel="1" x14ac:dyDescent="0.2">
      <c r="C21" s="150" t="s">
        <v>545</v>
      </c>
      <c r="D21" s="150"/>
      <c r="E21" s="150" t="s">
        <v>310</v>
      </c>
      <c r="F21" s="150"/>
      <c r="G21" s="150"/>
      <c r="H21" s="150"/>
      <c r="I21" s="150" t="s">
        <v>540</v>
      </c>
      <c r="J21" s="150" t="s">
        <v>476</v>
      </c>
      <c r="K21" s="150"/>
      <c r="L21" s="150"/>
      <c r="M21" s="150"/>
      <c r="N21" s="150"/>
      <c r="O21" s="150"/>
      <c r="P21" s="150"/>
      <c r="Q21" s="150"/>
      <c r="R21" s="150"/>
      <c r="S21" s="150"/>
      <c r="T21" s="150"/>
      <c r="U21" s="150"/>
      <c r="V21" s="150"/>
      <c r="W21" s="150"/>
      <c r="X21" s="150"/>
      <c r="Y21" s="150"/>
      <c r="Z21" s="150"/>
      <c r="AA21" s="150"/>
      <c r="AB21" s="150"/>
      <c r="AC21" s="182">
        <v>253.17075060532687</v>
      </c>
      <c r="AD21" s="182">
        <v>253.17075060532687</v>
      </c>
      <c r="AE21" s="182">
        <v>253.17075060532687</v>
      </c>
      <c r="AF21" s="182">
        <v>253.17075060532687</v>
      </c>
      <c r="AG21" s="182">
        <v>253.17075060532687</v>
      </c>
      <c r="AH21" s="182">
        <v>253.17075060532687</v>
      </c>
      <c r="AI21" s="182">
        <v>253.17075060532687</v>
      </c>
      <c r="AJ21" s="182">
        <v>253.17075060532687</v>
      </c>
      <c r="AK21" s="182">
        <v>253.17075060532687</v>
      </c>
      <c r="AL21" s="182">
        <v>253.17075060532687</v>
      </c>
      <c r="AM21" s="183">
        <f t="shared" si="7"/>
        <v>253.17075060532687</v>
      </c>
      <c r="AN21" s="183">
        <f t="shared" si="7"/>
        <v>253.17075060532687</v>
      </c>
      <c r="AO21" s="183">
        <f t="shared" si="7"/>
        <v>253.17075060532687</v>
      </c>
      <c r="AP21" s="183">
        <f t="shared" si="7"/>
        <v>253.17075060532687</v>
      </c>
      <c r="AQ21" s="183">
        <f t="shared" si="7"/>
        <v>253.17075060532687</v>
      </c>
      <c r="AR21" s="183">
        <f t="shared" si="7"/>
        <v>253.17075060532687</v>
      </c>
      <c r="AS21" s="183">
        <f t="shared" si="7"/>
        <v>253.17075060532687</v>
      </c>
      <c r="AT21" s="183">
        <f t="shared" si="7"/>
        <v>253.17075060532687</v>
      </c>
      <c r="AU21" s="183">
        <f t="shared" si="7"/>
        <v>253.17075060532687</v>
      </c>
      <c r="AV21" s="183">
        <f t="shared" si="7"/>
        <v>253.17075060532687</v>
      </c>
      <c r="AW21" s="183">
        <f t="shared" si="7"/>
        <v>253.17075060532687</v>
      </c>
    </row>
    <row r="22" spans="3:49" outlineLevel="1" x14ac:dyDescent="0.2">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row>
    <row r="23" spans="3:49" outlineLevel="1" x14ac:dyDescent="0.2">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row>
    <row r="24" spans="3:49" outlineLevel="1" x14ac:dyDescent="0.2">
      <c r="C24" s="64" t="s">
        <v>532</v>
      </c>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row>
    <row r="25" spans="3:49" outlineLevel="1" x14ac:dyDescent="0.2">
      <c r="C25" s="150"/>
      <c r="D25" s="150"/>
      <c r="E25" s="150" t="s">
        <v>301</v>
      </c>
      <c r="F25" s="150"/>
      <c r="G25" s="150" t="s">
        <v>44</v>
      </c>
      <c r="H25" s="150"/>
      <c r="I25" s="150"/>
      <c r="J25" s="150"/>
      <c r="K25" s="150"/>
      <c r="L25" s="150"/>
      <c r="M25" s="150"/>
      <c r="N25" s="150"/>
      <c r="O25" s="150"/>
      <c r="P25" s="150"/>
      <c r="Q25" s="150"/>
      <c r="R25" s="150"/>
      <c r="S25" s="150"/>
      <c r="T25" s="150"/>
      <c r="U25" s="150"/>
      <c r="V25" s="150"/>
      <c r="W25" s="150"/>
      <c r="X25" s="150"/>
      <c r="Y25" s="150"/>
      <c r="Z25" s="150"/>
      <c r="AA25" s="150"/>
      <c r="AB25" s="150"/>
      <c r="AC25" s="187" cm="1">
        <f t="array" ref="AC25">SUMPRODUCT(AC$13:AC$21*$G$13:$G$21*($E$13:$E$21=$E25)*($J$13:$J$21=$C$24))</f>
        <v>219954543.18000001</v>
      </c>
      <c r="AD25" s="187" cm="1">
        <f t="array" ref="AD25">SUMPRODUCT(AD$13:AD$21*$G$13:$G$21*($E$13:$E$21=$E25)*($J$13:$J$21=$C$24))</f>
        <v>217626974.62420201</v>
      </c>
      <c r="AE25" s="187" cm="1">
        <f t="array" ref="AE25">SUMPRODUCT(AE$13:AE$21*$G$13:$G$21*($E$13:$E$21=$E25)*($J$13:$J$21=$C$24))</f>
        <v>215508299.17332333</v>
      </c>
      <c r="AF25" s="187" cm="1">
        <f t="array" ref="AF25">SUMPRODUCT(AF$13:AF$21*$G$13:$G$21*($E$13:$E$21=$E25)*($J$13:$J$21=$C$24))</f>
        <v>215508299.1733233</v>
      </c>
      <c r="AG25" s="187" cm="1">
        <f t="array" ref="AG25">SUMPRODUCT(AG$13:AG$21*$G$13:$G$21*($E$13:$E$21=$E25)*($J$13:$J$21=$C$24))</f>
        <v>215508299.17332333</v>
      </c>
      <c r="AH25" s="187" cm="1">
        <f t="array" ref="AH25">SUMPRODUCT(AH$13:AH$21*$G$13:$G$21*($E$13:$E$21=$E25)*($J$13:$J$21=$C$24))</f>
        <v>215508299.17332333</v>
      </c>
      <c r="AI25" s="187" cm="1">
        <f t="array" ref="AI25">SUMPRODUCT(AI$13:AI$21*$G$13:$G$21*($E$13:$E$21=$E25)*($J$13:$J$21=$C$24))</f>
        <v>215508299.17332333</v>
      </c>
      <c r="AJ25" s="187" cm="1">
        <f t="array" ref="AJ25">SUMPRODUCT(AJ$13:AJ$21*$G$13:$G$21*($E$13:$E$21=$E25)*($J$13:$J$21=$C$24))</f>
        <v>215508299.1733233</v>
      </c>
      <c r="AK25" s="187" cm="1">
        <f t="array" ref="AK25">SUMPRODUCT(AK$13:AK$21*$G$13:$G$21*($E$13:$E$21=$E25)*($J$13:$J$21=$C$24))</f>
        <v>215508299.17332333</v>
      </c>
      <c r="AL25" s="187" cm="1">
        <f t="array" ref="AL25">SUMPRODUCT(AL$13:AL$21*$G$13:$G$21*($E$13:$E$21=$E25)*($J$13:$J$21=$C$24))</f>
        <v>215508299.17332333</v>
      </c>
      <c r="AM25" s="187" cm="1">
        <f t="array" ref="AM25">SUMPRODUCT(AM$13:AM$21*$G$13:$G$21*($E$13:$E$21=$E25)*($J$13:$J$21=$C$24))</f>
        <v>215508299.17332333</v>
      </c>
      <c r="AN25" s="187" cm="1">
        <f t="array" ref="AN25">SUMPRODUCT(AN$13:AN$21*$G$13:$G$21*($E$13:$E$21=$E25)*($J$13:$J$21=$C$24))</f>
        <v>215508299.17332333</v>
      </c>
      <c r="AO25" s="187" cm="1">
        <f t="array" ref="AO25">SUMPRODUCT(AO$13:AO$21*$G$13:$G$21*($E$13:$E$21=$E25)*($J$13:$J$21=$C$24))</f>
        <v>215508299.17332333</v>
      </c>
      <c r="AP25" s="187" cm="1">
        <f t="array" ref="AP25">SUMPRODUCT(AP$13:AP$21*$G$13:$G$21*($E$13:$E$21=$E25)*($J$13:$J$21=$C$24))</f>
        <v>215508299.17332333</v>
      </c>
      <c r="AQ25" s="187" cm="1">
        <f t="array" ref="AQ25">SUMPRODUCT(AQ$13:AQ$21*$G$13:$G$21*($E$13:$E$21=$E25)*($J$13:$J$21=$C$24))</f>
        <v>215508299.17332333</v>
      </c>
      <c r="AR25" s="187" cm="1">
        <f t="array" ref="AR25">SUMPRODUCT(AR$13:AR$21*$G$13:$G$21*($E$13:$E$21=$E25)*($J$13:$J$21=$C$24))</f>
        <v>215508299.17332333</v>
      </c>
      <c r="AS25" s="187" cm="1">
        <f t="array" ref="AS25">SUMPRODUCT(AS$13:AS$21*$G$13:$G$21*($E$13:$E$21=$E25)*($J$13:$J$21=$C$24))</f>
        <v>215508299.17332333</v>
      </c>
      <c r="AT25" s="187" cm="1">
        <f t="array" ref="AT25">SUMPRODUCT(AT$13:AT$21*$G$13:$G$21*($E$13:$E$21=$E25)*($J$13:$J$21=$C$24))</f>
        <v>215508299.17332333</v>
      </c>
      <c r="AU25" s="187" cm="1">
        <f t="array" ref="AU25">SUMPRODUCT(AU$13:AU$21*$G$13:$G$21*($E$13:$E$21=$E25)*($J$13:$J$21=$C$24))</f>
        <v>215508299.17332333</v>
      </c>
      <c r="AV25" s="187" cm="1">
        <f t="array" ref="AV25">SUMPRODUCT(AV$13:AV$21*$G$13:$G$21*($E$13:$E$21=$E25)*($J$13:$J$21=$C$24))</f>
        <v>215508299.17332333</v>
      </c>
      <c r="AW25" s="187" cm="1">
        <f t="array" ref="AW25">SUMPRODUCT(AW$13:AW$21*$G$13:$G$21*($E$13:$E$21=$E25)*($J$13:$J$21=$C$24))</f>
        <v>215508299.17332333</v>
      </c>
    </row>
    <row r="26" spans="3:49" outlineLevel="1" x14ac:dyDescent="0.2">
      <c r="C26" s="150"/>
      <c r="D26" s="150"/>
      <c r="E26" s="150" t="s">
        <v>303</v>
      </c>
      <c r="F26" s="150"/>
      <c r="G26" s="150" t="s">
        <v>44</v>
      </c>
      <c r="H26" s="150"/>
      <c r="I26" s="150"/>
      <c r="J26" s="150"/>
      <c r="K26" s="150"/>
      <c r="L26" s="150"/>
      <c r="M26" s="150"/>
      <c r="N26" s="150"/>
      <c r="O26" s="150"/>
      <c r="P26" s="150"/>
      <c r="Q26" s="150"/>
      <c r="R26" s="150"/>
      <c r="S26" s="150"/>
      <c r="T26" s="150"/>
      <c r="U26" s="150"/>
      <c r="V26" s="150"/>
      <c r="W26" s="150"/>
      <c r="X26" s="150"/>
      <c r="Y26" s="150"/>
      <c r="Z26" s="150"/>
      <c r="AA26" s="150"/>
      <c r="AB26" s="150"/>
      <c r="AC26" s="187" cm="1">
        <f t="array" ref="AC26">SUMPRODUCT(AC$13:AC$21*$G$13:$G$21*($E$13:$E$21=$E26)*($J$13:$J$21=$C$24))</f>
        <v>93411070.199999988</v>
      </c>
      <c r="AD26" s="187" cm="1">
        <f t="array" ref="AD26">SUMPRODUCT(AD$13:AD$21*$G$13:$G$21*($E$13:$E$21=$E26)*($J$13:$J$21=$C$24))</f>
        <v>96437588.874479994</v>
      </c>
      <c r="AE26" s="187" cm="1">
        <f t="array" ref="AE26">SUMPRODUCT(AE$13:AE$21*$G$13:$G$21*($E$13:$E$21=$E26)*($J$13:$J$21=$C$24))</f>
        <v>99562166.754013151</v>
      </c>
      <c r="AF26" s="187" cm="1">
        <f t="array" ref="AF26">SUMPRODUCT(AF$13:AF$21*$G$13:$G$21*($E$13:$E$21=$E26)*($J$13:$J$21=$C$24))</f>
        <v>99562166.754013136</v>
      </c>
      <c r="AG26" s="187" cm="1">
        <f t="array" ref="AG26">SUMPRODUCT(AG$13:AG$21*$G$13:$G$21*($E$13:$E$21=$E26)*($J$13:$J$21=$C$24))</f>
        <v>99562166.754013151</v>
      </c>
      <c r="AH26" s="187" cm="1">
        <f t="array" ref="AH26">SUMPRODUCT(AH$13:AH$21*$G$13:$G$21*($E$13:$E$21=$E26)*($J$13:$J$21=$C$24))</f>
        <v>99562166.754013151</v>
      </c>
      <c r="AI26" s="187" cm="1">
        <f t="array" ref="AI26">SUMPRODUCT(AI$13:AI$21*$G$13:$G$21*($E$13:$E$21=$E26)*($J$13:$J$21=$C$24))</f>
        <v>99562166.754013136</v>
      </c>
      <c r="AJ26" s="187" cm="1">
        <f t="array" ref="AJ26">SUMPRODUCT(AJ$13:AJ$21*$G$13:$G$21*($E$13:$E$21=$E26)*($J$13:$J$21=$C$24))</f>
        <v>99562166.754013151</v>
      </c>
      <c r="AK26" s="187" cm="1">
        <f t="array" ref="AK26">SUMPRODUCT(AK$13:AK$21*$G$13:$G$21*($E$13:$E$21=$E26)*($J$13:$J$21=$C$24))</f>
        <v>99562166.754013151</v>
      </c>
      <c r="AL26" s="187" cm="1">
        <f t="array" ref="AL26">SUMPRODUCT(AL$13:AL$21*$G$13:$G$21*($E$13:$E$21=$E26)*($J$13:$J$21=$C$24))</f>
        <v>99562166.754013136</v>
      </c>
      <c r="AM26" s="187" cm="1">
        <f t="array" ref="AM26">SUMPRODUCT(AM$13:AM$21*$G$13:$G$21*($E$13:$E$21=$E26)*($J$13:$J$21=$C$24))</f>
        <v>99562166.754013136</v>
      </c>
      <c r="AN26" s="187" cm="1">
        <f t="array" ref="AN26">SUMPRODUCT(AN$13:AN$21*$G$13:$G$21*($E$13:$E$21=$E26)*($J$13:$J$21=$C$24))</f>
        <v>99562166.754013136</v>
      </c>
      <c r="AO26" s="187" cm="1">
        <f t="array" ref="AO26">SUMPRODUCT(AO$13:AO$21*$G$13:$G$21*($E$13:$E$21=$E26)*($J$13:$J$21=$C$24))</f>
        <v>99562166.754013136</v>
      </c>
      <c r="AP26" s="187" cm="1">
        <f t="array" ref="AP26">SUMPRODUCT(AP$13:AP$21*$G$13:$G$21*($E$13:$E$21=$E26)*($J$13:$J$21=$C$24))</f>
        <v>99562166.754013136</v>
      </c>
      <c r="AQ26" s="187" cm="1">
        <f t="array" ref="AQ26">SUMPRODUCT(AQ$13:AQ$21*$G$13:$G$21*($E$13:$E$21=$E26)*($J$13:$J$21=$C$24))</f>
        <v>99562166.754013136</v>
      </c>
      <c r="AR26" s="187" cm="1">
        <f t="array" ref="AR26">SUMPRODUCT(AR$13:AR$21*$G$13:$G$21*($E$13:$E$21=$E26)*($J$13:$J$21=$C$24))</f>
        <v>99562166.754013136</v>
      </c>
      <c r="AS26" s="187" cm="1">
        <f t="array" ref="AS26">SUMPRODUCT(AS$13:AS$21*$G$13:$G$21*($E$13:$E$21=$E26)*($J$13:$J$21=$C$24))</f>
        <v>99562166.754013136</v>
      </c>
      <c r="AT26" s="187" cm="1">
        <f t="array" ref="AT26">SUMPRODUCT(AT$13:AT$21*$G$13:$G$21*($E$13:$E$21=$E26)*($J$13:$J$21=$C$24))</f>
        <v>99562166.754013136</v>
      </c>
      <c r="AU26" s="187" cm="1">
        <f t="array" ref="AU26">SUMPRODUCT(AU$13:AU$21*$G$13:$G$21*($E$13:$E$21=$E26)*($J$13:$J$21=$C$24))</f>
        <v>99562166.754013136</v>
      </c>
      <c r="AV26" s="187" cm="1">
        <f t="array" ref="AV26">SUMPRODUCT(AV$13:AV$21*$G$13:$G$21*($E$13:$E$21=$E26)*($J$13:$J$21=$C$24))</f>
        <v>99562166.754013136</v>
      </c>
      <c r="AW26" s="187" cm="1">
        <f t="array" ref="AW26">SUMPRODUCT(AW$13:AW$21*$G$13:$G$21*($E$13:$E$21=$E26)*($J$13:$J$21=$C$24))</f>
        <v>99562166.754013136</v>
      </c>
    </row>
    <row r="27" spans="3:49" outlineLevel="1" x14ac:dyDescent="0.2">
      <c r="C27" s="150"/>
      <c r="D27" s="150"/>
      <c r="E27" s="150" t="s">
        <v>546</v>
      </c>
      <c r="F27" s="150"/>
      <c r="G27" s="150" t="s">
        <v>44</v>
      </c>
      <c r="H27" s="150"/>
      <c r="I27" s="150"/>
      <c r="J27" s="150"/>
      <c r="K27" s="150"/>
      <c r="L27" s="150"/>
      <c r="M27" s="150"/>
      <c r="N27" s="150"/>
      <c r="O27" s="150"/>
      <c r="P27" s="150"/>
      <c r="Q27" s="150"/>
      <c r="R27" s="150"/>
      <c r="S27" s="150"/>
      <c r="T27" s="150"/>
      <c r="U27" s="150"/>
      <c r="V27" s="150"/>
      <c r="W27" s="150"/>
      <c r="X27" s="150"/>
      <c r="Y27" s="150"/>
      <c r="Z27" s="150"/>
      <c r="AA27" s="150"/>
      <c r="AB27" s="150"/>
      <c r="AC27" s="187" cm="1">
        <f t="array" ref="AC27">SUMPRODUCT(AC$13:AC$21*$G$13:$G$21*($E$13:$E$21=$E27)*($J$13:$J$21=$C$24))</f>
        <v>0</v>
      </c>
      <c r="AD27" s="187" cm="1">
        <f t="array" ref="AD27">SUMPRODUCT(AD$13:AD$21*$G$13:$G$21*($E$13:$E$21=$E27)*($J$13:$J$21=$C$24))</f>
        <v>0</v>
      </c>
      <c r="AE27" s="187" cm="1">
        <f t="array" ref="AE27">SUMPRODUCT(AE$13:AE$21*$G$13:$G$21*($E$13:$E$21=$E27)*($J$13:$J$21=$C$24))</f>
        <v>0</v>
      </c>
      <c r="AF27" s="187" cm="1">
        <f t="array" ref="AF27">SUMPRODUCT(AF$13:AF$21*$G$13:$G$21*($E$13:$E$21=$E27)*($J$13:$J$21=$C$24))</f>
        <v>0</v>
      </c>
      <c r="AG27" s="187" cm="1">
        <f t="array" ref="AG27">SUMPRODUCT(AG$13:AG$21*$G$13:$G$21*($E$13:$E$21=$E27)*($J$13:$J$21=$C$24))</f>
        <v>0</v>
      </c>
      <c r="AH27" s="187" cm="1">
        <f t="array" ref="AH27">SUMPRODUCT(AH$13:AH$21*$G$13:$G$21*($E$13:$E$21=$E27)*($J$13:$J$21=$C$24))</f>
        <v>0</v>
      </c>
      <c r="AI27" s="187" cm="1">
        <f t="array" ref="AI27">SUMPRODUCT(AI$13:AI$21*$G$13:$G$21*($E$13:$E$21=$E27)*($J$13:$J$21=$C$24))</f>
        <v>0</v>
      </c>
      <c r="AJ27" s="187" cm="1">
        <f t="array" ref="AJ27">SUMPRODUCT(AJ$13:AJ$21*$G$13:$G$21*($E$13:$E$21=$E27)*($J$13:$J$21=$C$24))</f>
        <v>0</v>
      </c>
      <c r="AK27" s="187" cm="1">
        <f t="array" ref="AK27">SUMPRODUCT(AK$13:AK$21*$G$13:$G$21*($E$13:$E$21=$E27)*($J$13:$J$21=$C$24))</f>
        <v>0</v>
      </c>
      <c r="AL27" s="187" cm="1">
        <f t="array" ref="AL27">SUMPRODUCT(AL$13:AL$21*$G$13:$G$21*($E$13:$E$21=$E27)*($J$13:$J$21=$C$24))</f>
        <v>0</v>
      </c>
      <c r="AM27" s="187" cm="1">
        <f t="array" ref="AM27">SUMPRODUCT(AM$13:AM$21*$G$13:$G$21*($E$13:$E$21=$E27)*($J$13:$J$21=$C$24))</f>
        <v>0</v>
      </c>
      <c r="AN27" s="187" cm="1">
        <f t="array" ref="AN27">SUMPRODUCT(AN$13:AN$21*$G$13:$G$21*($E$13:$E$21=$E27)*($J$13:$J$21=$C$24))</f>
        <v>0</v>
      </c>
      <c r="AO27" s="187" cm="1">
        <f t="array" ref="AO27">SUMPRODUCT(AO$13:AO$21*$G$13:$G$21*($E$13:$E$21=$E27)*($J$13:$J$21=$C$24))</f>
        <v>0</v>
      </c>
      <c r="AP27" s="187" cm="1">
        <f t="array" ref="AP27">SUMPRODUCT(AP$13:AP$21*$G$13:$G$21*($E$13:$E$21=$E27)*($J$13:$J$21=$C$24))</f>
        <v>0</v>
      </c>
      <c r="AQ27" s="187" cm="1">
        <f t="array" ref="AQ27">SUMPRODUCT(AQ$13:AQ$21*$G$13:$G$21*($E$13:$E$21=$E27)*($J$13:$J$21=$C$24))</f>
        <v>0</v>
      </c>
      <c r="AR27" s="187" cm="1">
        <f t="array" ref="AR27">SUMPRODUCT(AR$13:AR$21*$G$13:$G$21*($E$13:$E$21=$E27)*($J$13:$J$21=$C$24))</f>
        <v>0</v>
      </c>
      <c r="AS27" s="187" cm="1">
        <f t="array" ref="AS27">SUMPRODUCT(AS$13:AS$21*$G$13:$G$21*($E$13:$E$21=$E27)*($J$13:$J$21=$C$24))</f>
        <v>0</v>
      </c>
      <c r="AT27" s="187" cm="1">
        <f t="array" ref="AT27">SUMPRODUCT(AT$13:AT$21*$G$13:$G$21*($E$13:$E$21=$E27)*($J$13:$J$21=$C$24))</f>
        <v>0</v>
      </c>
      <c r="AU27" s="187" cm="1">
        <f t="array" ref="AU27">SUMPRODUCT(AU$13:AU$21*$G$13:$G$21*($E$13:$E$21=$E27)*($J$13:$J$21=$C$24))</f>
        <v>0</v>
      </c>
      <c r="AV27" s="187" cm="1">
        <f t="array" ref="AV27">SUMPRODUCT(AV$13:AV$21*$G$13:$G$21*($E$13:$E$21=$E27)*($J$13:$J$21=$C$24))</f>
        <v>0</v>
      </c>
      <c r="AW27" s="187" cm="1">
        <f t="array" ref="AW27">SUMPRODUCT(AW$13:AW$21*$G$13:$G$21*($E$13:$E$21=$E27)*($J$13:$J$21=$C$24))</f>
        <v>0</v>
      </c>
    </row>
    <row r="28" spans="3:49" outlineLevel="1" x14ac:dyDescent="0.2">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88"/>
      <c r="AD28" s="188"/>
      <c r="AE28" s="188"/>
      <c r="AF28" s="188"/>
      <c r="AG28" s="188"/>
      <c r="AH28" s="188"/>
      <c r="AI28" s="188"/>
      <c r="AJ28" s="188"/>
      <c r="AK28" s="188"/>
      <c r="AL28" s="188"/>
      <c r="AM28" s="188"/>
      <c r="AN28" s="188"/>
      <c r="AO28" s="188"/>
      <c r="AP28" s="188"/>
      <c r="AQ28" s="188"/>
      <c r="AR28" s="188"/>
      <c r="AS28" s="188"/>
      <c r="AT28" s="188"/>
      <c r="AU28" s="188"/>
      <c r="AV28" s="188"/>
      <c r="AW28" s="188"/>
    </row>
    <row r="29" spans="3:49" outlineLevel="1" x14ac:dyDescent="0.2">
      <c r="C29" s="150"/>
      <c r="D29" s="150"/>
      <c r="E29" s="150" t="s">
        <v>301</v>
      </c>
      <c r="F29" s="150"/>
      <c r="G29" s="150" t="s">
        <v>547</v>
      </c>
      <c r="H29" s="150"/>
      <c r="I29" s="150"/>
      <c r="J29" s="150"/>
      <c r="K29" s="150"/>
      <c r="L29" s="150"/>
      <c r="M29" s="150"/>
      <c r="N29" s="150"/>
      <c r="O29" s="150"/>
      <c r="P29" s="150"/>
      <c r="Q29" s="150"/>
      <c r="R29" s="150"/>
      <c r="S29" s="150"/>
      <c r="T29" s="150"/>
      <c r="U29" s="150"/>
      <c r="V29" s="150"/>
      <c r="W29" s="150"/>
      <c r="X29" s="150"/>
      <c r="Y29" s="150"/>
      <c r="Z29" s="150"/>
      <c r="AA29" s="150"/>
      <c r="AB29" s="150"/>
      <c r="AC29" s="189">
        <f>AC25/SUMIFS('INPUT Growth'!AC$138:AC$147,'INPUT Growth'!$D$138:$D$147,'INPUT Opex'!$E29)</f>
        <v>360.27862829741133</v>
      </c>
      <c r="AD29" s="189">
        <f>AD25/SUMIFS('INPUT Growth'!AD$138:AD$147,'INPUT Growth'!$D$138:$D$147,'INPUT Opex'!$E29)</f>
        <v>346.47765079523555</v>
      </c>
      <c r="AE29" s="189">
        <f>AE25/SUMIFS('INPUT Growth'!AE$138:AE$147,'INPUT Growth'!$D$138:$D$147,'INPUT Opex'!$E29)</f>
        <v>333.3450386546653</v>
      </c>
      <c r="AF29" s="189">
        <f>AF25/SUMIFS('INPUT Growth'!AF$138:AF$147,'INPUT Growth'!$D$138:$D$147,'INPUT Opex'!$E29)</f>
        <v>325.07492828260092</v>
      </c>
      <c r="AG29" s="189">
        <f>AG25/SUMIFS('INPUT Growth'!AG$138:AG$147,'INPUT Growth'!$D$138:$D$147,'INPUT Opex'!$E29)</f>
        <v>317.51577856855982</v>
      </c>
      <c r="AH29" s="189">
        <f>AH25/SUMIFS('INPUT Growth'!AH$138:AH$147,'INPUT Growth'!$D$138:$D$147,'INPUT Opex'!$E29)</f>
        <v>310.31067434384335</v>
      </c>
      <c r="AI29" s="189">
        <f>AI25/SUMIFS('INPUT Growth'!AI$138:AI$147,'INPUT Growth'!$D$138:$D$147,'INPUT Opex'!$E29)</f>
        <v>303.47715421658296</v>
      </c>
      <c r="AJ29" s="189">
        <f>AJ25/SUMIFS('INPUT Growth'!AJ$138:AJ$147,'INPUT Growth'!$D$138:$D$147,'INPUT Opex'!$E29)</f>
        <v>296.98282572568843</v>
      </c>
      <c r="AK29" s="189">
        <f>AK25/SUMIFS('INPUT Growth'!AK$138:AK$147,'INPUT Growth'!$D$138:$D$147,'INPUT Opex'!$E29)</f>
        <v>290.56864174313665</v>
      </c>
      <c r="AL29" s="189">
        <f>AL25/SUMIFS('INPUT Growth'!AL$138:AL$147,'INPUT Growth'!$D$138:$D$147,'INPUT Opex'!$E29)</f>
        <v>284.32442694012502</v>
      </c>
      <c r="AM29" s="189">
        <f>AM25/SUMIFS('INPUT Growth'!AM$138:AM$147,'INPUT Growth'!$D$138:$D$147,'INPUT Opex'!$E29)</f>
        <v>278.24165060548358</v>
      </c>
      <c r="AN29" s="189">
        <f>AN25/SUMIFS('INPUT Growth'!AN$138:AN$147,'INPUT Growth'!$D$138:$D$147,'INPUT Opex'!$E29)</f>
        <v>272.39224994568582</v>
      </c>
      <c r="AO29" s="189">
        <f>AO25/SUMIFS('INPUT Growth'!AO$138:AO$147,'INPUT Growth'!$D$138:$D$147,'INPUT Opex'!$E29)</f>
        <v>266.74515837982761</v>
      </c>
      <c r="AP29" s="189">
        <f>AP25/SUMIFS('INPUT Growth'!AP$138:AP$147,'INPUT Growth'!$D$138:$D$147,'INPUT Opex'!$E29)</f>
        <v>261.29902523288308</v>
      </c>
      <c r="AQ29" s="189">
        <f>AQ25/SUMIFS('INPUT Growth'!AQ$138:AQ$147,'INPUT Growth'!$D$138:$D$147,'INPUT Opex'!$E29)</f>
        <v>256.06053602414005</v>
      </c>
      <c r="AR29" s="189">
        <f>AR25/SUMIFS('INPUT Growth'!AR$138:AR$147,'INPUT Growth'!$D$138:$D$147,'INPUT Opex'!$E29)</f>
        <v>251.02291936677767</v>
      </c>
      <c r="AS29" s="189">
        <f>AS25/SUMIFS('INPUT Growth'!AS$138:AS$147,'INPUT Growth'!$D$138:$D$147,'INPUT Opex'!$E29)</f>
        <v>246.19455175911773</v>
      </c>
      <c r="AT29" s="189">
        <f>AT25/SUMIFS('INPUT Growth'!AT$138:AT$147,'INPUT Growth'!$D$138:$D$147,'INPUT Opex'!$E29)</f>
        <v>241.32477230537003</v>
      </c>
      <c r="AU29" s="189">
        <f>AU25/SUMIFS('INPUT Growth'!AU$138:AU$147,'INPUT Growth'!$D$138:$D$147,'INPUT Opex'!$E29)</f>
        <v>236.85242431479077</v>
      </c>
      <c r="AV29" s="189">
        <f>AV25/SUMIFS('INPUT Growth'!AV$138:AV$147,'INPUT Growth'!$D$138:$D$147,'INPUT Opex'!$E29)</f>
        <v>232.58896379756101</v>
      </c>
      <c r="AW29" s="189">
        <f>AW25/SUMIFS('INPUT Growth'!AW$138:AW$147,'INPUT Growth'!$D$138:$D$147,'INPUT Opex'!$E29)</f>
        <v>228.49925713587049</v>
      </c>
    </row>
    <row r="30" spans="3:49" outlineLevel="1" x14ac:dyDescent="0.2">
      <c r="C30" s="150"/>
      <c r="D30" s="150"/>
      <c r="E30" s="150" t="s">
        <v>303</v>
      </c>
      <c r="F30" s="150"/>
      <c r="G30" s="150" t="s">
        <v>547</v>
      </c>
      <c r="H30" s="150"/>
      <c r="I30" s="150"/>
      <c r="J30" s="150"/>
      <c r="K30" s="150"/>
      <c r="L30" s="150"/>
      <c r="M30" s="150"/>
      <c r="N30" s="150"/>
      <c r="O30" s="150"/>
      <c r="P30" s="150"/>
      <c r="Q30" s="150"/>
      <c r="R30" s="150"/>
      <c r="S30" s="150"/>
      <c r="T30" s="150"/>
      <c r="U30" s="150"/>
      <c r="V30" s="150"/>
      <c r="W30" s="150"/>
      <c r="X30" s="150"/>
      <c r="Y30" s="150"/>
      <c r="Z30" s="150"/>
      <c r="AA30" s="150"/>
      <c r="AB30" s="150"/>
      <c r="AC30" s="189">
        <f>AC26/SUMIFS('INPUT Growth'!AC$138:AC$147,'INPUT Growth'!$D$138:$D$147,'INPUT Opex'!$E30)</f>
        <v>172.84492082822581</v>
      </c>
      <c r="AD30" s="189">
        <f>AD26/SUMIFS('INPUT Growth'!AD$138:AD$147,'INPUT Growth'!$D$138:$D$147,'INPUT Opex'!$E30)</f>
        <v>173.96143395151645</v>
      </c>
      <c r="AE30" s="189">
        <f>AE26/SUMIFS('INPUT Growth'!AE$138:AE$147,'INPUT Growth'!$D$138:$D$147,'INPUT Opex'!$E30)</f>
        <v>175.00157588699253</v>
      </c>
      <c r="AF30" s="189">
        <f>AF26/SUMIFS('INPUT Growth'!AF$138:AF$147,'INPUT Growth'!$D$138:$D$147,'INPUT Opex'!$E30)</f>
        <v>171.27067950158596</v>
      </c>
      <c r="AG30" s="189">
        <f>AG26/SUMIFS('INPUT Growth'!AG$138:AG$147,'INPUT Growth'!$D$138:$D$147,'INPUT Opex'!$E30)</f>
        <v>167.69176388707191</v>
      </c>
      <c r="AH30" s="189">
        <f>AH26/SUMIFS('INPUT Growth'!AH$138:AH$147,'INPUT Growth'!$D$138:$D$147,'INPUT Opex'!$E30)</f>
        <v>164.32742879717861</v>
      </c>
      <c r="AI30" s="189">
        <f>AI26/SUMIFS('INPUT Growth'!AI$138:AI$147,'INPUT Growth'!$D$138:$D$147,'INPUT Opex'!$E30)</f>
        <v>161.16242635758761</v>
      </c>
      <c r="AJ30" s="189">
        <f>AJ26/SUMIFS('INPUT Growth'!AJ$138:AJ$147,'INPUT Growth'!$D$138:$D$147,'INPUT Opex'!$E30)</f>
        <v>158.11987171601703</v>
      </c>
      <c r="AK30" s="189">
        <f>AK26/SUMIFS('INPUT Growth'!AK$138:AK$147,'INPUT Growth'!$D$138:$D$147,'INPUT Opex'!$E30)</f>
        <v>155.0941866733466</v>
      </c>
      <c r="AL30" s="189">
        <f>AL26/SUMIFS('INPUT Growth'!AL$138:AL$147,'INPUT Growth'!$D$138:$D$147,'INPUT Opex'!$E30)</f>
        <v>152.11705721386863</v>
      </c>
      <c r="AM30" s="189">
        <f>AM26/SUMIFS('INPUT Growth'!AM$138:AM$147,'INPUT Growth'!$D$138:$D$147,'INPUT Opex'!$E30)</f>
        <v>149.17792551474548</v>
      </c>
      <c r="AN30" s="189">
        <f>AN26/SUMIFS('INPUT Growth'!AN$138:AN$147,'INPUT Growth'!$D$138:$D$147,'INPUT Opex'!$E30)</f>
        <v>146.277747374977</v>
      </c>
      <c r="AO30" s="189">
        <f>AO26/SUMIFS('INPUT Growth'!AO$138:AO$147,'INPUT Growth'!$D$138:$D$147,'INPUT Opex'!$E30)</f>
        <v>143.4373004254098</v>
      </c>
      <c r="AP30" s="189">
        <f>AP26/SUMIFS('INPUT Growth'!AP$138:AP$147,'INPUT Growth'!$D$138:$D$147,'INPUT Opex'!$E30)</f>
        <v>140.66250531232305</v>
      </c>
      <c r="AQ30" s="189">
        <f>AQ26/SUMIFS('INPUT Growth'!AQ$138:AQ$147,'INPUT Growth'!$D$138:$D$147,'INPUT Opex'!$E30)</f>
        <v>137.976365400633</v>
      </c>
      <c r="AR30" s="189">
        <f>AR26/SUMIFS('INPUT Growth'!AR$138:AR$147,'INPUT Growth'!$D$138:$D$147,'INPUT Opex'!$E30)</f>
        <v>135.37360251026172</v>
      </c>
      <c r="AS30" s="189">
        <f>AS26/SUMIFS('INPUT Growth'!AS$138:AS$147,'INPUT Growth'!$D$138:$D$147,'INPUT Opex'!$E30)</f>
        <v>132.85969967073595</v>
      </c>
      <c r="AT30" s="189">
        <f>AT26/SUMIFS('INPUT Growth'!AT$138:AT$147,'INPUT Growth'!$D$138:$D$147,'INPUT Opex'!$E30)</f>
        <v>130.42966079067131</v>
      </c>
      <c r="AU30" s="189">
        <f>AU26/SUMIFS('INPUT Growth'!AU$138:AU$147,'INPUT Growth'!$D$138:$D$147,'INPUT Opex'!$E30)</f>
        <v>128.12925971223481</v>
      </c>
      <c r="AV30" s="189">
        <f>AV26/SUMIFS('INPUT Growth'!AV$138:AV$147,'INPUT Growth'!$D$138:$D$147,'INPUT Opex'!$E30)</f>
        <v>125.92181326627937</v>
      </c>
      <c r="AW30" s="189">
        <f>AW26/SUMIFS('INPUT Growth'!AW$138:AW$147,'INPUT Growth'!$D$138:$D$147,'INPUT Opex'!$E30)</f>
        <v>123.79251380026139</v>
      </c>
    </row>
    <row r="31" spans="3:49" outlineLevel="1" x14ac:dyDescent="0.2">
      <c r="C31" s="150"/>
      <c r="D31" s="150"/>
      <c r="E31" s="150" t="s">
        <v>546</v>
      </c>
      <c r="F31" s="150"/>
      <c r="G31" s="150" t="s">
        <v>547</v>
      </c>
      <c r="H31" s="150"/>
      <c r="I31" s="150"/>
      <c r="J31" s="150"/>
      <c r="K31" s="150"/>
      <c r="L31" s="150"/>
      <c r="M31" s="150"/>
      <c r="N31" s="150"/>
      <c r="O31" s="150"/>
      <c r="P31" s="150"/>
      <c r="Q31" s="150"/>
      <c r="R31" s="150"/>
      <c r="S31" s="150"/>
      <c r="T31" s="150"/>
      <c r="U31" s="150"/>
      <c r="V31" s="150"/>
      <c r="W31" s="150"/>
      <c r="X31" s="150"/>
      <c r="Y31" s="150"/>
      <c r="Z31" s="150"/>
      <c r="AA31" s="150"/>
      <c r="AB31" s="150"/>
      <c r="AC31" s="189"/>
      <c r="AD31" s="189"/>
      <c r="AE31" s="189"/>
      <c r="AF31" s="189"/>
      <c r="AG31" s="189"/>
      <c r="AH31" s="189"/>
      <c r="AI31" s="189"/>
      <c r="AJ31" s="189"/>
      <c r="AK31" s="189"/>
      <c r="AL31" s="189"/>
      <c r="AM31" s="189"/>
      <c r="AN31" s="189"/>
      <c r="AO31" s="189"/>
      <c r="AP31" s="189"/>
      <c r="AQ31" s="189"/>
      <c r="AR31" s="189"/>
      <c r="AS31" s="189"/>
      <c r="AT31" s="189"/>
      <c r="AU31" s="189"/>
      <c r="AV31" s="189"/>
      <c r="AW31" s="189"/>
    </row>
    <row r="32" spans="3:49" outlineLevel="1" x14ac:dyDescent="0.2">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row>
    <row r="33" spans="1:49" outlineLevel="1" x14ac:dyDescent="0.2">
      <c r="A33" s="150"/>
      <c r="B33" s="150"/>
      <c r="C33" s="64" t="s">
        <v>476</v>
      </c>
      <c r="D33" s="150"/>
      <c r="E33" s="150" t="s">
        <v>301</v>
      </c>
      <c r="F33" s="150"/>
      <c r="G33" s="150" t="s">
        <v>540</v>
      </c>
      <c r="H33" s="150"/>
      <c r="I33" s="150"/>
      <c r="J33" s="150"/>
      <c r="K33" s="150"/>
      <c r="L33" s="150"/>
      <c r="M33" s="150"/>
      <c r="N33" s="150"/>
      <c r="O33" s="150"/>
      <c r="P33" s="150"/>
      <c r="Q33" s="150"/>
      <c r="R33" s="150"/>
      <c r="S33" s="150"/>
      <c r="T33" s="150"/>
      <c r="U33" s="150"/>
      <c r="V33" s="150"/>
      <c r="W33" s="150"/>
      <c r="X33" s="150"/>
      <c r="Y33" s="150"/>
      <c r="Z33" s="150"/>
      <c r="AA33" s="150"/>
      <c r="AB33" s="150"/>
      <c r="AC33" s="189" cm="1">
        <f t="array" ref="AC33">SUMPRODUCT(AC$13:AC$21*($E$13:$E$21=$E33)*($J$13:$J$21=$C$33))</f>
        <v>296.5428</v>
      </c>
      <c r="AD33" s="189" cm="1">
        <f t="array" ref="AD33">SUMPRODUCT(AD$13:AD$21*($E$13:$E$21=$E33)*($J$13:$J$21=$C$33))</f>
        <v>298.61859959999998</v>
      </c>
      <c r="AE33" s="189" cm="1">
        <f t="array" ref="AE33">SUMPRODUCT(AE$13:AE$21*($E$13:$E$21=$E33)*($J$13:$J$21=$C$33))</f>
        <v>300.70892979720003</v>
      </c>
      <c r="AF33" s="189" cm="1">
        <f t="array" ref="AF33">SUMPRODUCT(AF$13:AF$21*($E$13:$E$21=$E33)*($J$13:$J$21=$C$33))</f>
        <v>300.70892979719991</v>
      </c>
      <c r="AG33" s="189" cm="1">
        <f t="array" ref="AG33">SUMPRODUCT(AG$13:AG$21*($E$13:$E$21=$E33)*($J$13:$J$21=$C$33))</f>
        <v>300.70892979720003</v>
      </c>
      <c r="AH33" s="189" cm="1">
        <f t="array" ref="AH33">SUMPRODUCT(AH$13:AH$21*($E$13:$E$21=$E33)*($J$13:$J$21=$C$33))</f>
        <v>300.70892979720003</v>
      </c>
      <c r="AI33" s="189" cm="1">
        <f t="array" ref="AI33">SUMPRODUCT(AI$13:AI$21*($E$13:$E$21=$E33)*($J$13:$J$21=$C$33))</f>
        <v>300.70892979719997</v>
      </c>
      <c r="AJ33" s="189" cm="1">
        <f t="array" ref="AJ33">SUMPRODUCT(AJ$13:AJ$21*($E$13:$E$21=$E33)*($J$13:$J$21=$C$33))</f>
        <v>300.70892979719997</v>
      </c>
      <c r="AK33" s="189" cm="1">
        <f t="array" ref="AK33">SUMPRODUCT(AK$13:AK$21*($E$13:$E$21=$E33)*($J$13:$J$21=$C$33))</f>
        <v>300.70892979719991</v>
      </c>
      <c r="AL33" s="189" cm="1">
        <f t="array" ref="AL33">SUMPRODUCT(AL$13:AL$21*($E$13:$E$21=$E33)*($J$13:$J$21=$C$33))</f>
        <v>300.70892979719997</v>
      </c>
      <c r="AM33" s="189" cm="1">
        <f t="array" ref="AM33">SUMPRODUCT(AM$13:AM$21*($E$13:$E$21=$E33)*($J$13:$J$21=$C$33))</f>
        <v>300.70892979719997</v>
      </c>
      <c r="AN33" s="189" cm="1">
        <f t="array" ref="AN33">SUMPRODUCT(AN$13:AN$21*($E$13:$E$21=$E33)*($J$13:$J$21=$C$33))</f>
        <v>300.70892979719997</v>
      </c>
      <c r="AO33" s="189" cm="1">
        <f t="array" ref="AO33">SUMPRODUCT(AO$13:AO$21*($E$13:$E$21=$E33)*($J$13:$J$21=$C$33))</f>
        <v>300.70892979719997</v>
      </c>
      <c r="AP33" s="189" cm="1">
        <f t="array" ref="AP33">SUMPRODUCT(AP$13:AP$21*($E$13:$E$21=$E33)*($J$13:$J$21=$C$33))</f>
        <v>300.70892979719997</v>
      </c>
      <c r="AQ33" s="189" cm="1">
        <f t="array" ref="AQ33">SUMPRODUCT(AQ$13:AQ$21*($E$13:$E$21=$E33)*($J$13:$J$21=$C$33))</f>
        <v>300.70892979719997</v>
      </c>
      <c r="AR33" s="189" cm="1">
        <f t="array" ref="AR33">SUMPRODUCT(AR$13:AR$21*($E$13:$E$21=$E33)*($J$13:$J$21=$C$33))</f>
        <v>300.70892979719997</v>
      </c>
      <c r="AS33" s="189" cm="1">
        <f t="array" ref="AS33">SUMPRODUCT(AS$13:AS$21*($E$13:$E$21=$E33)*($J$13:$J$21=$C$33))</f>
        <v>300.70892979719997</v>
      </c>
      <c r="AT33" s="189" cm="1">
        <f t="array" ref="AT33">SUMPRODUCT(AT$13:AT$21*($E$13:$E$21=$E33)*($J$13:$J$21=$C$33))</f>
        <v>300.70892979719997</v>
      </c>
      <c r="AU33" s="189" cm="1">
        <f t="array" ref="AU33">SUMPRODUCT(AU$13:AU$21*($E$13:$E$21=$E33)*($J$13:$J$21=$C$33))</f>
        <v>300.70892979719997</v>
      </c>
      <c r="AV33" s="189" cm="1">
        <f t="array" ref="AV33">SUMPRODUCT(AV$13:AV$21*($E$13:$E$21=$E33)*($J$13:$J$21=$C$33))</f>
        <v>300.70892979719997</v>
      </c>
      <c r="AW33" s="189" cm="1">
        <f t="array" ref="AW33">SUMPRODUCT(AW$13:AW$21*($E$13:$E$21=$E33)*($J$13:$J$21=$C$33))</f>
        <v>300.70892979719997</v>
      </c>
    </row>
    <row r="34" spans="1:49" outlineLevel="1" x14ac:dyDescent="0.2">
      <c r="A34" s="150"/>
      <c r="B34" s="150"/>
      <c r="C34" s="150"/>
      <c r="D34" s="150"/>
      <c r="E34" s="150" t="s">
        <v>303</v>
      </c>
      <c r="F34" s="150"/>
      <c r="G34" s="150" t="s">
        <v>540</v>
      </c>
      <c r="H34" s="150"/>
      <c r="I34" s="150"/>
      <c r="J34" s="150"/>
      <c r="K34" s="150"/>
      <c r="L34" s="150"/>
      <c r="M34" s="150"/>
      <c r="N34" s="150"/>
      <c r="O34" s="150"/>
      <c r="P34" s="150"/>
      <c r="Q34" s="150"/>
      <c r="R34" s="150"/>
      <c r="S34" s="150"/>
      <c r="T34" s="150"/>
      <c r="U34" s="150"/>
      <c r="V34" s="150"/>
      <c r="W34" s="150"/>
      <c r="X34" s="150"/>
      <c r="Y34" s="150"/>
      <c r="Z34" s="150"/>
      <c r="AA34" s="150"/>
      <c r="AB34" s="150"/>
      <c r="AC34" s="189" cm="1">
        <f t="array" ref="AC34">SUMPRODUCT(AC$13:AC$21*($E$13:$E$21=$E34)*($J$13:$J$21=$C$33))</f>
        <v>113.6653</v>
      </c>
      <c r="AD34" s="189" cm="1">
        <f t="array" ref="AD34">SUMPRODUCT(AD$13:AD$21*($E$13:$E$21=$E34)*($J$13:$J$21=$C$33))</f>
        <v>113.6653</v>
      </c>
      <c r="AE34" s="189" cm="1">
        <f t="array" ref="AE34">SUMPRODUCT(AE$13:AE$21*($E$13:$E$21=$E34)*($J$13:$J$21=$C$33))</f>
        <v>113.6653</v>
      </c>
      <c r="AF34" s="189" cm="1">
        <f t="array" ref="AF34">SUMPRODUCT(AF$13:AF$21*($E$13:$E$21=$E34)*($J$13:$J$21=$C$33))</f>
        <v>113.6653</v>
      </c>
      <c r="AG34" s="189" cm="1">
        <f t="array" ref="AG34">SUMPRODUCT(AG$13:AG$21*($E$13:$E$21=$E34)*($J$13:$J$21=$C$33))</f>
        <v>113.66530000000003</v>
      </c>
      <c r="AH34" s="189" cm="1">
        <f t="array" ref="AH34">SUMPRODUCT(AH$13:AH$21*($E$13:$E$21=$E34)*($J$13:$J$21=$C$33))</f>
        <v>113.6653</v>
      </c>
      <c r="AI34" s="189" cm="1">
        <f t="array" ref="AI34">SUMPRODUCT(AI$13:AI$21*($E$13:$E$21=$E34)*($J$13:$J$21=$C$33))</f>
        <v>113.6653</v>
      </c>
      <c r="AJ34" s="189" cm="1">
        <f t="array" ref="AJ34">SUMPRODUCT(AJ$13:AJ$21*($E$13:$E$21=$E34)*($J$13:$J$21=$C$33))</f>
        <v>113.6653</v>
      </c>
      <c r="AK34" s="189" cm="1">
        <f t="array" ref="AK34">SUMPRODUCT(AK$13:AK$21*($E$13:$E$21=$E34)*($J$13:$J$21=$C$33))</f>
        <v>113.6653</v>
      </c>
      <c r="AL34" s="189" cm="1">
        <f t="array" ref="AL34">SUMPRODUCT(AL$13:AL$21*($E$13:$E$21=$E34)*($J$13:$J$21=$C$33))</f>
        <v>113.6653</v>
      </c>
      <c r="AM34" s="189" cm="1">
        <f t="array" ref="AM34">SUMPRODUCT(AM$13:AM$21*($E$13:$E$21=$E34)*($J$13:$J$21=$C$33))</f>
        <v>113.6653</v>
      </c>
      <c r="AN34" s="189" cm="1">
        <f t="array" ref="AN34">SUMPRODUCT(AN$13:AN$21*($E$13:$E$21=$E34)*($J$13:$J$21=$C$33))</f>
        <v>113.6653</v>
      </c>
      <c r="AO34" s="189" cm="1">
        <f t="array" ref="AO34">SUMPRODUCT(AO$13:AO$21*($E$13:$E$21=$E34)*($J$13:$J$21=$C$33))</f>
        <v>113.6653</v>
      </c>
      <c r="AP34" s="189" cm="1">
        <f t="array" ref="AP34">SUMPRODUCT(AP$13:AP$21*($E$13:$E$21=$E34)*($J$13:$J$21=$C$33))</f>
        <v>113.6653</v>
      </c>
      <c r="AQ34" s="189" cm="1">
        <f t="array" ref="AQ34">SUMPRODUCT(AQ$13:AQ$21*($E$13:$E$21=$E34)*($J$13:$J$21=$C$33))</f>
        <v>113.6653</v>
      </c>
      <c r="AR34" s="189" cm="1">
        <f t="array" ref="AR34">SUMPRODUCT(AR$13:AR$21*($E$13:$E$21=$E34)*($J$13:$J$21=$C$33))</f>
        <v>113.6653</v>
      </c>
      <c r="AS34" s="189" cm="1">
        <f t="array" ref="AS34">SUMPRODUCT(AS$13:AS$21*($E$13:$E$21=$E34)*($J$13:$J$21=$C$33))</f>
        <v>113.6653</v>
      </c>
      <c r="AT34" s="189" cm="1">
        <f t="array" ref="AT34">SUMPRODUCT(AT$13:AT$21*($E$13:$E$21=$E34)*($J$13:$J$21=$C$33))</f>
        <v>113.6653</v>
      </c>
      <c r="AU34" s="189" cm="1">
        <f t="array" ref="AU34">SUMPRODUCT(AU$13:AU$21*($E$13:$E$21=$E34)*($J$13:$J$21=$C$33))</f>
        <v>113.6653</v>
      </c>
      <c r="AV34" s="189" cm="1">
        <f t="array" ref="AV34">SUMPRODUCT(AV$13:AV$21*($E$13:$E$21=$E34)*($J$13:$J$21=$C$33))</f>
        <v>113.6653</v>
      </c>
      <c r="AW34" s="189" cm="1">
        <f t="array" ref="AW34">SUMPRODUCT(AW$13:AW$21*($E$13:$E$21=$E34)*($J$13:$J$21=$C$33))</f>
        <v>113.6653</v>
      </c>
    </row>
    <row r="35" spans="1:49" outlineLevel="1" x14ac:dyDescent="0.2">
      <c r="A35" s="150"/>
      <c r="B35" s="150"/>
      <c r="C35" s="150"/>
      <c r="D35" s="150"/>
      <c r="E35" s="150" t="s">
        <v>310</v>
      </c>
      <c r="F35" s="150"/>
      <c r="G35" s="150" t="s">
        <v>540</v>
      </c>
      <c r="H35" s="150"/>
      <c r="I35" s="150"/>
      <c r="J35" s="150"/>
      <c r="K35" s="150"/>
      <c r="L35" s="150"/>
      <c r="M35" s="150"/>
      <c r="N35" s="150"/>
      <c r="O35" s="150"/>
      <c r="P35" s="150"/>
      <c r="Q35" s="150"/>
      <c r="R35" s="150"/>
      <c r="S35" s="150"/>
      <c r="T35" s="150"/>
      <c r="U35" s="150"/>
      <c r="V35" s="150"/>
      <c r="W35" s="150"/>
      <c r="X35" s="150"/>
      <c r="Y35" s="150"/>
      <c r="Z35" s="150"/>
      <c r="AA35" s="150"/>
      <c r="AB35" s="150"/>
      <c r="AC35" s="189" cm="1">
        <f t="array" ref="AC35">SUMPRODUCT(AC$13:AC$21*($E$13:$E$21=$E35)*($J$13:$J$21=$C$33))</f>
        <v>253.17075060532687</v>
      </c>
      <c r="AD35" s="189" cm="1">
        <f t="array" ref="AD35">SUMPRODUCT(AD$13:AD$21*($E$13:$E$21=$E35)*($J$13:$J$21=$C$33))</f>
        <v>253.17075060532687</v>
      </c>
      <c r="AE35" s="189" cm="1">
        <f t="array" ref="AE35">SUMPRODUCT(AE$13:AE$21*($E$13:$E$21=$E35)*($J$13:$J$21=$C$33))</f>
        <v>253.17075060532687</v>
      </c>
      <c r="AF35" s="189" cm="1">
        <f t="array" ref="AF35">SUMPRODUCT(AF$13:AF$21*($E$13:$E$21=$E35)*($J$13:$J$21=$C$33))</f>
        <v>253.17075060532687</v>
      </c>
      <c r="AG35" s="189" cm="1">
        <f t="array" ref="AG35">SUMPRODUCT(AG$13:AG$21*($E$13:$E$21=$E35)*($J$13:$J$21=$C$33))</f>
        <v>253.17075060532687</v>
      </c>
      <c r="AH35" s="189" cm="1">
        <f t="array" ref="AH35">SUMPRODUCT(AH$13:AH$21*($E$13:$E$21=$E35)*($J$13:$J$21=$C$33))</f>
        <v>253.17075060532687</v>
      </c>
      <c r="AI35" s="189" cm="1">
        <f t="array" ref="AI35">SUMPRODUCT(AI$13:AI$21*($E$13:$E$21=$E35)*($J$13:$J$21=$C$33))</f>
        <v>253.17075060532687</v>
      </c>
      <c r="AJ35" s="189" cm="1">
        <f t="array" ref="AJ35">SUMPRODUCT(AJ$13:AJ$21*($E$13:$E$21=$E35)*($J$13:$J$21=$C$33))</f>
        <v>253.17075060532687</v>
      </c>
      <c r="AK35" s="189" cm="1">
        <f t="array" ref="AK35">SUMPRODUCT(AK$13:AK$21*($E$13:$E$21=$E35)*($J$13:$J$21=$C$33))</f>
        <v>253.17075060532687</v>
      </c>
      <c r="AL35" s="189" cm="1">
        <f t="array" ref="AL35">SUMPRODUCT(AL$13:AL$21*($E$13:$E$21=$E35)*($J$13:$J$21=$C$33))</f>
        <v>253.17075060532687</v>
      </c>
      <c r="AM35" s="189" cm="1">
        <f t="array" ref="AM35">SUMPRODUCT(AM$13:AM$21*($E$13:$E$21=$E35)*($J$13:$J$21=$C$33))</f>
        <v>253.17075060532687</v>
      </c>
      <c r="AN35" s="189" cm="1">
        <f t="array" ref="AN35">SUMPRODUCT(AN$13:AN$21*($E$13:$E$21=$E35)*($J$13:$J$21=$C$33))</f>
        <v>253.17075060532687</v>
      </c>
      <c r="AO35" s="189" cm="1">
        <f t="array" ref="AO35">SUMPRODUCT(AO$13:AO$21*($E$13:$E$21=$E35)*($J$13:$J$21=$C$33))</f>
        <v>253.17075060532687</v>
      </c>
      <c r="AP35" s="189" cm="1">
        <f t="array" ref="AP35">SUMPRODUCT(AP$13:AP$21*($E$13:$E$21=$E35)*($J$13:$J$21=$C$33))</f>
        <v>253.17075060532687</v>
      </c>
      <c r="AQ35" s="189" cm="1">
        <f t="array" ref="AQ35">SUMPRODUCT(AQ$13:AQ$21*($E$13:$E$21=$E35)*($J$13:$J$21=$C$33))</f>
        <v>253.17075060532687</v>
      </c>
      <c r="AR35" s="189" cm="1">
        <f t="array" ref="AR35">SUMPRODUCT(AR$13:AR$21*($E$13:$E$21=$E35)*($J$13:$J$21=$C$33))</f>
        <v>253.17075060532687</v>
      </c>
      <c r="AS35" s="189" cm="1">
        <f t="array" ref="AS35">SUMPRODUCT(AS$13:AS$21*($E$13:$E$21=$E35)*($J$13:$J$21=$C$33))</f>
        <v>253.17075060532687</v>
      </c>
      <c r="AT35" s="189" cm="1">
        <f t="array" ref="AT35">SUMPRODUCT(AT$13:AT$21*($E$13:$E$21=$E35)*($J$13:$J$21=$C$33))</f>
        <v>253.17075060532687</v>
      </c>
      <c r="AU35" s="189" cm="1">
        <f t="array" ref="AU35">SUMPRODUCT(AU$13:AU$21*($E$13:$E$21=$E35)*($J$13:$J$21=$C$33))</f>
        <v>253.17075060532687</v>
      </c>
      <c r="AV35" s="189" cm="1">
        <f t="array" ref="AV35">SUMPRODUCT(AV$13:AV$21*($E$13:$E$21=$E35)*($J$13:$J$21=$C$33))</f>
        <v>253.17075060532687</v>
      </c>
      <c r="AW35" s="189" cm="1">
        <f t="array" ref="AW35">SUMPRODUCT(AW$13:AW$21*($E$13:$E$21=$E35)*($J$13:$J$21=$C$33))</f>
        <v>253.17075060532687</v>
      </c>
    </row>
    <row r="36" spans="1:49" outlineLevel="1" x14ac:dyDescent="0.2">
      <c r="A36" s="150"/>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row>
    <row r="37" spans="1:49" outlineLevel="1" x14ac:dyDescent="0.2">
      <c r="A37" s="150"/>
      <c r="B37" s="150"/>
      <c r="C37" s="64" t="s">
        <v>548</v>
      </c>
      <c r="D37" s="150"/>
      <c r="E37" s="150" t="s">
        <v>301</v>
      </c>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90">
        <f>AD33/AC33-1</f>
        <v>6.9999999999998952E-3</v>
      </c>
      <c r="AE37" s="190">
        <f t="shared" ref="AE37:AW39" si="8">AE33/AD33-1</f>
        <v>7.0000000000001172E-3</v>
      </c>
      <c r="AF37" s="190">
        <f t="shared" si="8"/>
        <v>0</v>
      </c>
      <c r="AG37" s="190">
        <f t="shared" si="8"/>
        <v>0</v>
      </c>
      <c r="AH37" s="190">
        <f t="shared" si="8"/>
        <v>0</v>
      </c>
      <c r="AI37" s="190">
        <f t="shared" si="8"/>
        <v>0</v>
      </c>
      <c r="AJ37" s="190">
        <f t="shared" si="8"/>
        <v>0</v>
      </c>
      <c r="AK37" s="190">
        <f t="shared" si="8"/>
        <v>0</v>
      </c>
      <c r="AL37" s="190">
        <f t="shared" si="8"/>
        <v>0</v>
      </c>
      <c r="AM37" s="190">
        <f t="shared" si="8"/>
        <v>0</v>
      </c>
      <c r="AN37" s="190">
        <f t="shared" si="8"/>
        <v>0</v>
      </c>
      <c r="AO37" s="190">
        <f t="shared" si="8"/>
        <v>0</v>
      </c>
      <c r="AP37" s="190">
        <f t="shared" si="8"/>
        <v>0</v>
      </c>
      <c r="AQ37" s="190">
        <f t="shared" si="8"/>
        <v>0</v>
      </c>
      <c r="AR37" s="190">
        <f t="shared" si="8"/>
        <v>0</v>
      </c>
      <c r="AS37" s="190">
        <f t="shared" si="8"/>
        <v>0</v>
      </c>
      <c r="AT37" s="190">
        <f t="shared" si="8"/>
        <v>0</v>
      </c>
      <c r="AU37" s="190">
        <f t="shared" si="8"/>
        <v>0</v>
      </c>
      <c r="AV37" s="190">
        <f t="shared" si="8"/>
        <v>0</v>
      </c>
      <c r="AW37" s="190">
        <f t="shared" si="8"/>
        <v>0</v>
      </c>
    </row>
    <row r="38" spans="1:49" outlineLevel="1" x14ac:dyDescent="0.2">
      <c r="A38" s="150"/>
      <c r="B38" s="150"/>
      <c r="C38" s="150"/>
      <c r="D38" s="150"/>
      <c r="E38" s="150" t="s">
        <v>303</v>
      </c>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90">
        <f t="shared" ref="AD38:AS39" si="9">AD34/AC34-1</f>
        <v>0</v>
      </c>
      <c r="AE38" s="190">
        <f t="shared" si="9"/>
        <v>0</v>
      </c>
      <c r="AF38" s="190">
        <f t="shared" si="9"/>
        <v>0</v>
      </c>
      <c r="AG38" s="190">
        <f t="shared" si="9"/>
        <v>0</v>
      </c>
      <c r="AH38" s="190">
        <f t="shared" si="9"/>
        <v>0</v>
      </c>
      <c r="AI38" s="190">
        <f t="shared" si="9"/>
        <v>0</v>
      </c>
      <c r="AJ38" s="190">
        <f t="shared" si="9"/>
        <v>0</v>
      </c>
      <c r="AK38" s="190">
        <f t="shared" si="9"/>
        <v>0</v>
      </c>
      <c r="AL38" s="190">
        <f t="shared" si="9"/>
        <v>0</v>
      </c>
      <c r="AM38" s="190">
        <f t="shared" si="9"/>
        <v>0</v>
      </c>
      <c r="AN38" s="190">
        <f t="shared" si="9"/>
        <v>0</v>
      </c>
      <c r="AO38" s="190">
        <f t="shared" si="9"/>
        <v>0</v>
      </c>
      <c r="AP38" s="190">
        <f t="shared" si="9"/>
        <v>0</v>
      </c>
      <c r="AQ38" s="190">
        <f t="shared" si="9"/>
        <v>0</v>
      </c>
      <c r="AR38" s="190">
        <f t="shared" si="9"/>
        <v>0</v>
      </c>
      <c r="AS38" s="190">
        <f t="shared" si="9"/>
        <v>0</v>
      </c>
      <c r="AT38" s="190">
        <f t="shared" si="8"/>
        <v>0</v>
      </c>
      <c r="AU38" s="190">
        <f t="shared" si="8"/>
        <v>0</v>
      </c>
      <c r="AV38" s="190">
        <f t="shared" si="8"/>
        <v>0</v>
      </c>
      <c r="AW38" s="190">
        <f t="shared" si="8"/>
        <v>0</v>
      </c>
    </row>
    <row r="39" spans="1:49" outlineLevel="1" x14ac:dyDescent="0.2">
      <c r="A39" s="150"/>
      <c r="B39" s="150"/>
      <c r="C39" s="150"/>
      <c r="D39" s="150"/>
      <c r="E39" s="150" t="s">
        <v>310</v>
      </c>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90">
        <f t="shared" si="9"/>
        <v>0</v>
      </c>
      <c r="AE39" s="190">
        <f t="shared" si="8"/>
        <v>0</v>
      </c>
      <c r="AF39" s="190">
        <f t="shared" si="8"/>
        <v>0</v>
      </c>
      <c r="AG39" s="190">
        <f t="shared" si="8"/>
        <v>0</v>
      </c>
      <c r="AH39" s="190">
        <f t="shared" si="8"/>
        <v>0</v>
      </c>
      <c r="AI39" s="190">
        <f t="shared" si="8"/>
        <v>0</v>
      </c>
      <c r="AJ39" s="190">
        <f t="shared" si="8"/>
        <v>0</v>
      </c>
      <c r="AK39" s="190">
        <f t="shared" si="8"/>
        <v>0</v>
      </c>
      <c r="AL39" s="190">
        <f t="shared" si="8"/>
        <v>0</v>
      </c>
      <c r="AM39" s="190">
        <f t="shared" si="8"/>
        <v>0</v>
      </c>
      <c r="AN39" s="190">
        <f t="shared" si="8"/>
        <v>0</v>
      </c>
      <c r="AO39" s="190">
        <f t="shared" si="8"/>
        <v>0</v>
      </c>
      <c r="AP39" s="190">
        <f t="shared" si="8"/>
        <v>0</v>
      </c>
      <c r="AQ39" s="190">
        <f t="shared" si="8"/>
        <v>0</v>
      </c>
      <c r="AR39" s="190">
        <f t="shared" si="8"/>
        <v>0</v>
      </c>
      <c r="AS39" s="190">
        <f t="shared" si="8"/>
        <v>0</v>
      </c>
      <c r="AT39" s="190">
        <f t="shared" si="8"/>
        <v>0</v>
      </c>
      <c r="AU39" s="190">
        <f t="shared" si="8"/>
        <v>0</v>
      </c>
      <c r="AV39" s="190">
        <f t="shared" si="8"/>
        <v>0</v>
      </c>
      <c r="AW39" s="190">
        <f t="shared" si="8"/>
        <v>0</v>
      </c>
    </row>
    <row r="40" spans="1:49" outlineLevel="1" x14ac:dyDescent="0.2">
      <c r="A40" s="150"/>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row>
    <row r="41" spans="1:49" outlineLevel="1" x14ac:dyDescent="0.2">
      <c r="A41" s="150"/>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row>
    <row r="42" spans="1:49" outlineLevel="1" x14ac:dyDescent="0.2">
      <c r="A42" s="150"/>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row>
    <row r="43" spans="1:49" outlineLevel="1" x14ac:dyDescent="0.2">
      <c r="A43" s="150"/>
      <c r="B43" s="150"/>
      <c r="C43" s="64" t="s">
        <v>549</v>
      </c>
      <c r="D43" s="150"/>
      <c r="E43" s="150"/>
      <c r="F43" s="150"/>
      <c r="G43" s="150" t="s">
        <v>550</v>
      </c>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row>
    <row r="44" spans="1:49" outlineLevel="1" x14ac:dyDescent="0.2">
      <c r="A44" s="51" t="str" cm="1">
        <f t="array" ref="A44">INDEX(TariffCode, MATCH(1,(C44=TariffZone)*(D44=TariffProduct),0))</f>
        <v>SW</v>
      </c>
      <c r="B44" s="51"/>
      <c r="C44" s="150" t="s">
        <v>287</v>
      </c>
      <c r="D44" s="150" t="s">
        <v>301</v>
      </c>
      <c r="E44" s="150"/>
      <c r="F44" s="150" t="s">
        <v>262</v>
      </c>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87">
        <f>SUMIFS(AD$29:AD$31,$E$29:$E$31,$D44)*SUMIFS('INPUT Growth'!AD$161:AD$170,'INPUT Growth'!$C$161:$C$170,'INPUT Opex'!$C44,'INPUT Growth'!$D$161:$D$170,$D44,'INPUT Growth'!$F$161:$F$170,'INPUT Opex'!$F44)</f>
        <v>4784484.0494643254</v>
      </c>
      <c r="AE44" s="187">
        <f>SUMIFS(AE$29:AE$31,$E$29:$E$31,$D44)*SUMIFS('INPUT Growth'!AE$161:AE$170,'INPUT Growth'!$C$161:$C$170,'INPUT Opex'!$C44,'INPUT Growth'!$D$161:$D$170,$D44,'INPUT Growth'!$F$161:$F$170,'INPUT Opex'!$F44)</f>
        <v>9407614.6220569443</v>
      </c>
      <c r="AF44" s="187">
        <f>SUMIFS(AF$29:AF$31,$E$29:$E$31,$D44)*SUMIFS('INPUT Growth'!AF$161:AF$170,'INPUT Growth'!$C$161:$C$170,'INPUT Opex'!$C44,'INPUT Growth'!$D$161:$D$170,$D44,'INPUT Growth'!$F$161:$F$170,'INPUT Opex'!$F44)</f>
        <v>13163972.292842645</v>
      </c>
      <c r="AG44" s="187">
        <f>SUMIFS(AG$29:AG$31,$E$29:$E$31,$D44)*SUMIFS('INPUT Growth'!AG$161:AG$170,'INPUT Growth'!$C$161:$C$170,'INPUT Opex'!$C44,'INPUT Growth'!$D$161:$D$170,$D44,'INPUT Growth'!$F$161:$F$170,'INPUT Opex'!$F44)</f>
        <v>16759223.082009971</v>
      </c>
      <c r="AH44" s="187">
        <f>SUMIFS(AH$29:AH$31,$E$29:$E$31,$D44)*SUMIFS('INPUT Growth'!AH$161:AH$170,'INPUT Growth'!$C$161:$C$170,'INPUT Opex'!$C44,'INPUT Growth'!$D$161:$D$170,$D44,'INPUT Growth'!$F$161:$F$170,'INPUT Opex'!$F44)</f>
        <v>20112309.887045462</v>
      </c>
      <c r="AI44" s="187">
        <f>SUMIFS(AI$29:AI$31,$E$29:$E$31,$D44)*SUMIFS('INPUT Growth'!AI$161:AI$170,'INPUT Growth'!$C$161:$C$170,'INPUT Opex'!$C44,'INPUT Growth'!$D$161:$D$170,$D44,'INPUT Growth'!$F$161:$F$170,'INPUT Opex'!$F44)</f>
        <v>23239794.72308933</v>
      </c>
      <c r="AJ44" s="187">
        <f>SUMIFS(AJ$29:AJ$31,$E$29:$E$31,$D44)*SUMIFS('INPUT Growth'!AJ$161:AJ$170,'INPUT Growth'!$C$161:$C$170,'INPUT Opex'!$C44,'INPUT Growth'!$D$161:$D$170,$D44,'INPUT Growth'!$F$161:$F$170,'INPUT Opex'!$F44)</f>
        <v>26233975.73345381</v>
      </c>
      <c r="AK44" s="187">
        <f>SUMIFS(AK$29:AK$31,$E$29:$E$31,$D44)*SUMIFS('INPUT Growth'!AK$161:AK$170,'INPUT Growth'!$C$161:$C$170,'INPUT Opex'!$C44,'INPUT Growth'!$D$161:$D$170,$D44,'INPUT Growth'!$F$161:$F$170,'INPUT Opex'!$F44)</f>
        <v>29194234.193368606</v>
      </c>
      <c r="AL44" s="187">
        <f>SUMIFS(AL$29:AL$31,$E$29:$E$31,$D44)*SUMIFS('INPUT Growth'!AL$161:AL$170,'INPUT Growth'!$C$161:$C$170,'INPUT Opex'!$C44,'INPUT Growth'!$D$161:$D$170,$D44,'INPUT Growth'!$F$161:$F$170,'INPUT Opex'!$F44)</f>
        <v>32100202.097462766</v>
      </c>
      <c r="AM44" s="187">
        <f>SUMIFS(AM$29:AM$31,$E$29:$E$31,$D44)*SUMIFS('INPUT Growth'!AM$161:AM$170,'INPUT Growth'!$C$161:$C$170,'INPUT Opex'!$C44,'INPUT Growth'!$D$161:$D$170,$D44,'INPUT Growth'!$F$161:$F$170,'INPUT Opex'!$F44)</f>
        <v>34965100.526081711</v>
      </c>
      <c r="AN44" s="187">
        <f>SUMIFS(AN$29:AN$31,$E$29:$E$31,$D44)*SUMIFS('INPUT Growth'!AN$161:AN$170,'INPUT Growth'!$C$161:$C$170,'INPUT Opex'!$C44,'INPUT Growth'!$D$161:$D$170,$D44,'INPUT Growth'!$F$161:$F$170,'INPUT Opex'!$F44)</f>
        <v>37781872.586862594</v>
      </c>
      <c r="AO44" s="187">
        <f>SUMIFS(AO$29:AO$31,$E$29:$E$31,$D44)*SUMIFS('INPUT Growth'!AO$161:AO$170,'INPUT Growth'!$C$161:$C$170,'INPUT Opex'!$C44,'INPUT Growth'!$D$161:$D$170,$D44,'INPUT Growth'!$F$161:$F$170,'INPUT Opex'!$F44)</f>
        <v>40540044.111173488</v>
      </c>
      <c r="AP44" s="187">
        <f>SUMIFS(AP$29:AP$31,$E$29:$E$31,$D44)*SUMIFS('INPUT Growth'!AP$161:AP$170,'INPUT Growth'!$C$161:$C$170,'INPUT Opex'!$C44,'INPUT Growth'!$D$161:$D$170,$D44,'INPUT Growth'!$F$161:$F$170,'INPUT Opex'!$F44)</f>
        <v>43238604.950466454</v>
      </c>
      <c r="AQ44" s="187">
        <f>SUMIFS(AQ$29:AQ$31,$E$29:$E$31,$D44)*SUMIFS('INPUT Growth'!AQ$161:AQ$170,'INPUT Growth'!$C$161:$C$170,'INPUT Opex'!$C44,'INPUT Growth'!$D$161:$D$170,$D44,'INPUT Growth'!$F$161:$F$170,'INPUT Opex'!$F44)</f>
        <v>45851332.768826023</v>
      </c>
      <c r="AR44" s="187">
        <f>SUMIFS(AR$29:AR$31,$E$29:$E$31,$D44)*SUMIFS('INPUT Growth'!AR$161:AR$170,'INPUT Growth'!$C$161:$C$170,'INPUT Opex'!$C44,'INPUT Growth'!$D$161:$D$170,$D44,'INPUT Growth'!$F$161:$F$170,'INPUT Opex'!$F44)</f>
        <v>48383515.288835138</v>
      </c>
      <c r="AS44" s="187">
        <f>SUMIFS(AS$29:AS$31,$E$29:$E$31,$D44)*SUMIFS('INPUT Growth'!AS$161:AS$170,'INPUT Growth'!$C$161:$C$170,'INPUT Opex'!$C44,'INPUT Growth'!$D$161:$D$170,$D44,'INPUT Growth'!$F$161:$F$170,'INPUT Opex'!$F44)</f>
        <v>50829547.020222999</v>
      </c>
      <c r="AT44" s="187">
        <f>SUMIFS(AT$29:AT$31,$E$29:$E$31,$D44)*SUMIFS('INPUT Growth'!AT$161:AT$170,'INPUT Growth'!$C$161:$C$170,'INPUT Opex'!$C44,'INPUT Growth'!$D$161:$D$170,$D44,'INPUT Growth'!$F$161:$F$170,'INPUT Opex'!$F44)</f>
        <v>53137097.32696557</v>
      </c>
      <c r="AU44" s="187">
        <f>SUMIFS(AU$29:AU$31,$E$29:$E$31,$D44)*SUMIFS('INPUT Growth'!AU$161:AU$170,'INPUT Growth'!$C$161:$C$170,'INPUT Opex'!$C44,'INPUT Growth'!$D$161:$D$170,$D44,'INPUT Growth'!$F$161:$F$170,'INPUT Opex'!$F44)</f>
        <v>55374526.515135996</v>
      </c>
      <c r="AV44" s="187">
        <f>SUMIFS(AV$29:AV$31,$E$29:$E$31,$D44)*SUMIFS('INPUT Growth'!AV$161:AV$170,'INPUT Growth'!$C$161:$C$170,'INPUT Opex'!$C44,'INPUT Growth'!$D$161:$D$170,$D44,'INPUT Growth'!$F$161:$F$170,'INPUT Opex'!$F44)</f>
        <v>57528112.28203515</v>
      </c>
      <c r="AW44" s="187">
        <f>SUMIFS(AW$29:AW$31,$E$29:$E$31,$D44)*SUMIFS('INPUT Growth'!AW$161:AW$170,'INPUT Growth'!$C$161:$C$170,'INPUT Opex'!$C44,'INPUT Growth'!$D$161:$D$170,$D44,'INPUT Growth'!$F$161:$F$170,'INPUT Opex'!$F44)</f>
        <v>59605639.291458584</v>
      </c>
    </row>
    <row r="45" spans="1:49" outlineLevel="1" x14ac:dyDescent="0.2">
      <c r="A45" s="51" t="str" cm="1">
        <f t="array" ref="A45">INDEX(TariffCode, MATCH(1,(C45=TariffZone)*(D45=TariffProduct),0))</f>
        <v>SW</v>
      </c>
      <c r="B45" s="51"/>
      <c r="C45" s="150" t="s">
        <v>287</v>
      </c>
      <c r="D45" s="150" t="s">
        <v>301</v>
      </c>
      <c r="E45" s="150"/>
      <c r="F45" s="150" t="s">
        <v>265</v>
      </c>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87">
        <f>SUMIFS(AD$29:AD$31,$E$29:$E$31,$D45)*SUMIFS('INPUT Growth'!AD$161:AD$170,'INPUT Growth'!$C$161:$C$170,'INPUT Opex'!$C45,'INPUT Growth'!$D$161:$D$170,$D45,'INPUT Growth'!$F$161:$F$170,'INPUT Opex'!$F45)</f>
        <v>197397.27342548064</v>
      </c>
      <c r="AE45" s="187">
        <f>SUMIFS(AE$29:AE$31,$E$29:$E$31,$D45)*SUMIFS('INPUT Growth'!AE$161:AE$170,'INPUT Growth'!$C$161:$C$170,'INPUT Opex'!$C45,'INPUT Growth'!$D$161:$D$170,$D45,'INPUT Growth'!$F$161:$F$170,'INPUT Opex'!$F45)</f>
        <v>407114.27860273403</v>
      </c>
      <c r="AF45" s="187">
        <f>SUMIFS(AF$29:AF$31,$E$29:$E$31,$D45)*SUMIFS('INPUT Growth'!AF$161:AF$170,'INPUT Growth'!$C$161:$C$170,'INPUT Opex'!$C45,'INPUT Growth'!$D$161:$D$170,$D45,'INPUT Growth'!$F$161:$F$170,'INPUT Opex'!$F45)</f>
        <v>585687.57441195846</v>
      </c>
      <c r="AG45" s="187">
        <f>SUMIFS(AG$29:AG$31,$E$29:$E$31,$D45)*SUMIFS('INPUT Growth'!AG$161:AG$170,'INPUT Growth'!$C$161:$C$170,'INPUT Opex'!$C45,'INPUT Growth'!$D$161:$D$170,$D45,'INPUT Growth'!$F$161:$F$170,'INPUT Opex'!$F45)</f>
        <v>771125.07489627122</v>
      </c>
      <c r="AH45" s="187">
        <f>SUMIFS(AH$29:AH$31,$E$29:$E$31,$D45)*SUMIFS('INPUT Growth'!AH$161:AH$170,'INPUT Growth'!$C$161:$C$170,'INPUT Opex'!$C45,'INPUT Growth'!$D$161:$D$170,$D45,'INPUT Growth'!$F$161:$F$170,'INPUT Opex'!$F45)</f>
        <v>985884.70810076897</v>
      </c>
      <c r="AI45" s="187">
        <f>SUMIFS(AI$29:AI$31,$E$29:$E$31,$D45)*SUMIFS('INPUT Growth'!AI$161:AI$170,'INPUT Growth'!$C$161:$C$170,'INPUT Opex'!$C45,'INPUT Growth'!$D$161:$D$170,$D45,'INPUT Growth'!$F$161:$F$170,'INPUT Opex'!$F45)</f>
        <v>1186203.4968068628</v>
      </c>
      <c r="AJ45" s="187">
        <f>SUMIFS(AJ$29:AJ$31,$E$29:$E$31,$D45)*SUMIFS('INPUT Growth'!AJ$161:AJ$170,'INPUT Growth'!$C$161:$C$170,'INPUT Opex'!$C45,'INPUT Growth'!$D$161:$D$170,$D45,'INPUT Growth'!$F$161:$F$170,'INPUT Opex'!$F45)</f>
        <v>1367240.1148399212</v>
      </c>
      <c r="AK45" s="187">
        <f>SUMIFS(AK$29:AK$31,$E$29:$E$31,$D45)*SUMIFS('INPUT Growth'!AK$161:AK$170,'INPUT Growth'!$C$161:$C$170,'INPUT Opex'!$C45,'INPUT Growth'!$D$161:$D$170,$D45,'INPUT Growth'!$F$161:$F$170,'INPUT Opex'!$F45)</f>
        <v>1505271.8704428307</v>
      </c>
      <c r="AL45" s="187">
        <f>SUMIFS(AL$29:AL$31,$E$29:$E$31,$D45)*SUMIFS('INPUT Growth'!AL$161:AL$170,'INPUT Growth'!$C$161:$C$170,'INPUT Opex'!$C45,'INPUT Growth'!$D$161:$D$170,$D45,'INPUT Growth'!$F$161:$F$170,'INPUT Opex'!$F45)</f>
        <v>1623633.7900609779</v>
      </c>
      <c r="AM45" s="187">
        <f>SUMIFS(AM$29:AM$31,$E$29:$E$31,$D45)*SUMIFS('INPUT Growth'!AM$161:AM$170,'INPUT Growth'!$C$161:$C$170,'INPUT Opex'!$C45,'INPUT Growth'!$D$161:$D$170,$D45,'INPUT Growth'!$F$161:$F$170,'INPUT Opex'!$F45)</f>
        <v>1725213.9834271276</v>
      </c>
      <c r="AN45" s="187">
        <f>SUMIFS(AN$29:AN$31,$E$29:$E$31,$D45)*SUMIFS('INPUT Growth'!AN$161:AN$170,'INPUT Growth'!$C$161:$C$170,'INPUT Opex'!$C45,'INPUT Growth'!$D$161:$D$170,$D45,'INPUT Growth'!$F$161:$F$170,'INPUT Opex'!$F45)</f>
        <v>1816063.0237230905</v>
      </c>
      <c r="AO45" s="187">
        <f>SUMIFS(AO$29:AO$31,$E$29:$E$31,$D45)*SUMIFS('INPUT Growth'!AO$161:AO$170,'INPUT Growth'!$C$161:$C$170,'INPUT Opex'!$C45,'INPUT Growth'!$D$161:$D$170,$D45,'INPUT Growth'!$F$161:$F$170,'INPUT Opex'!$F45)</f>
        <v>1897516.2928471421</v>
      </c>
      <c r="AP45" s="187">
        <f>SUMIFS(AP$29:AP$31,$E$29:$E$31,$D45)*SUMIFS('INPUT Growth'!AP$161:AP$170,'INPUT Growth'!$C$161:$C$170,'INPUT Opex'!$C45,'INPUT Growth'!$D$161:$D$170,$D45,'INPUT Growth'!$F$161:$F$170,'INPUT Opex'!$F45)</f>
        <v>1975691.5294962148</v>
      </c>
      <c r="AQ45" s="187">
        <f>SUMIFS(AQ$29:AQ$31,$E$29:$E$31,$D45)*SUMIFS('INPUT Growth'!AQ$161:AQ$170,'INPUT Growth'!$C$161:$C$170,'INPUT Opex'!$C45,'INPUT Growth'!$D$161:$D$170,$D45,'INPUT Growth'!$F$161:$F$170,'INPUT Opex'!$F45)</f>
        <v>2052405.3555374695</v>
      </c>
      <c r="AR45" s="187">
        <f>SUMIFS(AR$29:AR$31,$E$29:$E$31,$D45)*SUMIFS('INPUT Growth'!AR$161:AR$170,'INPUT Growth'!$C$161:$C$170,'INPUT Opex'!$C45,'INPUT Growth'!$D$161:$D$170,$D45,'INPUT Growth'!$F$161:$F$170,'INPUT Opex'!$F45)</f>
        <v>2131826.2957997913</v>
      </c>
      <c r="AS45" s="187">
        <f>SUMIFS(AS$29:AS$31,$E$29:$E$31,$D45)*SUMIFS('INPUT Growth'!AS$161:AS$170,'INPUT Growth'!$C$161:$C$170,'INPUT Opex'!$C45,'INPUT Growth'!$D$161:$D$170,$D45,'INPUT Growth'!$F$161:$F$170,'INPUT Opex'!$F45)</f>
        <v>2206728.3204325684</v>
      </c>
      <c r="AT45" s="187">
        <f>SUMIFS(AT$29:AT$31,$E$29:$E$31,$D45)*SUMIFS('INPUT Growth'!AT$161:AT$170,'INPUT Growth'!$C$161:$C$170,'INPUT Opex'!$C45,'INPUT Growth'!$D$161:$D$170,$D45,'INPUT Growth'!$F$161:$F$170,'INPUT Opex'!$F45)</f>
        <v>2292857.9693085048</v>
      </c>
      <c r="AU45" s="187">
        <f>SUMIFS(AU$29:AU$31,$E$29:$E$31,$D45)*SUMIFS('INPUT Growth'!AU$161:AU$170,'INPUT Growth'!$C$161:$C$170,'INPUT Opex'!$C45,'INPUT Growth'!$D$161:$D$170,$D45,'INPUT Growth'!$F$161:$F$170,'INPUT Opex'!$F45)</f>
        <v>2372969.2241937802</v>
      </c>
      <c r="AV45" s="187">
        <f>SUMIFS(AV$29:AV$31,$E$29:$E$31,$D45)*SUMIFS('INPUT Growth'!AV$161:AV$170,'INPUT Growth'!$C$161:$C$170,'INPUT Opex'!$C45,'INPUT Growth'!$D$161:$D$170,$D45,'INPUT Growth'!$F$161:$F$170,'INPUT Opex'!$F45)</f>
        <v>2465391.191573889</v>
      </c>
      <c r="AW45" s="187">
        <f>SUMIFS(AW$29:AW$31,$E$29:$E$31,$D45)*SUMIFS('INPUT Growth'!AW$161:AW$170,'INPUT Growth'!$C$161:$C$170,'INPUT Opex'!$C45,'INPUT Growth'!$D$161:$D$170,$D45,'INPUT Growth'!$F$161:$F$170,'INPUT Opex'!$F45)</f>
        <v>2577433.245365133</v>
      </c>
    </row>
    <row r="46" spans="1:49" outlineLevel="1" x14ac:dyDescent="0.2">
      <c r="A46" s="51" t="str" cm="1">
        <f t="array" ref="A46">INDEX(TariffCode, MATCH(1,(C46=TariffZone)*(D46=TariffProduct),0))</f>
        <v>GW</v>
      </c>
      <c r="B46" s="51"/>
      <c r="C46" s="150" t="s">
        <v>290</v>
      </c>
      <c r="D46" s="150" t="s">
        <v>301</v>
      </c>
      <c r="E46" s="150"/>
      <c r="F46" s="150" t="s">
        <v>265</v>
      </c>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87">
        <f>SUMIFS(AD$29:AD$31,$E$29:$E$31,$D46)*SUMIFS('INPUT Growth'!AD$161:AD$170,'INPUT Growth'!$C$161:$C$170,'INPUT Opex'!$C46,'INPUT Growth'!$D$161:$D$170,$D46,'INPUT Growth'!$F$161:$F$170,'INPUT Opex'!$F46)</f>
        <v>1116216.9899632428</v>
      </c>
      <c r="AE46" s="187">
        <f>SUMIFS(AE$29:AE$31,$E$29:$E$31,$D46)*SUMIFS('INPUT Growth'!AE$161:AE$170,'INPUT Growth'!$C$161:$C$170,'INPUT Opex'!$C46,'INPUT Growth'!$D$161:$D$170,$D46,'INPUT Growth'!$F$161:$F$170,'INPUT Opex'!$F46)</f>
        <v>2182315.538786456</v>
      </c>
      <c r="AF46" s="187">
        <f>SUMIFS(AF$29:AF$31,$E$29:$E$31,$D46)*SUMIFS('INPUT Growth'!AF$161:AF$170,'INPUT Growth'!$C$161:$C$170,'INPUT Opex'!$C46,'INPUT Growth'!$D$161:$D$170,$D46,'INPUT Growth'!$F$161:$F$170,'INPUT Opex'!$F46)</f>
        <v>3296388.8873571283</v>
      </c>
      <c r="AG46" s="187">
        <f>SUMIFS(AG$29:AG$31,$E$29:$E$31,$D46)*SUMIFS('INPUT Growth'!AG$161:AG$170,'INPUT Growth'!$C$161:$C$170,'INPUT Opex'!$C46,'INPUT Growth'!$D$161:$D$170,$D46,'INPUT Growth'!$F$161:$F$170,'INPUT Opex'!$F46)</f>
        <v>4130654.6682217778</v>
      </c>
      <c r="AH46" s="187">
        <f>SUMIFS(AH$29:AH$31,$E$29:$E$31,$D46)*SUMIFS('INPUT Growth'!AH$161:AH$170,'INPUT Growth'!$C$161:$C$170,'INPUT Opex'!$C46,'INPUT Growth'!$D$161:$D$170,$D46,'INPUT Growth'!$F$161:$F$170,'INPUT Opex'!$F46)</f>
        <v>4961613.1654872783</v>
      </c>
      <c r="AI46" s="187">
        <f>SUMIFS(AI$29:AI$31,$E$29:$E$31,$D46)*SUMIFS('INPUT Growth'!AI$161:AI$170,'INPUT Growth'!$C$161:$C$170,'INPUT Opex'!$C46,'INPUT Growth'!$D$161:$D$170,$D46,'INPUT Growth'!$F$161:$F$170,'INPUT Opex'!$F46)</f>
        <v>5805757.8047961714</v>
      </c>
      <c r="AJ46" s="187">
        <f>SUMIFS(AJ$29:AJ$31,$E$29:$E$31,$D46)*SUMIFS('INPUT Growth'!AJ$161:AJ$170,'INPUT Growth'!$C$161:$C$170,'INPUT Opex'!$C46,'INPUT Growth'!$D$161:$D$170,$D46,'INPUT Growth'!$F$161:$F$170,'INPUT Opex'!$F46)</f>
        <v>6595407.7657588217</v>
      </c>
      <c r="AK46" s="187">
        <f>SUMIFS(AK$29:AK$31,$E$29:$E$31,$D46)*SUMIFS('INPUT Growth'!AK$161:AK$170,'INPUT Growth'!$C$161:$C$170,'INPUT Opex'!$C46,'INPUT Growth'!$D$161:$D$170,$D46,'INPUT Growth'!$F$161:$F$170,'INPUT Opex'!$F46)</f>
        <v>7413055.9294391461</v>
      </c>
      <c r="AL46" s="187">
        <f>SUMIFS(AL$29:AL$31,$E$29:$E$31,$D46)*SUMIFS('INPUT Growth'!AL$161:AL$170,'INPUT Growth'!$C$161:$C$170,'INPUT Opex'!$C46,'INPUT Growth'!$D$161:$D$170,$D46,'INPUT Growth'!$F$161:$F$170,'INPUT Opex'!$F46)</f>
        <v>8200896.2058651168</v>
      </c>
      <c r="AM46" s="187">
        <f>SUMIFS(AM$29:AM$31,$E$29:$E$31,$D46)*SUMIFS('INPUT Growth'!AM$161:AM$170,'INPUT Growth'!$C$161:$C$170,'INPUT Opex'!$C46,'INPUT Growth'!$D$161:$D$170,$D46,'INPUT Growth'!$F$161:$F$170,'INPUT Opex'!$F46)</f>
        <v>8948027.5092728287</v>
      </c>
      <c r="AN46" s="187">
        <f>SUMIFS(AN$29:AN$31,$E$29:$E$31,$D46)*SUMIFS('INPUT Growth'!AN$161:AN$170,'INPUT Growth'!$C$161:$C$170,'INPUT Opex'!$C46,'INPUT Growth'!$D$161:$D$170,$D46,'INPUT Growth'!$F$161:$F$170,'INPUT Opex'!$F46)</f>
        <v>9611537.6076311767</v>
      </c>
      <c r="AO46" s="187">
        <f>SUMIFS(AO$29:AO$31,$E$29:$E$31,$D46)*SUMIFS('INPUT Growth'!AO$161:AO$170,'INPUT Growth'!$C$161:$C$170,'INPUT Opex'!$C46,'INPUT Growth'!$D$161:$D$170,$D46,'INPUT Growth'!$F$161:$F$170,'INPUT Opex'!$F46)</f>
        <v>10219531.818226123</v>
      </c>
      <c r="AP46" s="187">
        <f>SUMIFS(AP$29:AP$31,$E$29:$E$31,$D46)*SUMIFS('INPUT Growth'!AP$161:AP$170,'INPUT Growth'!$C$161:$C$170,'INPUT Opex'!$C46,'INPUT Growth'!$D$161:$D$170,$D46,'INPUT Growth'!$F$161:$F$170,'INPUT Opex'!$F46)</f>
        <v>10767727.154659638</v>
      </c>
      <c r="AQ46" s="187">
        <f>SUMIFS(AQ$29:AQ$31,$E$29:$E$31,$D46)*SUMIFS('INPUT Growth'!AQ$161:AQ$170,'INPUT Growth'!$C$161:$C$170,'INPUT Opex'!$C46,'INPUT Growth'!$D$161:$D$170,$D46,'INPUT Growth'!$F$161:$F$170,'INPUT Opex'!$F46)</f>
        <v>11276447.739052648</v>
      </c>
      <c r="AR46" s="187">
        <f>SUMIFS(AR$29:AR$31,$E$29:$E$31,$D46)*SUMIFS('INPUT Growth'!AR$161:AR$170,'INPUT Growth'!$C$161:$C$170,'INPUT Opex'!$C46,'INPUT Growth'!$D$161:$D$170,$D46,'INPUT Growth'!$F$161:$F$170,'INPUT Opex'!$F46)</f>
        <v>11740371.339107985</v>
      </c>
      <c r="AS46" s="187">
        <f>SUMIFS(AS$29:AS$31,$E$29:$E$31,$D46)*SUMIFS('INPUT Growth'!AS$161:AS$170,'INPUT Growth'!$C$161:$C$170,'INPUT Opex'!$C46,'INPUT Growth'!$D$161:$D$170,$D46,'INPUT Growth'!$F$161:$F$170,'INPUT Opex'!$F46)</f>
        <v>12167215.519477339</v>
      </c>
      <c r="AT46" s="187">
        <f>SUMIFS(AT$29:AT$31,$E$29:$E$31,$D46)*SUMIFS('INPUT Growth'!AT$161:AT$170,'INPUT Growth'!$C$161:$C$170,'INPUT Opex'!$C46,'INPUT Growth'!$D$161:$D$170,$D46,'INPUT Growth'!$F$161:$F$170,'INPUT Opex'!$F46)</f>
        <v>12746595.942705905</v>
      </c>
      <c r="AU46" s="187">
        <f>SUMIFS(AU$29:AU$31,$E$29:$E$31,$D46)*SUMIFS('INPUT Growth'!AU$161:AU$170,'INPUT Growth'!$C$161:$C$170,'INPUT Opex'!$C46,'INPUT Growth'!$D$161:$D$170,$D46,'INPUT Growth'!$F$161:$F$170,'INPUT Opex'!$F46)</f>
        <v>13159479.071702356</v>
      </c>
      <c r="AV46" s="187">
        <f>SUMIFS(AV$29:AV$31,$E$29:$E$31,$D46)*SUMIFS('INPUT Growth'!AV$161:AV$170,'INPUT Growth'!$C$161:$C$170,'INPUT Opex'!$C46,'INPUT Growth'!$D$161:$D$170,$D46,'INPUT Growth'!$F$161:$F$170,'INPUT Opex'!$F46)</f>
        <v>13516366.532358466</v>
      </c>
      <c r="AW46" s="187">
        <f>SUMIFS(AW$29:AW$31,$E$29:$E$31,$D46)*SUMIFS('INPUT Growth'!AW$161:AW$170,'INPUT Growth'!$C$161:$C$170,'INPUT Opex'!$C46,'INPUT Growth'!$D$161:$D$170,$D46,'INPUT Growth'!$F$161:$F$170,'INPUT Opex'!$F46)</f>
        <v>13823613.793674022</v>
      </c>
    </row>
    <row r="47" spans="1:49" outlineLevel="1" x14ac:dyDescent="0.2">
      <c r="A47" s="51" t="str" cm="1">
        <f t="array" ref="A47">INDEX(TariffCode, MATCH(1,(C47=TariffZone)*(D47=TariffProduct),0))</f>
        <v>SS</v>
      </c>
      <c r="B47" s="51"/>
      <c r="C47" s="150" t="s">
        <v>287</v>
      </c>
      <c r="D47" s="150" t="s">
        <v>303</v>
      </c>
      <c r="E47" s="150"/>
      <c r="F47" s="150" t="s">
        <v>262</v>
      </c>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87">
        <f>SUMIFS(AD$29:AD$31,$E$29:$E$31,$D47)*SUMIFS('INPUT Growth'!AD$161:AD$170,'INPUT Growth'!$C$161:$C$170,'INPUT Opex'!$C47,'INPUT Growth'!$D$161:$D$170,$D47,'INPUT Growth'!$F$161:$F$170,'INPUT Opex'!$F47)</f>
        <v>2402220.4723815261</v>
      </c>
      <c r="AE47" s="187">
        <f>SUMIFS(AE$29:AE$31,$E$29:$E$31,$D47)*SUMIFS('INPUT Growth'!AE$161:AE$170,'INPUT Growth'!$C$161:$C$170,'INPUT Opex'!$C47,'INPUT Growth'!$D$161:$D$170,$D47,'INPUT Growth'!$F$161:$F$170,'INPUT Opex'!$F47)</f>
        <v>4938868.7194563039</v>
      </c>
      <c r="AF47" s="187">
        <f>SUMIFS(AF$29:AF$31,$E$29:$E$31,$D47)*SUMIFS('INPUT Growth'!AF$161:AF$170,'INPUT Growth'!$C$161:$C$170,'INPUT Opex'!$C47,'INPUT Growth'!$D$161:$D$170,$D47,'INPUT Growth'!$F$161:$F$170,'INPUT Opex'!$F47)</f>
        <v>6935639.3968814434</v>
      </c>
      <c r="AG47" s="187">
        <f>SUMIFS(AG$29:AG$31,$E$29:$E$31,$D47)*SUMIFS('INPUT Growth'!AG$161:AG$170,'INPUT Growth'!$C$161:$C$170,'INPUT Opex'!$C47,'INPUT Growth'!$D$161:$D$170,$D47,'INPUT Growth'!$F$161:$F$170,'INPUT Opex'!$F47)</f>
        <v>8851162.2719006184</v>
      </c>
      <c r="AH47" s="187">
        <f>SUMIFS(AH$29:AH$31,$E$29:$E$31,$D47)*SUMIFS('INPUT Growth'!AH$161:AH$170,'INPUT Growth'!$C$161:$C$170,'INPUT Opex'!$C47,'INPUT Growth'!$D$161:$D$170,$D47,'INPUT Growth'!$F$161:$F$170,'INPUT Opex'!$F47)</f>
        <v>10650629.978806699</v>
      </c>
      <c r="AI47" s="187">
        <f>SUMIFS(AI$29:AI$31,$E$29:$E$31,$D47)*SUMIFS('INPUT Growth'!AI$161:AI$170,'INPUT Growth'!$C$161:$C$170,'INPUT Opex'!$C47,'INPUT Growth'!$D$161:$D$170,$D47,'INPUT Growth'!$F$161:$F$170,'INPUT Opex'!$F47)</f>
        <v>12341560.653202796</v>
      </c>
      <c r="AJ47" s="187">
        <f>SUMIFS(AJ$29:AJ$31,$E$29:$E$31,$D47)*SUMIFS('INPUT Growth'!AJ$161:AJ$170,'INPUT Growth'!$C$161:$C$170,'INPUT Opex'!$C47,'INPUT Growth'!$D$161:$D$170,$D47,'INPUT Growth'!$F$161:$F$170,'INPUT Opex'!$F47)</f>
        <v>13967517.708940759</v>
      </c>
      <c r="AK47" s="187">
        <f>SUMIFS(AK$29:AK$31,$E$29:$E$31,$D47)*SUMIFS('INPUT Growth'!AK$161:AK$170,'INPUT Growth'!$C$161:$C$170,'INPUT Opex'!$C47,'INPUT Growth'!$D$161:$D$170,$D47,'INPUT Growth'!$F$161:$F$170,'INPUT Opex'!$F47)</f>
        <v>15582741.415621681</v>
      </c>
      <c r="AL47" s="187">
        <f>SUMIFS(AL$29:AL$31,$E$29:$E$31,$D47)*SUMIFS('INPUT Growth'!AL$161:AL$170,'INPUT Growth'!$C$161:$C$170,'INPUT Opex'!$C47,'INPUT Growth'!$D$161:$D$170,$D47,'INPUT Growth'!$F$161:$F$170,'INPUT Opex'!$F47)</f>
        <v>17174002.007448986</v>
      </c>
      <c r="AM47" s="187">
        <f>SUMIFS(AM$29:AM$31,$E$29:$E$31,$D47)*SUMIFS('INPUT Growth'!AM$161:AM$170,'INPUT Growth'!$C$161:$C$170,'INPUT Opex'!$C47,'INPUT Growth'!$D$161:$D$170,$D47,'INPUT Growth'!$F$161:$F$170,'INPUT Opex'!$F47)</f>
        <v>18746370.827461619</v>
      </c>
      <c r="AN47" s="187">
        <f>SUMIFS(AN$29:AN$31,$E$29:$E$31,$D47)*SUMIFS('INPUT Growth'!AN$161:AN$170,'INPUT Growth'!$C$161:$C$170,'INPUT Opex'!$C47,'INPUT Growth'!$D$161:$D$170,$D47,'INPUT Growth'!$F$161:$F$170,'INPUT Opex'!$F47)</f>
        <v>20289296.831009883</v>
      </c>
      <c r="AO47" s="187">
        <f>SUMIFS(AO$29:AO$31,$E$29:$E$31,$D47)*SUMIFS('INPUT Growth'!AO$161:AO$170,'INPUT Growth'!$C$161:$C$170,'INPUT Opex'!$C47,'INPUT Growth'!$D$161:$D$170,$D47,'INPUT Growth'!$F$161:$F$170,'INPUT Opex'!$F47)</f>
        <v>21799662.725850295</v>
      </c>
      <c r="AP47" s="187">
        <f>SUMIFS(AP$29:AP$31,$E$29:$E$31,$D47)*SUMIFS('INPUT Growth'!AP$161:AP$170,'INPUT Growth'!$C$161:$C$170,'INPUT Opex'!$C47,'INPUT Growth'!$D$161:$D$170,$D47,'INPUT Growth'!$F$161:$F$170,'INPUT Opex'!$F47)</f>
        <v>23276208.141694363</v>
      </c>
      <c r="AQ47" s="187">
        <f>SUMIFS(AQ$29:AQ$31,$E$29:$E$31,$D47)*SUMIFS('INPUT Growth'!AQ$161:AQ$170,'INPUT Growth'!$C$161:$C$170,'INPUT Opex'!$C47,'INPUT Growth'!$D$161:$D$170,$D47,'INPUT Growth'!$F$161:$F$170,'INPUT Opex'!$F47)</f>
        <v>24706658.598969493</v>
      </c>
      <c r="AR47" s="187">
        <f>SUMIFS(AR$29:AR$31,$E$29:$E$31,$D47)*SUMIFS('INPUT Growth'!AR$161:AR$170,'INPUT Growth'!$C$161:$C$170,'INPUT Opex'!$C47,'INPUT Growth'!$D$161:$D$170,$D47,'INPUT Growth'!$F$161:$F$170,'INPUT Opex'!$F47)</f>
        <v>26092640.398264755</v>
      </c>
      <c r="AS47" s="187">
        <f>SUMIFS(AS$29:AS$31,$E$29:$E$31,$D47)*SUMIFS('INPUT Growth'!AS$161:AS$170,'INPUT Growth'!$C$161:$C$170,'INPUT Opex'!$C47,'INPUT Growth'!$D$161:$D$170,$D47,'INPUT Growth'!$F$161:$F$170,'INPUT Opex'!$F47)</f>
        <v>27430332.244370151</v>
      </c>
      <c r="AT47" s="187">
        <f>SUMIFS(AT$29:AT$31,$E$29:$E$31,$D47)*SUMIFS('INPUT Growth'!AT$161:AT$170,'INPUT Growth'!$C$161:$C$170,'INPUT Opex'!$C47,'INPUT Growth'!$D$161:$D$170,$D47,'INPUT Growth'!$F$161:$F$170,'INPUT Opex'!$F47)</f>
        <v>28719196.597799022</v>
      </c>
      <c r="AU47" s="187">
        <f>SUMIFS(AU$29:AU$31,$E$29:$E$31,$D47)*SUMIFS('INPUT Growth'!AU$161:AU$170,'INPUT Growth'!$C$161:$C$170,'INPUT Opex'!$C47,'INPUT Growth'!$D$161:$D$170,$D47,'INPUT Growth'!$F$161:$F$170,'INPUT Opex'!$F47)</f>
        <v>29955771.446401127</v>
      </c>
      <c r="AV47" s="187">
        <f>SUMIFS(AV$29:AV$31,$E$29:$E$31,$D47)*SUMIFS('INPUT Growth'!AV$161:AV$170,'INPUT Growth'!$C$161:$C$170,'INPUT Opex'!$C47,'INPUT Growth'!$D$161:$D$170,$D47,'INPUT Growth'!$F$161:$F$170,'INPUT Opex'!$F47)</f>
        <v>31145261.985194612</v>
      </c>
      <c r="AW47" s="187">
        <f>SUMIFS(AW$29:AW$31,$E$29:$E$31,$D47)*SUMIFS('INPUT Growth'!AW$161:AW$170,'INPUT Growth'!$C$161:$C$170,'INPUT Opex'!$C47,'INPUT Growth'!$D$161:$D$170,$D47,'INPUT Growth'!$F$161:$F$170,'INPUT Opex'!$F47)</f>
        <v>32292148.416805323</v>
      </c>
    </row>
    <row r="48" spans="1:49" outlineLevel="1" x14ac:dyDescent="0.2">
      <c r="A48" s="51" t="str" cm="1">
        <f t="array" ref="A48">INDEX(TariffCode, MATCH(1,(C48=TariffZone)*(D48=TariffProduct),0))</f>
        <v>SS</v>
      </c>
      <c r="B48" s="51"/>
      <c r="C48" s="150" t="s">
        <v>287</v>
      </c>
      <c r="D48" s="150" t="s">
        <v>303</v>
      </c>
      <c r="E48" s="150"/>
      <c r="F48" s="150" t="s">
        <v>265</v>
      </c>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87">
        <f>SUMIFS(AD$29:AD$31,$E$29:$E$31,$D48)*SUMIFS('INPUT Growth'!AD$161:AD$170,'INPUT Growth'!$C$161:$C$170,'INPUT Opex'!$C48,'INPUT Growth'!$D$161:$D$170,$D48,'INPUT Growth'!$F$161:$F$170,'INPUT Opex'!$F48)</f>
        <v>-475.71433846080811</v>
      </c>
      <c r="AE48" s="187">
        <f>SUMIFS(AE$29:AE$31,$E$29:$E$31,$D48)*SUMIFS('INPUT Growth'!AE$161:AE$170,'INPUT Growth'!$C$161:$C$170,'INPUT Opex'!$C48,'INPUT Growth'!$D$161:$D$170,$D48,'INPUT Growth'!$F$161:$F$170,'INPUT Opex'!$F48)</f>
        <v>35.887936212009819</v>
      </c>
      <c r="AF48" s="187">
        <f>SUMIFS(AF$29:AF$31,$E$29:$E$31,$D48)*SUMIFS('INPUT Growth'!AF$161:AF$170,'INPUT Growth'!$C$161:$C$170,'INPUT Opex'!$C48,'INPUT Growth'!$D$161:$D$170,$D48,'INPUT Growth'!$F$161:$F$170,'INPUT Opex'!$F48)</f>
        <v>256.21409566478945</v>
      </c>
      <c r="AG48" s="187">
        <f>SUMIFS(AG$29:AG$31,$E$29:$E$31,$D48)*SUMIFS('INPUT Growth'!AG$161:AG$170,'INPUT Growth'!$C$161:$C$170,'INPUT Opex'!$C48,'INPUT Growth'!$D$161:$D$170,$D48,'INPUT Growth'!$F$161:$F$170,'INPUT Opex'!$F48)</f>
        <v>500.1768214797832</v>
      </c>
      <c r="AH48" s="187">
        <f>SUMIFS(AH$29:AH$31,$E$29:$E$31,$D48)*SUMIFS('INPUT Growth'!AH$161:AH$170,'INPUT Growth'!$C$161:$C$170,'INPUT Opex'!$C48,'INPUT Growth'!$D$161:$D$170,$D48,'INPUT Growth'!$F$161:$F$170,'INPUT Opex'!$F48)</f>
        <v>892.10209390690341</v>
      </c>
      <c r="AI48" s="187">
        <f>SUMIFS(AI$29:AI$31,$E$29:$E$31,$D48)*SUMIFS('INPUT Growth'!AI$161:AI$170,'INPUT Growth'!$C$161:$C$170,'INPUT Opex'!$C48,'INPUT Growth'!$D$161:$D$170,$D48,'INPUT Growth'!$F$161:$F$170,'INPUT Opex'!$F48)</f>
        <v>1332.3889969645813</v>
      </c>
      <c r="AJ48" s="187">
        <f>SUMIFS(AJ$29:AJ$31,$E$29:$E$31,$D48)*SUMIFS('INPUT Growth'!AJ$161:AJ$170,'INPUT Growth'!$C$161:$C$170,'INPUT Opex'!$C48,'INPUT Growth'!$D$161:$D$170,$D48,'INPUT Growth'!$F$161:$F$170,'INPUT Opex'!$F48)</f>
        <v>1736.3257124052152</v>
      </c>
      <c r="AK48" s="187">
        <f>SUMIFS(AK$29:AK$31,$E$29:$E$31,$D48)*SUMIFS('INPUT Growth'!AK$161:AK$170,'INPUT Growth'!$C$161:$C$170,'INPUT Opex'!$C48,'INPUT Growth'!$D$161:$D$170,$D48,'INPUT Growth'!$F$161:$F$170,'INPUT Opex'!$F48)</f>
        <v>2026.0403310119632</v>
      </c>
      <c r="AL48" s="187">
        <f>SUMIFS(AL$29:AL$31,$E$29:$E$31,$D48)*SUMIFS('INPUT Growth'!AL$161:AL$170,'INPUT Growth'!$C$161:$C$170,'INPUT Opex'!$C48,'INPUT Growth'!$D$161:$D$170,$D48,'INPUT Growth'!$F$161:$F$170,'INPUT Opex'!$F48)</f>
        <v>2066.6687597217765</v>
      </c>
      <c r="AM48" s="187">
        <f>SUMIFS(AM$29:AM$31,$E$29:$E$31,$D48)*SUMIFS('INPUT Growth'!AM$161:AM$170,'INPUT Growth'!$C$161:$C$170,'INPUT Opex'!$C48,'INPUT Growth'!$D$161:$D$170,$D48,'INPUT Growth'!$F$161:$F$170,'INPUT Opex'!$F48)</f>
        <v>2063.4664552540767</v>
      </c>
      <c r="AN48" s="187">
        <f>SUMIFS(AN$29:AN$31,$E$29:$E$31,$D48)*SUMIFS('INPUT Growth'!AN$161:AN$170,'INPUT Growth'!$C$161:$C$170,'INPUT Opex'!$C48,'INPUT Growth'!$D$161:$D$170,$D48,'INPUT Growth'!$F$161:$F$170,'INPUT Opex'!$F48)</f>
        <v>2789.7923273349907</v>
      </c>
      <c r="AO48" s="187">
        <f>SUMIFS(AO$29:AO$31,$E$29:$E$31,$D48)*SUMIFS('INPUT Growth'!AO$161:AO$170,'INPUT Growth'!$C$161:$C$170,'INPUT Opex'!$C48,'INPUT Growth'!$D$161:$D$170,$D48,'INPUT Growth'!$F$161:$F$170,'INPUT Opex'!$F48)</f>
        <v>3502.1226238675349</v>
      </c>
      <c r="AP48" s="187">
        <f>SUMIFS(AP$29:AP$31,$E$29:$E$31,$D48)*SUMIFS('INPUT Growth'!AP$161:AP$170,'INPUT Growth'!$C$161:$C$170,'INPUT Opex'!$C48,'INPUT Growth'!$D$161:$D$170,$D48,'INPUT Growth'!$F$161:$F$170,'INPUT Opex'!$F48)</f>
        <v>4084.2030845770032</v>
      </c>
      <c r="AQ48" s="187">
        <f>SUMIFS(AQ$29:AQ$31,$E$29:$E$31,$D48)*SUMIFS('INPUT Growth'!AQ$161:AQ$170,'INPUT Growth'!$C$161:$C$170,'INPUT Opex'!$C48,'INPUT Growth'!$D$161:$D$170,$D48,'INPUT Growth'!$F$161:$F$170,'INPUT Opex'!$F48)</f>
        <v>4652.5666924067882</v>
      </c>
      <c r="AR48" s="187">
        <f>SUMIFS(AR$29:AR$31,$E$29:$E$31,$D48)*SUMIFS('INPUT Growth'!AR$161:AR$170,'INPUT Growth'!$C$161:$C$170,'INPUT Opex'!$C48,'INPUT Growth'!$D$161:$D$170,$D48,'INPUT Growth'!$F$161:$F$170,'INPUT Opex'!$F48)</f>
        <v>5168.6972467120413</v>
      </c>
      <c r="AS48" s="187">
        <f>SUMIFS(AS$29:AS$31,$E$29:$E$31,$D48)*SUMIFS('INPUT Growth'!AS$161:AS$170,'INPUT Growth'!$C$161:$C$170,'INPUT Opex'!$C48,'INPUT Growth'!$D$161:$D$170,$D48,'INPUT Growth'!$F$161:$F$170,'INPUT Opex'!$F48)</f>
        <v>5630.288038832241</v>
      </c>
      <c r="AT48" s="187">
        <f>SUMIFS(AT$29:AT$31,$E$29:$E$31,$D48)*SUMIFS('INPUT Growth'!AT$161:AT$170,'INPUT Growth'!$C$161:$C$170,'INPUT Opex'!$C48,'INPUT Growth'!$D$161:$D$170,$D48,'INPUT Growth'!$F$161:$F$170,'INPUT Opex'!$F48)</f>
        <v>6070.8280368789747</v>
      </c>
      <c r="AU48" s="187">
        <f>SUMIFS(AU$29:AU$31,$E$29:$E$31,$D48)*SUMIFS('INPUT Growth'!AU$161:AU$170,'INPUT Growth'!$C$161:$C$170,'INPUT Opex'!$C48,'INPUT Growth'!$D$161:$D$170,$D48,'INPUT Growth'!$F$161:$F$170,'INPUT Opex'!$F48)</f>
        <v>5913.8500672602986</v>
      </c>
      <c r="AV48" s="187">
        <f>SUMIFS(AV$29:AV$31,$E$29:$E$31,$D48)*SUMIFS('INPUT Growth'!AV$161:AV$170,'INPUT Growth'!$C$161:$C$170,'INPUT Opex'!$C48,'INPUT Growth'!$D$161:$D$170,$D48,'INPUT Growth'!$F$161:$F$170,'INPUT Opex'!$F48)</f>
        <v>5800.7219836177455</v>
      </c>
      <c r="AW48" s="187">
        <f>SUMIFS(AW$29:AW$31,$E$29:$E$31,$D48)*SUMIFS('INPUT Growth'!AW$161:AW$170,'INPUT Growth'!$C$161:$C$170,'INPUT Opex'!$C48,'INPUT Growth'!$D$161:$D$170,$D48,'INPUT Growth'!$F$161:$F$170,'INPUT Opex'!$F48)</f>
        <v>5949.0742614306546</v>
      </c>
    </row>
    <row r="49" spans="1:49" outlineLevel="1" x14ac:dyDescent="0.2">
      <c r="A49" s="51" t="str" cm="1">
        <f t="array" ref="A49">INDEX(TariffCode, MATCH(1,(C49=TariffZone)*(D49=TariffProduct),0))</f>
        <v>GS</v>
      </c>
      <c r="B49" s="51"/>
      <c r="C49" s="150" t="s">
        <v>290</v>
      </c>
      <c r="D49" s="150" t="s">
        <v>303</v>
      </c>
      <c r="E49" s="150"/>
      <c r="F49" s="150" t="s">
        <v>265</v>
      </c>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87">
        <f>SUMIFS(AD$29:AD$31,$E$29:$E$31,$D49)*SUMIFS('INPUT Growth'!AD$161:AD$170,'INPUT Growth'!$C$161:$C$170,'INPUT Opex'!$C49,'INPUT Growth'!$D$161:$D$170,$D49,'INPUT Growth'!$F$161:$F$170,'INPUT Opex'!$F49)</f>
        <v>21373.566347579777</v>
      </c>
      <c r="AE49" s="187">
        <f>SUMIFS(AE$29:AE$31,$E$29:$E$31,$D49)*SUMIFS('INPUT Growth'!AE$161:AE$170,'INPUT Growth'!$C$161:$C$170,'INPUT Opex'!$C49,'INPUT Growth'!$D$161:$D$170,$D49,'INPUT Growth'!$F$161:$F$170,'INPUT Opex'!$F49)</f>
        <v>46664.743817585251</v>
      </c>
      <c r="AF49" s="187">
        <f>SUMIFS(AF$29:AF$31,$E$29:$E$31,$D49)*SUMIFS('INPUT Growth'!AF$161:AF$170,'INPUT Growth'!$C$161:$C$170,'INPUT Opex'!$C49,'INPUT Growth'!$D$161:$D$170,$D49,'INPUT Growth'!$F$161:$F$170,'INPUT Opex'!$F49)</f>
        <v>65972.642718439587</v>
      </c>
      <c r="AG49" s="187">
        <f>SUMIFS(AG$29:AG$31,$E$29:$E$31,$D49)*SUMIFS('INPUT Growth'!AG$161:AG$170,'INPUT Growth'!$C$161:$C$170,'INPUT Opex'!$C49,'INPUT Growth'!$D$161:$D$170,$D49,'INPUT Growth'!$F$161:$F$170,'INPUT Opex'!$F49)</f>
        <v>84369.308912872249</v>
      </c>
      <c r="AH49" s="187">
        <f>SUMIFS(AH$29:AH$31,$E$29:$E$31,$D49)*SUMIFS('INPUT Growth'!AH$161:AH$170,'INPUT Growth'!$C$161:$C$170,'INPUT Opex'!$C49,'INPUT Growth'!$D$161:$D$170,$D49,'INPUT Growth'!$F$161:$F$170,'INPUT Opex'!$F49)</f>
        <v>102706.81988711398</v>
      </c>
      <c r="AI49" s="187">
        <f>SUMIFS(AI$29:AI$31,$E$29:$E$31,$D49)*SUMIFS('INPUT Growth'!AI$161:AI$170,'INPUT Growth'!$C$161:$C$170,'INPUT Opex'!$C49,'INPUT Growth'!$D$161:$D$170,$D49,'INPUT Growth'!$F$161:$F$170,'INPUT Opex'!$F49)</f>
        <v>121807.09286632179</v>
      </c>
      <c r="AJ49" s="187">
        <f>SUMIFS(AJ$29:AJ$31,$E$29:$E$31,$D49)*SUMIFS('INPUT Growth'!AJ$161:AJ$170,'INPUT Growth'!$C$161:$C$170,'INPUT Opex'!$C49,'INPUT Growth'!$D$161:$D$170,$D49,'INPUT Growth'!$F$161:$F$170,'INPUT Opex'!$F49)</f>
        <v>139742.52433582372</v>
      </c>
      <c r="AK49" s="187">
        <f>SUMIFS(AK$29:AK$31,$E$29:$E$31,$D49)*SUMIFS('INPUT Growth'!AK$161:AK$170,'INPUT Growth'!$C$161:$C$170,'INPUT Opex'!$C49,'INPUT Growth'!$D$161:$D$170,$D49,'INPUT Growth'!$F$161:$F$170,'INPUT Opex'!$F49)</f>
        <v>159408.64183720763</v>
      </c>
      <c r="AL49" s="187">
        <f>SUMIFS(AL$29:AL$31,$E$29:$E$31,$D49)*SUMIFS('INPUT Growth'!AL$161:AL$170,'INPUT Growth'!$C$161:$C$170,'INPUT Opex'!$C49,'INPUT Growth'!$D$161:$D$170,$D49,'INPUT Growth'!$F$161:$F$170,'INPUT Opex'!$F49)</f>
        <v>177045.92900863878</v>
      </c>
      <c r="AM49" s="187">
        <f>SUMIFS(AM$29:AM$31,$E$29:$E$31,$D49)*SUMIFS('INPUT Growth'!AM$161:AM$170,'INPUT Growth'!$C$161:$C$170,'INPUT Opex'!$C49,'INPUT Growth'!$D$161:$D$170,$D49,'INPUT Growth'!$F$161:$F$170,'INPUT Opex'!$F49)</f>
        <v>193083.58145896587</v>
      </c>
      <c r="AN49" s="187">
        <f>SUMIFS(AN$29:AN$31,$E$29:$E$31,$D49)*SUMIFS('INPUT Growth'!AN$161:AN$170,'INPUT Growth'!$C$161:$C$170,'INPUT Opex'!$C49,'INPUT Growth'!$D$161:$D$170,$D49,'INPUT Growth'!$F$161:$F$170,'INPUT Opex'!$F49)</f>
        <v>216782.73976703073</v>
      </c>
      <c r="AO49" s="187">
        <f>SUMIFS(AO$29:AO$31,$E$29:$E$31,$D49)*SUMIFS('INPUT Growth'!AO$161:AO$170,'INPUT Growth'!$C$161:$C$170,'INPUT Opex'!$C49,'INPUT Growth'!$D$161:$D$170,$D49,'INPUT Growth'!$F$161:$F$170,'INPUT Opex'!$F49)</f>
        <v>240775.30603089888</v>
      </c>
      <c r="AP49" s="187">
        <f>SUMIFS(AP$29:AP$31,$E$29:$E$31,$D49)*SUMIFS('INPUT Growth'!AP$161:AP$170,'INPUT Growth'!$C$161:$C$170,'INPUT Opex'!$C49,'INPUT Growth'!$D$161:$D$170,$D49,'INPUT Growth'!$F$161:$F$170,'INPUT Opex'!$F49)</f>
        <v>263238.19315864198</v>
      </c>
      <c r="AQ49" s="187">
        <f>SUMIFS(AQ$29:AQ$31,$E$29:$E$31,$D49)*SUMIFS('INPUT Growth'!AQ$161:AQ$170,'INPUT Growth'!$C$161:$C$170,'INPUT Opex'!$C49,'INPUT Growth'!$D$161:$D$170,$D49,'INPUT Growth'!$F$161:$F$170,'INPUT Opex'!$F49)</f>
        <v>283897.57407406601</v>
      </c>
      <c r="AR49" s="187">
        <f>SUMIFS(AR$29:AR$31,$E$29:$E$31,$D49)*SUMIFS('INPUT Growth'!AR$161:AR$170,'INPUT Growth'!$C$161:$C$170,'INPUT Opex'!$C49,'INPUT Growth'!$D$161:$D$170,$D49,'INPUT Growth'!$F$161:$F$170,'INPUT Opex'!$F49)</f>
        <v>304018.16620032041</v>
      </c>
      <c r="AS49" s="187">
        <f>SUMIFS(AS$29:AS$31,$E$29:$E$31,$D49)*SUMIFS('INPUT Growth'!AS$161:AS$170,'INPUT Growth'!$C$161:$C$170,'INPUT Opex'!$C49,'INPUT Growth'!$D$161:$D$170,$D49,'INPUT Growth'!$F$161:$F$170,'INPUT Opex'!$F49)</f>
        <v>324460.36227654363</v>
      </c>
      <c r="AT49" s="187">
        <f>SUMIFS(AT$29:AT$31,$E$29:$E$31,$D49)*SUMIFS('INPUT Growth'!AT$161:AT$170,'INPUT Growth'!$C$161:$C$170,'INPUT Opex'!$C49,'INPUT Growth'!$D$161:$D$170,$D49,'INPUT Growth'!$F$161:$F$170,'INPUT Opex'!$F49)</f>
        <v>348428.26464115659</v>
      </c>
      <c r="AU49" s="187">
        <f>SUMIFS(AU$29:AU$31,$E$29:$E$31,$D49)*SUMIFS('INPUT Growth'!AU$161:AU$170,'INPUT Growth'!$C$161:$C$170,'INPUT Opex'!$C49,'INPUT Growth'!$D$161:$D$170,$D49,'INPUT Growth'!$F$161:$F$170,'INPUT Opex'!$F49)</f>
        <v>355222.66542702867</v>
      </c>
      <c r="AV49" s="187">
        <f>SUMIFS(AV$29:AV$31,$E$29:$E$31,$D49)*SUMIFS('INPUT Growth'!AV$161:AV$170,'INPUT Growth'!$C$161:$C$170,'INPUT Opex'!$C49,'INPUT Growth'!$D$161:$D$170,$D49,'INPUT Growth'!$F$161:$F$170,'INPUT Opex'!$F49)</f>
        <v>358821.79078102432</v>
      </c>
      <c r="AW49" s="187">
        <f>SUMIFS(AW$29:AW$31,$E$29:$E$31,$D49)*SUMIFS('INPUT Growth'!AW$161:AW$170,'INPUT Growth'!$C$161:$C$170,'INPUT Opex'!$C49,'INPUT Growth'!$D$161:$D$170,$D49,'INPUT Growth'!$F$161:$F$170,'INPUT Opex'!$F49)</f>
        <v>362530.34921319527</v>
      </c>
    </row>
    <row r="50" spans="1:49" outlineLevel="1" x14ac:dyDescent="0.2">
      <c r="A50" s="51" t="str" cm="1">
        <f t="array" ref="A50">INDEX(TariffCode, MATCH(1,(C50=TariffZone)*(D50=TariffProduct),0))</f>
        <v>WR</v>
      </c>
      <c r="B50" s="51"/>
      <c r="C50" s="150" t="s">
        <v>283</v>
      </c>
      <c r="D50" s="150" t="s">
        <v>310</v>
      </c>
      <c r="E50" s="150"/>
      <c r="F50" s="150" t="s">
        <v>262</v>
      </c>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87">
        <f>SUMIFS(AD$29:AD$31,$E$29:$E$31,$D50)*SUMIFS('INPUT Growth'!AD$161:AD$170,'INPUT Growth'!$C$161:$C$170,'INPUT Opex'!$C50,'INPUT Growth'!$D$161:$D$170,$D50,'INPUT Growth'!$F$161:$F$170,'INPUT Opex'!$F50)</f>
        <v>0</v>
      </c>
      <c r="AE50" s="187">
        <f>SUMIFS(AE$29:AE$31,$E$29:$E$31,$D50)*SUMIFS('INPUT Growth'!AE$161:AE$170,'INPUT Growth'!$C$161:$C$170,'INPUT Opex'!$C50,'INPUT Growth'!$D$161:$D$170,$D50,'INPUT Growth'!$F$161:$F$170,'INPUT Opex'!$F50)</f>
        <v>0</v>
      </c>
      <c r="AF50" s="187">
        <f>SUMIFS(AF$29:AF$31,$E$29:$E$31,$D50)*SUMIFS('INPUT Growth'!AF$161:AF$170,'INPUT Growth'!$C$161:$C$170,'INPUT Opex'!$C50,'INPUT Growth'!$D$161:$D$170,$D50,'INPUT Growth'!$F$161:$F$170,'INPUT Opex'!$F50)</f>
        <v>0</v>
      </c>
      <c r="AG50" s="187">
        <f>SUMIFS(AG$29:AG$31,$E$29:$E$31,$D50)*SUMIFS('INPUT Growth'!AG$161:AG$170,'INPUT Growth'!$C$161:$C$170,'INPUT Opex'!$C50,'INPUT Growth'!$D$161:$D$170,$D50,'INPUT Growth'!$F$161:$F$170,'INPUT Opex'!$F50)</f>
        <v>0</v>
      </c>
      <c r="AH50" s="187">
        <f>SUMIFS(AH$29:AH$31,$E$29:$E$31,$D50)*SUMIFS('INPUT Growth'!AH$161:AH$170,'INPUT Growth'!$C$161:$C$170,'INPUT Opex'!$C50,'INPUT Growth'!$D$161:$D$170,$D50,'INPUT Growth'!$F$161:$F$170,'INPUT Opex'!$F50)</f>
        <v>0</v>
      </c>
      <c r="AI50" s="187">
        <f>SUMIFS(AI$29:AI$31,$E$29:$E$31,$D50)*SUMIFS('INPUT Growth'!AI$161:AI$170,'INPUT Growth'!$C$161:$C$170,'INPUT Opex'!$C50,'INPUT Growth'!$D$161:$D$170,$D50,'INPUT Growth'!$F$161:$F$170,'INPUT Opex'!$F50)</f>
        <v>0</v>
      </c>
      <c r="AJ50" s="187">
        <f>SUMIFS(AJ$29:AJ$31,$E$29:$E$31,$D50)*SUMIFS('INPUT Growth'!AJ$161:AJ$170,'INPUT Growth'!$C$161:$C$170,'INPUT Opex'!$C50,'INPUT Growth'!$D$161:$D$170,$D50,'INPUT Growth'!$F$161:$F$170,'INPUT Opex'!$F50)</f>
        <v>0</v>
      </c>
      <c r="AK50" s="187">
        <f>SUMIFS(AK$29:AK$31,$E$29:$E$31,$D50)*SUMIFS('INPUT Growth'!AK$161:AK$170,'INPUT Growth'!$C$161:$C$170,'INPUT Opex'!$C50,'INPUT Growth'!$D$161:$D$170,$D50,'INPUT Growth'!$F$161:$F$170,'INPUT Opex'!$F50)</f>
        <v>0</v>
      </c>
      <c r="AL50" s="187">
        <f>SUMIFS(AL$29:AL$31,$E$29:$E$31,$D50)*SUMIFS('INPUT Growth'!AL$161:AL$170,'INPUT Growth'!$C$161:$C$170,'INPUT Opex'!$C50,'INPUT Growth'!$D$161:$D$170,$D50,'INPUT Growth'!$F$161:$F$170,'INPUT Opex'!$F50)</f>
        <v>0</v>
      </c>
      <c r="AM50" s="187">
        <f>SUMIFS(AM$29:AM$31,$E$29:$E$31,$D50)*SUMIFS('INPUT Growth'!AM$161:AM$170,'INPUT Growth'!$C$161:$C$170,'INPUT Opex'!$C50,'INPUT Growth'!$D$161:$D$170,$D50,'INPUT Growth'!$F$161:$F$170,'INPUT Opex'!$F50)</f>
        <v>0</v>
      </c>
      <c r="AN50" s="187">
        <f>SUMIFS(AN$29:AN$31,$E$29:$E$31,$D50)*SUMIFS('INPUT Growth'!AN$161:AN$170,'INPUT Growth'!$C$161:$C$170,'INPUT Opex'!$C50,'INPUT Growth'!$D$161:$D$170,$D50,'INPUT Growth'!$F$161:$F$170,'INPUT Opex'!$F50)</f>
        <v>0</v>
      </c>
      <c r="AO50" s="187">
        <f>SUMIFS(AO$29:AO$31,$E$29:$E$31,$D50)*SUMIFS('INPUT Growth'!AO$161:AO$170,'INPUT Growth'!$C$161:$C$170,'INPUT Opex'!$C50,'INPUT Growth'!$D$161:$D$170,$D50,'INPUT Growth'!$F$161:$F$170,'INPUT Opex'!$F50)</f>
        <v>0</v>
      </c>
      <c r="AP50" s="187">
        <f>SUMIFS(AP$29:AP$31,$E$29:$E$31,$D50)*SUMIFS('INPUT Growth'!AP$161:AP$170,'INPUT Growth'!$C$161:$C$170,'INPUT Opex'!$C50,'INPUT Growth'!$D$161:$D$170,$D50,'INPUT Growth'!$F$161:$F$170,'INPUT Opex'!$F50)</f>
        <v>0</v>
      </c>
      <c r="AQ50" s="187">
        <f>SUMIFS(AQ$29:AQ$31,$E$29:$E$31,$D50)*SUMIFS('INPUT Growth'!AQ$161:AQ$170,'INPUT Growth'!$C$161:$C$170,'INPUT Opex'!$C50,'INPUT Growth'!$D$161:$D$170,$D50,'INPUT Growth'!$F$161:$F$170,'INPUT Opex'!$F50)</f>
        <v>0</v>
      </c>
      <c r="AR50" s="187">
        <f>SUMIFS(AR$29:AR$31,$E$29:$E$31,$D50)*SUMIFS('INPUT Growth'!AR$161:AR$170,'INPUT Growth'!$C$161:$C$170,'INPUT Opex'!$C50,'INPUT Growth'!$D$161:$D$170,$D50,'INPUT Growth'!$F$161:$F$170,'INPUT Opex'!$F50)</f>
        <v>0</v>
      </c>
      <c r="AS50" s="187">
        <f>SUMIFS(AS$29:AS$31,$E$29:$E$31,$D50)*SUMIFS('INPUT Growth'!AS$161:AS$170,'INPUT Growth'!$C$161:$C$170,'INPUT Opex'!$C50,'INPUT Growth'!$D$161:$D$170,$D50,'INPUT Growth'!$F$161:$F$170,'INPUT Opex'!$F50)</f>
        <v>0</v>
      </c>
      <c r="AT50" s="187">
        <f>SUMIFS(AT$29:AT$31,$E$29:$E$31,$D50)*SUMIFS('INPUT Growth'!AT$161:AT$170,'INPUT Growth'!$C$161:$C$170,'INPUT Opex'!$C50,'INPUT Growth'!$D$161:$D$170,$D50,'INPUT Growth'!$F$161:$F$170,'INPUT Opex'!$F50)</f>
        <v>0</v>
      </c>
      <c r="AU50" s="187">
        <f>SUMIFS(AU$29:AU$31,$E$29:$E$31,$D50)*SUMIFS('INPUT Growth'!AU$161:AU$170,'INPUT Growth'!$C$161:$C$170,'INPUT Opex'!$C50,'INPUT Growth'!$D$161:$D$170,$D50,'INPUT Growth'!$F$161:$F$170,'INPUT Opex'!$F50)</f>
        <v>0</v>
      </c>
      <c r="AV50" s="187">
        <f>SUMIFS(AV$29:AV$31,$E$29:$E$31,$D50)*SUMIFS('INPUT Growth'!AV$161:AV$170,'INPUT Growth'!$C$161:$C$170,'INPUT Opex'!$C50,'INPUT Growth'!$D$161:$D$170,$D50,'INPUT Growth'!$F$161:$F$170,'INPUT Opex'!$F50)</f>
        <v>0</v>
      </c>
      <c r="AW50" s="187">
        <f>SUMIFS(AW$29:AW$31,$E$29:$E$31,$D50)*SUMIFS('INPUT Growth'!AW$161:AW$170,'INPUT Growth'!$C$161:$C$170,'INPUT Opex'!$C50,'INPUT Growth'!$D$161:$D$170,$D50,'INPUT Growth'!$F$161:$F$170,'INPUT Opex'!$F50)</f>
        <v>0</v>
      </c>
    </row>
    <row r="51" spans="1:49" outlineLevel="1" x14ac:dyDescent="0.2">
      <c r="A51" s="51" t="str" cm="1">
        <f t="array" ref="A51">INDEX(TariffCode, MATCH(1,(C51=TariffZone)*(D51=TariffProduct),0))</f>
        <v>GR</v>
      </c>
      <c r="B51" s="51"/>
      <c r="C51" s="150" t="s">
        <v>312</v>
      </c>
      <c r="D51" s="150" t="s">
        <v>310</v>
      </c>
      <c r="E51" s="150"/>
      <c r="F51" s="150" t="s">
        <v>262</v>
      </c>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87">
        <f>SUMIFS(AD$29:AD$31,$E$29:$E$31,$D51)*SUMIFS('INPUT Growth'!AD$161:AD$170,'INPUT Growth'!$C$161:$C$170,'INPUT Opex'!$C51,'INPUT Growth'!$D$161:$D$170,$D51,'INPUT Growth'!$F$161:$F$170,'INPUT Opex'!$F51)</f>
        <v>0</v>
      </c>
      <c r="AE51" s="187">
        <f>SUMIFS(AE$29:AE$31,$E$29:$E$31,$D51)*SUMIFS('INPUT Growth'!AE$161:AE$170,'INPUT Growth'!$C$161:$C$170,'INPUT Opex'!$C51,'INPUT Growth'!$D$161:$D$170,$D51,'INPUT Growth'!$F$161:$F$170,'INPUT Opex'!$F51)</f>
        <v>0</v>
      </c>
      <c r="AF51" s="187">
        <f>SUMIFS(AF$29:AF$31,$E$29:$E$31,$D51)*SUMIFS('INPUT Growth'!AF$161:AF$170,'INPUT Growth'!$C$161:$C$170,'INPUT Opex'!$C51,'INPUT Growth'!$D$161:$D$170,$D51,'INPUT Growth'!$F$161:$F$170,'INPUT Opex'!$F51)</f>
        <v>0</v>
      </c>
      <c r="AG51" s="187">
        <f>SUMIFS(AG$29:AG$31,$E$29:$E$31,$D51)*SUMIFS('INPUT Growth'!AG$161:AG$170,'INPUT Growth'!$C$161:$C$170,'INPUT Opex'!$C51,'INPUT Growth'!$D$161:$D$170,$D51,'INPUT Growth'!$F$161:$F$170,'INPUT Opex'!$F51)</f>
        <v>0</v>
      </c>
      <c r="AH51" s="187">
        <f>SUMIFS(AH$29:AH$31,$E$29:$E$31,$D51)*SUMIFS('INPUT Growth'!AH$161:AH$170,'INPUT Growth'!$C$161:$C$170,'INPUT Opex'!$C51,'INPUT Growth'!$D$161:$D$170,$D51,'INPUT Growth'!$F$161:$F$170,'INPUT Opex'!$F51)</f>
        <v>0</v>
      </c>
      <c r="AI51" s="187">
        <f>SUMIFS(AI$29:AI$31,$E$29:$E$31,$D51)*SUMIFS('INPUT Growth'!AI$161:AI$170,'INPUT Growth'!$C$161:$C$170,'INPUT Opex'!$C51,'INPUT Growth'!$D$161:$D$170,$D51,'INPUT Growth'!$F$161:$F$170,'INPUT Opex'!$F51)</f>
        <v>0</v>
      </c>
      <c r="AJ51" s="187">
        <f>SUMIFS(AJ$29:AJ$31,$E$29:$E$31,$D51)*SUMIFS('INPUT Growth'!AJ$161:AJ$170,'INPUT Growth'!$C$161:$C$170,'INPUT Opex'!$C51,'INPUT Growth'!$D$161:$D$170,$D51,'INPUT Growth'!$F$161:$F$170,'INPUT Opex'!$F51)</f>
        <v>0</v>
      </c>
      <c r="AK51" s="187">
        <f>SUMIFS(AK$29:AK$31,$E$29:$E$31,$D51)*SUMIFS('INPUT Growth'!AK$161:AK$170,'INPUT Growth'!$C$161:$C$170,'INPUT Opex'!$C51,'INPUT Growth'!$D$161:$D$170,$D51,'INPUT Growth'!$F$161:$F$170,'INPUT Opex'!$F51)</f>
        <v>0</v>
      </c>
      <c r="AL51" s="187">
        <f>SUMIFS(AL$29:AL$31,$E$29:$E$31,$D51)*SUMIFS('INPUT Growth'!AL$161:AL$170,'INPUT Growth'!$C$161:$C$170,'INPUT Opex'!$C51,'INPUT Growth'!$D$161:$D$170,$D51,'INPUT Growth'!$F$161:$F$170,'INPUT Opex'!$F51)</f>
        <v>0</v>
      </c>
      <c r="AM51" s="187">
        <f>SUMIFS(AM$29:AM$31,$E$29:$E$31,$D51)*SUMIFS('INPUT Growth'!AM$161:AM$170,'INPUT Growth'!$C$161:$C$170,'INPUT Opex'!$C51,'INPUT Growth'!$D$161:$D$170,$D51,'INPUT Growth'!$F$161:$F$170,'INPUT Opex'!$F51)</f>
        <v>0</v>
      </c>
      <c r="AN51" s="187">
        <f>SUMIFS(AN$29:AN$31,$E$29:$E$31,$D51)*SUMIFS('INPUT Growth'!AN$161:AN$170,'INPUT Growth'!$C$161:$C$170,'INPUT Opex'!$C51,'INPUT Growth'!$D$161:$D$170,$D51,'INPUT Growth'!$F$161:$F$170,'INPUT Opex'!$F51)</f>
        <v>0</v>
      </c>
      <c r="AO51" s="187">
        <f>SUMIFS(AO$29:AO$31,$E$29:$E$31,$D51)*SUMIFS('INPUT Growth'!AO$161:AO$170,'INPUT Growth'!$C$161:$C$170,'INPUT Opex'!$C51,'INPUT Growth'!$D$161:$D$170,$D51,'INPUT Growth'!$F$161:$F$170,'INPUT Opex'!$F51)</f>
        <v>0</v>
      </c>
      <c r="AP51" s="187">
        <f>SUMIFS(AP$29:AP$31,$E$29:$E$31,$D51)*SUMIFS('INPUT Growth'!AP$161:AP$170,'INPUT Growth'!$C$161:$C$170,'INPUT Opex'!$C51,'INPUT Growth'!$D$161:$D$170,$D51,'INPUT Growth'!$F$161:$F$170,'INPUT Opex'!$F51)</f>
        <v>0</v>
      </c>
      <c r="AQ51" s="187">
        <f>SUMIFS(AQ$29:AQ$31,$E$29:$E$31,$D51)*SUMIFS('INPUT Growth'!AQ$161:AQ$170,'INPUT Growth'!$C$161:$C$170,'INPUT Opex'!$C51,'INPUT Growth'!$D$161:$D$170,$D51,'INPUT Growth'!$F$161:$F$170,'INPUT Opex'!$F51)</f>
        <v>0</v>
      </c>
      <c r="AR51" s="187">
        <f>SUMIFS(AR$29:AR$31,$E$29:$E$31,$D51)*SUMIFS('INPUT Growth'!AR$161:AR$170,'INPUT Growth'!$C$161:$C$170,'INPUT Opex'!$C51,'INPUT Growth'!$D$161:$D$170,$D51,'INPUT Growth'!$F$161:$F$170,'INPUT Opex'!$F51)</f>
        <v>0</v>
      </c>
      <c r="AS51" s="187">
        <f>SUMIFS(AS$29:AS$31,$E$29:$E$31,$D51)*SUMIFS('INPUT Growth'!AS$161:AS$170,'INPUT Growth'!$C$161:$C$170,'INPUT Opex'!$C51,'INPUT Growth'!$D$161:$D$170,$D51,'INPUT Growth'!$F$161:$F$170,'INPUT Opex'!$F51)</f>
        <v>0</v>
      </c>
      <c r="AT51" s="187">
        <f>SUMIFS(AT$29:AT$31,$E$29:$E$31,$D51)*SUMIFS('INPUT Growth'!AT$161:AT$170,'INPUT Growth'!$C$161:$C$170,'INPUT Opex'!$C51,'INPUT Growth'!$D$161:$D$170,$D51,'INPUT Growth'!$F$161:$F$170,'INPUT Opex'!$F51)</f>
        <v>0</v>
      </c>
      <c r="AU51" s="187">
        <f>SUMIFS(AU$29:AU$31,$E$29:$E$31,$D51)*SUMIFS('INPUT Growth'!AU$161:AU$170,'INPUT Growth'!$C$161:$C$170,'INPUT Opex'!$C51,'INPUT Growth'!$D$161:$D$170,$D51,'INPUT Growth'!$F$161:$F$170,'INPUT Opex'!$F51)</f>
        <v>0</v>
      </c>
      <c r="AV51" s="187">
        <f>SUMIFS(AV$29:AV$31,$E$29:$E$31,$D51)*SUMIFS('INPUT Growth'!AV$161:AV$170,'INPUT Growth'!$C$161:$C$170,'INPUT Opex'!$C51,'INPUT Growth'!$D$161:$D$170,$D51,'INPUT Growth'!$F$161:$F$170,'INPUT Opex'!$F51)</f>
        <v>0</v>
      </c>
      <c r="AW51" s="187">
        <f>SUMIFS(AW$29:AW$31,$E$29:$E$31,$D51)*SUMIFS('INPUT Growth'!AW$161:AW$170,'INPUT Growth'!$C$161:$C$170,'INPUT Opex'!$C51,'INPUT Growth'!$D$161:$D$170,$D51,'INPUT Growth'!$F$161:$F$170,'INPUT Opex'!$F51)</f>
        <v>0</v>
      </c>
    </row>
    <row r="52" spans="1:49" outlineLevel="1" x14ac:dyDescent="0.2">
      <c r="A52" s="51" t="str" cm="1">
        <f t="array" ref="A52">INDEX(TariffCode, MATCH(1,(C52=TariffZone)*(D52=TariffProduct),0))</f>
        <v>WR</v>
      </c>
      <c r="B52" s="51"/>
      <c r="C52" s="150" t="s">
        <v>283</v>
      </c>
      <c r="D52" s="150" t="s">
        <v>310</v>
      </c>
      <c r="E52" s="150"/>
      <c r="F52" s="150" t="s">
        <v>265</v>
      </c>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87">
        <f>SUMIFS(AD$29:AD$31,$E$29:$E$31,$D52)*SUMIFS('INPUT Growth'!AD$161:AD$170,'INPUT Growth'!$C$161:$C$170,'INPUT Opex'!$C52,'INPUT Growth'!$D$161:$D$170,$D52,'INPUT Growth'!$F$161:$F$170,'INPUT Opex'!$F52)</f>
        <v>0</v>
      </c>
      <c r="AE52" s="187">
        <f>SUMIFS(AE$29:AE$31,$E$29:$E$31,$D52)*SUMIFS('INPUT Growth'!AE$161:AE$170,'INPUT Growth'!$C$161:$C$170,'INPUT Opex'!$C52,'INPUT Growth'!$D$161:$D$170,$D52,'INPUT Growth'!$F$161:$F$170,'INPUT Opex'!$F52)</f>
        <v>0</v>
      </c>
      <c r="AF52" s="187">
        <f>SUMIFS(AF$29:AF$31,$E$29:$E$31,$D52)*SUMIFS('INPUT Growth'!AF$161:AF$170,'INPUT Growth'!$C$161:$C$170,'INPUT Opex'!$C52,'INPUT Growth'!$D$161:$D$170,$D52,'INPUT Growth'!$F$161:$F$170,'INPUT Opex'!$F52)</f>
        <v>0</v>
      </c>
      <c r="AG52" s="187">
        <f>SUMIFS(AG$29:AG$31,$E$29:$E$31,$D52)*SUMIFS('INPUT Growth'!AG$161:AG$170,'INPUT Growth'!$C$161:$C$170,'INPUT Opex'!$C52,'INPUT Growth'!$D$161:$D$170,$D52,'INPUT Growth'!$F$161:$F$170,'INPUT Opex'!$F52)</f>
        <v>0</v>
      </c>
      <c r="AH52" s="187">
        <f>SUMIFS(AH$29:AH$31,$E$29:$E$31,$D52)*SUMIFS('INPUT Growth'!AH$161:AH$170,'INPUT Growth'!$C$161:$C$170,'INPUT Opex'!$C52,'INPUT Growth'!$D$161:$D$170,$D52,'INPUT Growth'!$F$161:$F$170,'INPUT Opex'!$F52)</f>
        <v>0</v>
      </c>
      <c r="AI52" s="187">
        <f>SUMIFS(AI$29:AI$31,$E$29:$E$31,$D52)*SUMIFS('INPUT Growth'!AI$161:AI$170,'INPUT Growth'!$C$161:$C$170,'INPUT Opex'!$C52,'INPUT Growth'!$D$161:$D$170,$D52,'INPUT Growth'!$F$161:$F$170,'INPUT Opex'!$F52)</f>
        <v>0</v>
      </c>
      <c r="AJ52" s="187">
        <f>SUMIFS(AJ$29:AJ$31,$E$29:$E$31,$D52)*SUMIFS('INPUT Growth'!AJ$161:AJ$170,'INPUT Growth'!$C$161:$C$170,'INPUT Opex'!$C52,'INPUT Growth'!$D$161:$D$170,$D52,'INPUT Growth'!$F$161:$F$170,'INPUT Opex'!$F52)</f>
        <v>0</v>
      </c>
      <c r="AK52" s="187">
        <f>SUMIFS(AK$29:AK$31,$E$29:$E$31,$D52)*SUMIFS('INPUT Growth'!AK$161:AK$170,'INPUT Growth'!$C$161:$C$170,'INPUT Opex'!$C52,'INPUT Growth'!$D$161:$D$170,$D52,'INPUT Growth'!$F$161:$F$170,'INPUT Opex'!$F52)</f>
        <v>0</v>
      </c>
      <c r="AL52" s="187">
        <f>SUMIFS(AL$29:AL$31,$E$29:$E$31,$D52)*SUMIFS('INPUT Growth'!AL$161:AL$170,'INPUT Growth'!$C$161:$C$170,'INPUT Opex'!$C52,'INPUT Growth'!$D$161:$D$170,$D52,'INPUT Growth'!$F$161:$F$170,'INPUT Opex'!$F52)</f>
        <v>0</v>
      </c>
      <c r="AM52" s="187">
        <f>SUMIFS(AM$29:AM$31,$E$29:$E$31,$D52)*SUMIFS('INPUT Growth'!AM$161:AM$170,'INPUT Growth'!$C$161:$C$170,'INPUT Opex'!$C52,'INPUT Growth'!$D$161:$D$170,$D52,'INPUT Growth'!$F$161:$F$170,'INPUT Opex'!$F52)</f>
        <v>0</v>
      </c>
      <c r="AN52" s="187">
        <f>SUMIFS(AN$29:AN$31,$E$29:$E$31,$D52)*SUMIFS('INPUT Growth'!AN$161:AN$170,'INPUT Growth'!$C$161:$C$170,'INPUT Opex'!$C52,'INPUT Growth'!$D$161:$D$170,$D52,'INPUT Growth'!$F$161:$F$170,'INPUT Opex'!$F52)</f>
        <v>0</v>
      </c>
      <c r="AO52" s="187">
        <f>SUMIFS(AO$29:AO$31,$E$29:$E$31,$D52)*SUMIFS('INPUT Growth'!AO$161:AO$170,'INPUT Growth'!$C$161:$C$170,'INPUT Opex'!$C52,'INPUT Growth'!$D$161:$D$170,$D52,'INPUT Growth'!$F$161:$F$170,'INPUT Opex'!$F52)</f>
        <v>0</v>
      </c>
      <c r="AP52" s="187">
        <f>SUMIFS(AP$29:AP$31,$E$29:$E$31,$D52)*SUMIFS('INPUT Growth'!AP$161:AP$170,'INPUT Growth'!$C$161:$C$170,'INPUT Opex'!$C52,'INPUT Growth'!$D$161:$D$170,$D52,'INPUT Growth'!$F$161:$F$170,'INPUT Opex'!$F52)</f>
        <v>0</v>
      </c>
      <c r="AQ52" s="187">
        <f>SUMIFS(AQ$29:AQ$31,$E$29:$E$31,$D52)*SUMIFS('INPUT Growth'!AQ$161:AQ$170,'INPUT Growth'!$C$161:$C$170,'INPUT Opex'!$C52,'INPUT Growth'!$D$161:$D$170,$D52,'INPUT Growth'!$F$161:$F$170,'INPUT Opex'!$F52)</f>
        <v>0</v>
      </c>
      <c r="AR52" s="187">
        <f>SUMIFS(AR$29:AR$31,$E$29:$E$31,$D52)*SUMIFS('INPUT Growth'!AR$161:AR$170,'INPUT Growth'!$C$161:$C$170,'INPUT Opex'!$C52,'INPUT Growth'!$D$161:$D$170,$D52,'INPUT Growth'!$F$161:$F$170,'INPUT Opex'!$F52)</f>
        <v>0</v>
      </c>
      <c r="AS52" s="187">
        <f>SUMIFS(AS$29:AS$31,$E$29:$E$31,$D52)*SUMIFS('INPUT Growth'!AS$161:AS$170,'INPUT Growth'!$C$161:$C$170,'INPUT Opex'!$C52,'INPUT Growth'!$D$161:$D$170,$D52,'INPUT Growth'!$F$161:$F$170,'INPUT Opex'!$F52)</f>
        <v>0</v>
      </c>
      <c r="AT52" s="187">
        <f>SUMIFS(AT$29:AT$31,$E$29:$E$31,$D52)*SUMIFS('INPUT Growth'!AT$161:AT$170,'INPUT Growth'!$C$161:$C$170,'INPUT Opex'!$C52,'INPUT Growth'!$D$161:$D$170,$D52,'INPUT Growth'!$F$161:$F$170,'INPUT Opex'!$F52)</f>
        <v>0</v>
      </c>
      <c r="AU52" s="187">
        <f>SUMIFS(AU$29:AU$31,$E$29:$E$31,$D52)*SUMIFS('INPUT Growth'!AU$161:AU$170,'INPUT Growth'!$C$161:$C$170,'INPUT Opex'!$C52,'INPUT Growth'!$D$161:$D$170,$D52,'INPUT Growth'!$F$161:$F$170,'INPUT Opex'!$F52)</f>
        <v>0</v>
      </c>
      <c r="AV52" s="187">
        <f>SUMIFS(AV$29:AV$31,$E$29:$E$31,$D52)*SUMIFS('INPUT Growth'!AV$161:AV$170,'INPUT Growth'!$C$161:$C$170,'INPUT Opex'!$C52,'INPUT Growth'!$D$161:$D$170,$D52,'INPUT Growth'!$F$161:$F$170,'INPUT Opex'!$F52)</f>
        <v>0</v>
      </c>
      <c r="AW52" s="187">
        <f>SUMIFS(AW$29:AW$31,$E$29:$E$31,$D52)*SUMIFS('INPUT Growth'!AW$161:AW$170,'INPUT Growth'!$C$161:$C$170,'INPUT Opex'!$C52,'INPUT Growth'!$D$161:$D$170,$D52,'INPUT Growth'!$F$161:$F$170,'INPUT Opex'!$F52)</f>
        <v>0</v>
      </c>
    </row>
    <row r="53" spans="1:49" outlineLevel="1" x14ac:dyDescent="0.2">
      <c r="A53" s="51" t="str" cm="1">
        <f t="array" ref="A53">INDEX(TariffCode, MATCH(1,(C53=TariffZone)*(D53=TariffProduct),0))</f>
        <v>GR</v>
      </c>
      <c r="B53" s="51"/>
      <c r="C53" s="150" t="s">
        <v>312</v>
      </c>
      <c r="D53" s="150" t="s">
        <v>310</v>
      </c>
      <c r="E53" s="150"/>
      <c r="F53" s="150" t="s">
        <v>265</v>
      </c>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91">
        <f>SUMIFS(AD$29:AD$31,$E$29:$E$31,$D53)*SUMIFS('INPUT Growth'!AD$161:AD$170,'INPUT Growth'!$C$161:$C$170,'INPUT Opex'!$C53,'INPUT Growth'!$D$161:$D$170,$D53,'INPUT Growth'!$F$161:$F$170,'INPUT Opex'!$F53)</f>
        <v>0</v>
      </c>
      <c r="AE53" s="191">
        <f>SUMIFS(AE$29:AE$31,$E$29:$E$31,$D53)*SUMIFS('INPUT Growth'!AE$161:AE$170,'INPUT Growth'!$C$161:$C$170,'INPUT Opex'!$C53,'INPUT Growth'!$D$161:$D$170,$D53,'INPUT Growth'!$F$161:$F$170,'INPUT Opex'!$F53)</f>
        <v>0</v>
      </c>
      <c r="AF53" s="191">
        <f>SUMIFS(AF$29:AF$31,$E$29:$E$31,$D53)*SUMIFS('INPUT Growth'!AF$161:AF$170,'INPUT Growth'!$C$161:$C$170,'INPUT Opex'!$C53,'INPUT Growth'!$D$161:$D$170,$D53,'INPUT Growth'!$F$161:$F$170,'INPUT Opex'!$F53)</f>
        <v>0</v>
      </c>
      <c r="AG53" s="191">
        <f>SUMIFS(AG$29:AG$31,$E$29:$E$31,$D53)*SUMIFS('INPUT Growth'!AG$161:AG$170,'INPUT Growth'!$C$161:$C$170,'INPUT Opex'!$C53,'INPUT Growth'!$D$161:$D$170,$D53,'INPUT Growth'!$F$161:$F$170,'INPUT Opex'!$F53)</f>
        <v>0</v>
      </c>
      <c r="AH53" s="191">
        <f>SUMIFS(AH$29:AH$31,$E$29:$E$31,$D53)*SUMIFS('INPUT Growth'!AH$161:AH$170,'INPUT Growth'!$C$161:$C$170,'INPUT Opex'!$C53,'INPUT Growth'!$D$161:$D$170,$D53,'INPUT Growth'!$F$161:$F$170,'INPUT Opex'!$F53)</f>
        <v>0</v>
      </c>
      <c r="AI53" s="191">
        <f>SUMIFS(AI$29:AI$31,$E$29:$E$31,$D53)*SUMIFS('INPUT Growth'!AI$161:AI$170,'INPUT Growth'!$C$161:$C$170,'INPUT Opex'!$C53,'INPUT Growth'!$D$161:$D$170,$D53,'INPUT Growth'!$F$161:$F$170,'INPUT Opex'!$F53)</f>
        <v>0</v>
      </c>
      <c r="AJ53" s="191">
        <f>SUMIFS(AJ$29:AJ$31,$E$29:$E$31,$D53)*SUMIFS('INPUT Growth'!AJ$161:AJ$170,'INPUT Growth'!$C$161:$C$170,'INPUT Opex'!$C53,'INPUT Growth'!$D$161:$D$170,$D53,'INPUT Growth'!$F$161:$F$170,'INPUT Opex'!$F53)</f>
        <v>0</v>
      </c>
      <c r="AK53" s="191">
        <f>SUMIFS(AK$29:AK$31,$E$29:$E$31,$D53)*SUMIFS('INPUT Growth'!AK$161:AK$170,'INPUT Growth'!$C$161:$C$170,'INPUT Opex'!$C53,'INPUT Growth'!$D$161:$D$170,$D53,'INPUT Growth'!$F$161:$F$170,'INPUT Opex'!$F53)</f>
        <v>0</v>
      </c>
      <c r="AL53" s="191">
        <f>SUMIFS(AL$29:AL$31,$E$29:$E$31,$D53)*SUMIFS('INPUT Growth'!AL$161:AL$170,'INPUT Growth'!$C$161:$C$170,'INPUT Opex'!$C53,'INPUT Growth'!$D$161:$D$170,$D53,'INPUT Growth'!$F$161:$F$170,'INPUT Opex'!$F53)</f>
        <v>0</v>
      </c>
      <c r="AM53" s="191">
        <f>SUMIFS(AM$29:AM$31,$E$29:$E$31,$D53)*SUMIFS('INPUT Growth'!AM$161:AM$170,'INPUT Growth'!$C$161:$C$170,'INPUT Opex'!$C53,'INPUT Growth'!$D$161:$D$170,$D53,'INPUT Growth'!$F$161:$F$170,'INPUT Opex'!$F53)</f>
        <v>0</v>
      </c>
      <c r="AN53" s="191">
        <f>SUMIFS(AN$29:AN$31,$E$29:$E$31,$D53)*SUMIFS('INPUT Growth'!AN$161:AN$170,'INPUT Growth'!$C$161:$C$170,'INPUT Opex'!$C53,'INPUT Growth'!$D$161:$D$170,$D53,'INPUT Growth'!$F$161:$F$170,'INPUT Opex'!$F53)</f>
        <v>0</v>
      </c>
      <c r="AO53" s="191">
        <f>SUMIFS(AO$29:AO$31,$E$29:$E$31,$D53)*SUMIFS('INPUT Growth'!AO$161:AO$170,'INPUT Growth'!$C$161:$C$170,'INPUT Opex'!$C53,'INPUT Growth'!$D$161:$D$170,$D53,'INPUT Growth'!$F$161:$F$170,'INPUT Opex'!$F53)</f>
        <v>0</v>
      </c>
      <c r="AP53" s="191">
        <f>SUMIFS(AP$29:AP$31,$E$29:$E$31,$D53)*SUMIFS('INPUT Growth'!AP$161:AP$170,'INPUT Growth'!$C$161:$C$170,'INPUT Opex'!$C53,'INPUT Growth'!$D$161:$D$170,$D53,'INPUT Growth'!$F$161:$F$170,'INPUT Opex'!$F53)</f>
        <v>0</v>
      </c>
      <c r="AQ53" s="191">
        <f>SUMIFS(AQ$29:AQ$31,$E$29:$E$31,$D53)*SUMIFS('INPUT Growth'!AQ$161:AQ$170,'INPUT Growth'!$C$161:$C$170,'INPUT Opex'!$C53,'INPUT Growth'!$D$161:$D$170,$D53,'INPUT Growth'!$F$161:$F$170,'INPUT Opex'!$F53)</f>
        <v>0</v>
      </c>
      <c r="AR53" s="191">
        <f>SUMIFS(AR$29:AR$31,$E$29:$E$31,$D53)*SUMIFS('INPUT Growth'!AR$161:AR$170,'INPUT Growth'!$C$161:$C$170,'INPUT Opex'!$C53,'INPUT Growth'!$D$161:$D$170,$D53,'INPUT Growth'!$F$161:$F$170,'INPUT Opex'!$F53)</f>
        <v>0</v>
      </c>
      <c r="AS53" s="191">
        <f>SUMIFS(AS$29:AS$31,$E$29:$E$31,$D53)*SUMIFS('INPUT Growth'!AS$161:AS$170,'INPUT Growth'!$C$161:$C$170,'INPUT Opex'!$C53,'INPUT Growth'!$D$161:$D$170,$D53,'INPUT Growth'!$F$161:$F$170,'INPUT Opex'!$F53)</f>
        <v>0</v>
      </c>
      <c r="AT53" s="191">
        <f>SUMIFS(AT$29:AT$31,$E$29:$E$31,$D53)*SUMIFS('INPUT Growth'!AT$161:AT$170,'INPUT Growth'!$C$161:$C$170,'INPUT Opex'!$C53,'INPUT Growth'!$D$161:$D$170,$D53,'INPUT Growth'!$F$161:$F$170,'INPUT Opex'!$F53)</f>
        <v>0</v>
      </c>
      <c r="AU53" s="191">
        <f>SUMIFS(AU$29:AU$31,$E$29:$E$31,$D53)*SUMIFS('INPUT Growth'!AU$161:AU$170,'INPUT Growth'!$C$161:$C$170,'INPUT Opex'!$C53,'INPUT Growth'!$D$161:$D$170,$D53,'INPUT Growth'!$F$161:$F$170,'INPUT Opex'!$F53)</f>
        <v>0</v>
      </c>
      <c r="AV53" s="191">
        <f>SUMIFS(AV$29:AV$31,$E$29:$E$31,$D53)*SUMIFS('INPUT Growth'!AV$161:AV$170,'INPUT Growth'!$C$161:$C$170,'INPUT Opex'!$C53,'INPUT Growth'!$D$161:$D$170,$D53,'INPUT Growth'!$F$161:$F$170,'INPUT Opex'!$F53)</f>
        <v>0</v>
      </c>
      <c r="AW53" s="191">
        <f>SUMIFS(AW$29:AW$31,$E$29:$E$31,$D53)*SUMIFS('INPUT Growth'!AW$161:AW$170,'INPUT Growth'!$C$161:$C$170,'INPUT Opex'!$C53,'INPUT Growth'!$D$161:$D$170,$D53,'INPUT Growth'!$F$161:$F$170,'INPUT Opex'!$F53)</f>
        <v>0</v>
      </c>
    </row>
    <row r="54" spans="1:49" outlineLevel="1" x14ac:dyDescent="0.2">
      <c r="A54" s="51" t="s">
        <v>90</v>
      </c>
      <c r="B54" s="51"/>
      <c r="C54" s="150" t="s">
        <v>287</v>
      </c>
      <c r="D54" s="150" t="s">
        <v>305</v>
      </c>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t="s">
        <v>551</v>
      </c>
      <c r="AC54" s="150"/>
      <c r="AD54" s="192">
        <f>SUMIFS(AD$44:AD$53,$C$44:$C$53,$C54)</f>
        <v>7383626.0809328705</v>
      </c>
      <c r="AE54" s="192">
        <f t="shared" ref="AE54:AT55" si="10">SUMIFS(AE$44:AE$53,$C$44:$C$53,$C54)</f>
        <v>14753633.508052194</v>
      </c>
      <c r="AF54" s="192">
        <f t="shared" si="10"/>
        <v>20685555.478231709</v>
      </c>
      <c r="AG54" s="192">
        <f t="shared" si="10"/>
        <v>26382010.605628345</v>
      </c>
      <c r="AH54" s="192">
        <f t="shared" si="10"/>
        <v>31749716.676046833</v>
      </c>
      <c r="AI54" s="192">
        <f t="shared" si="10"/>
        <v>36768891.262095958</v>
      </c>
      <c r="AJ54" s="192">
        <f t="shared" si="10"/>
        <v>41570469.882946901</v>
      </c>
      <c r="AK54" s="192">
        <f t="shared" si="10"/>
        <v>46284273.519764133</v>
      </c>
      <c r="AL54" s="192">
        <f t="shared" si="10"/>
        <v>50899904.563732445</v>
      </c>
      <c r="AM54" s="192">
        <f t="shared" si="10"/>
        <v>55438748.803425714</v>
      </c>
      <c r="AN54" s="192">
        <f t="shared" si="10"/>
        <v>59890022.233922906</v>
      </c>
      <c r="AO54" s="192">
        <f t="shared" si="10"/>
        <v>64240725.25249479</v>
      </c>
      <c r="AP54" s="192">
        <f t="shared" si="10"/>
        <v>68494588.824741602</v>
      </c>
      <c r="AQ54" s="192">
        <f t="shared" si="10"/>
        <v>72615049.290025398</v>
      </c>
      <c r="AR54" s="192">
        <f t="shared" si="10"/>
        <v>76613150.680146396</v>
      </c>
      <c r="AS54" s="192">
        <f t="shared" si="10"/>
        <v>80472237.873064548</v>
      </c>
      <c r="AT54" s="192">
        <f t="shared" si="10"/>
        <v>84155222.722109973</v>
      </c>
      <c r="AU54" s="192">
        <f t="shared" ref="AU54:AW55" si="11">SUMIFS(AU$44:AU$53,$C$44:$C$53,$C54)</f>
        <v>87709181.035798162</v>
      </c>
      <c r="AV54" s="192">
        <f t="shared" si="11"/>
        <v>91144566.180787265</v>
      </c>
      <c r="AW54" s="192">
        <f t="shared" si="11"/>
        <v>94481170.027890474</v>
      </c>
    </row>
    <row r="55" spans="1:49" outlineLevel="1" x14ac:dyDescent="0.2">
      <c r="A55" s="51" t="s">
        <v>552</v>
      </c>
      <c r="B55" s="51"/>
      <c r="C55" s="150" t="s">
        <v>290</v>
      </c>
      <c r="D55" s="150" t="s">
        <v>305</v>
      </c>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87">
        <f t="shared" ref="AD55" si="12">SUMIFS(AD$44:AD$53,$C$44:$C$53,$C55)</f>
        <v>1137590.5563108225</v>
      </c>
      <c r="AE55" s="187">
        <f t="shared" si="10"/>
        <v>2228980.282604041</v>
      </c>
      <c r="AF55" s="187">
        <f t="shared" si="10"/>
        <v>3362361.5300755678</v>
      </c>
      <c r="AG55" s="187">
        <f t="shared" si="10"/>
        <v>4215023.9771346496</v>
      </c>
      <c r="AH55" s="187">
        <f t="shared" si="10"/>
        <v>5064319.985374392</v>
      </c>
      <c r="AI55" s="187">
        <f t="shared" si="10"/>
        <v>5927564.8976624934</v>
      </c>
      <c r="AJ55" s="187">
        <f t="shared" si="10"/>
        <v>6735150.2900946457</v>
      </c>
      <c r="AK55" s="187">
        <f t="shared" si="10"/>
        <v>7572464.5712763537</v>
      </c>
      <c r="AL55" s="187">
        <f t="shared" si="10"/>
        <v>8377942.1348737553</v>
      </c>
      <c r="AM55" s="187">
        <f t="shared" si="10"/>
        <v>9141111.090731794</v>
      </c>
      <c r="AN55" s="187">
        <f t="shared" si="10"/>
        <v>9828320.3473982066</v>
      </c>
      <c r="AO55" s="187">
        <f t="shared" si="10"/>
        <v>10460307.124257023</v>
      </c>
      <c r="AP55" s="187">
        <f t="shared" si="10"/>
        <v>11030965.34781828</v>
      </c>
      <c r="AQ55" s="187">
        <f t="shared" si="10"/>
        <v>11560345.313126713</v>
      </c>
      <c r="AR55" s="187">
        <f t="shared" si="10"/>
        <v>12044389.505308306</v>
      </c>
      <c r="AS55" s="187">
        <f t="shared" si="10"/>
        <v>12491675.881753882</v>
      </c>
      <c r="AT55" s="187">
        <f t="shared" si="10"/>
        <v>13095024.207347061</v>
      </c>
      <c r="AU55" s="187">
        <f t="shared" si="11"/>
        <v>13514701.737129385</v>
      </c>
      <c r="AV55" s="187">
        <f t="shared" si="11"/>
        <v>13875188.323139491</v>
      </c>
      <c r="AW55" s="187">
        <f t="shared" si="11"/>
        <v>14186144.142887218</v>
      </c>
    </row>
    <row r="56" spans="1:49" outlineLevel="1" x14ac:dyDescent="0.2">
      <c r="A56" s="51"/>
      <c r="B56" s="51"/>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88"/>
      <c r="AE56" s="188"/>
      <c r="AF56" s="188"/>
      <c r="AG56" s="188"/>
      <c r="AH56" s="188"/>
      <c r="AI56" s="188"/>
      <c r="AJ56" s="188"/>
      <c r="AK56" s="188"/>
      <c r="AL56" s="188"/>
      <c r="AM56" s="188"/>
      <c r="AN56" s="188"/>
      <c r="AO56" s="188"/>
      <c r="AP56" s="188"/>
      <c r="AQ56" s="188"/>
      <c r="AR56" s="188"/>
      <c r="AS56" s="188"/>
      <c r="AT56" s="188"/>
      <c r="AU56" s="188"/>
      <c r="AV56" s="188"/>
      <c r="AW56" s="188"/>
    </row>
    <row r="57" spans="1:49" outlineLevel="1" x14ac:dyDescent="0.2">
      <c r="A57" s="150"/>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79"/>
      <c r="AD57" s="188"/>
      <c r="AE57" s="188"/>
      <c r="AF57" s="188"/>
      <c r="AG57" s="188"/>
      <c r="AH57" s="188"/>
      <c r="AI57" s="188"/>
      <c r="AJ57" s="188"/>
      <c r="AK57" s="188"/>
      <c r="AL57" s="188"/>
      <c r="AM57" s="188"/>
      <c r="AN57" s="188"/>
      <c r="AO57" s="188"/>
      <c r="AP57" s="188"/>
      <c r="AQ57" s="188"/>
      <c r="AR57" s="188"/>
      <c r="AS57" s="188"/>
      <c r="AT57" s="188"/>
      <c r="AU57" s="188"/>
      <c r="AV57" s="188"/>
      <c r="AW57" s="188"/>
    </row>
    <row r="58" spans="1:49" outlineLevel="1" x14ac:dyDescent="0.2">
      <c r="A58" s="150"/>
      <c r="B58" s="150"/>
      <c r="C58" s="150"/>
      <c r="D58" s="150"/>
      <c r="E58" s="150"/>
      <c r="F58" s="150"/>
      <c r="G58" s="150"/>
      <c r="H58" s="150"/>
      <c r="I58" s="150"/>
      <c r="J58" s="150"/>
      <c r="K58" s="150"/>
      <c r="L58" s="150" t="s">
        <v>553</v>
      </c>
      <c r="M58" s="150"/>
      <c r="N58" s="150"/>
      <c r="O58" s="150"/>
      <c r="P58" s="150"/>
      <c r="Q58" s="150"/>
      <c r="R58" s="150"/>
      <c r="S58" s="150"/>
      <c r="T58" s="150"/>
      <c r="U58" s="150"/>
      <c r="V58" s="150"/>
      <c r="W58" s="150"/>
      <c r="X58" s="150"/>
      <c r="Y58" s="150"/>
      <c r="Z58" s="150"/>
      <c r="AA58" s="150"/>
      <c r="AB58" s="150"/>
      <c r="AC58" s="79"/>
      <c r="AD58" s="188">
        <f t="shared" ref="AD58:AN58" si="13">SUM(AD44:AD53)</f>
        <v>8521216.6372436937</v>
      </c>
      <c r="AE58" s="188">
        <f t="shared" si="13"/>
        <v>16982613.790656235</v>
      </c>
      <c r="AF58" s="188">
        <f t="shared" si="13"/>
        <v>24047917.008307274</v>
      </c>
      <c r="AG58" s="188">
        <f t="shared" si="13"/>
        <v>30597034.582762998</v>
      </c>
      <c r="AH58" s="188">
        <f t="shared" si="13"/>
        <v>36814036.661421232</v>
      </c>
      <c r="AI58" s="188">
        <f t="shared" si="13"/>
        <v>42696456.159758449</v>
      </c>
      <c r="AJ58" s="188">
        <f t="shared" si="13"/>
        <v>48305620.173041545</v>
      </c>
      <c r="AK58" s="188">
        <f t="shared" si="13"/>
        <v>53856738.091040485</v>
      </c>
      <c r="AL58" s="188">
        <f t="shared" si="13"/>
        <v>59277846.698606201</v>
      </c>
      <c r="AM58" s="188">
        <f t="shared" si="13"/>
        <v>64579859.894157507</v>
      </c>
      <c r="AN58" s="188">
        <f t="shared" si="13"/>
        <v>69718342.581321105</v>
      </c>
      <c r="AO58" s="188">
        <f t="shared" ref="AO58:AW58" si="14">SUM(AO44:AO53)</f>
        <v>74701032.37675181</v>
      </c>
      <c r="AP58" s="188">
        <f t="shared" si="14"/>
        <v>79525554.172559887</v>
      </c>
      <c r="AQ58" s="188">
        <f t="shared" si="14"/>
        <v>84175394.603152096</v>
      </c>
      <c r="AR58" s="188">
        <f t="shared" si="14"/>
        <v>88657540.185454711</v>
      </c>
      <c r="AS58" s="188">
        <f t="shared" si="14"/>
        <v>92963913.754818425</v>
      </c>
      <c r="AT58" s="188">
        <f t="shared" si="14"/>
        <v>97250246.929457024</v>
      </c>
      <c r="AU58" s="188">
        <f t="shared" si="14"/>
        <v>101223882.77292755</v>
      </c>
      <c r="AV58" s="188">
        <f t="shared" si="14"/>
        <v>105019754.50392674</v>
      </c>
      <c r="AW58" s="188">
        <f t="shared" si="14"/>
        <v>108667314.17077769</v>
      </c>
    </row>
    <row r="59" spans="1:49" outlineLevel="1" x14ac:dyDescent="0.2">
      <c r="A59" s="150"/>
      <c r="B59" s="150"/>
      <c r="C59" s="150"/>
      <c r="D59" s="150"/>
      <c r="E59" s="150"/>
      <c r="F59" s="150"/>
      <c r="G59" s="150"/>
      <c r="H59" s="150"/>
      <c r="I59" s="150"/>
      <c r="J59" s="150"/>
      <c r="K59" s="150"/>
      <c r="L59" s="150" t="s">
        <v>554</v>
      </c>
      <c r="M59" s="150"/>
      <c r="N59" s="150"/>
      <c r="O59" s="150"/>
      <c r="P59" s="150"/>
      <c r="Q59" s="150"/>
      <c r="R59" s="150"/>
      <c r="S59" s="150"/>
      <c r="T59" s="150"/>
      <c r="U59" s="150"/>
      <c r="V59" s="150"/>
      <c r="W59" s="150"/>
      <c r="X59" s="150"/>
      <c r="Y59" s="150"/>
      <c r="Z59" s="150"/>
      <c r="AA59" s="150"/>
      <c r="AB59" s="150"/>
      <c r="AC59" s="79"/>
      <c r="AD59" s="188">
        <f>SUM('INPUT Growth'!$AC$138:$AC$140)*'INPUT Opex'!AD$29+SUM('INPUT Growth'!$AC$141:$AC$143)*'INPUT Opex'!AD$30</f>
        <v>305543346.86143833</v>
      </c>
      <c r="AE59" s="188">
        <f>SUM('INPUT Growth'!$AC$138:$AC$140)*'INPUT Opex'!AE$29+SUM('INPUT Growth'!$AC$141:$AC$143)*'INPUT Opex'!AE$30</f>
        <v>298087852.13668031</v>
      </c>
      <c r="AF59" s="188">
        <f>SUM('INPUT Growth'!$AC$138:$AC$140)*'INPUT Opex'!AF$29+SUM('INPUT Growth'!$AC$141:$AC$143)*'INPUT Opex'!AF$30</f>
        <v>291022548.91902912</v>
      </c>
      <c r="AG59" s="188">
        <f>SUM('INPUT Growth'!$AC$138:$AC$140)*'INPUT Opex'!AG$29+SUM('INPUT Growth'!$AC$141:$AC$143)*'INPUT Opex'!AG$30</f>
        <v>284473431.34457356</v>
      </c>
      <c r="AH59" s="188">
        <f>SUM('INPUT Growth'!$AC$138:$AC$140)*'INPUT Opex'!AH$29+SUM('INPUT Growth'!$AC$141:$AC$143)*'INPUT Opex'!AH$30</f>
        <v>278256429.26591527</v>
      </c>
      <c r="AI59" s="188">
        <f>SUM('INPUT Growth'!$AC$138:$AC$140)*'INPUT Opex'!AI$29+SUM('INPUT Growth'!$AC$141:$AC$143)*'INPUT Opex'!AI$30</f>
        <v>272374009.76757801</v>
      </c>
      <c r="AJ59" s="188">
        <f>SUM('INPUT Growth'!$AC$138:$AC$140)*'INPUT Opex'!AJ$29+SUM('INPUT Growth'!$AC$141:$AC$143)*'INPUT Opex'!AJ$30</f>
        <v>266764845.75429493</v>
      </c>
      <c r="AK59" s="188">
        <f>SUM('INPUT Growth'!$AC$138:$AC$140)*'INPUT Opex'!AK$29+SUM('INPUT Growth'!$AC$141:$AC$143)*'INPUT Opex'!AK$30</f>
        <v>261213727.83629602</v>
      </c>
      <c r="AL59" s="188">
        <f>SUM('INPUT Growth'!$AC$138:$AC$140)*'INPUT Opex'!AL$29+SUM('INPUT Growth'!$AC$141:$AC$143)*'INPUT Opex'!AL$30</f>
        <v>255792619.22873026</v>
      </c>
      <c r="AM59" s="188">
        <f>SUM('INPUT Growth'!$AC$138:$AC$140)*'INPUT Opex'!AM$29+SUM('INPUT Growth'!$AC$141:$AC$143)*'INPUT Opex'!AM$30</f>
        <v>250490606.03317899</v>
      </c>
      <c r="AN59" s="188">
        <f>SUM('INPUT Growth'!$AC$138:$AC$140)*'INPUT Opex'!AN$29+SUM('INPUT Growth'!$AC$141:$AC$143)*'INPUT Opex'!AN$30</f>
        <v>245352123.34601539</v>
      </c>
      <c r="AO59" s="188">
        <f>SUM('INPUT Growth'!$AC$138:$AC$140)*'INPUT Opex'!AO$29+SUM('INPUT Growth'!$AC$141:$AC$143)*'INPUT Opex'!AO$30</f>
        <v>240369433.55058467</v>
      </c>
      <c r="AP59" s="188">
        <f>SUM('INPUT Growth'!$AC$138:$AC$140)*'INPUT Opex'!AP$29+SUM('INPUT Growth'!$AC$141:$AC$143)*'INPUT Opex'!AP$30</f>
        <v>235544911.7547766</v>
      </c>
      <c r="AQ59" s="188">
        <f>SUM('INPUT Growth'!$AC$138:$AC$140)*'INPUT Opex'!AQ$29+SUM('INPUT Growth'!$AC$141:$AC$143)*'INPUT Opex'!AQ$30</f>
        <v>230895071.32418439</v>
      </c>
      <c r="AR59" s="188">
        <f>SUM('INPUT Growth'!$AC$138:$AC$140)*'INPUT Opex'!AR$29+SUM('INPUT Growth'!$AC$141:$AC$143)*'INPUT Opex'!AR$30</f>
        <v>226412925.74188179</v>
      </c>
      <c r="AS59" s="188">
        <f>SUM('INPUT Growth'!$AC$138:$AC$140)*'INPUT Opex'!AS$29+SUM('INPUT Growth'!$AC$141:$AC$143)*'INPUT Opex'!AS$30</f>
        <v>222106552.17251807</v>
      </c>
      <c r="AT59" s="188">
        <f>SUM('INPUT Growth'!$AC$138:$AC$140)*'INPUT Opex'!AT$29+SUM('INPUT Growth'!$AC$141:$AC$143)*'INPUT Opex'!AT$30</f>
        <v>217820218.99787945</v>
      </c>
      <c r="AU59" s="188">
        <f>SUM('INPUT Growth'!$AC$138:$AC$140)*'INPUT Opex'!AU$29+SUM('INPUT Growth'!$AC$141:$AC$143)*'INPUT Opex'!AU$30</f>
        <v>213846583.15440893</v>
      </c>
      <c r="AV59" s="188">
        <f>SUM('INPUT Growth'!$AC$138:$AC$140)*'INPUT Opex'!AV$29+SUM('INPUT Growth'!$AC$141:$AC$143)*'INPUT Opex'!AV$30</f>
        <v>210050711.42340973</v>
      </c>
      <c r="AW59" s="188">
        <f>SUM('INPUT Growth'!$AC$138:$AC$140)*'INPUT Opex'!AW$29+SUM('INPUT Growth'!$AC$141:$AC$143)*'INPUT Opex'!AW$30</f>
        <v>206403151.75655878</v>
      </c>
    </row>
    <row r="60" spans="1:49" outlineLevel="1" x14ac:dyDescent="0.2">
      <c r="A60" s="150"/>
      <c r="B60" s="150"/>
      <c r="C60" s="150"/>
      <c r="D60" s="150"/>
      <c r="E60" s="150"/>
      <c r="F60" s="150"/>
      <c r="G60" s="150"/>
      <c r="H60" s="150"/>
      <c r="I60" s="150"/>
      <c r="J60" s="150"/>
      <c r="K60" s="150"/>
      <c r="L60" s="150" t="s">
        <v>523</v>
      </c>
      <c r="M60" s="150"/>
      <c r="N60" s="150"/>
      <c r="O60" s="150"/>
      <c r="P60" s="150"/>
      <c r="Q60" s="150"/>
      <c r="R60" s="150"/>
      <c r="S60" s="150"/>
      <c r="T60" s="150"/>
      <c r="U60" s="150"/>
      <c r="V60" s="150"/>
      <c r="W60" s="150"/>
      <c r="X60" s="150"/>
      <c r="Y60" s="150"/>
      <c r="Z60" s="150"/>
      <c r="AA60" s="150"/>
      <c r="AB60" s="179">
        <f>SUM(AD60:BL60)</f>
        <v>0</v>
      </c>
      <c r="AC60" s="79"/>
      <c r="AD60" s="80">
        <f>SUM(AD58:AD59)-SUM(AD25:AD26)</f>
        <v>0</v>
      </c>
      <c r="AE60" s="80">
        <f t="shared" ref="AE60:AW60" si="15">SUM(AE58:AE59)-SUM(AE25:AE26)</f>
        <v>0</v>
      </c>
      <c r="AF60" s="80">
        <f t="shared" si="15"/>
        <v>0</v>
      </c>
      <c r="AG60" s="80">
        <f t="shared" si="15"/>
        <v>0</v>
      </c>
      <c r="AH60" s="80">
        <f t="shared" si="15"/>
        <v>0</v>
      </c>
      <c r="AI60" s="80">
        <f t="shared" si="15"/>
        <v>0</v>
      </c>
      <c r="AJ60" s="80">
        <f t="shared" si="15"/>
        <v>0</v>
      </c>
      <c r="AK60" s="80">
        <f t="shared" si="15"/>
        <v>0</v>
      </c>
      <c r="AL60" s="80">
        <f t="shared" si="15"/>
        <v>0</v>
      </c>
      <c r="AM60" s="80">
        <f t="shared" si="15"/>
        <v>0</v>
      </c>
      <c r="AN60" s="80">
        <f t="shared" si="15"/>
        <v>0</v>
      </c>
      <c r="AO60" s="80">
        <f t="shared" si="15"/>
        <v>0</v>
      </c>
      <c r="AP60" s="80">
        <f t="shared" si="15"/>
        <v>0</v>
      </c>
      <c r="AQ60" s="80">
        <f t="shared" si="15"/>
        <v>0</v>
      </c>
      <c r="AR60" s="80">
        <f t="shared" si="15"/>
        <v>0</v>
      </c>
      <c r="AS60" s="80">
        <f t="shared" si="15"/>
        <v>0</v>
      </c>
      <c r="AT60" s="80">
        <f t="shared" si="15"/>
        <v>0</v>
      </c>
      <c r="AU60" s="80">
        <f t="shared" si="15"/>
        <v>0</v>
      </c>
      <c r="AV60" s="80">
        <f t="shared" si="15"/>
        <v>0</v>
      </c>
      <c r="AW60" s="80">
        <f t="shared" si="15"/>
        <v>0</v>
      </c>
    </row>
    <row r="61" spans="1:49" outlineLevel="1" x14ac:dyDescent="0.2">
      <c r="A61" s="150"/>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79"/>
      <c r="AD61" s="79">
        <f>AD58-SS!H186-SW!H186-GS!H186-GW!H186</f>
        <v>0</v>
      </c>
      <c r="AE61" s="79"/>
      <c r="AF61" s="79"/>
      <c r="AG61" s="79"/>
      <c r="AH61" s="79"/>
      <c r="AI61" s="79"/>
      <c r="AJ61" s="79"/>
      <c r="AK61" s="79"/>
      <c r="AL61" s="79"/>
      <c r="AM61" s="79"/>
      <c r="AN61" s="79"/>
      <c r="AO61" s="79"/>
      <c r="AP61" s="79"/>
      <c r="AQ61" s="79"/>
      <c r="AR61" s="79"/>
      <c r="AS61" s="79"/>
      <c r="AT61" s="79"/>
      <c r="AU61" s="79"/>
      <c r="AV61" s="79"/>
      <c r="AW61" s="79"/>
    </row>
    <row r="62" spans="1:49" outlineLevel="1" x14ac:dyDescent="0.2">
      <c r="A62" s="150"/>
      <c r="B62" s="150"/>
      <c r="C62" s="64" t="s">
        <v>555</v>
      </c>
      <c r="D62" s="150"/>
      <c r="E62" s="150"/>
      <c r="F62" s="150"/>
      <c r="G62" s="64"/>
      <c r="H62" s="150"/>
      <c r="I62" s="150"/>
      <c r="J62" s="150"/>
      <c r="K62" s="150"/>
      <c r="L62" s="150"/>
      <c r="M62" s="150"/>
      <c r="N62" s="150"/>
      <c r="O62" s="150"/>
      <c r="P62" s="150"/>
      <c r="Q62" s="150"/>
      <c r="R62" s="150"/>
      <c r="S62" s="150"/>
      <c r="T62" s="150"/>
      <c r="U62" s="150"/>
      <c r="V62" s="150"/>
      <c r="W62" s="150"/>
      <c r="X62" s="150"/>
      <c r="Y62" s="150"/>
      <c r="Z62" s="150"/>
      <c r="AA62" s="150"/>
      <c r="AB62" s="150"/>
      <c r="AC62" s="193"/>
      <c r="AD62" s="193"/>
      <c r="AE62" s="193"/>
      <c r="AF62" s="193"/>
      <c r="AG62" s="193"/>
      <c r="AH62" s="193"/>
      <c r="AI62" s="193"/>
      <c r="AJ62" s="193"/>
      <c r="AK62" s="193"/>
      <c r="AL62" s="193"/>
      <c r="AM62" s="193"/>
      <c r="AN62" s="193"/>
      <c r="AO62" s="193"/>
      <c r="AP62" s="193"/>
      <c r="AQ62" s="193"/>
      <c r="AR62" s="193"/>
      <c r="AS62" s="193"/>
      <c r="AT62" s="193"/>
      <c r="AU62" s="193"/>
      <c r="AV62" s="193"/>
      <c r="AW62" s="193"/>
    </row>
    <row r="63" spans="1:49" outlineLevel="1" x14ac:dyDescent="0.2">
      <c r="A63" s="51" t="str" cm="1">
        <f t="array" ref="A63">INDEX(TariffCode, MATCH(1,(C63=TariffZone)*(D63=TariffProduct),0))</f>
        <v>SW</v>
      </c>
      <c r="B63" s="51"/>
      <c r="C63" s="150" t="s">
        <v>287</v>
      </c>
      <c r="D63" s="150" t="s">
        <v>301</v>
      </c>
      <c r="E63" s="150"/>
      <c r="F63" s="150" t="s">
        <v>262</v>
      </c>
      <c r="G63" s="150"/>
      <c r="H63" s="150"/>
      <c r="I63" s="150"/>
      <c r="J63" s="150"/>
      <c r="K63" s="150"/>
      <c r="L63" s="150"/>
      <c r="M63" s="150"/>
      <c r="N63" s="150"/>
      <c r="O63" s="150"/>
      <c r="P63" s="150"/>
      <c r="Q63" s="150"/>
      <c r="R63" s="150"/>
      <c r="S63" s="150"/>
      <c r="T63" s="150"/>
      <c r="U63" s="150"/>
      <c r="V63" s="150"/>
      <c r="W63" s="150"/>
      <c r="X63" s="150"/>
      <c r="Y63" s="150"/>
      <c r="Z63" s="150"/>
      <c r="AA63" s="150"/>
      <c r="AB63" s="150"/>
      <c r="AC63" s="194">
        <f>SUMIFS('INPUT Growth'!AC$125:AC$134,'INPUT Growth'!$C$125:$C$134,$C63,'INPUT Growth'!$D$125:$D$134,$D63,'INPUT Growth'!$F$125:$F$134,$F63)*SUMIFS(AC$33:AC$35,$E$33:$E$35,$D63)</f>
        <v>296.5428</v>
      </c>
      <c r="AD63" s="194">
        <f>SUMIFS('INPUT Growth'!AD$125:AD$134,'INPUT Growth'!$C$125:$C$134,$C63,'INPUT Growth'!$D$125:$D$134,$D63,'INPUT Growth'!$F$125:$F$134,$F63)*SUMIFS(AD$33:AD$35,$E$33:$E$35,$D63)</f>
        <v>298.61859959999998</v>
      </c>
      <c r="AE63" s="194">
        <f>SUMIFS('INPUT Growth'!AE$125:AE$134,'INPUT Growth'!$C$125:$C$134,$C63,'INPUT Growth'!$D$125:$D$134,$D63,'INPUT Growth'!$F$125:$F$134,$F63)*SUMIFS(AE$33:AE$35,$E$33:$E$35,$D63)</f>
        <v>300.70892979720003</v>
      </c>
      <c r="AF63" s="194">
        <f>SUMIFS('INPUT Growth'!AF$125:AF$134,'INPUT Growth'!$C$125:$C$134,$C63,'INPUT Growth'!$D$125:$D$134,$D63,'INPUT Growth'!$F$125:$F$134,$F63)*SUMIFS(AF$33:AF$35,$E$33:$E$35,$D63)</f>
        <v>300.70892979719991</v>
      </c>
      <c r="AG63" s="194">
        <f>SUMIFS('INPUT Growth'!AG$125:AG$134,'INPUT Growth'!$C$125:$C$134,$C63,'INPUT Growth'!$D$125:$D$134,$D63,'INPUT Growth'!$F$125:$F$134,$F63)*SUMIFS(AG$33:AG$35,$E$33:$E$35,$D63)</f>
        <v>300.70892979720003</v>
      </c>
      <c r="AH63" s="194">
        <f>SUMIFS('INPUT Growth'!AH$125:AH$134,'INPUT Growth'!$C$125:$C$134,$C63,'INPUT Growth'!$D$125:$D$134,$D63,'INPUT Growth'!$F$125:$F$134,$F63)*SUMIFS(AH$33:AH$35,$E$33:$E$35,$D63)</f>
        <v>300.70892979720003</v>
      </c>
      <c r="AI63" s="194">
        <f>SUMIFS('INPUT Growth'!AI$125:AI$134,'INPUT Growth'!$C$125:$C$134,$C63,'INPUT Growth'!$D$125:$D$134,$D63,'INPUT Growth'!$F$125:$F$134,$F63)*SUMIFS(AI$33:AI$35,$E$33:$E$35,$D63)</f>
        <v>300.70892979719997</v>
      </c>
      <c r="AJ63" s="194">
        <f>SUMIFS('INPUT Growth'!AJ$125:AJ$134,'INPUT Growth'!$C$125:$C$134,$C63,'INPUT Growth'!$D$125:$D$134,$D63,'INPUT Growth'!$F$125:$F$134,$F63)*SUMIFS(AJ$33:AJ$35,$E$33:$E$35,$D63)</f>
        <v>300.70892979719997</v>
      </c>
      <c r="AK63" s="194">
        <f>SUMIFS('INPUT Growth'!AK$125:AK$134,'INPUT Growth'!$C$125:$C$134,$C63,'INPUT Growth'!$D$125:$D$134,$D63,'INPUT Growth'!$F$125:$F$134,$F63)*SUMIFS(AK$33:AK$35,$E$33:$E$35,$D63)</f>
        <v>300.70892979719991</v>
      </c>
      <c r="AL63" s="194">
        <f>SUMIFS('INPUT Growth'!AL$125:AL$134,'INPUT Growth'!$C$125:$C$134,$C63,'INPUT Growth'!$D$125:$D$134,$D63,'INPUT Growth'!$F$125:$F$134,$F63)*SUMIFS(AL$33:AL$35,$E$33:$E$35,$D63)</f>
        <v>300.70892979719997</v>
      </c>
      <c r="AM63" s="194">
        <f>SUMIFS('INPUT Growth'!AM$125:AM$134,'INPUT Growth'!$C$125:$C$134,$C63,'INPUT Growth'!$D$125:$D$134,$D63,'INPUT Growth'!$F$125:$F$134,$F63)*SUMIFS(AM$33:AM$35,$E$33:$E$35,$D63)</f>
        <v>300.70892979719997</v>
      </c>
      <c r="AN63" s="194">
        <f>SUMIFS('INPUT Growth'!AN$125:AN$134,'INPUT Growth'!$C$125:$C$134,$C63,'INPUT Growth'!$D$125:$D$134,$D63,'INPUT Growth'!$F$125:$F$134,$F63)*SUMIFS(AN$33:AN$35,$E$33:$E$35,$D63)</f>
        <v>300.70892979719997</v>
      </c>
      <c r="AO63" s="194">
        <f>SUMIFS('INPUT Growth'!AO$125:AO$134,'INPUT Growth'!$C$125:$C$134,$C63,'INPUT Growth'!$D$125:$D$134,$D63,'INPUT Growth'!$F$125:$F$134,$F63)*SUMIFS(AO$33:AO$35,$E$33:$E$35,$D63)</f>
        <v>300.70892979719997</v>
      </c>
      <c r="AP63" s="194">
        <f>SUMIFS('INPUT Growth'!AP$125:AP$134,'INPUT Growth'!$C$125:$C$134,$C63,'INPUT Growth'!$D$125:$D$134,$D63,'INPUT Growth'!$F$125:$F$134,$F63)*SUMIFS(AP$33:AP$35,$E$33:$E$35,$D63)</f>
        <v>300.70892979719997</v>
      </c>
      <c r="AQ63" s="194">
        <f>SUMIFS('INPUT Growth'!AQ$125:AQ$134,'INPUT Growth'!$C$125:$C$134,$C63,'INPUT Growth'!$D$125:$D$134,$D63,'INPUT Growth'!$F$125:$F$134,$F63)*SUMIFS(AQ$33:AQ$35,$E$33:$E$35,$D63)</f>
        <v>300.70892979719997</v>
      </c>
      <c r="AR63" s="194">
        <f>SUMIFS('INPUT Growth'!AR$125:AR$134,'INPUT Growth'!$C$125:$C$134,$C63,'INPUT Growth'!$D$125:$D$134,$D63,'INPUT Growth'!$F$125:$F$134,$F63)*SUMIFS(AR$33:AR$35,$E$33:$E$35,$D63)</f>
        <v>300.70892979719997</v>
      </c>
      <c r="AS63" s="194">
        <f>SUMIFS('INPUT Growth'!AS$125:AS$134,'INPUT Growth'!$C$125:$C$134,$C63,'INPUT Growth'!$D$125:$D$134,$D63,'INPUT Growth'!$F$125:$F$134,$F63)*SUMIFS(AS$33:AS$35,$E$33:$E$35,$D63)</f>
        <v>300.70892979719997</v>
      </c>
      <c r="AT63" s="194">
        <f>SUMIFS('INPUT Growth'!AT$125:AT$134,'INPUT Growth'!$C$125:$C$134,$C63,'INPUT Growth'!$D$125:$D$134,$D63,'INPUT Growth'!$F$125:$F$134,$F63)*SUMIFS(AT$33:AT$35,$E$33:$E$35,$D63)</f>
        <v>300.70892979719997</v>
      </c>
      <c r="AU63" s="194">
        <f>SUMIFS('INPUT Growth'!AU$125:AU$134,'INPUT Growth'!$C$125:$C$134,$C63,'INPUT Growth'!$D$125:$D$134,$D63,'INPUT Growth'!$F$125:$F$134,$F63)*SUMIFS(AU$33:AU$35,$E$33:$E$35,$D63)</f>
        <v>300.70892979719997</v>
      </c>
      <c r="AV63" s="194">
        <f>SUMIFS('INPUT Growth'!AV$125:AV$134,'INPUT Growth'!$C$125:$C$134,$C63,'INPUT Growth'!$D$125:$D$134,$D63,'INPUT Growth'!$F$125:$F$134,$F63)*SUMIFS(AV$33:AV$35,$E$33:$E$35,$D63)</f>
        <v>300.70892979719997</v>
      </c>
      <c r="AW63" s="194">
        <f>SUMIFS('INPUT Growth'!AW$125:AW$134,'INPUT Growth'!$C$125:$C$134,$C63,'INPUT Growth'!$D$125:$D$134,$D63,'INPUT Growth'!$F$125:$F$134,$F63)*SUMIFS(AW$33:AW$35,$E$33:$E$35,$D63)</f>
        <v>300.70892979719997</v>
      </c>
    </row>
    <row r="64" spans="1:49" outlineLevel="1" x14ac:dyDescent="0.2">
      <c r="A64" s="51" t="str" cm="1">
        <f t="array" ref="A64">INDEX(TariffCode, MATCH(1,(C64=TariffZone)*(D64=TariffProduct),0))</f>
        <v>SW</v>
      </c>
      <c r="B64" s="51"/>
      <c r="C64" s="150" t="s">
        <v>287</v>
      </c>
      <c r="D64" s="150" t="s">
        <v>301</v>
      </c>
      <c r="E64" s="150"/>
      <c r="F64" s="150" t="s">
        <v>265</v>
      </c>
      <c r="G64" s="150"/>
      <c r="H64" s="150"/>
      <c r="I64" s="150"/>
      <c r="J64" s="150"/>
      <c r="K64" s="150"/>
      <c r="L64" s="150"/>
      <c r="M64" s="150"/>
      <c r="N64" s="150"/>
      <c r="O64" s="150"/>
      <c r="P64" s="150"/>
      <c r="Q64" s="150"/>
      <c r="R64" s="150"/>
      <c r="S64" s="150"/>
      <c r="T64" s="150"/>
      <c r="U64" s="150"/>
      <c r="V64" s="150"/>
      <c r="W64" s="150"/>
      <c r="X64" s="150"/>
      <c r="Y64" s="150"/>
      <c r="Z64" s="150"/>
      <c r="AA64" s="150"/>
      <c r="AB64" s="150"/>
      <c r="AC64" s="194">
        <f>SUMIFS('INPUT Growth'!AC$125:AC$134,'INPUT Growth'!$C$125:$C$134,$C64,'INPUT Growth'!$D$125:$D$134,$D64,'INPUT Growth'!$F$125:$F$134,$F64)*SUMIFS(AC$33:AC$35,$E$33:$E$35,$D64)</f>
        <v>233.43896200620918</v>
      </c>
      <c r="AD64" s="194">
        <f>SUMIFS('INPUT Growth'!AD$125:AD$134,'INPUT Growth'!$C$125:$C$134,$C64,'INPUT Growth'!$D$125:$D$134,$D64,'INPUT Growth'!$F$125:$F$134,$F64)*SUMIFS(AD$33:AD$35,$E$33:$E$35,$D64)</f>
        <v>235.20125636720402</v>
      </c>
      <c r="AE64" s="194">
        <f>SUMIFS('INPUT Growth'!AE$125:AE$134,'INPUT Growth'!$C$125:$C$134,$C64,'INPUT Growth'!$D$125:$D$134,$D64,'INPUT Growth'!$F$125:$F$134,$F64)*SUMIFS(AE$33:AE$35,$E$33:$E$35,$D64)</f>
        <v>236.79669271388968</v>
      </c>
      <c r="AF64" s="194">
        <f>SUMIFS('INPUT Growth'!AF$125:AF$134,'INPUT Growth'!$C$125:$C$134,$C64,'INPUT Growth'!$D$125:$D$134,$D64,'INPUT Growth'!$F$125:$F$134,$F64)*SUMIFS(AF$33:AF$35,$E$33:$E$35,$D64)</f>
        <v>236.72717483681231</v>
      </c>
      <c r="AG64" s="194">
        <f>SUMIFS('INPUT Growth'!AG$125:AG$134,'INPUT Growth'!$C$125:$C$134,$C64,'INPUT Growth'!$D$125:$D$134,$D64,'INPUT Growth'!$F$125:$F$134,$F64)*SUMIFS(AG$33:AG$35,$E$33:$E$35,$D64)</f>
        <v>236.58118802027982</v>
      </c>
      <c r="AH64" s="194">
        <f>SUMIFS('INPUT Growth'!AH$125:AH$134,'INPUT Growth'!$C$125:$C$134,$C64,'INPUT Growth'!$D$125:$D$134,$D64,'INPUT Growth'!$F$125:$F$134,$F64)*SUMIFS(AH$33:AH$35,$E$33:$E$35,$D64)</f>
        <v>236.45965626985179</v>
      </c>
      <c r="AI64" s="194">
        <f>SUMIFS('INPUT Growth'!AI$125:AI$134,'INPUT Growth'!$C$125:$C$134,$C64,'INPUT Growth'!$D$125:$D$134,$D64,'INPUT Growth'!$F$125:$F$134,$F64)*SUMIFS(AI$33:AI$35,$E$33:$E$35,$D64)</f>
        <v>236.13690831718804</v>
      </c>
      <c r="AJ64" s="194">
        <f>SUMIFS('INPUT Growth'!AJ$125:AJ$134,'INPUT Growth'!$C$125:$C$134,$C64,'INPUT Growth'!$D$125:$D$134,$D64,'INPUT Growth'!$F$125:$F$134,$F64)*SUMIFS(AJ$33:AJ$35,$E$33:$E$35,$D64)</f>
        <v>235.88078944430984</v>
      </c>
      <c r="AK64" s="194">
        <f>SUMIFS('INPUT Growth'!AK$125:AK$134,'INPUT Growth'!$C$125:$C$134,$C64,'INPUT Growth'!$D$125:$D$134,$D64,'INPUT Growth'!$F$125:$F$134,$F64)*SUMIFS(AK$33:AK$35,$E$33:$E$35,$D64)</f>
        <v>235.49969627366306</v>
      </c>
      <c r="AL64" s="194">
        <f>SUMIFS('INPUT Growth'!AL$125:AL$134,'INPUT Growth'!$C$125:$C$134,$C64,'INPUT Growth'!$D$125:$D$134,$D64,'INPUT Growth'!$F$125:$F$134,$F64)*SUMIFS(AL$33:AL$35,$E$33:$E$35,$D64)</f>
        <v>235.2383183572189</v>
      </c>
      <c r="AM64" s="194">
        <f>SUMIFS('INPUT Growth'!AM$125:AM$134,'INPUT Growth'!$C$125:$C$134,$C64,'INPUT Growth'!$D$125:$D$134,$D64,'INPUT Growth'!$F$125:$F$134,$F64)*SUMIFS(AM$33:AM$35,$E$33:$E$35,$D64)</f>
        <v>234.96228713147698</v>
      </c>
      <c r="AN64" s="194">
        <f>SUMIFS('INPUT Growth'!AN$125:AN$134,'INPUT Growth'!$C$125:$C$134,$C64,'INPUT Growth'!$D$125:$D$134,$D64,'INPUT Growth'!$F$125:$F$134,$F64)*SUMIFS(AN$33:AN$35,$E$33:$E$35,$D64)</f>
        <v>234.46034639673837</v>
      </c>
      <c r="AO64" s="194">
        <f>SUMIFS('INPUT Growth'!AO$125:AO$134,'INPUT Growth'!$C$125:$C$134,$C64,'INPUT Growth'!$D$125:$D$134,$D64,'INPUT Growth'!$F$125:$F$134,$F64)*SUMIFS(AO$33:AO$35,$E$33:$E$35,$D64)</f>
        <v>233.9497704439039</v>
      </c>
      <c r="AP64" s="194">
        <f>SUMIFS('INPUT Growth'!AP$125:AP$134,'INPUT Growth'!$C$125:$C$134,$C64,'INPUT Growth'!$D$125:$D$134,$D64,'INPUT Growth'!$F$125:$F$134,$F64)*SUMIFS(AP$33:AP$35,$E$33:$E$35,$D64)</f>
        <v>233.59236631496535</v>
      </c>
      <c r="AQ64" s="194">
        <f>SUMIFS('INPUT Growth'!AQ$125:AQ$134,'INPUT Growth'!$C$125:$C$134,$C64,'INPUT Growth'!$D$125:$D$134,$D64,'INPUT Growth'!$F$125:$F$134,$F64)*SUMIFS(AQ$33:AQ$35,$E$33:$E$35,$D64)</f>
        <v>233.21816472430118</v>
      </c>
      <c r="AR64" s="194">
        <f>SUMIFS('INPUT Growth'!AR$125:AR$134,'INPUT Growth'!$C$125:$C$134,$C64,'INPUT Growth'!$D$125:$D$134,$D64,'INPUT Growth'!$F$125:$F$134,$F64)*SUMIFS(AR$33:AR$35,$E$33:$E$35,$D64)</f>
        <v>232.93917693333924</v>
      </c>
      <c r="AS64" s="194">
        <f>SUMIFS('INPUT Growth'!AS$125:AS$134,'INPUT Growth'!$C$125:$C$134,$C64,'INPUT Growth'!$D$125:$D$134,$D64,'INPUT Growth'!$F$125:$F$134,$F64)*SUMIFS(AS$33:AS$35,$E$33:$E$35,$D64)</f>
        <v>232.65964069079041</v>
      </c>
      <c r="AT64" s="194">
        <f>SUMIFS('INPUT Growth'!AT$125:AT$134,'INPUT Growth'!$C$125:$C$134,$C64,'INPUT Growth'!$D$125:$D$134,$D64,'INPUT Growth'!$F$125:$F$134,$F64)*SUMIFS(AT$33:AT$35,$E$33:$E$35,$D64)</f>
        <v>232.50626957900241</v>
      </c>
      <c r="AU64" s="194">
        <f>SUMIFS('INPUT Growth'!AU$125:AU$134,'INPUT Growth'!$C$125:$C$134,$C64,'INPUT Growth'!$D$125:$D$134,$D64,'INPUT Growth'!$F$125:$F$134,$F64)*SUMIFS(AU$33:AU$35,$E$33:$E$35,$D64)</f>
        <v>232.1142530122633</v>
      </c>
      <c r="AV64" s="194">
        <f>SUMIFS('INPUT Growth'!AV$125:AV$134,'INPUT Growth'!$C$125:$C$134,$C64,'INPUT Growth'!$D$125:$D$134,$D64,'INPUT Growth'!$F$125:$F$134,$F64)*SUMIFS(AV$33:AV$35,$E$33:$E$35,$D64)</f>
        <v>231.77891524815615</v>
      </c>
      <c r="AW64" s="194">
        <f>SUMIFS('INPUT Growth'!AW$125:AW$134,'INPUT Growth'!$C$125:$C$134,$C64,'INPUT Growth'!$D$125:$D$134,$D64,'INPUT Growth'!$F$125:$F$134,$F64)*SUMIFS(AW$33:AW$35,$E$33:$E$35,$D64)</f>
        <v>231.41612760656599</v>
      </c>
    </row>
    <row r="65" spans="1:49" outlineLevel="1" x14ac:dyDescent="0.2">
      <c r="A65" s="51" t="str" cm="1">
        <f t="array" ref="A65">INDEX(TariffCode, MATCH(1,(C65=TariffZone)*(D65=TariffProduct),0))</f>
        <v>GW</v>
      </c>
      <c r="B65" s="51"/>
      <c r="C65" s="150" t="s">
        <v>290</v>
      </c>
      <c r="D65" s="150" t="s">
        <v>301</v>
      </c>
      <c r="E65" s="150"/>
      <c r="F65" s="150" t="s">
        <v>265</v>
      </c>
      <c r="G65" s="150"/>
      <c r="H65" s="150"/>
      <c r="I65" s="150"/>
      <c r="J65" s="150"/>
      <c r="K65" s="150"/>
      <c r="L65" s="150"/>
      <c r="M65" s="150"/>
      <c r="N65" s="150"/>
      <c r="O65" s="150"/>
      <c r="P65" s="150"/>
      <c r="Q65" s="150"/>
      <c r="R65" s="150"/>
      <c r="S65" s="150"/>
      <c r="T65" s="150"/>
      <c r="U65" s="150"/>
      <c r="V65" s="150"/>
      <c r="W65" s="150"/>
      <c r="X65" s="150"/>
      <c r="Y65" s="150"/>
      <c r="Z65" s="150"/>
      <c r="AA65" s="150"/>
      <c r="AB65" s="150"/>
      <c r="AC65" s="194">
        <f>SUMIFS('INPUT Growth'!AC$125:AC$134,'INPUT Growth'!$C$125:$C$134,$C65,'INPUT Growth'!$D$125:$D$134,$D65,'INPUT Growth'!$F$125:$F$134,$F65)*SUMIFS(AC$33:AC$35,$E$33:$E$35,$D65)</f>
        <v>202.17546548888029</v>
      </c>
      <c r="AD65" s="194">
        <f>SUMIFS('INPUT Growth'!AD$125:AD$134,'INPUT Growth'!$C$125:$C$134,$C65,'INPUT Growth'!$D$125:$D$134,$D65,'INPUT Growth'!$F$125:$F$134,$F65)*SUMIFS(AD$33:AD$35,$E$33:$E$35,$D65)</f>
        <v>203.56580414683032</v>
      </c>
      <c r="AE65" s="194">
        <f>SUMIFS('INPUT Growth'!AE$125:AE$134,'INPUT Growth'!$C$125:$C$134,$C65,'INPUT Growth'!$D$125:$D$134,$D65,'INPUT Growth'!$F$125:$F$134,$F65)*SUMIFS(AE$33:AE$35,$E$33:$E$35,$D65)</f>
        <v>204.21572606575592</v>
      </c>
      <c r="AF65" s="194">
        <f>SUMIFS('INPUT Growth'!AF$125:AF$134,'INPUT Growth'!$C$125:$C$134,$C65,'INPUT Growth'!$D$125:$D$134,$D65,'INPUT Growth'!$F$125:$F$134,$F65)*SUMIFS(AF$33:AF$35,$E$33:$E$35,$D65)</f>
        <v>207.07314562765026</v>
      </c>
      <c r="AG65" s="194">
        <f>SUMIFS('INPUT Growth'!AG$125:AG$134,'INPUT Growth'!$C$125:$C$134,$C65,'INPUT Growth'!$D$125:$D$134,$D65,'INPUT Growth'!$F$125:$F$134,$F65)*SUMIFS(AG$33:AG$35,$E$33:$E$35,$D65)</f>
        <v>206.17808478807657</v>
      </c>
      <c r="AH65" s="194">
        <f>SUMIFS('INPUT Growth'!AH$125:AH$134,'INPUT Growth'!$C$125:$C$134,$C65,'INPUT Growth'!$D$125:$D$134,$D65,'INPUT Growth'!$F$125:$F$134,$F65)*SUMIFS(AH$33:AH$35,$E$33:$E$35,$D65)</f>
        <v>205.39885416664293</v>
      </c>
      <c r="AI65" s="194">
        <f>SUMIFS('INPUT Growth'!AI$125:AI$134,'INPUT Growth'!$C$125:$C$134,$C65,'INPUT Growth'!$D$125:$D$134,$D65,'INPUT Growth'!$F$125:$F$134,$F65)*SUMIFS(AI$33:AI$35,$E$33:$E$35,$D65)</f>
        <v>204.55523821422315</v>
      </c>
      <c r="AJ65" s="194">
        <f>SUMIFS('INPUT Growth'!AJ$125:AJ$134,'INPUT Growth'!$C$125:$C$134,$C65,'INPUT Growth'!$D$125:$D$134,$D65,'INPUT Growth'!$F$125:$F$134,$F65)*SUMIFS(AJ$33:AJ$35,$E$33:$E$35,$D65)</f>
        <v>203.81224540499906</v>
      </c>
      <c r="AK65" s="194">
        <f>SUMIFS('INPUT Growth'!AK$125:AK$134,'INPUT Growth'!$C$125:$C$134,$C65,'INPUT Growth'!$D$125:$D$134,$D65,'INPUT Growth'!$F$125:$F$134,$F65)*SUMIFS(AK$33:AK$35,$E$33:$E$35,$D65)</f>
        <v>203.24780556805328</v>
      </c>
      <c r="AL65" s="194">
        <f>SUMIFS('INPUT Growth'!AL$125:AL$134,'INPUT Growth'!$C$125:$C$134,$C65,'INPUT Growth'!$D$125:$D$134,$D65,'INPUT Growth'!$F$125:$F$134,$F65)*SUMIFS(AL$33:AL$35,$E$33:$E$35,$D65)</f>
        <v>202.66895334634572</v>
      </c>
      <c r="AM65" s="194">
        <f>SUMIFS('INPUT Growth'!AM$125:AM$134,'INPUT Growth'!$C$125:$C$134,$C65,'INPUT Growth'!$D$125:$D$134,$D65,'INPUT Growth'!$F$125:$F$134,$F65)*SUMIFS(AM$33:AM$35,$E$33:$E$35,$D65)</f>
        <v>202.06304568863908</v>
      </c>
      <c r="AN65" s="194">
        <f>SUMIFS('INPUT Growth'!AN$125:AN$134,'INPUT Growth'!$C$125:$C$134,$C65,'INPUT Growth'!$D$125:$D$134,$D65,'INPUT Growth'!$F$125:$F$134,$F65)*SUMIFS(AN$33:AN$35,$E$33:$E$35,$D65)</f>
        <v>200.97093794489726</v>
      </c>
      <c r="AO65" s="194">
        <f>SUMIFS('INPUT Growth'!AO$125:AO$134,'INPUT Growth'!$C$125:$C$134,$C65,'INPUT Growth'!$D$125:$D$134,$D65,'INPUT Growth'!$F$125:$F$134,$F65)*SUMIFS(AO$33:AO$35,$E$33:$E$35,$D65)</f>
        <v>199.75950473835465</v>
      </c>
      <c r="AP65" s="194">
        <f>SUMIFS('INPUT Growth'!AP$125:AP$134,'INPUT Growth'!$C$125:$C$134,$C65,'INPUT Growth'!$D$125:$D$134,$D65,'INPUT Growth'!$F$125:$F$134,$F65)*SUMIFS(AP$33:AP$35,$E$33:$E$35,$D65)</f>
        <v>198.49418926276135</v>
      </c>
      <c r="AQ65" s="194">
        <f>SUMIFS('INPUT Growth'!AQ$125:AQ$134,'INPUT Growth'!$C$125:$C$134,$C65,'INPUT Growth'!$D$125:$D$134,$D65,'INPUT Growth'!$F$125:$F$134,$F65)*SUMIFS(AQ$33:AQ$35,$E$33:$E$35,$D65)</f>
        <v>197.18772912993956</v>
      </c>
      <c r="AR65" s="194">
        <f>SUMIFS('INPUT Growth'!AR$125:AR$134,'INPUT Growth'!$C$125:$C$134,$C65,'INPUT Growth'!$D$125:$D$134,$D65,'INPUT Growth'!$F$125:$F$134,$F65)*SUMIFS(AR$33:AR$35,$E$33:$E$35,$D65)</f>
        <v>195.81512930024388</v>
      </c>
      <c r="AS65" s="194">
        <f>SUMIFS('INPUT Growth'!AS$125:AS$134,'INPUT Growth'!$C$125:$C$134,$C65,'INPUT Growth'!$D$125:$D$134,$D65,'INPUT Growth'!$F$125:$F$134,$F65)*SUMIFS(AS$33:AS$35,$E$33:$E$35,$D65)</f>
        <v>194.38225160909076</v>
      </c>
      <c r="AT65" s="194">
        <f>SUMIFS('INPUT Growth'!AT$125:AT$134,'INPUT Growth'!$C$125:$C$134,$C65,'INPUT Growth'!$D$125:$D$134,$D65,'INPUT Growth'!$F$125:$F$134,$F65)*SUMIFS(AT$33:AT$35,$E$33:$E$35,$D65)</f>
        <v>194.79058813065006</v>
      </c>
      <c r="AU65" s="194">
        <f>SUMIFS('INPUT Growth'!AU$125:AU$134,'INPUT Growth'!$C$125:$C$134,$C65,'INPUT Growth'!$D$125:$D$134,$D65,'INPUT Growth'!$F$125:$F$134,$F65)*SUMIFS(AU$33:AU$35,$E$33:$E$35,$D65)</f>
        <v>193.99614872180567</v>
      </c>
      <c r="AV65" s="194">
        <f>SUMIFS('INPUT Growth'!AV$125:AV$134,'INPUT Growth'!$C$125:$C$134,$C65,'INPUT Growth'!$D$125:$D$134,$D65,'INPUT Growth'!$F$125:$F$134,$F65)*SUMIFS(AV$33:AV$35,$E$33:$E$35,$D65)</f>
        <v>193.17169310324417</v>
      </c>
      <c r="AW65" s="194">
        <f>SUMIFS('INPUT Growth'!AW$125:AW$134,'INPUT Growth'!$C$125:$C$134,$C65,'INPUT Growth'!$D$125:$D$134,$D65,'INPUT Growth'!$F$125:$F$134,$F65)*SUMIFS(AW$33:AW$35,$E$33:$E$35,$D65)</f>
        <v>192.39243894648195</v>
      </c>
    </row>
    <row r="66" spans="1:49" outlineLevel="1" x14ac:dyDescent="0.2">
      <c r="A66" s="51" t="str" cm="1">
        <f t="array" ref="A66">INDEX(TariffCode, MATCH(1,(C66=TariffZone)*(D66=TariffProduct),0))</f>
        <v>SS</v>
      </c>
      <c r="B66" s="51"/>
      <c r="C66" s="150" t="s">
        <v>287</v>
      </c>
      <c r="D66" s="150" t="s">
        <v>303</v>
      </c>
      <c r="E66" s="150"/>
      <c r="F66" s="150" t="s">
        <v>262</v>
      </c>
      <c r="G66" s="150"/>
      <c r="H66" s="150"/>
      <c r="I66" s="150"/>
      <c r="J66" s="150"/>
      <c r="K66" s="150"/>
      <c r="L66" s="150"/>
      <c r="M66" s="150"/>
      <c r="N66" s="150"/>
      <c r="O66" s="150"/>
      <c r="P66" s="150"/>
      <c r="Q66" s="150"/>
      <c r="R66" s="150"/>
      <c r="S66" s="150"/>
      <c r="T66" s="150"/>
      <c r="U66" s="150"/>
      <c r="V66" s="150"/>
      <c r="W66" s="150"/>
      <c r="X66" s="150"/>
      <c r="Y66" s="150"/>
      <c r="Z66" s="150"/>
      <c r="AA66" s="150"/>
      <c r="AB66" s="150"/>
      <c r="AC66" s="194">
        <f>SUMIFS('INPUT Growth'!AC$125:AC$134,'INPUT Growth'!$C$125:$C$134,$C66,'INPUT Growth'!$D$125:$D$134,$D66,'INPUT Growth'!$F$125:$F$134,$F66)*SUMIFS(AC$33:AC$35,$E$33:$E$35,$D66)</f>
        <v>113.6653</v>
      </c>
      <c r="AD66" s="194">
        <f>SUMIFS('INPUT Growth'!AD$125:AD$134,'INPUT Growth'!$C$125:$C$134,$C66,'INPUT Growth'!$D$125:$D$134,$D66,'INPUT Growth'!$F$125:$F$134,$F66)*SUMIFS(AD$33:AD$35,$E$33:$E$35,$D66)</f>
        <v>113.6653</v>
      </c>
      <c r="AE66" s="194">
        <f>SUMIFS('INPUT Growth'!AE$125:AE$134,'INPUT Growth'!$C$125:$C$134,$C66,'INPUT Growth'!$D$125:$D$134,$D66,'INPUT Growth'!$F$125:$F$134,$F66)*SUMIFS(AE$33:AE$35,$E$33:$E$35,$D66)</f>
        <v>113.6653</v>
      </c>
      <c r="AF66" s="194">
        <f>SUMIFS('INPUT Growth'!AF$125:AF$134,'INPUT Growth'!$C$125:$C$134,$C66,'INPUT Growth'!$D$125:$D$134,$D66,'INPUT Growth'!$F$125:$F$134,$F66)*SUMIFS(AF$33:AF$35,$E$33:$E$35,$D66)</f>
        <v>113.6653</v>
      </c>
      <c r="AG66" s="194">
        <f>SUMIFS('INPUT Growth'!AG$125:AG$134,'INPUT Growth'!$C$125:$C$134,$C66,'INPUT Growth'!$D$125:$D$134,$D66,'INPUT Growth'!$F$125:$F$134,$F66)*SUMIFS(AG$33:AG$35,$E$33:$E$35,$D66)</f>
        <v>113.66530000000003</v>
      </c>
      <c r="AH66" s="194">
        <f>SUMIFS('INPUT Growth'!AH$125:AH$134,'INPUT Growth'!$C$125:$C$134,$C66,'INPUT Growth'!$D$125:$D$134,$D66,'INPUT Growth'!$F$125:$F$134,$F66)*SUMIFS(AH$33:AH$35,$E$33:$E$35,$D66)</f>
        <v>113.6653</v>
      </c>
      <c r="AI66" s="194">
        <f>SUMIFS('INPUT Growth'!AI$125:AI$134,'INPUT Growth'!$C$125:$C$134,$C66,'INPUT Growth'!$D$125:$D$134,$D66,'INPUT Growth'!$F$125:$F$134,$F66)*SUMIFS(AI$33:AI$35,$E$33:$E$35,$D66)</f>
        <v>113.6653</v>
      </c>
      <c r="AJ66" s="194">
        <f>SUMIFS('INPUT Growth'!AJ$125:AJ$134,'INPUT Growth'!$C$125:$C$134,$C66,'INPUT Growth'!$D$125:$D$134,$D66,'INPUT Growth'!$F$125:$F$134,$F66)*SUMIFS(AJ$33:AJ$35,$E$33:$E$35,$D66)</f>
        <v>113.6653</v>
      </c>
      <c r="AK66" s="194">
        <f>SUMIFS('INPUT Growth'!AK$125:AK$134,'INPUT Growth'!$C$125:$C$134,$C66,'INPUT Growth'!$D$125:$D$134,$D66,'INPUT Growth'!$F$125:$F$134,$F66)*SUMIFS(AK$33:AK$35,$E$33:$E$35,$D66)</f>
        <v>113.6653</v>
      </c>
      <c r="AL66" s="194">
        <f>SUMIFS('INPUT Growth'!AL$125:AL$134,'INPUT Growth'!$C$125:$C$134,$C66,'INPUT Growth'!$D$125:$D$134,$D66,'INPUT Growth'!$F$125:$F$134,$F66)*SUMIFS(AL$33:AL$35,$E$33:$E$35,$D66)</f>
        <v>113.6653</v>
      </c>
      <c r="AM66" s="194">
        <f>SUMIFS('INPUT Growth'!AM$125:AM$134,'INPUT Growth'!$C$125:$C$134,$C66,'INPUT Growth'!$D$125:$D$134,$D66,'INPUT Growth'!$F$125:$F$134,$F66)*SUMIFS(AM$33:AM$35,$E$33:$E$35,$D66)</f>
        <v>113.6653</v>
      </c>
      <c r="AN66" s="194">
        <f>SUMIFS('INPUT Growth'!AN$125:AN$134,'INPUT Growth'!$C$125:$C$134,$C66,'INPUT Growth'!$D$125:$D$134,$D66,'INPUT Growth'!$F$125:$F$134,$F66)*SUMIFS(AN$33:AN$35,$E$33:$E$35,$D66)</f>
        <v>113.6653</v>
      </c>
      <c r="AO66" s="194">
        <f>SUMIFS('INPUT Growth'!AO$125:AO$134,'INPUT Growth'!$C$125:$C$134,$C66,'INPUT Growth'!$D$125:$D$134,$D66,'INPUT Growth'!$F$125:$F$134,$F66)*SUMIFS(AO$33:AO$35,$E$33:$E$35,$D66)</f>
        <v>113.6653</v>
      </c>
      <c r="AP66" s="194">
        <f>SUMIFS('INPUT Growth'!AP$125:AP$134,'INPUT Growth'!$C$125:$C$134,$C66,'INPUT Growth'!$D$125:$D$134,$D66,'INPUT Growth'!$F$125:$F$134,$F66)*SUMIFS(AP$33:AP$35,$E$33:$E$35,$D66)</f>
        <v>113.6653</v>
      </c>
      <c r="AQ66" s="194">
        <f>SUMIFS('INPUT Growth'!AQ$125:AQ$134,'INPUT Growth'!$C$125:$C$134,$C66,'INPUT Growth'!$D$125:$D$134,$D66,'INPUT Growth'!$F$125:$F$134,$F66)*SUMIFS(AQ$33:AQ$35,$E$33:$E$35,$D66)</f>
        <v>113.6653</v>
      </c>
      <c r="AR66" s="194">
        <f>SUMIFS('INPUT Growth'!AR$125:AR$134,'INPUT Growth'!$C$125:$C$134,$C66,'INPUT Growth'!$D$125:$D$134,$D66,'INPUT Growth'!$F$125:$F$134,$F66)*SUMIFS(AR$33:AR$35,$E$33:$E$35,$D66)</f>
        <v>113.6653</v>
      </c>
      <c r="AS66" s="194">
        <f>SUMIFS('INPUT Growth'!AS$125:AS$134,'INPUT Growth'!$C$125:$C$134,$C66,'INPUT Growth'!$D$125:$D$134,$D66,'INPUT Growth'!$F$125:$F$134,$F66)*SUMIFS(AS$33:AS$35,$E$33:$E$35,$D66)</f>
        <v>113.6653</v>
      </c>
      <c r="AT66" s="194">
        <f>SUMIFS('INPUT Growth'!AT$125:AT$134,'INPUT Growth'!$C$125:$C$134,$C66,'INPUT Growth'!$D$125:$D$134,$D66,'INPUT Growth'!$F$125:$F$134,$F66)*SUMIFS(AT$33:AT$35,$E$33:$E$35,$D66)</f>
        <v>113.6653</v>
      </c>
      <c r="AU66" s="194">
        <f>SUMIFS('INPUT Growth'!AU$125:AU$134,'INPUT Growth'!$C$125:$C$134,$C66,'INPUT Growth'!$D$125:$D$134,$D66,'INPUT Growth'!$F$125:$F$134,$F66)*SUMIFS(AU$33:AU$35,$E$33:$E$35,$D66)</f>
        <v>113.6653</v>
      </c>
      <c r="AV66" s="194">
        <f>SUMIFS('INPUT Growth'!AV$125:AV$134,'INPUT Growth'!$C$125:$C$134,$C66,'INPUT Growth'!$D$125:$D$134,$D66,'INPUT Growth'!$F$125:$F$134,$F66)*SUMIFS(AV$33:AV$35,$E$33:$E$35,$D66)</f>
        <v>113.6653</v>
      </c>
      <c r="AW66" s="194">
        <f>SUMIFS('INPUT Growth'!AW$125:AW$134,'INPUT Growth'!$C$125:$C$134,$C66,'INPUT Growth'!$D$125:$D$134,$D66,'INPUT Growth'!$F$125:$F$134,$F66)*SUMIFS(AW$33:AW$35,$E$33:$E$35,$D66)</f>
        <v>113.6653</v>
      </c>
    </row>
    <row r="67" spans="1:49" outlineLevel="1" x14ac:dyDescent="0.2">
      <c r="A67" s="51" t="str" cm="1">
        <f t="array" ref="A67">INDEX(TariffCode, MATCH(1,(C67=TariffZone)*(D67=TariffProduct),0))</f>
        <v>SS</v>
      </c>
      <c r="B67" s="51"/>
      <c r="C67" s="150" t="s">
        <v>287</v>
      </c>
      <c r="D67" s="150" t="s">
        <v>303</v>
      </c>
      <c r="E67" s="150"/>
      <c r="F67" s="150" t="s">
        <v>265</v>
      </c>
      <c r="G67" s="150"/>
      <c r="H67" s="150"/>
      <c r="I67" s="150"/>
      <c r="J67" s="150"/>
      <c r="K67" s="150"/>
      <c r="L67" s="150"/>
      <c r="M67" s="150"/>
      <c r="N67" s="150"/>
      <c r="O67" s="150"/>
      <c r="P67" s="150"/>
      <c r="Q67" s="150"/>
      <c r="R67" s="150"/>
      <c r="S67" s="150"/>
      <c r="T67" s="150"/>
      <c r="U67" s="150"/>
      <c r="V67" s="150"/>
      <c r="W67" s="150"/>
      <c r="X67" s="150"/>
      <c r="Y67" s="150"/>
      <c r="Z67" s="150"/>
      <c r="AA67" s="150"/>
      <c r="AB67" s="150"/>
      <c r="AC67" s="194">
        <f>SUMIFS('INPUT Growth'!AC$125:AC$134,'INPUT Growth'!$C$125:$C$134,$C67,'INPUT Growth'!$D$125:$D$134,$D67,'INPUT Growth'!$F$125:$F$134,$F67)*SUMIFS(AC$33:AC$35,$E$33:$E$35,$D67)</f>
        <v>0.66622151536238094</v>
      </c>
      <c r="AD67" s="194">
        <f>SUMIFS('INPUT Growth'!AD$125:AD$134,'INPUT Growth'!$C$125:$C$134,$C67,'INPUT Growth'!$D$125:$D$134,$D67,'INPUT Growth'!$F$125:$F$134,$F67)*SUMIFS(AD$33:AD$35,$E$33:$E$35,$D67)</f>
        <v>0.64742861547304886</v>
      </c>
      <c r="AE67" s="194">
        <f>SUMIFS('INPUT Growth'!AE$125:AE$134,'INPUT Growth'!$C$125:$C$134,$C67,'INPUT Growth'!$D$125:$D$134,$D67,'INPUT Growth'!$F$125:$F$134,$F67)*SUMIFS(AE$33:AE$35,$E$33:$E$35,$D67)</f>
        <v>0.64250683453237412</v>
      </c>
      <c r="AF67" s="194">
        <f>SUMIFS('INPUT Growth'!AF$125:AF$134,'INPUT Growth'!$C$125:$C$134,$C67,'INPUT Growth'!$D$125:$D$134,$D67,'INPUT Growth'!$F$125:$F$134,$F67)*SUMIFS(AF$33:AF$35,$E$33:$E$35,$D67)</f>
        <v>0.63469683409975242</v>
      </c>
      <c r="AG67" s="194">
        <f>SUMIFS('INPUT Growth'!AG$125:AG$134,'INPUT Growth'!$C$125:$C$134,$C67,'INPUT Growth'!$D$125:$D$134,$D67,'INPUT Growth'!$F$125:$F$134,$F67)*SUMIFS(AG$33:AG$35,$E$33:$E$35,$D67)</f>
        <v>0.62659721884234332</v>
      </c>
      <c r="AH67" s="194">
        <f>SUMIFS('INPUT Growth'!AH$125:AH$134,'INPUT Growth'!$C$125:$C$134,$C67,'INPUT Growth'!$D$125:$D$134,$D67,'INPUT Growth'!$F$125:$F$134,$F67)*SUMIFS(AH$33:AH$35,$E$33:$E$35,$D67)</f>
        <v>0.61914951268961138</v>
      </c>
      <c r="AI67" s="194">
        <f>SUMIFS('INPUT Growth'!AI$125:AI$134,'INPUT Growth'!$C$125:$C$134,$C67,'INPUT Growth'!$D$125:$D$134,$D67,'INPUT Growth'!$F$125:$F$134,$F67)*SUMIFS(AI$33:AI$35,$E$33:$E$35,$D67)</f>
        <v>0.61272145160514024</v>
      </c>
      <c r="AJ67" s="194">
        <f>SUMIFS('INPUT Growth'!AJ$125:AJ$134,'INPUT Growth'!$C$125:$C$134,$C67,'INPUT Growth'!$D$125:$D$134,$D67,'INPUT Growth'!$F$125:$F$134,$F67)*SUMIFS(AJ$33:AJ$35,$E$33:$E$35,$D67)</f>
        <v>0.60701349330675025</v>
      </c>
      <c r="AK67" s="194">
        <f>SUMIFS('INPUT Growth'!AK$125:AK$134,'INPUT Growth'!$C$125:$C$134,$C67,'INPUT Growth'!$D$125:$D$134,$D67,'INPUT Growth'!$F$125:$F$134,$F67)*SUMIFS(AK$33:AK$35,$E$33:$E$35,$D67)</f>
        <v>0.60157270853824174</v>
      </c>
      <c r="AL67" s="194">
        <f>SUMIFS('INPUT Growth'!AL$125:AL$134,'INPUT Growth'!$C$125:$C$134,$C67,'INPUT Growth'!$D$125:$D$134,$D67,'INPUT Growth'!$F$125:$F$134,$F67)*SUMIFS(AL$33:AL$35,$E$33:$E$35,$D67)</f>
        <v>0.59366221718934153</v>
      </c>
      <c r="AM67" s="194">
        <f>SUMIFS('INPUT Growth'!AM$125:AM$134,'INPUT Growth'!$C$125:$C$134,$C67,'INPUT Growth'!$D$125:$D$134,$D67,'INPUT Growth'!$F$125:$F$134,$F67)*SUMIFS(AM$33:AM$35,$E$33:$E$35,$D67)</f>
        <v>0.58590360824742271</v>
      </c>
      <c r="AN67" s="194">
        <f>SUMIFS('INPUT Growth'!AN$125:AN$134,'INPUT Growth'!$C$125:$C$134,$C67,'INPUT Growth'!$D$125:$D$134,$D67,'INPUT Growth'!$F$125:$F$134,$F67)*SUMIFS(AN$33:AN$35,$E$33:$E$35,$D67)</f>
        <v>0.58954492299958872</v>
      </c>
      <c r="AO67" s="194">
        <f>SUMIFS('INPUT Growth'!AO$125:AO$134,'INPUT Growth'!$C$125:$C$134,$C67,'INPUT Growth'!$D$125:$D$134,$D67,'INPUT Growth'!$F$125:$F$134,$F67)*SUMIFS(AO$33:AO$35,$E$33:$E$35,$D67)</f>
        <v>0.59356607498683034</v>
      </c>
      <c r="AP67" s="194">
        <f>SUMIFS('INPUT Growth'!AP$125:AP$134,'INPUT Growth'!$C$125:$C$134,$C67,'INPUT Growth'!$D$125:$D$134,$D67,'INPUT Growth'!$F$125:$F$134,$F67)*SUMIFS(AP$33:AP$35,$E$33:$E$35,$D67)</f>
        <v>0.59622405799757205</v>
      </c>
      <c r="AQ67" s="194">
        <f>SUMIFS('INPUT Growth'!AQ$125:AQ$134,'INPUT Growth'!$C$125:$C$134,$C67,'INPUT Growth'!$D$125:$D$134,$D67,'INPUT Growth'!$F$125:$F$134,$F67)*SUMIFS(AQ$33:AQ$35,$E$33:$E$35,$D67)</f>
        <v>0.59878650939074674</v>
      </c>
      <c r="AR67" s="194">
        <f>SUMIFS('INPUT Growth'!AR$125:AR$134,'INPUT Growth'!$C$125:$C$134,$C67,'INPUT Growth'!$D$125:$D$134,$D67,'INPUT Growth'!$F$125:$F$134,$F67)*SUMIFS(AR$33:AR$35,$E$33:$E$35,$D67)</f>
        <v>0.60068825467273679</v>
      </c>
      <c r="AS67" s="194">
        <f>SUMIFS('INPUT Growth'!AS$125:AS$134,'INPUT Growth'!$C$125:$C$134,$C67,'INPUT Growth'!$D$125:$D$134,$D67,'INPUT Growth'!$F$125:$F$134,$F67)*SUMIFS(AS$33:AS$35,$E$33:$E$35,$D67)</f>
        <v>0.60204903084404471</v>
      </c>
      <c r="AT67" s="194">
        <f>SUMIFS('INPUT Growth'!AT$125:AT$134,'INPUT Growth'!$C$125:$C$134,$C67,'INPUT Growth'!$D$125:$D$134,$D67,'INPUT Growth'!$F$125:$F$134,$F67)*SUMIFS(AT$33:AT$35,$E$33:$E$35,$D67)</f>
        <v>0.60266275799294566</v>
      </c>
      <c r="AU67" s="194">
        <f>SUMIFS('INPUT Growth'!AU$125:AU$134,'INPUT Growth'!$C$125:$C$134,$C67,'INPUT Growth'!$D$125:$D$134,$D67,'INPUT Growth'!$F$125:$F$134,$F67)*SUMIFS(AU$33:AU$35,$E$33:$E$35,$D67)</f>
        <v>0.59338624529485573</v>
      </c>
      <c r="AV67" s="194">
        <f>SUMIFS('INPUT Growth'!AV$125:AV$134,'INPUT Growth'!$C$125:$C$134,$C67,'INPUT Growth'!$D$125:$D$134,$D67,'INPUT Growth'!$F$125:$F$134,$F67)*SUMIFS(AV$33:AV$35,$E$33:$E$35,$D67)</f>
        <v>0.5842362820145155</v>
      </c>
      <c r="AW67" s="194">
        <f>SUMIFS('INPUT Growth'!AW$125:AW$134,'INPUT Growth'!$C$125:$C$134,$C67,'INPUT Growth'!$D$125:$D$134,$D67,'INPUT Growth'!$F$125:$F$134,$F67)*SUMIFS(AW$33:AW$35,$E$33:$E$35,$D67)</f>
        <v>0.57814759700032614</v>
      </c>
    </row>
    <row r="68" spans="1:49" outlineLevel="1" x14ac:dyDescent="0.2">
      <c r="A68" s="51" t="str" cm="1">
        <f t="array" ref="A68">INDEX(TariffCode, MATCH(1,(C68=TariffZone)*(D68=TariffProduct),0))</f>
        <v>GS</v>
      </c>
      <c r="B68" s="51"/>
      <c r="C68" s="150" t="s">
        <v>290</v>
      </c>
      <c r="D68" s="150" t="s">
        <v>303</v>
      </c>
      <c r="E68" s="150"/>
      <c r="F68" s="150" t="s">
        <v>265</v>
      </c>
      <c r="G68" s="150"/>
      <c r="H68" s="150"/>
      <c r="I68" s="150"/>
      <c r="J68" s="150"/>
      <c r="K68" s="150"/>
      <c r="L68" s="150"/>
      <c r="M68" s="150"/>
      <c r="N68" s="150"/>
      <c r="O68" s="150"/>
      <c r="P68" s="150"/>
      <c r="Q68" s="150"/>
      <c r="R68" s="150"/>
      <c r="S68" s="150"/>
      <c r="T68" s="150"/>
      <c r="U68" s="150"/>
      <c r="V68" s="150"/>
      <c r="W68" s="150"/>
      <c r="X68" s="150"/>
      <c r="Y68" s="150"/>
      <c r="Z68" s="150"/>
      <c r="AA68" s="150"/>
      <c r="AB68" s="150"/>
      <c r="AC68" s="194">
        <f>SUMIFS('INPUT Growth'!AC$125:AC$134,'INPUT Growth'!$C$125:$C$134,$C68,'INPUT Growth'!$D$125:$D$134,$D68,'INPUT Growth'!$F$125:$F$134,$F68)*SUMIFS(AC$33:AC$35,$E$33:$E$35,$D68)</f>
        <v>4.289574996288489</v>
      </c>
      <c r="AD68" s="194">
        <f>SUMIFS('INPUT Growth'!AD$125:AD$134,'INPUT Growth'!$C$125:$C$134,$C68,'INPUT Growth'!$D$125:$D$134,$D68,'INPUT Growth'!$F$125:$F$134,$F68)*SUMIFS(AD$33:AD$35,$E$33:$E$35,$D68)</f>
        <v>4.1676238312971483</v>
      </c>
      <c r="AE68" s="194">
        <f>SUMIFS('INPUT Growth'!AE$125:AE$134,'INPUT Growth'!$C$125:$C$134,$C68,'INPUT Growth'!$D$125:$D$134,$D68,'INPUT Growth'!$F$125:$F$134,$F68)*SUMIFS(AE$33:AE$35,$E$33:$E$35,$D68)</f>
        <v>4.0809591599983071</v>
      </c>
      <c r="AF68" s="194">
        <f>SUMIFS('INPUT Growth'!AF$125:AF$134,'INPUT Growth'!$C$125:$C$134,$C68,'INPUT Growth'!$D$125:$D$134,$D68,'INPUT Growth'!$F$125:$F$134,$F68)*SUMIFS(AF$33:AF$35,$E$33:$E$35,$D68)</f>
        <v>4.0093884922005607</v>
      </c>
      <c r="AG68" s="194">
        <f>SUMIFS('INPUT Growth'!AG$125:AG$134,'INPUT Growth'!$C$125:$C$134,$C68,'INPUT Growth'!$D$125:$D$134,$D68,'INPUT Growth'!$F$125:$F$134,$F68)*SUMIFS(AG$33:AG$35,$E$33:$E$35,$D68)</f>
        <v>3.9409754455767136</v>
      </c>
      <c r="AH68" s="194">
        <f>SUMIFS('INPUT Growth'!AH$125:AH$134,'INPUT Growth'!$C$125:$C$134,$C68,'INPUT Growth'!$D$125:$D$134,$D68,'INPUT Growth'!$F$125:$F$134,$F68)*SUMIFS(AH$33:AH$35,$E$33:$E$35,$D68)</f>
        <v>3.8788577477859683</v>
      </c>
      <c r="AI68" s="194">
        <f>SUMIFS('INPUT Growth'!AI$125:AI$134,'INPUT Growth'!$C$125:$C$134,$C68,'INPUT Growth'!$D$125:$D$134,$D68,'INPUT Growth'!$F$125:$F$134,$F68)*SUMIFS(AI$33:AI$35,$E$33:$E$35,$D68)</f>
        <v>3.8226978482298692</v>
      </c>
      <c r="AJ68" s="194">
        <f>SUMIFS('INPUT Growth'!AJ$125:AJ$134,'INPUT Growth'!$C$125:$C$134,$C68,'INPUT Growth'!$D$125:$D$134,$D68,'INPUT Growth'!$F$125:$F$134,$F68)*SUMIFS(AJ$33:AJ$35,$E$33:$E$35,$D68)</f>
        <v>3.7739321727537276</v>
      </c>
      <c r="AK68" s="194">
        <f>SUMIFS('INPUT Growth'!AK$125:AK$134,'INPUT Growth'!$C$125:$C$134,$C68,'INPUT Growth'!$D$125:$D$134,$D68,'INPUT Growth'!$F$125:$F$134,$F68)*SUMIFS(AK$33:AK$35,$E$33:$E$35,$D68)</f>
        <v>3.7392927919154104</v>
      </c>
      <c r="AL68" s="194">
        <f>SUMIFS('INPUT Growth'!AL$125:AL$134,'INPUT Growth'!$C$125:$C$134,$C68,'INPUT Growth'!$D$125:$D$134,$D68,'INPUT Growth'!$F$125:$F$134,$F68)*SUMIFS(AL$33:AL$35,$E$33:$E$35,$D68)</f>
        <v>3.695475982091637</v>
      </c>
      <c r="AM68" s="194">
        <f>SUMIFS('INPUT Growth'!AM$125:AM$134,'INPUT Growth'!$C$125:$C$134,$C68,'INPUT Growth'!$D$125:$D$134,$D68,'INPUT Growth'!$F$125:$F$134,$F68)*SUMIFS(AM$33:AM$35,$E$33:$E$35,$D68)</f>
        <v>3.6489752754219036</v>
      </c>
      <c r="AN68" s="194">
        <f>SUMIFS('INPUT Growth'!AN$125:AN$134,'INPUT Growth'!$C$125:$C$134,$C68,'INPUT Growth'!$D$125:$D$134,$D68,'INPUT Growth'!$F$125:$F$134,$F68)*SUMIFS(AN$33:AN$35,$E$33:$E$35,$D68)</f>
        <v>3.6716104424822533</v>
      </c>
      <c r="AO68" s="194">
        <f>SUMIFS('INPUT Growth'!AO$125:AO$134,'INPUT Growth'!$C$125:$C$134,$C68,'INPUT Growth'!$D$125:$D$134,$D68,'INPUT Growth'!$F$125:$F$134,$F68)*SUMIFS(AO$33:AO$35,$E$33:$E$35,$D68)</f>
        <v>3.7025586833497095</v>
      </c>
      <c r="AP68" s="194">
        <f>SUMIFS('INPUT Growth'!AP$125:AP$134,'INPUT Growth'!$C$125:$C$134,$C68,'INPUT Growth'!$D$125:$D$134,$D68,'INPUT Growth'!$F$125:$F$134,$F68)*SUMIFS(AP$33:AP$35,$E$33:$E$35,$D68)</f>
        <v>3.7301529431605247</v>
      </c>
      <c r="AQ68" s="194">
        <f>SUMIFS('INPUT Growth'!AQ$125:AQ$134,'INPUT Growth'!$C$125:$C$134,$C68,'INPUT Growth'!$D$125:$D$134,$D68,'INPUT Growth'!$F$125:$F$134,$F68)*SUMIFS(AQ$33:AQ$35,$E$33:$E$35,$D68)</f>
        <v>3.7492128702937269</v>
      </c>
      <c r="AR68" s="194">
        <f>SUMIFS('INPUT Growth'!AR$125:AR$134,'INPUT Growth'!$C$125:$C$134,$C68,'INPUT Growth'!$D$125:$D$134,$D68,'INPUT Growth'!$F$125:$F$134,$F68)*SUMIFS(AR$33:AR$35,$E$33:$E$35,$D68)</f>
        <v>3.7698226047131951</v>
      </c>
      <c r="AS68" s="194">
        <f>SUMIFS('INPUT Growth'!AS$125:AS$134,'INPUT Growth'!$C$125:$C$134,$C68,'INPUT Growth'!$D$125:$D$134,$D68,'INPUT Growth'!$F$125:$F$134,$F68)*SUMIFS(AS$33:AS$35,$E$33:$E$35,$D68)</f>
        <v>3.7965377262578994</v>
      </c>
      <c r="AT68" s="194">
        <f>SUMIFS('INPUT Growth'!AT$125:AT$134,'INPUT Growth'!$C$125:$C$134,$C68,'INPUT Growth'!$D$125:$D$134,$D68,'INPUT Growth'!$F$125:$F$134,$F68)*SUMIFS(AT$33:AT$35,$E$33:$E$35,$D68)</f>
        <v>3.8511679470655049</v>
      </c>
      <c r="AU68" s="194">
        <f>SUMIFS('INPUT Growth'!AU$125:AU$134,'INPUT Growth'!$C$125:$C$134,$C68,'INPUT Growth'!$D$125:$D$134,$D68,'INPUT Growth'!$F$125:$F$134,$F68)*SUMIFS(AU$33:AU$35,$E$33:$E$35,$D68)</f>
        <v>3.7996791914402555</v>
      </c>
      <c r="AV68" s="194">
        <f>SUMIFS('INPUT Growth'!AV$125:AV$134,'INPUT Growth'!$C$125:$C$134,$C68,'INPUT Growth'!$D$125:$D$134,$D68,'INPUT Growth'!$F$125:$F$134,$F68)*SUMIFS(AV$33:AV$35,$E$33:$E$35,$D68)</f>
        <v>3.7386120133193566</v>
      </c>
      <c r="AW68" s="194">
        <f>SUMIFS('INPUT Growth'!AW$125:AW$134,'INPUT Growth'!$C$125:$C$134,$C68,'INPUT Growth'!$D$125:$D$134,$D68,'INPUT Growth'!$F$125:$F$134,$F68)*SUMIFS(AW$33:AW$35,$E$33:$E$35,$D68)</f>
        <v>3.6893485693492636</v>
      </c>
    </row>
    <row r="69" spans="1:49" outlineLevel="1" x14ac:dyDescent="0.2">
      <c r="A69" s="51" t="str" cm="1">
        <f t="array" ref="A69">INDEX(TariffCode, MATCH(1,(C69=TariffZone)*(D69=TariffProduct),0))</f>
        <v>WR</v>
      </c>
      <c r="B69" s="51"/>
      <c r="C69" s="150" t="s">
        <v>283</v>
      </c>
      <c r="D69" s="150" t="s">
        <v>310</v>
      </c>
      <c r="E69" s="150"/>
      <c r="F69" s="150" t="s">
        <v>262</v>
      </c>
      <c r="G69" s="150"/>
      <c r="H69" s="150"/>
      <c r="I69" s="150"/>
      <c r="J69" s="150"/>
      <c r="K69" s="150"/>
      <c r="L69" s="150"/>
      <c r="M69" s="150"/>
      <c r="N69" s="150"/>
      <c r="O69" s="150"/>
      <c r="P69" s="150"/>
      <c r="Q69" s="150"/>
      <c r="R69" s="150"/>
      <c r="S69" s="150"/>
      <c r="T69" s="150"/>
      <c r="U69" s="150"/>
      <c r="V69" s="150"/>
      <c r="W69" s="150"/>
      <c r="X69" s="150"/>
      <c r="Y69" s="150"/>
      <c r="Z69" s="150"/>
      <c r="AA69" s="150"/>
      <c r="AB69" s="150"/>
      <c r="AC69" s="194">
        <f>SUMIFS('INPUT Growth'!AC$125:AC$134,'INPUT Growth'!$C$125:$C$134,$C69,'INPUT Growth'!$D$125:$D$134,$D69,'INPUT Growth'!$F$125:$F$134,$F69)*SUMIFS(AC$33:AC$35,$E$33:$E$35,$D69)</f>
        <v>253.17075060532687</v>
      </c>
      <c r="AD69" s="194">
        <f>SUMIFS('INPUT Growth'!AD$125:AD$134,'INPUT Growth'!$C$125:$C$134,$C69,'INPUT Growth'!$D$125:$D$134,$D69,'INPUT Growth'!$F$125:$F$134,$F69)*SUMIFS(AD$33:AD$35,$E$33:$E$35,$D69)</f>
        <v>253.17075060532687</v>
      </c>
      <c r="AE69" s="194">
        <f>SUMIFS('INPUT Growth'!AE$125:AE$134,'INPUT Growth'!$C$125:$C$134,$C69,'INPUT Growth'!$D$125:$D$134,$D69,'INPUT Growth'!$F$125:$F$134,$F69)*SUMIFS(AE$33:AE$35,$E$33:$E$35,$D69)</f>
        <v>253.17075060532687</v>
      </c>
      <c r="AF69" s="194">
        <f>SUMIFS('INPUT Growth'!AF$125:AF$134,'INPUT Growth'!$C$125:$C$134,$C69,'INPUT Growth'!$D$125:$D$134,$D69,'INPUT Growth'!$F$125:$F$134,$F69)*SUMIFS(AF$33:AF$35,$E$33:$E$35,$D69)</f>
        <v>253.17075060532687</v>
      </c>
      <c r="AG69" s="194">
        <f>SUMIFS('INPUT Growth'!AG$125:AG$134,'INPUT Growth'!$C$125:$C$134,$C69,'INPUT Growth'!$D$125:$D$134,$D69,'INPUT Growth'!$F$125:$F$134,$F69)*SUMIFS(AG$33:AG$35,$E$33:$E$35,$D69)</f>
        <v>253.17075060532687</v>
      </c>
      <c r="AH69" s="194">
        <f>SUMIFS('INPUT Growth'!AH$125:AH$134,'INPUT Growth'!$C$125:$C$134,$C69,'INPUT Growth'!$D$125:$D$134,$D69,'INPUT Growth'!$F$125:$F$134,$F69)*SUMIFS(AH$33:AH$35,$E$33:$E$35,$D69)</f>
        <v>253.17075060532687</v>
      </c>
      <c r="AI69" s="194">
        <f>SUMIFS('INPUT Growth'!AI$125:AI$134,'INPUT Growth'!$C$125:$C$134,$C69,'INPUT Growth'!$D$125:$D$134,$D69,'INPUT Growth'!$F$125:$F$134,$F69)*SUMIFS(AI$33:AI$35,$E$33:$E$35,$D69)</f>
        <v>253.17075060532687</v>
      </c>
      <c r="AJ69" s="194">
        <f>SUMIFS('INPUT Growth'!AJ$125:AJ$134,'INPUT Growth'!$C$125:$C$134,$C69,'INPUT Growth'!$D$125:$D$134,$D69,'INPUT Growth'!$F$125:$F$134,$F69)*SUMIFS(AJ$33:AJ$35,$E$33:$E$35,$D69)</f>
        <v>253.17075060532687</v>
      </c>
      <c r="AK69" s="194">
        <f>SUMIFS('INPUT Growth'!AK$125:AK$134,'INPUT Growth'!$C$125:$C$134,$C69,'INPUT Growth'!$D$125:$D$134,$D69,'INPUT Growth'!$F$125:$F$134,$F69)*SUMIFS(AK$33:AK$35,$E$33:$E$35,$D69)</f>
        <v>253.17075060532687</v>
      </c>
      <c r="AL69" s="194">
        <f>SUMIFS('INPUT Growth'!AL$125:AL$134,'INPUT Growth'!$C$125:$C$134,$C69,'INPUT Growth'!$D$125:$D$134,$D69,'INPUT Growth'!$F$125:$F$134,$F69)*SUMIFS(AL$33:AL$35,$E$33:$E$35,$D69)</f>
        <v>253.17075060532687</v>
      </c>
      <c r="AM69" s="194">
        <f>SUMIFS('INPUT Growth'!AM$125:AM$134,'INPUT Growth'!$C$125:$C$134,$C69,'INPUT Growth'!$D$125:$D$134,$D69,'INPUT Growth'!$F$125:$F$134,$F69)*SUMIFS(AM$33:AM$35,$E$33:$E$35,$D69)</f>
        <v>253.17075060532687</v>
      </c>
      <c r="AN69" s="194">
        <f>SUMIFS('INPUT Growth'!AN$125:AN$134,'INPUT Growth'!$C$125:$C$134,$C69,'INPUT Growth'!$D$125:$D$134,$D69,'INPUT Growth'!$F$125:$F$134,$F69)*SUMIFS(AN$33:AN$35,$E$33:$E$35,$D69)</f>
        <v>253.17075060532687</v>
      </c>
      <c r="AO69" s="194">
        <f>SUMIFS('INPUT Growth'!AO$125:AO$134,'INPUT Growth'!$C$125:$C$134,$C69,'INPUT Growth'!$D$125:$D$134,$D69,'INPUT Growth'!$F$125:$F$134,$F69)*SUMIFS(AO$33:AO$35,$E$33:$E$35,$D69)</f>
        <v>253.17075060532687</v>
      </c>
      <c r="AP69" s="194">
        <f>SUMIFS('INPUT Growth'!AP$125:AP$134,'INPUT Growth'!$C$125:$C$134,$C69,'INPUT Growth'!$D$125:$D$134,$D69,'INPUT Growth'!$F$125:$F$134,$F69)*SUMIFS(AP$33:AP$35,$E$33:$E$35,$D69)</f>
        <v>253.17075060532687</v>
      </c>
      <c r="AQ69" s="194">
        <f>SUMIFS('INPUT Growth'!AQ$125:AQ$134,'INPUT Growth'!$C$125:$C$134,$C69,'INPUT Growth'!$D$125:$D$134,$D69,'INPUT Growth'!$F$125:$F$134,$F69)*SUMIFS(AQ$33:AQ$35,$E$33:$E$35,$D69)</f>
        <v>253.17075060532687</v>
      </c>
      <c r="AR69" s="194">
        <f>SUMIFS('INPUT Growth'!AR$125:AR$134,'INPUT Growth'!$C$125:$C$134,$C69,'INPUT Growth'!$D$125:$D$134,$D69,'INPUT Growth'!$F$125:$F$134,$F69)*SUMIFS(AR$33:AR$35,$E$33:$E$35,$D69)</f>
        <v>253.17075060532687</v>
      </c>
      <c r="AS69" s="194">
        <f>SUMIFS('INPUT Growth'!AS$125:AS$134,'INPUT Growth'!$C$125:$C$134,$C69,'INPUT Growth'!$D$125:$D$134,$D69,'INPUT Growth'!$F$125:$F$134,$F69)*SUMIFS(AS$33:AS$35,$E$33:$E$35,$D69)</f>
        <v>253.17075060532687</v>
      </c>
      <c r="AT69" s="194">
        <f>SUMIFS('INPUT Growth'!AT$125:AT$134,'INPUT Growth'!$C$125:$C$134,$C69,'INPUT Growth'!$D$125:$D$134,$D69,'INPUT Growth'!$F$125:$F$134,$F69)*SUMIFS(AT$33:AT$35,$E$33:$E$35,$D69)</f>
        <v>253.17075060532687</v>
      </c>
      <c r="AU69" s="194">
        <f>SUMIFS('INPUT Growth'!AU$125:AU$134,'INPUT Growth'!$C$125:$C$134,$C69,'INPUT Growth'!$D$125:$D$134,$D69,'INPUT Growth'!$F$125:$F$134,$F69)*SUMIFS(AU$33:AU$35,$E$33:$E$35,$D69)</f>
        <v>253.17075060532687</v>
      </c>
      <c r="AV69" s="194">
        <f>SUMIFS('INPUT Growth'!AV$125:AV$134,'INPUT Growth'!$C$125:$C$134,$C69,'INPUT Growth'!$D$125:$D$134,$D69,'INPUT Growth'!$F$125:$F$134,$F69)*SUMIFS(AV$33:AV$35,$E$33:$E$35,$D69)</f>
        <v>253.17075060532687</v>
      </c>
      <c r="AW69" s="194">
        <f>SUMIFS('INPUT Growth'!AW$125:AW$134,'INPUT Growth'!$C$125:$C$134,$C69,'INPUT Growth'!$D$125:$D$134,$D69,'INPUT Growth'!$F$125:$F$134,$F69)*SUMIFS(AW$33:AW$35,$E$33:$E$35,$D69)</f>
        <v>253.17075060532687</v>
      </c>
    </row>
    <row r="70" spans="1:49" outlineLevel="1" x14ac:dyDescent="0.2">
      <c r="A70" s="51" t="str" cm="1">
        <f t="array" ref="A70">INDEX(TariffCode, MATCH(1,(C70=TariffZone)*(D70=TariffProduct),0))</f>
        <v>GR</v>
      </c>
      <c r="B70" s="51"/>
      <c r="C70" s="150" t="s">
        <v>312</v>
      </c>
      <c r="D70" s="150" t="s">
        <v>310</v>
      </c>
      <c r="E70" s="150"/>
      <c r="F70" s="150" t="s">
        <v>262</v>
      </c>
      <c r="G70" s="150"/>
      <c r="H70" s="150"/>
      <c r="I70" s="150"/>
      <c r="J70" s="150"/>
      <c r="K70" s="150"/>
      <c r="L70" s="150"/>
      <c r="M70" s="150"/>
      <c r="N70" s="150"/>
      <c r="O70" s="150"/>
      <c r="P70" s="150"/>
      <c r="Q70" s="150"/>
      <c r="R70" s="150"/>
      <c r="S70" s="150"/>
      <c r="T70" s="150"/>
      <c r="U70" s="150"/>
      <c r="V70" s="150"/>
      <c r="W70" s="150"/>
      <c r="X70" s="150"/>
      <c r="Y70" s="150"/>
      <c r="Z70" s="150"/>
      <c r="AA70" s="150"/>
      <c r="AB70" s="150"/>
      <c r="AC70" s="194">
        <f>SUMIFS('INPUT Growth'!AC$125:AC$134,'INPUT Growth'!$C$125:$C$134,$C70,'INPUT Growth'!$D$125:$D$134,$D70,'INPUT Growth'!$F$125:$F$134,$F70)*SUMIFS(AC$33:AC$35,$E$33:$E$35,$D70)</f>
        <v>253.17075060532687</v>
      </c>
      <c r="AD70" s="194">
        <f>SUMIFS('INPUT Growth'!AD$125:AD$134,'INPUT Growth'!$C$125:$C$134,$C70,'INPUT Growth'!$D$125:$D$134,$D70,'INPUT Growth'!$F$125:$F$134,$F70)*SUMIFS(AD$33:AD$35,$E$33:$E$35,$D70)</f>
        <v>253.17075060532687</v>
      </c>
      <c r="AE70" s="194">
        <f>SUMIFS('INPUT Growth'!AE$125:AE$134,'INPUT Growth'!$C$125:$C$134,$C70,'INPUT Growth'!$D$125:$D$134,$D70,'INPUT Growth'!$F$125:$F$134,$F70)*SUMIFS(AE$33:AE$35,$E$33:$E$35,$D70)</f>
        <v>253.17075060532687</v>
      </c>
      <c r="AF70" s="194">
        <f>SUMIFS('INPUT Growth'!AF$125:AF$134,'INPUT Growth'!$C$125:$C$134,$C70,'INPUT Growth'!$D$125:$D$134,$D70,'INPUT Growth'!$F$125:$F$134,$F70)*SUMIFS(AF$33:AF$35,$E$33:$E$35,$D70)</f>
        <v>253.17075060532687</v>
      </c>
      <c r="AG70" s="194">
        <f>SUMIFS('INPUT Growth'!AG$125:AG$134,'INPUT Growth'!$C$125:$C$134,$C70,'INPUT Growth'!$D$125:$D$134,$D70,'INPUT Growth'!$F$125:$F$134,$F70)*SUMIFS(AG$33:AG$35,$E$33:$E$35,$D70)</f>
        <v>253.17075060532687</v>
      </c>
      <c r="AH70" s="194">
        <f>SUMIFS('INPUT Growth'!AH$125:AH$134,'INPUT Growth'!$C$125:$C$134,$C70,'INPUT Growth'!$D$125:$D$134,$D70,'INPUT Growth'!$F$125:$F$134,$F70)*SUMIFS(AH$33:AH$35,$E$33:$E$35,$D70)</f>
        <v>253.17075060532687</v>
      </c>
      <c r="AI70" s="194">
        <f>SUMIFS('INPUT Growth'!AI$125:AI$134,'INPUT Growth'!$C$125:$C$134,$C70,'INPUT Growth'!$D$125:$D$134,$D70,'INPUT Growth'!$F$125:$F$134,$F70)*SUMIFS(AI$33:AI$35,$E$33:$E$35,$D70)</f>
        <v>253.17075060532687</v>
      </c>
      <c r="AJ70" s="194">
        <f>SUMIFS('INPUT Growth'!AJ$125:AJ$134,'INPUT Growth'!$C$125:$C$134,$C70,'INPUT Growth'!$D$125:$D$134,$D70,'INPUT Growth'!$F$125:$F$134,$F70)*SUMIFS(AJ$33:AJ$35,$E$33:$E$35,$D70)</f>
        <v>253.17075060532687</v>
      </c>
      <c r="AK70" s="194">
        <f>SUMIFS('INPUT Growth'!AK$125:AK$134,'INPUT Growth'!$C$125:$C$134,$C70,'INPUT Growth'!$D$125:$D$134,$D70,'INPUT Growth'!$F$125:$F$134,$F70)*SUMIFS(AK$33:AK$35,$E$33:$E$35,$D70)</f>
        <v>253.17075060532687</v>
      </c>
      <c r="AL70" s="194">
        <f>SUMIFS('INPUT Growth'!AL$125:AL$134,'INPUT Growth'!$C$125:$C$134,$C70,'INPUT Growth'!$D$125:$D$134,$D70,'INPUT Growth'!$F$125:$F$134,$F70)*SUMIFS(AL$33:AL$35,$E$33:$E$35,$D70)</f>
        <v>253.17075060532687</v>
      </c>
      <c r="AM70" s="194">
        <f>SUMIFS('INPUT Growth'!AM$125:AM$134,'INPUT Growth'!$C$125:$C$134,$C70,'INPUT Growth'!$D$125:$D$134,$D70,'INPUT Growth'!$F$125:$F$134,$F70)*SUMIFS(AM$33:AM$35,$E$33:$E$35,$D70)</f>
        <v>253.17075060532687</v>
      </c>
      <c r="AN70" s="194">
        <f>SUMIFS('INPUT Growth'!AN$125:AN$134,'INPUT Growth'!$C$125:$C$134,$C70,'INPUT Growth'!$D$125:$D$134,$D70,'INPUT Growth'!$F$125:$F$134,$F70)*SUMIFS(AN$33:AN$35,$E$33:$E$35,$D70)</f>
        <v>253.17075060532687</v>
      </c>
      <c r="AO70" s="194">
        <f>SUMIFS('INPUT Growth'!AO$125:AO$134,'INPUT Growth'!$C$125:$C$134,$C70,'INPUT Growth'!$D$125:$D$134,$D70,'INPUT Growth'!$F$125:$F$134,$F70)*SUMIFS(AO$33:AO$35,$E$33:$E$35,$D70)</f>
        <v>253.17075060532687</v>
      </c>
      <c r="AP70" s="194">
        <f>SUMIFS('INPUT Growth'!AP$125:AP$134,'INPUT Growth'!$C$125:$C$134,$C70,'INPUT Growth'!$D$125:$D$134,$D70,'INPUT Growth'!$F$125:$F$134,$F70)*SUMIFS(AP$33:AP$35,$E$33:$E$35,$D70)</f>
        <v>253.17075060532687</v>
      </c>
      <c r="AQ70" s="194">
        <f>SUMIFS('INPUT Growth'!AQ$125:AQ$134,'INPUT Growth'!$C$125:$C$134,$C70,'INPUT Growth'!$D$125:$D$134,$D70,'INPUT Growth'!$F$125:$F$134,$F70)*SUMIFS(AQ$33:AQ$35,$E$33:$E$35,$D70)</f>
        <v>253.17075060532687</v>
      </c>
      <c r="AR70" s="194">
        <f>SUMIFS('INPUT Growth'!AR$125:AR$134,'INPUT Growth'!$C$125:$C$134,$C70,'INPUT Growth'!$D$125:$D$134,$D70,'INPUT Growth'!$F$125:$F$134,$F70)*SUMIFS(AR$33:AR$35,$E$33:$E$35,$D70)</f>
        <v>253.17075060532687</v>
      </c>
      <c r="AS70" s="194">
        <f>SUMIFS('INPUT Growth'!AS$125:AS$134,'INPUT Growth'!$C$125:$C$134,$C70,'INPUT Growth'!$D$125:$D$134,$D70,'INPUT Growth'!$F$125:$F$134,$F70)*SUMIFS(AS$33:AS$35,$E$33:$E$35,$D70)</f>
        <v>253.17075060532687</v>
      </c>
      <c r="AT70" s="194">
        <f>SUMIFS('INPUT Growth'!AT$125:AT$134,'INPUT Growth'!$C$125:$C$134,$C70,'INPUT Growth'!$D$125:$D$134,$D70,'INPUT Growth'!$F$125:$F$134,$F70)*SUMIFS(AT$33:AT$35,$E$33:$E$35,$D70)</f>
        <v>253.17075060532687</v>
      </c>
      <c r="AU70" s="194">
        <f>SUMIFS('INPUT Growth'!AU$125:AU$134,'INPUT Growth'!$C$125:$C$134,$C70,'INPUT Growth'!$D$125:$D$134,$D70,'INPUT Growth'!$F$125:$F$134,$F70)*SUMIFS(AU$33:AU$35,$E$33:$E$35,$D70)</f>
        <v>253.17075060532687</v>
      </c>
      <c r="AV70" s="194">
        <f>SUMIFS('INPUT Growth'!AV$125:AV$134,'INPUT Growth'!$C$125:$C$134,$C70,'INPUT Growth'!$D$125:$D$134,$D70,'INPUT Growth'!$F$125:$F$134,$F70)*SUMIFS(AV$33:AV$35,$E$33:$E$35,$D70)</f>
        <v>253.17075060532687</v>
      </c>
      <c r="AW70" s="194">
        <f>SUMIFS('INPUT Growth'!AW$125:AW$134,'INPUT Growth'!$C$125:$C$134,$C70,'INPUT Growth'!$D$125:$D$134,$D70,'INPUT Growth'!$F$125:$F$134,$F70)*SUMIFS(AW$33:AW$35,$E$33:$E$35,$D70)</f>
        <v>253.17075060532687</v>
      </c>
    </row>
    <row r="71" spans="1:49" outlineLevel="1" x14ac:dyDescent="0.2">
      <c r="A71" s="51" t="str" cm="1">
        <f t="array" ref="A71">INDEX(TariffCode, MATCH(1,(C71=TariffZone)*(D71=TariffProduct),0))</f>
        <v>WR</v>
      </c>
      <c r="B71" s="51"/>
      <c r="C71" s="150" t="s">
        <v>283</v>
      </c>
      <c r="D71" s="150" t="s">
        <v>310</v>
      </c>
      <c r="E71" s="150"/>
      <c r="F71" s="150" t="s">
        <v>265</v>
      </c>
      <c r="G71" s="150"/>
      <c r="H71" s="150"/>
      <c r="I71" s="150"/>
      <c r="J71" s="150"/>
      <c r="K71" s="150"/>
      <c r="L71" s="150"/>
      <c r="M71" s="150"/>
      <c r="N71" s="150"/>
      <c r="O71" s="150"/>
      <c r="P71" s="150"/>
      <c r="Q71" s="150"/>
      <c r="R71" s="150"/>
      <c r="S71" s="150"/>
      <c r="T71" s="150"/>
      <c r="U71" s="150"/>
      <c r="V71" s="150"/>
      <c r="W71" s="150"/>
      <c r="X71" s="150"/>
      <c r="Y71" s="150"/>
      <c r="Z71" s="150"/>
      <c r="AA71" s="150"/>
      <c r="AB71" s="150"/>
      <c r="AC71" s="194">
        <f>SUMIFS('INPUT Growth'!AC$125:AC$134,'INPUT Growth'!$C$125:$C$134,$C71,'INPUT Growth'!$D$125:$D$134,$D71,'INPUT Growth'!$F$125:$F$134,$F71)*SUMIFS(AC$33:AC$35,$E$33:$E$35,$D71)</f>
        <v>0</v>
      </c>
      <c r="AD71" s="194">
        <f>SUMIFS('INPUT Growth'!AD$125:AD$134,'INPUT Growth'!$C$125:$C$134,$C71,'INPUT Growth'!$D$125:$D$134,$D71,'INPUT Growth'!$F$125:$F$134,$F71)*SUMIFS(AD$33:AD$35,$E$33:$E$35,$D71)</f>
        <v>0</v>
      </c>
      <c r="AE71" s="194">
        <f>SUMIFS('INPUT Growth'!AE$125:AE$134,'INPUT Growth'!$C$125:$C$134,$C71,'INPUT Growth'!$D$125:$D$134,$D71,'INPUT Growth'!$F$125:$F$134,$F71)*SUMIFS(AE$33:AE$35,$E$33:$E$35,$D71)</f>
        <v>0</v>
      </c>
      <c r="AF71" s="194">
        <f>SUMIFS('INPUT Growth'!AF$125:AF$134,'INPUT Growth'!$C$125:$C$134,$C71,'INPUT Growth'!$D$125:$D$134,$D71,'INPUT Growth'!$F$125:$F$134,$F71)*SUMIFS(AF$33:AF$35,$E$33:$E$35,$D71)</f>
        <v>0</v>
      </c>
      <c r="AG71" s="194">
        <f>SUMIFS('INPUT Growth'!AG$125:AG$134,'INPUT Growth'!$C$125:$C$134,$C71,'INPUT Growth'!$D$125:$D$134,$D71,'INPUT Growth'!$F$125:$F$134,$F71)*SUMIFS(AG$33:AG$35,$E$33:$E$35,$D71)</f>
        <v>0</v>
      </c>
      <c r="AH71" s="194">
        <f>SUMIFS('INPUT Growth'!AH$125:AH$134,'INPUT Growth'!$C$125:$C$134,$C71,'INPUT Growth'!$D$125:$D$134,$D71,'INPUT Growth'!$F$125:$F$134,$F71)*SUMIFS(AH$33:AH$35,$E$33:$E$35,$D71)</f>
        <v>0</v>
      </c>
      <c r="AI71" s="194">
        <f>SUMIFS('INPUT Growth'!AI$125:AI$134,'INPUT Growth'!$C$125:$C$134,$C71,'INPUT Growth'!$D$125:$D$134,$D71,'INPUT Growth'!$F$125:$F$134,$F71)*SUMIFS(AI$33:AI$35,$E$33:$E$35,$D71)</f>
        <v>0</v>
      </c>
      <c r="AJ71" s="194">
        <f>SUMIFS('INPUT Growth'!AJ$125:AJ$134,'INPUT Growth'!$C$125:$C$134,$C71,'INPUT Growth'!$D$125:$D$134,$D71,'INPUT Growth'!$F$125:$F$134,$F71)*SUMIFS(AJ$33:AJ$35,$E$33:$E$35,$D71)</f>
        <v>0</v>
      </c>
      <c r="AK71" s="194">
        <f>SUMIFS('INPUT Growth'!AK$125:AK$134,'INPUT Growth'!$C$125:$C$134,$C71,'INPUT Growth'!$D$125:$D$134,$D71,'INPUT Growth'!$F$125:$F$134,$F71)*SUMIFS(AK$33:AK$35,$E$33:$E$35,$D71)</f>
        <v>0</v>
      </c>
      <c r="AL71" s="194">
        <f>SUMIFS('INPUT Growth'!AL$125:AL$134,'INPUT Growth'!$C$125:$C$134,$C71,'INPUT Growth'!$D$125:$D$134,$D71,'INPUT Growth'!$F$125:$F$134,$F71)*SUMIFS(AL$33:AL$35,$E$33:$E$35,$D71)</f>
        <v>0</v>
      </c>
      <c r="AM71" s="194">
        <f>SUMIFS('INPUT Growth'!AM$125:AM$134,'INPUT Growth'!$C$125:$C$134,$C71,'INPUT Growth'!$D$125:$D$134,$D71,'INPUT Growth'!$F$125:$F$134,$F71)*SUMIFS(AM$33:AM$35,$E$33:$E$35,$D71)</f>
        <v>0</v>
      </c>
      <c r="AN71" s="194">
        <f>SUMIFS('INPUT Growth'!AN$125:AN$134,'INPUT Growth'!$C$125:$C$134,$C71,'INPUT Growth'!$D$125:$D$134,$D71,'INPUT Growth'!$F$125:$F$134,$F71)*SUMIFS(AN$33:AN$35,$E$33:$E$35,$D71)</f>
        <v>0</v>
      </c>
      <c r="AO71" s="194">
        <f>SUMIFS('INPUT Growth'!AO$125:AO$134,'INPUT Growth'!$C$125:$C$134,$C71,'INPUT Growth'!$D$125:$D$134,$D71,'INPUT Growth'!$F$125:$F$134,$F71)*SUMIFS(AO$33:AO$35,$E$33:$E$35,$D71)</f>
        <v>0</v>
      </c>
      <c r="AP71" s="194">
        <f>SUMIFS('INPUT Growth'!AP$125:AP$134,'INPUT Growth'!$C$125:$C$134,$C71,'INPUT Growth'!$D$125:$D$134,$D71,'INPUT Growth'!$F$125:$F$134,$F71)*SUMIFS(AP$33:AP$35,$E$33:$E$35,$D71)</f>
        <v>0</v>
      </c>
      <c r="AQ71" s="194">
        <f>SUMIFS('INPUT Growth'!AQ$125:AQ$134,'INPUT Growth'!$C$125:$C$134,$C71,'INPUT Growth'!$D$125:$D$134,$D71,'INPUT Growth'!$F$125:$F$134,$F71)*SUMIFS(AQ$33:AQ$35,$E$33:$E$35,$D71)</f>
        <v>0</v>
      </c>
      <c r="AR71" s="194">
        <f>SUMIFS('INPUT Growth'!AR$125:AR$134,'INPUT Growth'!$C$125:$C$134,$C71,'INPUT Growth'!$D$125:$D$134,$D71,'INPUT Growth'!$F$125:$F$134,$F71)*SUMIFS(AR$33:AR$35,$E$33:$E$35,$D71)</f>
        <v>0</v>
      </c>
      <c r="AS71" s="194">
        <f>SUMIFS('INPUT Growth'!AS$125:AS$134,'INPUT Growth'!$C$125:$C$134,$C71,'INPUT Growth'!$D$125:$D$134,$D71,'INPUT Growth'!$F$125:$F$134,$F71)*SUMIFS(AS$33:AS$35,$E$33:$E$35,$D71)</f>
        <v>0</v>
      </c>
      <c r="AT71" s="194">
        <f>SUMIFS('INPUT Growth'!AT$125:AT$134,'INPUT Growth'!$C$125:$C$134,$C71,'INPUT Growth'!$D$125:$D$134,$D71,'INPUT Growth'!$F$125:$F$134,$F71)*SUMIFS(AT$33:AT$35,$E$33:$E$35,$D71)</f>
        <v>0</v>
      </c>
      <c r="AU71" s="194">
        <f>SUMIFS('INPUT Growth'!AU$125:AU$134,'INPUT Growth'!$C$125:$C$134,$C71,'INPUT Growth'!$D$125:$D$134,$D71,'INPUT Growth'!$F$125:$F$134,$F71)*SUMIFS(AU$33:AU$35,$E$33:$E$35,$D71)</f>
        <v>0</v>
      </c>
      <c r="AV71" s="194">
        <f>SUMIFS('INPUT Growth'!AV$125:AV$134,'INPUT Growth'!$C$125:$C$134,$C71,'INPUT Growth'!$D$125:$D$134,$D71,'INPUT Growth'!$F$125:$F$134,$F71)*SUMIFS(AV$33:AV$35,$E$33:$E$35,$D71)</f>
        <v>0</v>
      </c>
      <c r="AW71" s="194">
        <f>SUMIFS('INPUT Growth'!AW$125:AW$134,'INPUT Growth'!$C$125:$C$134,$C71,'INPUT Growth'!$D$125:$D$134,$D71,'INPUT Growth'!$F$125:$F$134,$F71)*SUMIFS(AW$33:AW$35,$E$33:$E$35,$D71)</f>
        <v>0</v>
      </c>
    </row>
    <row r="72" spans="1:49" outlineLevel="1" x14ac:dyDescent="0.2">
      <c r="A72" s="51" t="str" cm="1">
        <f t="array" ref="A72">INDEX(TariffCode, MATCH(1,(C72=TariffZone)*(D72=TariffProduct),0))</f>
        <v>GR</v>
      </c>
      <c r="B72" s="51"/>
      <c r="C72" s="150" t="s">
        <v>312</v>
      </c>
      <c r="D72" s="150" t="s">
        <v>310</v>
      </c>
      <c r="E72" s="150"/>
      <c r="F72" s="150" t="s">
        <v>265</v>
      </c>
      <c r="G72" s="150"/>
      <c r="H72" s="150"/>
      <c r="I72" s="150"/>
      <c r="J72" s="150"/>
      <c r="K72" s="150"/>
      <c r="L72" s="150"/>
      <c r="M72" s="150"/>
      <c r="N72" s="150"/>
      <c r="O72" s="150"/>
      <c r="P72" s="150"/>
      <c r="Q72" s="150"/>
      <c r="R72" s="150"/>
      <c r="S72" s="150"/>
      <c r="T72" s="150"/>
      <c r="U72" s="150"/>
      <c r="V72" s="150"/>
      <c r="W72" s="150"/>
      <c r="X72" s="150"/>
      <c r="Y72" s="150"/>
      <c r="Z72" s="150"/>
      <c r="AA72" s="150"/>
      <c r="AB72" s="150"/>
      <c r="AC72" s="194">
        <f>SUMIFS('INPUT Growth'!AC$125:AC$134,'INPUT Growth'!$C$125:$C$134,$C72,'INPUT Growth'!$D$125:$D$134,$D72,'INPUT Growth'!$F$125:$F$134,$F72)*SUMIFS(AC$33:AC$35,$E$33:$E$35,$D72)</f>
        <v>0</v>
      </c>
      <c r="AD72" s="194">
        <f>SUMIFS('INPUT Growth'!AD$125:AD$134,'INPUT Growth'!$C$125:$C$134,$C72,'INPUT Growth'!$D$125:$D$134,$D72,'INPUT Growth'!$F$125:$F$134,$F72)*SUMIFS(AD$33:AD$35,$E$33:$E$35,$D72)</f>
        <v>0</v>
      </c>
      <c r="AE72" s="194">
        <f>SUMIFS('INPUT Growth'!AE$125:AE$134,'INPUT Growth'!$C$125:$C$134,$C72,'INPUT Growth'!$D$125:$D$134,$D72,'INPUT Growth'!$F$125:$F$134,$F72)*SUMIFS(AE$33:AE$35,$E$33:$E$35,$D72)</f>
        <v>0</v>
      </c>
      <c r="AF72" s="194">
        <f>SUMIFS('INPUT Growth'!AF$125:AF$134,'INPUT Growth'!$C$125:$C$134,$C72,'INPUT Growth'!$D$125:$D$134,$D72,'INPUT Growth'!$F$125:$F$134,$F72)*SUMIFS(AF$33:AF$35,$E$33:$E$35,$D72)</f>
        <v>0</v>
      </c>
      <c r="AG72" s="194">
        <f>SUMIFS('INPUT Growth'!AG$125:AG$134,'INPUT Growth'!$C$125:$C$134,$C72,'INPUT Growth'!$D$125:$D$134,$D72,'INPUT Growth'!$F$125:$F$134,$F72)*SUMIFS(AG$33:AG$35,$E$33:$E$35,$D72)</f>
        <v>0</v>
      </c>
      <c r="AH72" s="194">
        <f>SUMIFS('INPUT Growth'!AH$125:AH$134,'INPUT Growth'!$C$125:$C$134,$C72,'INPUT Growth'!$D$125:$D$134,$D72,'INPUT Growth'!$F$125:$F$134,$F72)*SUMIFS(AH$33:AH$35,$E$33:$E$35,$D72)</f>
        <v>0</v>
      </c>
      <c r="AI72" s="194">
        <f>SUMIFS('INPUT Growth'!AI$125:AI$134,'INPUT Growth'!$C$125:$C$134,$C72,'INPUT Growth'!$D$125:$D$134,$D72,'INPUT Growth'!$F$125:$F$134,$F72)*SUMIFS(AI$33:AI$35,$E$33:$E$35,$D72)</f>
        <v>0</v>
      </c>
      <c r="AJ72" s="194">
        <f>SUMIFS('INPUT Growth'!AJ$125:AJ$134,'INPUT Growth'!$C$125:$C$134,$C72,'INPUT Growth'!$D$125:$D$134,$D72,'INPUT Growth'!$F$125:$F$134,$F72)*SUMIFS(AJ$33:AJ$35,$E$33:$E$35,$D72)</f>
        <v>0</v>
      </c>
      <c r="AK72" s="194">
        <f>SUMIFS('INPUT Growth'!AK$125:AK$134,'INPUT Growth'!$C$125:$C$134,$C72,'INPUT Growth'!$D$125:$D$134,$D72,'INPUT Growth'!$F$125:$F$134,$F72)*SUMIFS(AK$33:AK$35,$E$33:$E$35,$D72)</f>
        <v>0</v>
      </c>
      <c r="AL72" s="194">
        <f>SUMIFS('INPUT Growth'!AL$125:AL$134,'INPUT Growth'!$C$125:$C$134,$C72,'INPUT Growth'!$D$125:$D$134,$D72,'INPUT Growth'!$F$125:$F$134,$F72)*SUMIFS(AL$33:AL$35,$E$33:$E$35,$D72)</f>
        <v>0</v>
      </c>
      <c r="AM72" s="194">
        <f>SUMIFS('INPUT Growth'!AM$125:AM$134,'INPUT Growth'!$C$125:$C$134,$C72,'INPUT Growth'!$D$125:$D$134,$D72,'INPUT Growth'!$F$125:$F$134,$F72)*SUMIFS(AM$33:AM$35,$E$33:$E$35,$D72)</f>
        <v>0</v>
      </c>
      <c r="AN72" s="194">
        <f>SUMIFS('INPUT Growth'!AN$125:AN$134,'INPUT Growth'!$C$125:$C$134,$C72,'INPUT Growth'!$D$125:$D$134,$D72,'INPUT Growth'!$F$125:$F$134,$F72)*SUMIFS(AN$33:AN$35,$E$33:$E$35,$D72)</f>
        <v>0</v>
      </c>
      <c r="AO72" s="194">
        <f>SUMIFS('INPUT Growth'!AO$125:AO$134,'INPUT Growth'!$C$125:$C$134,$C72,'INPUT Growth'!$D$125:$D$134,$D72,'INPUT Growth'!$F$125:$F$134,$F72)*SUMIFS(AO$33:AO$35,$E$33:$E$35,$D72)</f>
        <v>0</v>
      </c>
      <c r="AP72" s="194">
        <f>SUMIFS('INPUT Growth'!AP$125:AP$134,'INPUT Growth'!$C$125:$C$134,$C72,'INPUT Growth'!$D$125:$D$134,$D72,'INPUT Growth'!$F$125:$F$134,$F72)*SUMIFS(AP$33:AP$35,$E$33:$E$35,$D72)</f>
        <v>0</v>
      </c>
      <c r="AQ72" s="194">
        <f>SUMIFS('INPUT Growth'!AQ$125:AQ$134,'INPUT Growth'!$C$125:$C$134,$C72,'INPUT Growth'!$D$125:$D$134,$D72,'INPUT Growth'!$F$125:$F$134,$F72)*SUMIFS(AQ$33:AQ$35,$E$33:$E$35,$D72)</f>
        <v>0</v>
      </c>
      <c r="AR72" s="194">
        <f>SUMIFS('INPUT Growth'!AR$125:AR$134,'INPUT Growth'!$C$125:$C$134,$C72,'INPUT Growth'!$D$125:$D$134,$D72,'INPUT Growth'!$F$125:$F$134,$F72)*SUMIFS(AR$33:AR$35,$E$33:$E$35,$D72)</f>
        <v>0</v>
      </c>
      <c r="AS72" s="194">
        <f>SUMIFS('INPUT Growth'!AS$125:AS$134,'INPUT Growth'!$C$125:$C$134,$C72,'INPUT Growth'!$D$125:$D$134,$D72,'INPUT Growth'!$F$125:$F$134,$F72)*SUMIFS(AS$33:AS$35,$E$33:$E$35,$D72)</f>
        <v>0</v>
      </c>
      <c r="AT72" s="194">
        <f>SUMIFS('INPUT Growth'!AT$125:AT$134,'INPUT Growth'!$C$125:$C$134,$C72,'INPUT Growth'!$D$125:$D$134,$D72,'INPUT Growth'!$F$125:$F$134,$F72)*SUMIFS(AT$33:AT$35,$E$33:$E$35,$D72)</f>
        <v>0</v>
      </c>
      <c r="AU72" s="194">
        <f>SUMIFS('INPUT Growth'!AU$125:AU$134,'INPUT Growth'!$C$125:$C$134,$C72,'INPUT Growth'!$D$125:$D$134,$D72,'INPUT Growth'!$F$125:$F$134,$F72)*SUMIFS(AU$33:AU$35,$E$33:$E$35,$D72)</f>
        <v>0</v>
      </c>
      <c r="AV72" s="194">
        <f>SUMIFS('INPUT Growth'!AV$125:AV$134,'INPUT Growth'!$C$125:$C$134,$C72,'INPUT Growth'!$D$125:$D$134,$D72,'INPUT Growth'!$F$125:$F$134,$F72)*SUMIFS(AV$33:AV$35,$E$33:$E$35,$D72)</f>
        <v>0</v>
      </c>
      <c r="AW72" s="194">
        <f>SUMIFS('INPUT Growth'!AW$125:AW$134,'INPUT Growth'!$C$125:$C$134,$C72,'INPUT Growth'!$D$125:$D$134,$D72,'INPUT Growth'!$F$125:$F$134,$F72)*SUMIFS(AW$33:AW$35,$E$33:$E$35,$D72)</f>
        <v>0</v>
      </c>
    </row>
    <row r="73" spans="1:49" outlineLevel="1" x14ac:dyDescent="0.2">
      <c r="A73" s="150"/>
      <c r="B73" s="150"/>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row>
    <row r="74" spans="1:49" outlineLevel="1" x14ac:dyDescent="0.2">
      <c r="A74" s="150"/>
      <c r="B74" s="150"/>
      <c r="C74" s="64" t="s">
        <v>556</v>
      </c>
      <c r="D74" s="150"/>
      <c r="E74" s="150"/>
      <c r="F74" s="150"/>
      <c r="G74" s="64"/>
      <c r="H74" s="150"/>
      <c r="I74" s="150"/>
      <c r="J74" s="150"/>
      <c r="K74" s="150"/>
      <c r="L74" s="150"/>
      <c r="M74" s="150"/>
      <c r="N74" s="150"/>
      <c r="O74" s="150"/>
      <c r="P74" s="150"/>
      <c r="Q74" s="150"/>
      <c r="R74" s="150"/>
      <c r="S74" s="150"/>
      <c r="T74" s="150"/>
      <c r="U74" s="150"/>
      <c r="V74" s="150"/>
      <c r="W74" s="150"/>
      <c r="X74" s="150"/>
      <c r="Y74" s="150"/>
      <c r="Z74" s="150"/>
      <c r="AA74" s="150"/>
      <c r="AB74" s="150"/>
      <c r="AC74" s="193"/>
      <c r="AD74" s="193"/>
      <c r="AE74" s="193"/>
      <c r="AF74" s="193"/>
      <c r="AG74" s="193"/>
      <c r="AH74" s="193"/>
      <c r="AI74" s="193"/>
      <c r="AJ74" s="193"/>
      <c r="AK74" s="193"/>
      <c r="AL74" s="193"/>
      <c r="AM74" s="193"/>
      <c r="AN74" s="193"/>
      <c r="AO74" s="193"/>
      <c r="AP74" s="193"/>
      <c r="AQ74" s="193"/>
      <c r="AR74" s="193"/>
      <c r="AS74" s="193"/>
      <c r="AT74" s="193"/>
      <c r="AU74" s="193"/>
      <c r="AV74" s="193"/>
      <c r="AW74" s="193"/>
    </row>
    <row r="75" spans="1:49" outlineLevel="1" x14ac:dyDescent="0.2">
      <c r="A75" s="51" t="str" cm="1">
        <f t="array" ref="A75">INDEX(TariffCode, MATCH(1,(C75=TariffZone)*(D75=TariffProduct),0))</f>
        <v>SW</v>
      </c>
      <c r="B75" s="51"/>
      <c r="C75" s="150" t="s">
        <v>287</v>
      </c>
      <c r="D75" s="150" t="s">
        <v>301</v>
      </c>
      <c r="E75" s="150"/>
      <c r="F75" s="150"/>
      <c r="G75" s="150"/>
      <c r="H75" s="150"/>
      <c r="I75" s="150"/>
      <c r="J75" s="150"/>
      <c r="K75" s="150"/>
      <c r="L75" s="150"/>
      <c r="M75" s="150"/>
      <c r="N75" s="150"/>
      <c r="O75" s="150"/>
      <c r="P75" s="150"/>
      <c r="Q75" s="150"/>
      <c r="R75" s="150"/>
      <c r="S75" s="150"/>
      <c r="T75" s="150"/>
      <c r="U75" s="150"/>
      <c r="V75" s="150"/>
      <c r="W75" s="150"/>
      <c r="X75" s="150"/>
      <c r="Y75" s="150"/>
      <c r="Z75" s="150"/>
      <c r="AA75" s="150"/>
      <c r="AB75" s="150"/>
      <c r="AC75" s="194">
        <f>SUMIFS('INPUT Growth'!AC$125:AC$134,'INPUT Growth'!$C$125:$C$134,$C75,'INPUT Growth'!$D$125:$D$134,$D75,'INPUT Growth'!$F$125:$F$134,"Central")*SUMIFS(AC$33:AC$35,$E$33:$E$35,$D75)
*SUMIFS('INPUT Growth'!$AC$173:$AC$182,'INPUT Growth'!$C$173:$C$182,'INPUT Opex'!$C75,'INPUT Growth'!$D$173:$D$182,'INPUT Opex'!$D75,'INPUT Growth'!$F$173:$F$182,"CentraL")
+SUMIFS('INPUT Growth'!AC$125:AC$134,'INPUT Growth'!$C$125:$C$134,$C75,'INPUT Growth'!$D$125:$D$134,$D75,'INPUT Growth'!$F$125:$F$134,"Western")*SUMIFS(AC$33:AC$35,$E$33:$E$35,$D75)
*SUMIFS('INPUT Growth'!$AC$173:$AC$182,'INPUT Growth'!$C$173:$C$182,'INPUT Opex'!$C75,'INPUT Growth'!$D$173:$D$182,'INPUT Opex'!$D75,'INPUT Growth'!$F$173:$F$182,"Western")</f>
        <v>292.83834137199926</v>
      </c>
      <c r="AD75" s="194">
        <f>SUMIFS('INPUT Growth'!AD$125:AD$134,'INPUT Growth'!$C$125:$C$134,$C75,'INPUT Growth'!$D$125:$D$134,$D75,'INPUT Growth'!$F$125:$F$134,"Central")*SUMIFS(AD$33:AD$35,$E$33:$E$35,$D75)
*SUMIFS('INPUT Growth'!$AC$173:$AC$182,'INPUT Growth'!$C$173:$C$182,'INPUT Opex'!$C75,'INPUT Growth'!$D$173:$D$182,'INPUT Opex'!$D75,'INPUT Growth'!$F$173:$F$182,"CentraL")
+SUMIFS('INPUT Growth'!AD$125:AD$134,'INPUT Growth'!$C$125:$C$134,$C75,'INPUT Growth'!$D$125:$D$134,$D75,'INPUT Growth'!$F$125:$F$134,"Western")*SUMIFS(AD$33:AD$35,$E$33:$E$35,$D75)
*SUMIFS('INPUT Growth'!$AC$173:$AC$182,'INPUT Growth'!$C$173:$C$182,'INPUT Opex'!$C75,'INPUT Growth'!$D$173:$D$182,'INPUT Opex'!$D75,'INPUT Growth'!$F$173:$F$182,"Western")</f>
        <v>294.89573690618522</v>
      </c>
      <c r="AE75" s="194">
        <f>SUMIFS('INPUT Growth'!AE$125:AE$134,'INPUT Growth'!$C$125:$C$134,$C75,'INPUT Growth'!$D$125:$D$134,$D75,'INPUT Growth'!$F$125:$F$134,"Central")*SUMIFS(AE$33:AE$35,$E$33:$E$35,$D75)
*SUMIFS('INPUT Growth'!$AC$173:$AC$182,'INPUT Growth'!$C$173:$C$182,'INPUT Opex'!$C75,'INPUT Growth'!$D$173:$D$182,'INPUT Opex'!$D75,'INPUT Growth'!$F$173:$F$182,"CentraL")
+SUMIFS('INPUT Growth'!AE$125:AE$134,'INPUT Growth'!$C$125:$C$134,$C75,'INPUT Growth'!$D$125:$D$134,$D75,'INPUT Growth'!$F$125:$F$134,"Western")*SUMIFS(AE$33:AE$35,$E$33:$E$35,$D75)
*SUMIFS('INPUT Growth'!$AC$173:$AC$182,'INPUT Growth'!$C$173:$C$182,'INPUT Opex'!$C75,'INPUT Growth'!$D$173:$D$182,'INPUT Opex'!$D75,'INPUT Growth'!$F$173:$F$182,"Western")</f>
        <v>296.95701476912529</v>
      </c>
      <c r="AF75" s="194">
        <f>SUMIFS('INPUT Growth'!AF$125:AF$134,'INPUT Growth'!$C$125:$C$134,$C75,'INPUT Growth'!$D$125:$D$134,$D75,'INPUT Growth'!$F$125:$F$134,"Central")*SUMIFS(AF$33:AF$35,$E$33:$E$35,$D75)
*SUMIFS('INPUT Growth'!$AC$173:$AC$182,'INPUT Growth'!$C$173:$C$182,'INPUT Opex'!$C75,'INPUT Growth'!$D$173:$D$182,'INPUT Opex'!$D75,'INPUT Growth'!$F$173:$F$182,"CentraL")
+SUMIFS('INPUT Growth'!AF$125:AF$134,'INPUT Growth'!$C$125:$C$134,$C75,'INPUT Growth'!$D$125:$D$134,$D75,'INPUT Growth'!$F$125:$F$134,"Western")*SUMIFS(AF$33:AF$35,$E$33:$E$35,$D75)
*SUMIFS('INPUT Growth'!$AC$173:$AC$182,'INPUT Growth'!$C$173:$C$182,'INPUT Opex'!$C75,'INPUT Growth'!$D$173:$D$182,'INPUT Opex'!$D75,'INPUT Growth'!$F$173:$F$182,"Western")</f>
        <v>296.95293377963674</v>
      </c>
      <c r="AG75" s="194">
        <f>SUMIFS('INPUT Growth'!AG$125:AG$134,'INPUT Growth'!$C$125:$C$134,$C75,'INPUT Growth'!$D$125:$D$134,$D75,'INPUT Growth'!$F$125:$F$134,"Central")*SUMIFS(AG$33:AG$35,$E$33:$E$35,$D75)
*SUMIFS('INPUT Growth'!$AC$173:$AC$182,'INPUT Growth'!$C$173:$C$182,'INPUT Opex'!$C75,'INPUT Growth'!$D$173:$D$182,'INPUT Opex'!$D75,'INPUT Growth'!$F$173:$F$182,"CentraL")
+SUMIFS('INPUT Growth'!AG$125:AG$134,'INPUT Growth'!$C$125:$C$134,$C75,'INPUT Growth'!$D$125:$D$134,$D75,'INPUT Growth'!$F$125:$F$134,"Western")*SUMIFS(AG$33:AG$35,$E$33:$E$35,$D75)
*SUMIFS('INPUT Growth'!$AC$173:$AC$182,'INPUT Growth'!$C$173:$C$182,'INPUT Opex'!$C75,'INPUT Growth'!$D$173:$D$182,'INPUT Opex'!$D75,'INPUT Growth'!$F$173:$F$182,"Western")</f>
        <v>296.94436374429074</v>
      </c>
      <c r="AH75" s="194">
        <f>SUMIFS('INPUT Growth'!AH$125:AH$134,'INPUT Growth'!$C$125:$C$134,$C75,'INPUT Growth'!$D$125:$D$134,$D75,'INPUT Growth'!$F$125:$F$134,"Central")*SUMIFS(AH$33:AH$35,$E$33:$E$35,$D75)
*SUMIFS('INPUT Growth'!$AC$173:$AC$182,'INPUT Growth'!$C$173:$C$182,'INPUT Opex'!$C75,'INPUT Growth'!$D$173:$D$182,'INPUT Opex'!$D75,'INPUT Growth'!$F$173:$F$182,"CentraL")
+SUMIFS('INPUT Growth'!AH$125:AH$134,'INPUT Growth'!$C$125:$C$134,$C75,'INPUT Growth'!$D$125:$D$134,$D75,'INPUT Growth'!$F$125:$F$134,"Western")*SUMIFS(AH$33:AH$35,$E$33:$E$35,$D75)
*SUMIFS('INPUT Growth'!$AC$173:$AC$182,'INPUT Growth'!$C$173:$C$182,'INPUT Opex'!$C75,'INPUT Growth'!$D$173:$D$182,'INPUT Opex'!$D75,'INPUT Growth'!$F$173:$F$182,"Western")</f>
        <v>296.93722932337812</v>
      </c>
      <c r="AI75" s="194">
        <f>SUMIFS('INPUT Growth'!AI$125:AI$134,'INPUT Growth'!$C$125:$C$134,$C75,'INPUT Growth'!$D$125:$D$134,$D75,'INPUT Growth'!$F$125:$F$134,"Central")*SUMIFS(AI$33:AI$35,$E$33:$E$35,$D75)
*SUMIFS('INPUT Growth'!$AC$173:$AC$182,'INPUT Growth'!$C$173:$C$182,'INPUT Opex'!$C75,'INPUT Growth'!$D$173:$D$182,'INPUT Opex'!$D75,'INPUT Growth'!$F$173:$F$182,"CentraL")
+SUMIFS('INPUT Growth'!AI$125:AI$134,'INPUT Growth'!$C$125:$C$134,$C75,'INPUT Growth'!$D$125:$D$134,$D75,'INPUT Growth'!$F$125:$F$134,"Western")*SUMIFS(AI$33:AI$35,$E$33:$E$35,$D75)
*SUMIFS('INPUT Growth'!$AC$173:$AC$182,'INPUT Growth'!$C$173:$C$182,'INPUT Opex'!$C75,'INPUT Growth'!$D$173:$D$182,'INPUT Opex'!$D75,'INPUT Growth'!$F$173:$F$182,"Western")</f>
        <v>296.9182826717016</v>
      </c>
      <c r="AJ75" s="194">
        <f>SUMIFS('INPUT Growth'!AJ$125:AJ$134,'INPUT Growth'!$C$125:$C$134,$C75,'INPUT Growth'!$D$125:$D$134,$D75,'INPUT Growth'!$F$125:$F$134,"Central")*SUMIFS(AJ$33:AJ$35,$E$33:$E$35,$D75)
*SUMIFS('INPUT Growth'!$AC$173:$AC$182,'INPUT Growth'!$C$173:$C$182,'INPUT Opex'!$C75,'INPUT Growth'!$D$173:$D$182,'INPUT Opex'!$D75,'INPUT Growth'!$F$173:$F$182,"CentraL")
+SUMIFS('INPUT Growth'!AJ$125:AJ$134,'INPUT Growth'!$C$125:$C$134,$C75,'INPUT Growth'!$D$125:$D$134,$D75,'INPUT Growth'!$F$125:$F$134,"Western")*SUMIFS(AJ$33:AJ$35,$E$33:$E$35,$D75)
*SUMIFS('INPUT Growth'!$AC$173:$AC$182,'INPUT Growth'!$C$173:$C$182,'INPUT Opex'!$C75,'INPUT Growth'!$D$173:$D$182,'INPUT Opex'!$D75,'INPUT Growth'!$F$173:$F$182,"Western")</f>
        <v>296.90324742505749</v>
      </c>
      <c r="AK75" s="194">
        <f>SUMIFS('INPUT Growth'!AK$125:AK$134,'INPUT Growth'!$C$125:$C$134,$C75,'INPUT Growth'!$D$125:$D$134,$D75,'INPUT Growth'!$F$125:$F$134,"Central")*SUMIFS(AK$33:AK$35,$E$33:$E$35,$D75)
*SUMIFS('INPUT Growth'!$AC$173:$AC$182,'INPUT Growth'!$C$173:$C$182,'INPUT Opex'!$C75,'INPUT Growth'!$D$173:$D$182,'INPUT Opex'!$D75,'INPUT Growth'!$F$173:$F$182,"CentraL")
+SUMIFS('INPUT Growth'!AK$125:AK$134,'INPUT Growth'!$C$125:$C$134,$C75,'INPUT Growth'!$D$125:$D$134,$D75,'INPUT Growth'!$F$125:$F$134,"Western")*SUMIFS(AK$33:AK$35,$E$33:$E$35,$D75)
*SUMIFS('INPUT Growth'!$AC$173:$AC$182,'INPUT Growth'!$C$173:$C$182,'INPUT Opex'!$C75,'INPUT Growth'!$D$173:$D$182,'INPUT Opex'!$D75,'INPUT Growth'!$F$173:$F$182,"Western")</f>
        <v>296.8808756656058</v>
      </c>
      <c r="AL75" s="194">
        <f>SUMIFS('INPUT Growth'!AL$125:AL$134,'INPUT Growth'!$C$125:$C$134,$C75,'INPUT Growth'!$D$125:$D$134,$D75,'INPUT Growth'!$F$125:$F$134,"Central")*SUMIFS(AL$33:AL$35,$E$33:$E$35,$D75)
*SUMIFS('INPUT Growth'!$AC$173:$AC$182,'INPUT Growth'!$C$173:$C$182,'INPUT Opex'!$C75,'INPUT Growth'!$D$173:$D$182,'INPUT Opex'!$D75,'INPUT Growth'!$F$173:$F$182,"CentraL")
+SUMIFS('INPUT Growth'!AL$125:AL$134,'INPUT Growth'!$C$125:$C$134,$C75,'INPUT Growth'!$D$125:$D$134,$D75,'INPUT Growth'!$F$125:$F$134,"Western")*SUMIFS(AL$33:AL$35,$E$33:$E$35,$D75)
*SUMIFS('INPUT Growth'!$AC$173:$AC$182,'INPUT Growth'!$C$173:$C$182,'INPUT Opex'!$C75,'INPUT Growth'!$D$173:$D$182,'INPUT Opex'!$D75,'INPUT Growth'!$F$173:$F$182,"Western")</f>
        <v>296.86553169115791</v>
      </c>
      <c r="AM75" s="194">
        <f>SUMIFS('INPUT Growth'!AM$125:AM$134,'INPUT Growth'!$C$125:$C$134,$C75,'INPUT Growth'!$D$125:$D$134,$D75,'INPUT Growth'!$F$125:$F$134,"Central")*SUMIFS(AM$33:AM$35,$E$33:$E$35,$D75)
*SUMIFS('INPUT Growth'!$AC$173:$AC$182,'INPUT Growth'!$C$173:$C$182,'INPUT Opex'!$C75,'INPUT Growth'!$D$173:$D$182,'INPUT Opex'!$D75,'INPUT Growth'!$F$173:$F$182,"CentraL")
+SUMIFS('INPUT Growth'!AM$125:AM$134,'INPUT Growth'!$C$125:$C$134,$C75,'INPUT Growth'!$D$125:$D$134,$D75,'INPUT Growth'!$F$125:$F$134,"Western")*SUMIFS(AM$33:AM$35,$E$33:$E$35,$D75)
*SUMIFS('INPUT Growth'!$AC$173:$AC$182,'INPUT Growth'!$C$173:$C$182,'INPUT Opex'!$C75,'INPUT Growth'!$D$173:$D$182,'INPUT Opex'!$D75,'INPUT Growth'!$F$173:$F$182,"Western")</f>
        <v>296.84932750630475</v>
      </c>
      <c r="AN75" s="194">
        <f>SUMIFS('INPUT Growth'!AN$125:AN$134,'INPUT Growth'!$C$125:$C$134,$C75,'INPUT Growth'!$D$125:$D$134,$D75,'INPUT Growth'!$F$125:$F$134,"Central")*SUMIFS(AN$33:AN$35,$E$33:$E$35,$D75)
*SUMIFS('INPUT Growth'!$AC$173:$AC$182,'INPUT Growth'!$C$173:$C$182,'INPUT Opex'!$C75,'INPUT Growth'!$D$173:$D$182,'INPUT Opex'!$D75,'INPUT Growth'!$F$173:$F$182,"CentraL")
+SUMIFS('INPUT Growth'!AN$125:AN$134,'INPUT Growth'!$C$125:$C$134,$C75,'INPUT Growth'!$D$125:$D$134,$D75,'INPUT Growth'!$F$125:$F$134,"Western")*SUMIFS(AN$33:AN$35,$E$33:$E$35,$D75)
*SUMIFS('INPUT Growth'!$AC$173:$AC$182,'INPUT Growth'!$C$173:$C$182,'INPUT Opex'!$C75,'INPUT Growth'!$D$173:$D$182,'INPUT Opex'!$D75,'INPUT Growth'!$F$173:$F$182,"Western")</f>
        <v>296.81986149053353</v>
      </c>
      <c r="AO75" s="194">
        <f>SUMIFS('INPUT Growth'!AO$125:AO$134,'INPUT Growth'!$C$125:$C$134,$C75,'INPUT Growth'!$D$125:$D$134,$D75,'INPUT Growth'!$F$125:$F$134,"Central")*SUMIFS(AO$33:AO$35,$E$33:$E$35,$D75)
*SUMIFS('INPUT Growth'!$AC$173:$AC$182,'INPUT Growth'!$C$173:$C$182,'INPUT Opex'!$C75,'INPUT Growth'!$D$173:$D$182,'INPUT Opex'!$D75,'INPUT Growth'!$F$173:$F$182,"CentraL")
+SUMIFS('INPUT Growth'!AO$125:AO$134,'INPUT Growth'!$C$125:$C$134,$C75,'INPUT Growth'!$D$125:$D$134,$D75,'INPUT Growth'!$F$125:$F$134,"Western")*SUMIFS(AO$33:AO$35,$E$33:$E$35,$D75)
*SUMIFS('INPUT Growth'!$AC$173:$AC$182,'INPUT Growth'!$C$173:$C$182,'INPUT Opex'!$C75,'INPUT Growth'!$D$173:$D$182,'INPUT Opex'!$D75,'INPUT Growth'!$F$173:$F$182,"Western")</f>
        <v>296.78988855142461</v>
      </c>
      <c r="AP75" s="194">
        <f>SUMIFS('INPUT Growth'!AP$125:AP$134,'INPUT Growth'!$C$125:$C$134,$C75,'INPUT Growth'!$D$125:$D$134,$D75,'INPUT Growth'!$F$125:$F$134,"Central")*SUMIFS(AP$33:AP$35,$E$33:$E$35,$D75)
*SUMIFS('INPUT Growth'!$AC$173:$AC$182,'INPUT Growth'!$C$173:$C$182,'INPUT Opex'!$C75,'INPUT Growth'!$D$173:$D$182,'INPUT Opex'!$D75,'INPUT Growth'!$F$173:$F$182,"CentraL")
+SUMIFS('INPUT Growth'!AP$125:AP$134,'INPUT Growth'!$C$125:$C$134,$C75,'INPUT Growth'!$D$125:$D$134,$D75,'INPUT Growth'!$F$125:$F$134,"Western")*SUMIFS(AP$33:AP$35,$E$33:$E$35,$D75)
*SUMIFS('INPUT Growth'!$AC$173:$AC$182,'INPUT Growth'!$C$173:$C$182,'INPUT Opex'!$C75,'INPUT Growth'!$D$173:$D$182,'INPUT Opex'!$D75,'INPUT Growth'!$F$173:$F$182,"Western")</f>
        <v>296.76890743757764</v>
      </c>
      <c r="AQ75" s="194">
        <f>SUMIFS('INPUT Growth'!AQ$125:AQ$134,'INPUT Growth'!$C$125:$C$134,$C75,'INPUT Growth'!$D$125:$D$134,$D75,'INPUT Growth'!$F$125:$F$134,"Central")*SUMIFS(AQ$33:AQ$35,$E$33:$E$35,$D75)
*SUMIFS('INPUT Growth'!$AC$173:$AC$182,'INPUT Growth'!$C$173:$C$182,'INPUT Opex'!$C75,'INPUT Growth'!$D$173:$D$182,'INPUT Opex'!$D75,'INPUT Growth'!$F$173:$F$182,"CentraL")
+SUMIFS('INPUT Growth'!AQ$125:AQ$134,'INPUT Growth'!$C$125:$C$134,$C75,'INPUT Growth'!$D$125:$D$134,$D75,'INPUT Growth'!$F$125:$F$134,"Western")*SUMIFS(AQ$33:AQ$35,$E$33:$E$35,$D75)
*SUMIFS('INPUT Growth'!$AC$173:$AC$182,'INPUT Growth'!$C$173:$C$182,'INPUT Opex'!$C75,'INPUT Growth'!$D$173:$D$182,'INPUT Opex'!$D75,'INPUT Growth'!$F$173:$F$182,"Western")</f>
        <v>296.7469402426301</v>
      </c>
      <c r="AR75" s="194">
        <f>SUMIFS('INPUT Growth'!AR$125:AR$134,'INPUT Growth'!$C$125:$C$134,$C75,'INPUT Growth'!$D$125:$D$134,$D75,'INPUT Growth'!$F$125:$F$134,"Central")*SUMIFS(AR$33:AR$35,$E$33:$E$35,$D75)
*SUMIFS('INPUT Growth'!$AC$173:$AC$182,'INPUT Growth'!$C$173:$C$182,'INPUT Opex'!$C75,'INPUT Growth'!$D$173:$D$182,'INPUT Opex'!$D75,'INPUT Growth'!$F$173:$F$182,"CentraL")
+SUMIFS('INPUT Growth'!AR$125:AR$134,'INPUT Growth'!$C$125:$C$134,$C75,'INPUT Growth'!$D$125:$D$134,$D75,'INPUT Growth'!$F$125:$F$134,"Western")*SUMIFS(AR$33:AR$35,$E$33:$E$35,$D75)
*SUMIFS('INPUT Growth'!$AC$173:$AC$182,'INPUT Growth'!$C$173:$C$182,'INPUT Opex'!$C75,'INPUT Growth'!$D$173:$D$182,'INPUT Opex'!$D75,'INPUT Growth'!$F$173:$F$182,"Western")</f>
        <v>296.7305624950605</v>
      </c>
      <c r="AS75" s="194">
        <f>SUMIFS('INPUT Growth'!AS$125:AS$134,'INPUT Growth'!$C$125:$C$134,$C75,'INPUT Growth'!$D$125:$D$134,$D75,'INPUT Growth'!$F$125:$F$134,"Central")*SUMIFS(AS$33:AS$35,$E$33:$E$35,$D75)
*SUMIFS('INPUT Growth'!$AC$173:$AC$182,'INPUT Growth'!$C$173:$C$182,'INPUT Opex'!$C75,'INPUT Growth'!$D$173:$D$182,'INPUT Opex'!$D75,'INPUT Growth'!$F$173:$F$182,"CentraL")
+SUMIFS('INPUT Growth'!AS$125:AS$134,'INPUT Growth'!$C$125:$C$134,$C75,'INPUT Growth'!$D$125:$D$134,$D75,'INPUT Growth'!$F$125:$F$134,"Western")*SUMIFS(AS$33:AS$35,$E$33:$E$35,$D75)
*SUMIFS('INPUT Growth'!$AC$173:$AC$182,'INPUT Growth'!$C$173:$C$182,'INPUT Opex'!$C75,'INPUT Growth'!$D$173:$D$182,'INPUT Opex'!$D75,'INPUT Growth'!$F$173:$F$182,"Western")</f>
        <v>296.714152551094</v>
      </c>
      <c r="AT75" s="194">
        <f>SUMIFS('INPUT Growth'!AT$125:AT$134,'INPUT Growth'!$C$125:$C$134,$C75,'INPUT Growth'!$D$125:$D$134,$D75,'INPUT Growth'!$F$125:$F$134,"Central")*SUMIFS(AT$33:AT$35,$E$33:$E$35,$D75)
*SUMIFS('INPUT Growth'!$AC$173:$AC$182,'INPUT Growth'!$C$173:$C$182,'INPUT Opex'!$C75,'INPUT Growth'!$D$173:$D$182,'INPUT Opex'!$D75,'INPUT Growth'!$F$173:$F$182,"CentraL")
+SUMIFS('INPUT Growth'!AT$125:AT$134,'INPUT Growth'!$C$125:$C$134,$C75,'INPUT Growth'!$D$125:$D$134,$D75,'INPUT Growth'!$F$125:$F$134,"Western")*SUMIFS(AT$33:AT$35,$E$33:$E$35,$D75)
*SUMIFS('INPUT Growth'!$AC$173:$AC$182,'INPUT Growth'!$C$173:$C$182,'INPUT Opex'!$C75,'INPUT Growth'!$D$173:$D$182,'INPUT Opex'!$D75,'INPUT Growth'!$F$173:$F$182,"Western")</f>
        <v>296.70514902680111</v>
      </c>
      <c r="AU75" s="194">
        <f>SUMIFS('INPUT Growth'!AU$125:AU$134,'INPUT Growth'!$C$125:$C$134,$C75,'INPUT Growth'!$D$125:$D$134,$D75,'INPUT Growth'!$F$125:$F$134,"Central")*SUMIFS(AU$33:AU$35,$E$33:$E$35,$D75)
*SUMIFS('INPUT Growth'!$AC$173:$AC$182,'INPUT Growth'!$C$173:$C$182,'INPUT Opex'!$C75,'INPUT Growth'!$D$173:$D$182,'INPUT Opex'!$D75,'INPUT Growth'!$F$173:$F$182,"CentraL")
+SUMIFS('INPUT Growth'!AU$125:AU$134,'INPUT Growth'!$C$125:$C$134,$C75,'INPUT Growth'!$D$125:$D$134,$D75,'INPUT Growth'!$F$125:$F$134,"Western")*SUMIFS(AU$33:AU$35,$E$33:$E$35,$D75)
*SUMIFS('INPUT Growth'!$AC$173:$AC$182,'INPUT Growth'!$C$173:$C$182,'INPUT Opex'!$C75,'INPUT Growth'!$D$173:$D$182,'INPUT Opex'!$D75,'INPUT Growth'!$F$173:$F$182,"Western")</f>
        <v>296.68213601841455</v>
      </c>
      <c r="AV75" s="194">
        <f>SUMIFS('INPUT Growth'!AV$125:AV$134,'INPUT Growth'!$C$125:$C$134,$C75,'INPUT Growth'!$D$125:$D$134,$D75,'INPUT Growth'!$F$125:$F$134,"Central")*SUMIFS(AV$33:AV$35,$E$33:$E$35,$D75)
*SUMIFS('INPUT Growth'!$AC$173:$AC$182,'INPUT Growth'!$C$173:$C$182,'INPUT Opex'!$C75,'INPUT Growth'!$D$173:$D$182,'INPUT Opex'!$D75,'INPUT Growth'!$F$173:$F$182,"CentraL")
+SUMIFS('INPUT Growth'!AV$125:AV$134,'INPUT Growth'!$C$125:$C$134,$C75,'INPUT Growth'!$D$125:$D$134,$D75,'INPUT Growth'!$F$125:$F$134,"Western")*SUMIFS(AV$33:AV$35,$E$33:$E$35,$D75)
*SUMIFS('INPUT Growth'!$AC$173:$AC$182,'INPUT Growth'!$C$173:$C$182,'INPUT Opex'!$C75,'INPUT Growth'!$D$173:$D$182,'INPUT Opex'!$D75,'INPUT Growth'!$F$173:$F$182,"Western")</f>
        <v>296.66245029226803</v>
      </c>
      <c r="AW75" s="194">
        <f>SUMIFS('INPUT Growth'!AW$125:AW$134,'INPUT Growth'!$C$125:$C$134,$C75,'INPUT Growth'!$D$125:$D$134,$D75,'INPUT Growth'!$F$125:$F$134,"Central")*SUMIFS(AW$33:AW$35,$E$33:$E$35,$D75)
*SUMIFS('INPUT Growth'!$AC$173:$AC$182,'INPUT Growth'!$C$173:$C$182,'INPUT Opex'!$C75,'INPUT Growth'!$D$173:$D$182,'INPUT Opex'!$D75,'INPUT Growth'!$F$173:$F$182,"CentraL")
+SUMIFS('INPUT Growth'!AW$125:AW$134,'INPUT Growth'!$C$125:$C$134,$C75,'INPUT Growth'!$D$125:$D$134,$D75,'INPUT Growth'!$F$125:$F$134,"Western")*SUMIFS(AW$33:AW$35,$E$33:$E$35,$D75)
*SUMIFS('INPUT Growth'!$AC$173:$AC$182,'INPUT Growth'!$C$173:$C$182,'INPUT Opex'!$C75,'INPUT Growth'!$D$173:$D$182,'INPUT Opex'!$D75,'INPUT Growth'!$F$173:$F$182,"Western")</f>
        <v>296.64115314376255</v>
      </c>
    </row>
    <row r="76" spans="1:49" outlineLevel="1" x14ac:dyDescent="0.2">
      <c r="A76" s="51" t="str" cm="1">
        <f t="array" ref="A76">INDEX(TariffCode, MATCH(1,(C76=TariffZone)*(D76=TariffProduct),0))</f>
        <v>GW</v>
      </c>
      <c r="B76" s="51"/>
      <c r="C76" s="150" t="s">
        <v>290</v>
      </c>
      <c r="D76" s="150" t="s">
        <v>301</v>
      </c>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150"/>
      <c r="AC76" s="194">
        <f>SUMIFS('INPUT Growth'!AC$125:AC$134,'INPUT Growth'!$C$125:$C$134,$C76,'INPUT Growth'!$D$125:$D$134,$D76,'INPUT Growth'!$F$125:$F$134,"Central")*SUMIFS(AC$33:AC$35,$E$33:$E$35,$D76)
*SUMIFS('INPUT Growth'!$AC$173:$AC$182,'INPUT Growth'!$C$173:$C$182,'INPUT Opex'!$C76,'INPUT Growth'!$D$173:$D$182,'INPUT Opex'!$D76,'INPUT Growth'!$F$173:$F$182,"CentraL")
+SUMIFS('INPUT Growth'!AC$125:AC$134,'INPUT Growth'!$C$125:$C$134,$C76,'INPUT Growth'!$D$125:$D$134,$D76,'INPUT Growth'!$F$125:$F$134,"Western")*SUMIFS(AC$33:AC$35,$E$33:$E$35,$D76)
*SUMIFS('INPUT Growth'!$AC$173:$AC$182,'INPUT Growth'!$C$173:$C$182,'INPUT Opex'!$C76,'INPUT Growth'!$D$173:$D$182,'INPUT Opex'!$D76,'INPUT Growth'!$F$173:$F$182,"Western")</f>
        <v>202.17546548888029</v>
      </c>
      <c r="AD76" s="194">
        <f>SUMIFS('INPUT Growth'!AD$125:AD$134,'INPUT Growth'!$C$125:$C$134,$C76,'INPUT Growth'!$D$125:$D$134,$D76,'INPUT Growth'!$F$125:$F$134,"Central")*SUMIFS(AD$33:AD$35,$E$33:$E$35,$D76)
*SUMIFS('INPUT Growth'!$AC$173:$AC$182,'INPUT Growth'!$C$173:$C$182,'INPUT Opex'!$C76,'INPUT Growth'!$D$173:$D$182,'INPUT Opex'!$D76,'INPUT Growth'!$F$173:$F$182,"CentraL")
+SUMIFS('INPUT Growth'!AD$125:AD$134,'INPUT Growth'!$C$125:$C$134,$C76,'INPUT Growth'!$D$125:$D$134,$D76,'INPUT Growth'!$F$125:$F$134,"Western")*SUMIFS(AD$33:AD$35,$E$33:$E$35,$D76)
*SUMIFS('INPUT Growth'!$AC$173:$AC$182,'INPUT Growth'!$C$173:$C$182,'INPUT Opex'!$C76,'INPUT Growth'!$D$173:$D$182,'INPUT Opex'!$D76,'INPUT Growth'!$F$173:$F$182,"Western")</f>
        <v>203.56580414683032</v>
      </c>
      <c r="AE76" s="194">
        <f>SUMIFS('INPUT Growth'!AE$125:AE$134,'INPUT Growth'!$C$125:$C$134,$C76,'INPUT Growth'!$D$125:$D$134,$D76,'INPUT Growth'!$F$125:$F$134,"Central")*SUMIFS(AE$33:AE$35,$E$33:$E$35,$D76)
*SUMIFS('INPUT Growth'!$AC$173:$AC$182,'INPUT Growth'!$C$173:$C$182,'INPUT Opex'!$C76,'INPUT Growth'!$D$173:$D$182,'INPUT Opex'!$D76,'INPUT Growth'!$F$173:$F$182,"CentraL")
+SUMIFS('INPUT Growth'!AE$125:AE$134,'INPUT Growth'!$C$125:$C$134,$C76,'INPUT Growth'!$D$125:$D$134,$D76,'INPUT Growth'!$F$125:$F$134,"Western")*SUMIFS(AE$33:AE$35,$E$33:$E$35,$D76)
*SUMIFS('INPUT Growth'!$AC$173:$AC$182,'INPUT Growth'!$C$173:$C$182,'INPUT Opex'!$C76,'INPUT Growth'!$D$173:$D$182,'INPUT Opex'!$D76,'INPUT Growth'!$F$173:$F$182,"Western")</f>
        <v>204.21572606575592</v>
      </c>
      <c r="AF76" s="194">
        <f>SUMIFS('INPUT Growth'!AF$125:AF$134,'INPUT Growth'!$C$125:$C$134,$C76,'INPUT Growth'!$D$125:$D$134,$D76,'INPUT Growth'!$F$125:$F$134,"Central")*SUMIFS(AF$33:AF$35,$E$33:$E$35,$D76)
*SUMIFS('INPUT Growth'!$AC$173:$AC$182,'INPUT Growth'!$C$173:$C$182,'INPUT Opex'!$C76,'INPUT Growth'!$D$173:$D$182,'INPUT Opex'!$D76,'INPUT Growth'!$F$173:$F$182,"CentraL")
+SUMIFS('INPUT Growth'!AF$125:AF$134,'INPUT Growth'!$C$125:$C$134,$C76,'INPUT Growth'!$D$125:$D$134,$D76,'INPUT Growth'!$F$125:$F$134,"Western")*SUMIFS(AF$33:AF$35,$E$33:$E$35,$D76)
*SUMIFS('INPUT Growth'!$AC$173:$AC$182,'INPUT Growth'!$C$173:$C$182,'INPUT Opex'!$C76,'INPUT Growth'!$D$173:$D$182,'INPUT Opex'!$D76,'INPUT Growth'!$F$173:$F$182,"Western")</f>
        <v>207.07314562765026</v>
      </c>
      <c r="AG76" s="194">
        <f>SUMIFS('INPUT Growth'!AG$125:AG$134,'INPUT Growth'!$C$125:$C$134,$C76,'INPUT Growth'!$D$125:$D$134,$D76,'INPUT Growth'!$F$125:$F$134,"Central")*SUMIFS(AG$33:AG$35,$E$33:$E$35,$D76)
*SUMIFS('INPUT Growth'!$AC$173:$AC$182,'INPUT Growth'!$C$173:$C$182,'INPUT Opex'!$C76,'INPUT Growth'!$D$173:$D$182,'INPUT Opex'!$D76,'INPUT Growth'!$F$173:$F$182,"CentraL")
+SUMIFS('INPUT Growth'!AG$125:AG$134,'INPUT Growth'!$C$125:$C$134,$C76,'INPUT Growth'!$D$125:$D$134,$D76,'INPUT Growth'!$F$125:$F$134,"Western")*SUMIFS(AG$33:AG$35,$E$33:$E$35,$D76)
*SUMIFS('INPUT Growth'!$AC$173:$AC$182,'INPUT Growth'!$C$173:$C$182,'INPUT Opex'!$C76,'INPUT Growth'!$D$173:$D$182,'INPUT Opex'!$D76,'INPUT Growth'!$F$173:$F$182,"Western")</f>
        <v>206.17808478807657</v>
      </c>
      <c r="AH76" s="194">
        <f>SUMIFS('INPUT Growth'!AH$125:AH$134,'INPUT Growth'!$C$125:$C$134,$C76,'INPUT Growth'!$D$125:$D$134,$D76,'INPUT Growth'!$F$125:$F$134,"Central")*SUMIFS(AH$33:AH$35,$E$33:$E$35,$D76)
*SUMIFS('INPUT Growth'!$AC$173:$AC$182,'INPUT Growth'!$C$173:$C$182,'INPUT Opex'!$C76,'INPUT Growth'!$D$173:$D$182,'INPUT Opex'!$D76,'INPUT Growth'!$F$173:$F$182,"CentraL")
+SUMIFS('INPUT Growth'!AH$125:AH$134,'INPUT Growth'!$C$125:$C$134,$C76,'INPUT Growth'!$D$125:$D$134,$D76,'INPUT Growth'!$F$125:$F$134,"Western")*SUMIFS(AH$33:AH$35,$E$33:$E$35,$D76)
*SUMIFS('INPUT Growth'!$AC$173:$AC$182,'INPUT Growth'!$C$173:$C$182,'INPUT Opex'!$C76,'INPUT Growth'!$D$173:$D$182,'INPUT Opex'!$D76,'INPUT Growth'!$F$173:$F$182,"Western")</f>
        <v>205.39885416664293</v>
      </c>
      <c r="AI76" s="194">
        <f>SUMIFS('INPUT Growth'!AI$125:AI$134,'INPUT Growth'!$C$125:$C$134,$C76,'INPUT Growth'!$D$125:$D$134,$D76,'INPUT Growth'!$F$125:$F$134,"Central")*SUMIFS(AI$33:AI$35,$E$33:$E$35,$D76)
*SUMIFS('INPUT Growth'!$AC$173:$AC$182,'INPUT Growth'!$C$173:$C$182,'INPUT Opex'!$C76,'INPUT Growth'!$D$173:$D$182,'INPUT Opex'!$D76,'INPUT Growth'!$F$173:$F$182,"CentraL")
+SUMIFS('INPUT Growth'!AI$125:AI$134,'INPUT Growth'!$C$125:$C$134,$C76,'INPUT Growth'!$D$125:$D$134,$D76,'INPUT Growth'!$F$125:$F$134,"Western")*SUMIFS(AI$33:AI$35,$E$33:$E$35,$D76)
*SUMIFS('INPUT Growth'!$AC$173:$AC$182,'INPUT Growth'!$C$173:$C$182,'INPUT Opex'!$C76,'INPUT Growth'!$D$173:$D$182,'INPUT Opex'!$D76,'INPUT Growth'!$F$173:$F$182,"Western")</f>
        <v>204.55523821422315</v>
      </c>
      <c r="AJ76" s="194">
        <f>SUMIFS('INPUT Growth'!AJ$125:AJ$134,'INPUT Growth'!$C$125:$C$134,$C76,'INPUT Growth'!$D$125:$D$134,$D76,'INPUT Growth'!$F$125:$F$134,"Central")*SUMIFS(AJ$33:AJ$35,$E$33:$E$35,$D76)
*SUMIFS('INPUT Growth'!$AC$173:$AC$182,'INPUT Growth'!$C$173:$C$182,'INPUT Opex'!$C76,'INPUT Growth'!$D$173:$D$182,'INPUT Opex'!$D76,'INPUT Growth'!$F$173:$F$182,"CentraL")
+SUMIFS('INPUT Growth'!AJ$125:AJ$134,'INPUT Growth'!$C$125:$C$134,$C76,'INPUT Growth'!$D$125:$D$134,$D76,'INPUT Growth'!$F$125:$F$134,"Western")*SUMIFS(AJ$33:AJ$35,$E$33:$E$35,$D76)
*SUMIFS('INPUT Growth'!$AC$173:$AC$182,'INPUT Growth'!$C$173:$C$182,'INPUT Opex'!$C76,'INPUT Growth'!$D$173:$D$182,'INPUT Opex'!$D76,'INPUT Growth'!$F$173:$F$182,"Western")</f>
        <v>203.81224540499906</v>
      </c>
      <c r="AK76" s="194">
        <f>SUMIFS('INPUT Growth'!AK$125:AK$134,'INPUT Growth'!$C$125:$C$134,$C76,'INPUT Growth'!$D$125:$D$134,$D76,'INPUT Growth'!$F$125:$F$134,"Central")*SUMIFS(AK$33:AK$35,$E$33:$E$35,$D76)
*SUMIFS('INPUT Growth'!$AC$173:$AC$182,'INPUT Growth'!$C$173:$C$182,'INPUT Opex'!$C76,'INPUT Growth'!$D$173:$D$182,'INPUT Opex'!$D76,'INPUT Growth'!$F$173:$F$182,"CentraL")
+SUMIFS('INPUT Growth'!AK$125:AK$134,'INPUT Growth'!$C$125:$C$134,$C76,'INPUT Growth'!$D$125:$D$134,$D76,'INPUT Growth'!$F$125:$F$134,"Western")*SUMIFS(AK$33:AK$35,$E$33:$E$35,$D76)
*SUMIFS('INPUT Growth'!$AC$173:$AC$182,'INPUT Growth'!$C$173:$C$182,'INPUT Opex'!$C76,'INPUT Growth'!$D$173:$D$182,'INPUT Opex'!$D76,'INPUT Growth'!$F$173:$F$182,"Western")</f>
        <v>203.24780556805328</v>
      </c>
      <c r="AL76" s="194">
        <f>SUMIFS('INPUT Growth'!AL$125:AL$134,'INPUT Growth'!$C$125:$C$134,$C76,'INPUT Growth'!$D$125:$D$134,$D76,'INPUT Growth'!$F$125:$F$134,"Central")*SUMIFS(AL$33:AL$35,$E$33:$E$35,$D76)
*SUMIFS('INPUT Growth'!$AC$173:$AC$182,'INPUT Growth'!$C$173:$C$182,'INPUT Opex'!$C76,'INPUT Growth'!$D$173:$D$182,'INPUT Opex'!$D76,'INPUT Growth'!$F$173:$F$182,"CentraL")
+SUMIFS('INPUT Growth'!AL$125:AL$134,'INPUT Growth'!$C$125:$C$134,$C76,'INPUT Growth'!$D$125:$D$134,$D76,'INPUT Growth'!$F$125:$F$134,"Western")*SUMIFS(AL$33:AL$35,$E$33:$E$35,$D76)
*SUMIFS('INPUT Growth'!$AC$173:$AC$182,'INPUT Growth'!$C$173:$C$182,'INPUT Opex'!$C76,'INPUT Growth'!$D$173:$D$182,'INPUT Opex'!$D76,'INPUT Growth'!$F$173:$F$182,"Western")</f>
        <v>202.66895334634572</v>
      </c>
      <c r="AM76" s="194">
        <f>SUMIFS('INPUT Growth'!AM$125:AM$134,'INPUT Growth'!$C$125:$C$134,$C76,'INPUT Growth'!$D$125:$D$134,$D76,'INPUT Growth'!$F$125:$F$134,"Central")*SUMIFS(AM$33:AM$35,$E$33:$E$35,$D76)
*SUMIFS('INPUT Growth'!$AC$173:$AC$182,'INPUT Growth'!$C$173:$C$182,'INPUT Opex'!$C76,'INPUT Growth'!$D$173:$D$182,'INPUT Opex'!$D76,'INPUT Growth'!$F$173:$F$182,"CentraL")
+SUMIFS('INPUT Growth'!AM$125:AM$134,'INPUT Growth'!$C$125:$C$134,$C76,'INPUT Growth'!$D$125:$D$134,$D76,'INPUT Growth'!$F$125:$F$134,"Western")*SUMIFS(AM$33:AM$35,$E$33:$E$35,$D76)
*SUMIFS('INPUT Growth'!$AC$173:$AC$182,'INPUT Growth'!$C$173:$C$182,'INPUT Opex'!$C76,'INPUT Growth'!$D$173:$D$182,'INPUT Opex'!$D76,'INPUT Growth'!$F$173:$F$182,"Western")</f>
        <v>202.06304568863908</v>
      </c>
      <c r="AN76" s="194">
        <f>SUMIFS('INPUT Growth'!AN$125:AN$134,'INPUT Growth'!$C$125:$C$134,$C76,'INPUT Growth'!$D$125:$D$134,$D76,'INPUT Growth'!$F$125:$F$134,"Central")*SUMIFS(AN$33:AN$35,$E$33:$E$35,$D76)
*SUMIFS('INPUT Growth'!$AC$173:$AC$182,'INPUT Growth'!$C$173:$C$182,'INPUT Opex'!$C76,'INPUT Growth'!$D$173:$D$182,'INPUT Opex'!$D76,'INPUT Growth'!$F$173:$F$182,"CentraL")
+SUMIFS('INPUT Growth'!AN$125:AN$134,'INPUT Growth'!$C$125:$C$134,$C76,'INPUT Growth'!$D$125:$D$134,$D76,'INPUT Growth'!$F$125:$F$134,"Western")*SUMIFS(AN$33:AN$35,$E$33:$E$35,$D76)
*SUMIFS('INPUT Growth'!$AC$173:$AC$182,'INPUT Growth'!$C$173:$C$182,'INPUT Opex'!$C76,'INPUT Growth'!$D$173:$D$182,'INPUT Opex'!$D76,'INPUT Growth'!$F$173:$F$182,"Western")</f>
        <v>200.97093794489726</v>
      </c>
      <c r="AO76" s="194">
        <f>SUMIFS('INPUT Growth'!AO$125:AO$134,'INPUT Growth'!$C$125:$C$134,$C76,'INPUT Growth'!$D$125:$D$134,$D76,'INPUT Growth'!$F$125:$F$134,"Central")*SUMIFS(AO$33:AO$35,$E$33:$E$35,$D76)
*SUMIFS('INPUT Growth'!$AC$173:$AC$182,'INPUT Growth'!$C$173:$C$182,'INPUT Opex'!$C76,'INPUT Growth'!$D$173:$D$182,'INPUT Opex'!$D76,'INPUT Growth'!$F$173:$F$182,"CentraL")
+SUMIFS('INPUT Growth'!AO$125:AO$134,'INPUT Growth'!$C$125:$C$134,$C76,'INPUT Growth'!$D$125:$D$134,$D76,'INPUT Growth'!$F$125:$F$134,"Western")*SUMIFS(AO$33:AO$35,$E$33:$E$35,$D76)
*SUMIFS('INPUT Growth'!$AC$173:$AC$182,'INPUT Growth'!$C$173:$C$182,'INPUT Opex'!$C76,'INPUT Growth'!$D$173:$D$182,'INPUT Opex'!$D76,'INPUT Growth'!$F$173:$F$182,"Western")</f>
        <v>199.75950473835465</v>
      </c>
      <c r="AP76" s="194">
        <f>SUMIFS('INPUT Growth'!AP$125:AP$134,'INPUT Growth'!$C$125:$C$134,$C76,'INPUT Growth'!$D$125:$D$134,$D76,'INPUT Growth'!$F$125:$F$134,"Central")*SUMIFS(AP$33:AP$35,$E$33:$E$35,$D76)
*SUMIFS('INPUT Growth'!$AC$173:$AC$182,'INPUT Growth'!$C$173:$C$182,'INPUT Opex'!$C76,'INPUT Growth'!$D$173:$D$182,'INPUT Opex'!$D76,'INPUT Growth'!$F$173:$F$182,"CentraL")
+SUMIFS('INPUT Growth'!AP$125:AP$134,'INPUT Growth'!$C$125:$C$134,$C76,'INPUT Growth'!$D$125:$D$134,$D76,'INPUT Growth'!$F$125:$F$134,"Western")*SUMIFS(AP$33:AP$35,$E$33:$E$35,$D76)
*SUMIFS('INPUT Growth'!$AC$173:$AC$182,'INPUT Growth'!$C$173:$C$182,'INPUT Opex'!$C76,'INPUT Growth'!$D$173:$D$182,'INPUT Opex'!$D76,'INPUT Growth'!$F$173:$F$182,"Western")</f>
        <v>198.49418926276135</v>
      </c>
      <c r="AQ76" s="194">
        <f>SUMIFS('INPUT Growth'!AQ$125:AQ$134,'INPUT Growth'!$C$125:$C$134,$C76,'INPUT Growth'!$D$125:$D$134,$D76,'INPUT Growth'!$F$125:$F$134,"Central")*SUMIFS(AQ$33:AQ$35,$E$33:$E$35,$D76)
*SUMIFS('INPUT Growth'!$AC$173:$AC$182,'INPUT Growth'!$C$173:$C$182,'INPUT Opex'!$C76,'INPUT Growth'!$D$173:$D$182,'INPUT Opex'!$D76,'INPUT Growth'!$F$173:$F$182,"CentraL")
+SUMIFS('INPUT Growth'!AQ$125:AQ$134,'INPUT Growth'!$C$125:$C$134,$C76,'INPUT Growth'!$D$125:$D$134,$D76,'INPUT Growth'!$F$125:$F$134,"Western")*SUMIFS(AQ$33:AQ$35,$E$33:$E$35,$D76)
*SUMIFS('INPUT Growth'!$AC$173:$AC$182,'INPUT Growth'!$C$173:$C$182,'INPUT Opex'!$C76,'INPUT Growth'!$D$173:$D$182,'INPUT Opex'!$D76,'INPUT Growth'!$F$173:$F$182,"Western")</f>
        <v>197.18772912993956</v>
      </c>
      <c r="AR76" s="194">
        <f>SUMIFS('INPUT Growth'!AR$125:AR$134,'INPUT Growth'!$C$125:$C$134,$C76,'INPUT Growth'!$D$125:$D$134,$D76,'INPUT Growth'!$F$125:$F$134,"Central")*SUMIFS(AR$33:AR$35,$E$33:$E$35,$D76)
*SUMIFS('INPUT Growth'!$AC$173:$AC$182,'INPUT Growth'!$C$173:$C$182,'INPUT Opex'!$C76,'INPUT Growth'!$D$173:$D$182,'INPUT Opex'!$D76,'INPUT Growth'!$F$173:$F$182,"CentraL")
+SUMIFS('INPUT Growth'!AR$125:AR$134,'INPUT Growth'!$C$125:$C$134,$C76,'INPUT Growth'!$D$125:$D$134,$D76,'INPUT Growth'!$F$125:$F$134,"Western")*SUMIFS(AR$33:AR$35,$E$33:$E$35,$D76)
*SUMIFS('INPUT Growth'!$AC$173:$AC$182,'INPUT Growth'!$C$173:$C$182,'INPUT Opex'!$C76,'INPUT Growth'!$D$173:$D$182,'INPUT Opex'!$D76,'INPUT Growth'!$F$173:$F$182,"Western")</f>
        <v>195.81512930024388</v>
      </c>
      <c r="AS76" s="194">
        <f>SUMIFS('INPUT Growth'!AS$125:AS$134,'INPUT Growth'!$C$125:$C$134,$C76,'INPUT Growth'!$D$125:$D$134,$D76,'INPUT Growth'!$F$125:$F$134,"Central")*SUMIFS(AS$33:AS$35,$E$33:$E$35,$D76)
*SUMIFS('INPUT Growth'!$AC$173:$AC$182,'INPUT Growth'!$C$173:$C$182,'INPUT Opex'!$C76,'INPUT Growth'!$D$173:$D$182,'INPUT Opex'!$D76,'INPUT Growth'!$F$173:$F$182,"CentraL")
+SUMIFS('INPUT Growth'!AS$125:AS$134,'INPUT Growth'!$C$125:$C$134,$C76,'INPUT Growth'!$D$125:$D$134,$D76,'INPUT Growth'!$F$125:$F$134,"Western")*SUMIFS(AS$33:AS$35,$E$33:$E$35,$D76)
*SUMIFS('INPUT Growth'!$AC$173:$AC$182,'INPUT Growth'!$C$173:$C$182,'INPUT Opex'!$C76,'INPUT Growth'!$D$173:$D$182,'INPUT Opex'!$D76,'INPUT Growth'!$F$173:$F$182,"Western")</f>
        <v>194.38225160909076</v>
      </c>
      <c r="AT76" s="194">
        <f>SUMIFS('INPUT Growth'!AT$125:AT$134,'INPUT Growth'!$C$125:$C$134,$C76,'INPUT Growth'!$D$125:$D$134,$D76,'INPUT Growth'!$F$125:$F$134,"Central")*SUMIFS(AT$33:AT$35,$E$33:$E$35,$D76)
*SUMIFS('INPUT Growth'!$AC$173:$AC$182,'INPUT Growth'!$C$173:$C$182,'INPUT Opex'!$C76,'INPUT Growth'!$D$173:$D$182,'INPUT Opex'!$D76,'INPUT Growth'!$F$173:$F$182,"CentraL")
+SUMIFS('INPUT Growth'!AT$125:AT$134,'INPUT Growth'!$C$125:$C$134,$C76,'INPUT Growth'!$D$125:$D$134,$D76,'INPUT Growth'!$F$125:$F$134,"Western")*SUMIFS(AT$33:AT$35,$E$33:$E$35,$D76)
*SUMIFS('INPUT Growth'!$AC$173:$AC$182,'INPUT Growth'!$C$173:$C$182,'INPUT Opex'!$C76,'INPUT Growth'!$D$173:$D$182,'INPUT Opex'!$D76,'INPUT Growth'!$F$173:$F$182,"Western")</f>
        <v>194.79058813065006</v>
      </c>
      <c r="AU76" s="194">
        <f>SUMIFS('INPUT Growth'!AU$125:AU$134,'INPUT Growth'!$C$125:$C$134,$C76,'INPUT Growth'!$D$125:$D$134,$D76,'INPUT Growth'!$F$125:$F$134,"Central")*SUMIFS(AU$33:AU$35,$E$33:$E$35,$D76)
*SUMIFS('INPUT Growth'!$AC$173:$AC$182,'INPUT Growth'!$C$173:$C$182,'INPUT Opex'!$C76,'INPUT Growth'!$D$173:$D$182,'INPUT Opex'!$D76,'INPUT Growth'!$F$173:$F$182,"CentraL")
+SUMIFS('INPUT Growth'!AU$125:AU$134,'INPUT Growth'!$C$125:$C$134,$C76,'INPUT Growth'!$D$125:$D$134,$D76,'INPUT Growth'!$F$125:$F$134,"Western")*SUMIFS(AU$33:AU$35,$E$33:$E$35,$D76)
*SUMIFS('INPUT Growth'!$AC$173:$AC$182,'INPUT Growth'!$C$173:$C$182,'INPUT Opex'!$C76,'INPUT Growth'!$D$173:$D$182,'INPUT Opex'!$D76,'INPUT Growth'!$F$173:$F$182,"Western")</f>
        <v>193.99614872180567</v>
      </c>
      <c r="AV76" s="194">
        <f>SUMIFS('INPUT Growth'!AV$125:AV$134,'INPUT Growth'!$C$125:$C$134,$C76,'INPUT Growth'!$D$125:$D$134,$D76,'INPUT Growth'!$F$125:$F$134,"Central")*SUMIFS(AV$33:AV$35,$E$33:$E$35,$D76)
*SUMIFS('INPUT Growth'!$AC$173:$AC$182,'INPUT Growth'!$C$173:$C$182,'INPUT Opex'!$C76,'INPUT Growth'!$D$173:$D$182,'INPUT Opex'!$D76,'INPUT Growth'!$F$173:$F$182,"CentraL")
+SUMIFS('INPUT Growth'!AV$125:AV$134,'INPUT Growth'!$C$125:$C$134,$C76,'INPUT Growth'!$D$125:$D$134,$D76,'INPUT Growth'!$F$125:$F$134,"Western")*SUMIFS(AV$33:AV$35,$E$33:$E$35,$D76)
*SUMIFS('INPUT Growth'!$AC$173:$AC$182,'INPUT Growth'!$C$173:$C$182,'INPUT Opex'!$C76,'INPUT Growth'!$D$173:$D$182,'INPUT Opex'!$D76,'INPUT Growth'!$F$173:$F$182,"Western")</f>
        <v>193.17169310324417</v>
      </c>
      <c r="AW76" s="194">
        <f>SUMIFS('INPUT Growth'!AW$125:AW$134,'INPUT Growth'!$C$125:$C$134,$C76,'INPUT Growth'!$D$125:$D$134,$D76,'INPUT Growth'!$F$125:$F$134,"Central")*SUMIFS(AW$33:AW$35,$E$33:$E$35,$D76)
*SUMIFS('INPUT Growth'!$AC$173:$AC$182,'INPUT Growth'!$C$173:$C$182,'INPUT Opex'!$C76,'INPUT Growth'!$D$173:$D$182,'INPUT Opex'!$D76,'INPUT Growth'!$F$173:$F$182,"CentraL")
+SUMIFS('INPUT Growth'!AW$125:AW$134,'INPUT Growth'!$C$125:$C$134,$C76,'INPUT Growth'!$D$125:$D$134,$D76,'INPUT Growth'!$F$125:$F$134,"Western")*SUMIFS(AW$33:AW$35,$E$33:$E$35,$D76)
*SUMIFS('INPUT Growth'!$AC$173:$AC$182,'INPUT Growth'!$C$173:$C$182,'INPUT Opex'!$C76,'INPUT Growth'!$D$173:$D$182,'INPUT Opex'!$D76,'INPUT Growth'!$F$173:$F$182,"Western")</f>
        <v>192.39243894648195</v>
      </c>
    </row>
    <row r="77" spans="1:49" outlineLevel="1" x14ac:dyDescent="0.2">
      <c r="A77" s="51" t="str" cm="1">
        <f t="array" ref="A77">INDEX(TariffCode, MATCH(1,(C77=TariffZone)*(D77=TariffProduct),0))</f>
        <v>SS</v>
      </c>
      <c r="B77" s="51"/>
      <c r="C77" s="150" t="s">
        <v>287</v>
      </c>
      <c r="D77" s="150" t="s">
        <v>303</v>
      </c>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94">
        <f>SUMIFS('INPUT Growth'!AC$125:AC$134,'INPUT Growth'!$C$125:$C$134,$C77,'INPUT Growth'!$D$125:$D$134,$D77,'INPUT Growth'!$F$125:$F$134,"Central")*SUMIFS(AC$33:AC$35,$E$33:$E$35,$D77)
*SUMIFS('INPUT Growth'!$AC$173:$AC$182,'INPUT Growth'!$C$173:$C$182,'INPUT Opex'!$C77,'INPUT Growth'!$D$173:$D$182,'INPUT Opex'!$D77,'INPUT Growth'!$F$173:$F$182,"CentraL")
+SUMIFS('INPUT Growth'!AC$125:AC$134,'INPUT Growth'!$C$125:$C$134,$C77,'INPUT Growth'!$D$125:$D$134,$D77,'INPUT Growth'!$F$125:$F$134,"Western")*SUMIFS(AC$33:AC$35,$E$33:$E$35,$D77)
*SUMIFS('INPUT Growth'!$AC$173:$AC$182,'INPUT Growth'!$C$173:$C$182,'INPUT Opex'!$C77,'INPUT Growth'!$D$173:$D$182,'INPUT Opex'!$D77,'INPUT Growth'!$F$173:$F$182,"Western")</f>
        <v>113.61531382203825</v>
      </c>
      <c r="AD77" s="194">
        <f>SUMIFS('INPUT Growth'!AD$125:AD$134,'INPUT Growth'!$C$125:$C$134,$C77,'INPUT Growth'!$D$125:$D$134,$D77,'INPUT Growth'!$F$125:$F$134,"Central")*SUMIFS(AD$33:AD$35,$E$33:$E$35,$D77)
*SUMIFS('INPUT Growth'!$AC$173:$AC$182,'INPUT Growth'!$C$173:$C$182,'INPUT Opex'!$C77,'INPUT Growth'!$D$173:$D$182,'INPUT Opex'!$D77,'INPUT Growth'!$F$173:$F$182,"CentraL")
+SUMIFS('INPUT Growth'!AD$125:AD$134,'INPUT Growth'!$C$125:$C$134,$C77,'INPUT Growth'!$D$125:$D$134,$D77,'INPUT Growth'!$F$125:$F$134,"Western")*SUMIFS(AD$33:AD$35,$E$33:$E$35,$D77)
*SUMIFS('INPUT Growth'!$AC$173:$AC$182,'INPUT Growth'!$C$173:$C$182,'INPUT Opex'!$C77,'INPUT Growth'!$D$173:$D$182,'INPUT Opex'!$D77,'INPUT Growth'!$F$173:$F$182,"Western")</f>
        <v>113.61530550882675</v>
      </c>
      <c r="AE77" s="194">
        <f>SUMIFS('INPUT Growth'!AE$125:AE$134,'INPUT Growth'!$C$125:$C$134,$C77,'INPUT Growth'!$D$125:$D$134,$D77,'INPUT Growth'!$F$125:$F$134,"Central")*SUMIFS(AE$33:AE$35,$E$33:$E$35,$D77)
*SUMIFS('INPUT Growth'!$AC$173:$AC$182,'INPUT Growth'!$C$173:$C$182,'INPUT Opex'!$C77,'INPUT Growth'!$D$173:$D$182,'INPUT Opex'!$D77,'INPUT Growth'!$F$173:$F$182,"CentraL")
+SUMIFS('INPUT Growth'!AE$125:AE$134,'INPUT Growth'!$C$125:$C$134,$C77,'INPUT Growth'!$D$125:$D$134,$D77,'INPUT Growth'!$F$125:$F$134,"Western")*SUMIFS(AE$33:AE$35,$E$33:$E$35,$D77)
*SUMIFS('INPUT Growth'!$AC$173:$AC$182,'INPUT Growth'!$C$173:$C$182,'INPUT Opex'!$C77,'INPUT Growth'!$D$173:$D$182,'INPUT Opex'!$D77,'INPUT Growth'!$F$173:$F$182,"Western")</f>
        <v>113.61530333163185</v>
      </c>
      <c r="AF77" s="194">
        <f>SUMIFS('INPUT Growth'!AF$125:AF$134,'INPUT Growth'!$C$125:$C$134,$C77,'INPUT Growth'!$D$125:$D$134,$D77,'INPUT Growth'!$F$125:$F$134,"Central")*SUMIFS(AF$33:AF$35,$E$33:$E$35,$D77)
*SUMIFS('INPUT Growth'!$AC$173:$AC$182,'INPUT Growth'!$C$173:$C$182,'INPUT Opex'!$C77,'INPUT Growth'!$D$173:$D$182,'INPUT Opex'!$D77,'INPUT Growth'!$F$173:$F$182,"CentraL")
+SUMIFS('INPUT Growth'!AF$125:AF$134,'INPUT Growth'!$C$125:$C$134,$C77,'INPUT Growth'!$D$125:$D$134,$D77,'INPUT Growth'!$F$125:$F$134,"Western")*SUMIFS(AF$33:AF$35,$E$33:$E$35,$D77)
*SUMIFS('INPUT Growth'!$AC$173:$AC$182,'INPUT Growth'!$C$173:$C$182,'INPUT Opex'!$C77,'INPUT Growth'!$D$173:$D$182,'INPUT Opex'!$D77,'INPUT Growth'!$F$173:$F$182,"Western")</f>
        <v>113.61529987680659</v>
      </c>
      <c r="AG77" s="194">
        <f>SUMIFS('INPUT Growth'!AG$125:AG$134,'INPUT Growth'!$C$125:$C$134,$C77,'INPUT Growth'!$D$125:$D$134,$D77,'INPUT Growth'!$F$125:$F$134,"Central")*SUMIFS(AG$33:AG$35,$E$33:$E$35,$D77)
*SUMIFS('INPUT Growth'!$AC$173:$AC$182,'INPUT Growth'!$C$173:$C$182,'INPUT Opex'!$C77,'INPUT Growth'!$D$173:$D$182,'INPUT Opex'!$D77,'INPUT Growth'!$F$173:$F$182,"CentraL")
+SUMIFS('INPUT Growth'!AG$125:AG$134,'INPUT Growth'!$C$125:$C$134,$C77,'INPUT Growth'!$D$125:$D$134,$D77,'INPUT Growth'!$F$125:$F$134,"Western")*SUMIFS(AG$33:AG$35,$E$33:$E$35,$D77)
*SUMIFS('INPUT Growth'!$AC$173:$AC$182,'INPUT Growth'!$C$173:$C$182,'INPUT Opex'!$C77,'INPUT Growth'!$D$173:$D$182,'INPUT Opex'!$D77,'INPUT Growth'!$F$173:$F$182,"Western")</f>
        <v>113.61529629386757</v>
      </c>
      <c r="AH77" s="194">
        <f>SUMIFS('INPUT Growth'!AH$125:AH$134,'INPUT Growth'!$C$125:$C$134,$C77,'INPUT Growth'!$D$125:$D$134,$D77,'INPUT Growth'!$F$125:$F$134,"Central")*SUMIFS(AH$33:AH$35,$E$33:$E$35,$D77)
*SUMIFS('INPUT Growth'!$AC$173:$AC$182,'INPUT Growth'!$C$173:$C$182,'INPUT Opex'!$C77,'INPUT Growth'!$D$173:$D$182,'INPUT Opex'!$D77,'INPUT Growth'!$F$173:$F$182,"CentraL")
+SUMIFS('INPUT Growth'!AH$125:AH$134,'INPUT Growth'!$C$125:$C$134,$C77,'INPUT Growth'!$D$125:$D$134,$D77,'INPUT Growth'!$F$125:$F$134,"Western")*SUMIFS(AH$33:AH$35,$E$33:$E$35,$D77)
*SUMIFS('INPUT Growth'!$AC$173:$AC$182,'INPUT Growth'!$C$173:$C$182,'INPUT Opex'!$C77,'INPUT Growth'!$D$173:$D$182,'INPUT Opex'!$D77,'INPUT Growth'!$F$173:$F$182,"Western")</f>
        <v>113.61529299930648</v>
      </c>
      <c r="AI77" s="194">
        <f>SUMIFS('INPUT Growth'!AI$125:AI$134,'INPUT Growth'!$C$125:$C$134,$C77,'INPUT Growth'!$D$125:$D$134,$D77,'INPUT Growth'!$F$125:$F$134,"Central")*SUMIFS(AI$33:AI$35,$E$33:$E$35,$D77)
*SUMIFS('INPUT Growth'!$AC$173:$AC$182,'INPUT Growth'!$C$173:$C$182,'INPUT Opex'!$C77,'INPUT Growth'!$D$173:$D$182,'INPUT Opex'!$D77,'INPUT Growth'!$F$173:$F$182,"CentraL")
+SUMIFS('INPUT Growth'!AI$125:AI$134,'INPUT Growth'!$C$125:$C$134,$C77,'INPUT Growth'!$D$125:$D$134,$D77,'INPUT Growth'!$F$125:$F$134,"Western")*SUMIFS(AI$33:AI$35,$E$33:$E$35,$D77)
*SUMIFS('INPUT Growth'!$AC$173:$AC$182,'INPUT Growth'!$C$173:$C$182,'INPUT Opex'!$C77,'INPUT Growth'!$D$173:$D$182,'INPUT Opex'!$D77,'INPUT Growth'!$F$173:$F$182,"Western")</f>
        <v>113.61529015579474</v>
      </c>
      <c r="AJ77" s="194">
        <f>SUMIFS('INPUT Growth'!AJ$125:AJ$134,'INPUT Growth'!$C$125:$C$134,$C77,'INPUT Growth'!$D$125:$D$134,$D77,'INPUT Growth'!$F$125:$F$134,"Central")*SUMIFS(AJ$33:AJ$35,$E$33:$E$35,$D77)
*SUMIFS('INPUT Growth'!$AC$173:$AC$182,'INPUT Growth'!$C$173:$C$182,'INPUT Opex'!$C77,'INPUT Growth'!$D$173:$D$182,'INPUT Opex'!$D77,'INPUT Growth'!$F$173:$F$182,"CentraL")
+SUMIFS('INPUT Growth'!AJ$125:AJ$134,'INPUT Growth'!$C$125:$C$134,$C77,'INPUT Growth'!$D$125:$D$134,$D77,'INPUT Growth'!$F$125:$F$134,"Western")*SUMIFS(AJ$33:AJ$35,$E$33:$E$35,$D77)
*SUMIFS('INPUT Growth'!$AC$173:$AC$182,'INPUT Growth'!$C$173:$C$182,'INPUT Opex'!$C77,'INPUT Growth'!$D$173:$D$182,'INPUT Opex'!$D77,'INPUT Growth'!$F$173:$F$182,"Western")</f>
        <v>113.61528763082707</v>
      </c>
      <c r="AK77" s="194">
        <f>SUMIFS('INPUT Growth'!AK$125:AK$134,'INPUT Growth'!$C$125:$C$134,$C77,'INPUT Growth'!$D$125:$D$134,$D77,'INPUT Growth'!$F$125:$F$134,"Central")*SUMIFS(AK$33:AK$35,$E$33:$E$35,$D77)
*SUMIFS('INPUT Growth'!$AC$173:$AC$182,'INPUT Growth'!$C$173:$C$182,'INPUT Opex'!$C77,'INPUT Growth'!$D$173:$D$182,'INPUT Opex'!$D77,'INPUT Growth'!$F$173:$F$182,"CentraL")
+SUMIFS('INPUT Growth'!AK$125:AK$134,'INPUT Growth'!$C$125:$C$134,$C77,'INPUT Growth'!$D$125:$D$134,$D77,'INPUT Growth'!$F$125:$F$134,"Western")*SUMIFS(AK$33:AK$35,$E$33:$E$35,$D77)
*SUMIFS('INPUT Growth'!$AC$173:$AC$182,'INPUT Growth'!$C$173:$C$182,'INPUT Opex'!$C77,'INPUT Growth'!$D$173:$D$182,'INPUT Opex'!$D77,'INPUT Growth'!$F$173:$F$182,"Western")</f>
        <v>113.61528522404608</v>
      </c>
      <c r="AL77" s="194">
        <f>SUMIFS('INPUT Growth'!AL$125:AL$134,'INPUT Growth'!$C$125:$C$134,$C77,'INPUT Growth'!$D$125:$D$134,$D77,'INPUT Growth'!$F$125:$F$134,"Central")*SUMIFS(AL$33:AL$35,$E$33:$E$35,$D77)
*SUMIFS('INPUT Growth'!$AC$173:$AC$182,'INPUT Growth'!$C$173:$C$182,'INPUT Opex'!$C77,'INPUT Growth'!$D$173:$D$182,'INPUT Opex'!$D77,'INPUT Growth'!$F$173:$F$182,"CentraL")
+SUMIFS('INPUT Growth'!AL$125:AL$134,'INPUT Growth'!$C$125:$C$134,$C77,'INPUT Growth'!$D$125:$D$134,$D77,'INPUT Growth'!$F$125:$F$134,"Western")*SUMIFS(AL$33:AL$35,$E$33:$E$35,$D77)
*SUMIFS('INPUT Growth'!$AC$173:$AC$182,'INPUT Growth'!$C$173:$C$182,'INPUT Opex'!$C77,'INPUT Growth'!$D$173:$D$182,'INPUT Opex'!$D77,'INPUT Growth'!$F$173:$F$182,"Western")</f>
        <v>113.61528172476773</v>
      </c>
      <c r="AM77" s="194">
        <f>SUMIFS('INPUT Growth'!AM$125:AM$134,'INPUT Growth'!$C$125:$C$134,$C77,'INPUT Growth'!$D$125:$D$134,$D77,'INPUT Growth'!$F$125:$F$134,"Central")*SUMIFS(AM$33:AM$35,$E$33:$E$35,$D77)
*SUMIFS('INPUT Growth'!$AC$173:$AC$182,'INPUT Growth'!$C$173:$C$182,'INPUT Opex'!$C77,'INPUT Growth'!$D$173:$D$182,'INPUT Opex'!$D77,'INPUT Growth'!$F$173:$F$182,"CentraL")
+SUMIFS('INPUT Growth'!AM$125:AM$134,'INPUT Growth'!$C$125:$C$134,$C77,'INPUT Growth'!$D$125:$D$134,$D77,'INPUT Growth'!$F$125:$F$134,"Western")*SUMIFS(AM$33:AM$35,$E$33:$E$35,$D77)
*SUMIFS('INPUT Growth'!$AC$173:$AC$182,'INPUT Growth'!$C$173:$C$182,'INPUT Opex'!$C77,'INPUT Growth'!$D$173:$D$182,'INPUT Opex'!$D77,'INPUT Growth'!$F$173:$F$182,"Western")</f>
        <v>113.61527829267595</v>
      </c>
      <c r="AN77" s="194">
        <f>SUMIFS('INPUT Growth'!AN$125:AN$134,'INPUT Growth'!$C$125:$C$134,$C77,'INPUT Growth'!$D$125:$D$134,$D77,'INPUT Growth'!$F$125:$F$134,"Central")*SUMIFS(AN$33:AN$35,$E$33:$E$35,$D77)
*SUMIFS('INPUT Growth'!$AC$173:$AC$182,'INPUT Growth'!$C$173:$C$182,'INPUT Opex'!$C77,'INPUT Growth'!$D$173:$D$182,'INPUT Opex'!$D77,'INPUT Growth'!$F$173:$F$182,"CentraL")
+SUMIFS('INPUT Growth'!AN$125:AN$134,'INPUT Growth'!$C$125:$C$134,$C77,'INPUT Growth'!$D$125:$D$134,$D77,'INPUT Growth'!$F$125:$F$134,"Western")*SUMIFS(AN$33:AN$35,$E$33:$E$35,$D77)
*SUMIFS('INPUT Growth'!$AC$173:$AC$182,'INPUT Growth'!$C$173:$C$182,'INPUT Opex'!$C77,'INPUT Growth'!$D$173:$D$182,'INPUT Opex'!$D77,'INPUT Growth'!$F$173:$F$182,"Western")</f>
        <v>113.6152799034449</v>
      </c>
      <c r="AO77" s="194">
        <f>SUMIFS('INPUT Growth'!AO$125:AO$134,'INPUT Growth'!$C$125:$C$134,$C77,'INPUT Growth'!$D$125:$D$134,$D77,'INPUT Growth'!$F$125:$F$134,"Central")*SUMIFS(AO$33:AO$35,$E$33:$E$35,$D77)
*SUMIFS('INPUT Growth'!$AC$173:$AC$182,'INPUT Growth'!$C$173:$C$182,'INPUT Opex'!$C77,'INPUT Growth'!$D$173:$D$182,'INPUT Opex'!$D77,'INPUT Growth'!$F$173:$F$182,"CentraL")
+SUMIFS('INPUT Growth'!AO$125:AO$134,'INPUT Growth'!$C$125:$C$134,$C77,'INPUT Growth'!$D$125:$D$134,$D77,'INPUT Growth'!$F$125:$F$134,"Western")*SUMIFS(AO$33:AO$35,$E$33:$E$35,$D77)
*SUMIFS('INPUT Growth'!$AC$173:$AC$182,'INPUT Growth'!$C$173:$C$182,'INPUT Opex'!$C77,'INPUT Growth'!$D$173:$D$182,'INPUT Opex'!$D77,'INPUT Growth'!$F$173:$F$182,"Western")</f>
        <v>113.61528168223835</v>
      </c>
      <c r="AP77" s="194">
        <f>SUMIFS('INPUT Growth'!AP$125:AP$134,'INPUT Growth'!$C$125:$C$134,$C77,'INPUT Growth'!$D$125:$D$134,$D77,'INPUT Growth'!$F$125:$F$134,"Central")*SUMIFS(AP$33:AP$35,$E$33:$E$35,$D77)
*SUMIFS('INPUT Growth'!$AC$173:$AC$182,'INPUT Growth'!$C$173:$C$182,'INPUT Opex'!$C77,'INPUT Growth'!$D$173:$D$182,'INPUT Opex'!$D77,'INPUT Growth'!$F$173:$F$182,"CentraL")
+SUMIFS('INPUT Growth'!AP$125:AP$134,'INPUT Growth'!$C$125:$C$134,$C77,'INPUT Growth'!$D$125:$D$134,$D77,'INPUT Growth'!$F$125:$F$134,"Western")*SUMIFS(AP$33:AP$35,$E$33:$E$35,$D77)
*SUMIFS('INPUT Growth'!$AC$173:$AC$182,'INPUT Growth'!$C$173:$C$182,'INPUT Opex'!$C77,'INPUT Growth'!$D$173:$D$182,'INPUT Opex'!$D77,'INPUT Growth'!$F$173:$F$182,"Western")</f>
        <v>113.61528285802149</v>
      </c>
      <c r="AQ77" s="194">
        <f>SUMIFS('INPUT Growth'!AQ$125:AQ$134,'INPUT Growth'!$C$125:$C$134,$C77,'INPUT Growth'!$D$125:$D$134,$D77,'INPUT Growth'!$F$125:$F$134,"Central")*SUMIFS(AQ$33:AQ$35,$E$33:$E$35,$D77)
*SUMIFS('INPUT Growth'!$AC$173:$AC$182,'INPUT Growth'!$C$173:$C$182,'INPUT Opex'!$C77,'INPUT Growth'!$D$173:$D$182,'INPUT Opex'!$D77,'INPUT Growth'!$F$173:$F$182,"CentraL")
+SUMIFS('INPUT Growth'!AQ$125:AQ$134,'INPUT Growth'!$C$125:$C$134,$C77,'INPUT Growth'!$D$125:$D$134,$D77,'INPUT Growth'!$F$125:$F$134,"Western")*SUMIFS(AQ$33:AQ$35,$E$33:$E$35,$D77)
*SUMIFS('INPUT Growth'!$AC$173:$AC$182,'INPUT Growth'!$C$173:$C$182,'INPUT Opex'!$C77,'INPUT Growth'!$D$173:$D$182,'INPUT Opex'!$D77,'INPUT Growth'!$F$173:$F$182,"Western")</f>
        <v>113.61528399154534</v>
      </c>
      <c r="AR77" s="194">
        <f>SUMIFS('INPUT Growth'!AR$125:AR$134,'INPUT Growth'!$C$125:$C$134,$C77,'INPUT Growth'!$D$125:$D$134,$D77,'INPUT Growth'!$F$125:$F$134,"Central")*SUMIFS(AR$33:AR$35,$E$33:$E$35,$D77)
*SUMIFS('INPUT Growth'!$AC$173:$AC$182,'INPUT Growth'!$C$173:$C$182,'INPUT Opex'!$C77,'INPUT Growth'!$D$173:$D$182,'INPUT Opex'!$D77,'INPUT Growth'!$F$173:$F$182,"CentraL")
+SUMIFS('INPUT Growth'!AR$125:AR$134,'INPUT Growth'!$C$125:$C$134,$C77,'INPUT Growth'!$D$125:$D$134,$D77,'INPUT Growth'!$F$125:$F$134,"Western")*SUMIFS(AR$33:AR$35,$E$33:$E$35,$D77)
*SUMIFS('INPUT Growth'!$AC$173:$AC$182,'INPUT Growth'!$C$173:$C$182,'INPUT Opex'!$C77,'INPUT Growth'!$D$173:$D$182,'INPUT Opex'!$D77,'INPUT Growth'!$F$173:$F$182,"Western")</f>
        <v>113.6152848327998</v>
      </c>
      <c r="AS77" s="194">
        <f>SUMIFS('INPUT Growth'!AS$125:AS$134,'INPUT Growth'!$C$125:$C$134,$C77,'INPUT Growth'!$D$125:$D$134,$D77,'INPUT Growth'!$F$125:$F$134,"Central")*SUMIFS(AS$33:AS$35,$E$33:$E$35,$D77)
*SUMIFS('INPUT Growth'!$AC$173:$AC$182,'INPUT Growth'!$C$173:$C$182,'INPUT Opex'!$C77,'INPUT Growth'!$D$173:$D$182,'INPUT Opex'!$D77,'INPUT Growth'!$F$173:$F$182,"CentraL")
+SUMIFS('INPUT Growth'!AS$125:AS$134,'INPUT Growth'!$C$125:$C$134,$C77,'INPUT Growth'!$D$125:$D$134,$D77,'INPUT Growth'!$F$125:$F$134,"Western")*SUMIFS(AS$33:AS$35,$E$33:$E$35,$D77)
*SUMIFS('INPUT Growth'!$AC$173:$AC$182,'INPUT Growth'!$C$173:$C$182,'INPUT Opex'!$C77,'INPUT Growth'!$D$173:$D$182,'INPUT Opex'!$D77,'INPUT Growth'!$F$173:$F$182,"Western")</f>
        <v>113.61528543475161</v>
      </c>
      <c r="AT77" s="194">
        <f>SUMIFS('INPUT Growth'!AT$125:AT$134,'INPUT Growth'!$C$125:$C$134,$C77,'INPUT Growth'!$D$125:$D$134,$D77,'INPUT Growth'!$F$125:$F$134,"Central")*SUMIFS(AT$33:AT$35,$E$33:$E$35,$D77)
*SUMIFS('INPUT Growth'!$AC$173:$AC$182,'INPUT Growth'!$C$173:$C$182,'INPUT Opex'!$C77,'INPUT Growth'!$D$173:$D$182,'INPUT Opex'!$D77,'INPUT Growth'!$F$173:$F$182,"CentraL")
+SUMIFS('INPUT Growth'!AT$125:AT$134,'INPUT Growth'!$C$125:$C$134,$C77,'INPUT Growth'!$D$125:$D$134,$D77,'INPUT Growth'!$F$125:$F$134,"Western")*SUMIFS(AT$33:AT$35,$E$33:$E$35,$D77)
*SUMIFS('INPUT Growth'!$AC$173:$AC$182,'INPUT Growth'!$C$173:$C$182,'INPUT Opex'!$C77,'INPUT Growth'!$D$173:$D$182,'INPUT Opex'!$D77,'INPUT Growth'!$F$173:$F$182,"Western")</f>
        <v>113.61528570623943</v>
      </c>
      <c r="AU77" s="194">
        <f>SUMIFS('INPUT Growth'!AU$125:AU$134,'INPUT Growth'!$C$125:$C$134,$C77,'INPUT Growth'!$D$125:$D$134,$D77,'INPUT Growth'!$F$125:$F$134,"Central")*SUMIFS(AU$33:AU$35,$E$33:$E$35,$D77)
*SUMIFS('INPUT Growth'!$AC$173:$AC$182,'INPUT Growth'!$C$173:$C$182,'INPUT Opex'!$C77,'INPUT Growth'!$D$173:$D$182,'INPUT Opex'!$D77,'INPUT Growth'!$F$173:$F$182,"CentraL")
+SUMIFS('INPUT Growth'!AU$125:AU$134,'INPUT Growth'!$C$125:$C$134,$C77,'INPUT Growth'!$D$125:$D$134,$D77,'INPUT Growth'!$F$125:$F$134,"Western")*SUMIFS(AU$33:AU$35,$E$33:$E$35,$D77)
*SUMIFS('INPUT Growth'!$AC$173:$AC$182,'INPUT Growth'!$C$173:$C$182,'INPUT Opex'!$C77,'INPUT Growth'!$D$173:$D$182,'INPUT Opex'!$D77,'INPUT Growth'!$F$173:$F$182,"Western")</f>
        <v>113.61528160268902</v>
      </c>
      <c r="AV77" s="194">
        <f>SUMIFS('INPUT Growth'!AV$125:AV$134,'INPUT Growth'!$C$125:$C$134,$C77,'INPUT Growth'!$D$125:$D$134,$D77,'INPUT Growth'!$F$125:$F$134,"Central")*SUMIFS(AV$33:AV$35,$E$33:$E$35,$D77)
*SUMIFS('INPUT Growth'!$AC$173:$AC$182,'INPUT Growth'!$C$173:$C$182,'INPUT Opex'!$C77,'INPUT Growth'!$D$173:$D$182,'INPUT Opex'!$D77,'INPUT Growth'!$F$173:$F$182,"CentraL")
+SUMIFS('INPUT Growth'!AV$125:AV$134,'INPUT Growth'!$C$125:$C$134,$C77,'INPUT Growth'!$D$125:$D$134,$D77,'INPUT Growth'!$F$125:$F$134,"Western")*SUMIFS(AV$33:AV$35,$E$33:$E$35,$D77)
*SUMIFS('INPUT Growth'!$AC$173:$AC$182,'INPUT Growth'!$C$173:$C$182,'INPUT Opex'!$C77,'INPUT Growth'!$D$173:$D$182,'INPUT Opex'!$D77,'INPUT Growth'!$F$173:$F$182,"Western")</f>
        <v>113.61527755511892</v>
      </c>
      <c r="AW77" s="194">
        <f>SUMIFS('INPUT Growth'!AW$125:AW$134,'INPUT Growth'!$C$125:$C$134,$C77,'INPUT Growth'!$D$125:$D$134,$D77,'INPUT Growth'!$F$125:$F$134,"Central")*SUMIFS(AW$33:AW$35,$E$33:$E$35,$D77)
*SUMIFS('INPUT Growth'!$AC$173:$AC$182,'INPUT Growth'!$C$173:$C$182,'INPUT Opex'!$C77,'INPUT Growth'!$D$173:$D$182,'INPUT Opex'!$D77,'INPUT Growth'!$F$173:$F$182,"CentraL")
+SUMIFS('INPUT Growth'!AW$125:AW$134,'INPUT Growth'!$C$125:$C$134,$C77,'INPUT Growth'!$D$125:$D$134,$D77,'INPUT Growth'!$F$125:$F$134,"Western")*SUMIFS(AW$33:AW$35,$E$33:$E$35,$D77)
*SUMIFS('INPUT Growth'!$AC$173:$AC$182,'INPUT Growth'!$C$173:$C$182,'INPUT Opex'!$C77,'INPUT Growth'!$D$173:$D$182,'INPUT Opex'!$D77,'INPUT Growth'!$F$173:$F$182,"Western")</f>
        <v>113.6152748617333</v>
      </c>
    </row>
    <row r="78" spans="1:49" outlineLevel="1" x14ac:dyDescent="0.2">
      <c r="A78" s="51" t="str" cm="1">
        <f t="array" ref="A78">INDEX(TariffCode, MATCH(1,(C78=TariffZone)*(D78=TariffProduct),0))</f>
        <v>GS</v>
      </c>
      <c r="B78" s="51"/>
      <c r="C78" s="150" t="s">
        <v>290</v>
      </c>
      <c r="D78" s="150" t="s">
        <v>303</v>
      </c>
      <c r="E78" s="150"/>
      <c r="F78" s="150"/>
      <c r="G78" s="150"/>
      <c r="H78" s="150"/>
      <c r="I78" s="150"/>
      <c r="J78" s="150"/>
      <c r="K78" s="150"/>
      <c r="L78" s="150"/>
      <c r="M78" s="150"/>
      <c r="N78" s="150"/>
      <c r="O78" s="150"/>
      <c r="P78" s="150"/>
      <c r="Q78" s="150"/>
      <c r="R78" s="150"/>
      <c r="S78" s="150"/>
      <c r="T78" s="150"/>
      <c r="U78" s="150"/>
      <c r="V78" s="150"/>
      <c r="W78" s="150"/>
      <c r="X78" s="150"/>
      <c r="Y78" s="150"/>
      <c r="Z78" s="150"/>
      <c r="AA78" s="150"/>
      <c r="AB78" s="150"/>
      <c r="AC78" s="194">
        <f>SUMIFS('INPUT Growth'!AC$125:AC$134,'INPUT Growth'!$C$125:$C$134,$C78,'INPUT Growth'!$D$125:$D$134,$D78,'INPUT Growth'!$F$125:$F$134,"Central")*SUMIFS(AC$33:AC$35,$E$33:$E$35,$D78)
*SUMIFS('INPUT Growth'!$AC$173:$AC$182,'INPUT Growth'!$C$173:$C$182,'INPUT Opex'!$C78,'INPUT Growth'!$D$173:$D$182,'INPUT Opex'!$D78,'INPUT Growth'!$F$173:$F$182,"CentraL")
+SUMIFS('INPUT Growth'!AC$125:AC$134,'INPUT Growth'!$C$125:$C$134,$C78,'INPUT Growth'!$D$125:$D$134,$D78,'INPUT Growth'!$F$125:$F$134,"Western")*SUMIFS(AC$33:AC$35,$E$33:$E$35,$D78)
*SUMIFS('INPUT Growth'!$AC$173:$AC$182,'INPUT Growth'!$C$173:$C$182,'INPUT Opex'!$C78,'INPUT Growth'!$D$173:$D$182,'INPUT Opex'!$D78,'INPUT Growth'!$F$173:$F$182,"Western")</f>
        <v>4.289574996288489</v>
      </c>
      <c r="AD78" s="194">
        <f>SUMIFS('INPUT Growth'!AD$125:AD$134,'INPUT Growth'!$C$125:$C$134,$C78,'INPUT Growth'!$D$125:$D$134,$D78,'INPUT Growth'!$F$125:$F$134,"Central")*SUMIFS(AD$33:AD$35,$E$33:$E$35,$D78)
*SUMIFS('INPUT Growth'!$AC$173:$AC$182,'INPUT Growth'!$C$173:$C$182,'INPUT Opex'!$C78,'INPUT Growth'!$D$173:$D$182,'INPUT Opex'!$D78,'INPUT Growth'!$F$173:$F$182,"CentraL")
+SUMIFS('INPUT Growth'!AD$125:AD$134,'INPUT Growth'!$C$125:$C$134,$C78,'INPUT Growth'!$D$125:$D$134,$D78,'INPUT Growth'!$F$125:$F$134,"Western")*SUMIFS(AD$33:AD$35,$E$33:$E$35,$D78)
*SUMIFS('INPUT Growth'!$AC$173:$AC$182,'INPUT Growth'!$C$173:$C$182,'INPUT Opex'!$C78,'INPUT Growth'!$D$173:$D$182,'INPUT Opex'!$D78,'INPUT Growth'!$F$173:$F$182,"Western")</f>
        <v>4.1676238312971483</v>
      </c>
      <c r="AE78" s="194">
        <f>SUMIFS('INPUT Growth'!AE$125:AE$134,'INPUT Growth'!$C$125:$C$134,$C78,'INPUT Growth'!$D$125:$D$134,$D78,'INPUT Growth'!$F$125:$F$134,"Central")*SUMIFS(AE$33:AE$35,$E$33:$E$35,$D78)
*SUMIFS('INPUT Growth'!$AC$173:$AC$182,'INPUT Growth'!$C$173:$C$182,'INPUT Opex'!$C78,'INPUT Growth'!$D$173:$D$182,'INPUT Opex'!$D78,'INPUT Growth'!$F$173:$F$182,"CentraL")
+SUMIFS('INPUT Growth'!AE$125:AE$134,'INPUT Growth'!$C$125:$C$134,$C78,'INPUT Growth'!$D$125:$D$134,$D78,'INPUT Growth'!$F$125:$F$134,"Western")*SUMIFS(AE$33:AE$35,$E$33:$E$35,$D78)
*SUMIFS('INPUT Growth'!$AC$173:$AC$182,'INPUT Growth'!$C$173:$C$182,'INPUT Opex'!$C78,'INPUT Growth'!$D$173:$D$182,'INPUT Opex'!$D78,'INPUT Growth'!$F$173:$F$182,"Western")</f>
        <v>4.0809591599983071</v>
      </c>
      <c r="AF78" s="194">
        <f>SUMIFS('INPUT Growth'!AF$125:AF$134,'INPUT Growth'!$C$125:$C$134,$C78,'INPUT Growth'!$D$125:$D$134,$D78,'INPUT Growth'!$F$125:$F$134,"Central")*SUMIFS(AF$33:AF$35,$E$33:$E$35,$D78)
*SUMIFS('INPUT Growth'!$AC$173:$AC$182,'INPUT Growth'!$C$173:$C$182,'INPUT Opex'!$C78,'INPUT Growth'!$D$173:$D$182,'INPUT Opex'!$D78,'INPUT Growth'!$F$173:$F$182,"CentraL")
+SUMIFS('INPUT Growth'!AF$125:AF$134,'INPUT Growth'!$C$125:$C$134,$C78,'INPUT Growth'!$D$125:$D$134,$D78,'INPUT Growth'!$F$125:$F$134,"Western")*SUMIFS(AF$33:AF$35,$E$33:$E$35,$D78)
*SUMIFS('INPUT Growth'!$AC$173:$AC$182,'INPUT Growth'!$C$173:$C$182,'INPUT Opex'!$C78,'INPUT Growth'!$D$173:$D$182,'INPUT Opex'!$D78,'INPUT Growth'!$F$173:$F$182,"Western")</f>
        <v>4.0093884922005607</v>
      </c>
      <c r="AG78" s="194">
        <f>SUMIFS('INPUT Growth'!AG$125:AG$134,'INPUT Growth'!$C$125:$C$134,$C78,'INPUT Growth'!$D$125:$D$134,$D78,'INPUT Growth'!$F$125:$F$134,"Central")*SUMIFS(AG$33:AG$35,$E$33:$E$35,$D78)
*SUMIFS('INPUT Growth'!$AC$173:$AC$182,'INPUT Growth'!$C$173:$C$182,'INPUT Opex'!$C78,'INPUT Growth'!$D$173:$D$182,'INPUT Opex'!$D78,'INPUT Growth'!$F$173:$F$182,"CentraL")
+SUMIFS('INPUT Growth'!AG$125:AG$134,'INPUT Growth'!$C$125:$C$134,$C78,'INPUT Growth'!$D$125:$D$134,$D78,'INPUT Growth'!$F$125:$F$134,"Western")*SUMIFS(AG$33:AG$35,$E$33:$E$35,$D78)
*SUMIFS('INPUT Growth'!$AC$173:$AC$182,'INPUT Growth'!$C$173:$C$182,'INPUT Opex'!$C78,'INPUT Growth'!$D$173:$D$182,'INPUT Opex'!$D78,'INPUT Growth'!$F$173:$F$182,"Western")</f>
        <v>3.9409754455767136</v>
      </c>
      <c r="AH78" s="194">
        <f>SUMIFS('INPUT Growth'!AH$125:AH$134,'INPUT Growth'!$C$125:$C$134,$C78,'INPUT Growth'!$D$125:$D$134,$D78,'INPUT Growth'!$F$125:$F$134,"Central")*SUMIFS(AH$33:AH$35,$E$33:$E$35,$D78)
*SUMIFS('INPUT Growth'!$AC$173:$AC$182,'INPUT Growth'!$C$173:$C$182,'INPUT Opex'!$C78,'INPUT Growth'!$D$173:$D$182,'INPUT Opex'!$D78,'INPUT Growth'!$F$173:$F$182,"CentraL")
+SUMIFS('INPUT Growth'!AH$125:AH$134,'INPUT Growth'!$C$125:$C$134,$C78,'INPUT Growth'!$D$125:$D$134,$D78,'INPUT Growth'!$F$125:$F$134,"Western")*SUMIFS(AH$33:AH$35,$E$33:$E$35,$D78)
*SUMIFS('INPUT Growth'!$AC$173:$AC$182,'INPUT Growth'!$C$173:$C$182,'INPUT Opex'!$C78,'INPUT Growth'!$D$173:$D$182,'INPUT Opex'!$D78,'INPUT Growth'!$F$173:$F$182,"Western")</f>
        <v>3.8788577477859683</v>
      </c>
      <c r="AI78" s="194">
        <f>SUMIFS('INPUT Growth'!AI$125:AI$134,'INPUT Growth'!$C$125:$C$134,$C78,'INPUT Growth'!$D$125:$D$134,$D78,'INPUT Growth'!$F$125:$F$134,"Central")*SUMIFS(AI$33:AI$35,$E$33:$E$35,$D78)
*SUMIFS('INPUT Growth'!$AC$173:$AC$182,'INPUT Growth'!$C$173:$C$182,'INPUT Opex'!$C78,'INPUT Growth'!$D$173:$D$182,'INPUT Opex'!$D78,'INPUT Growth'!$F$173:$F$182,"CentraL")
+SUMIFS('INPUT Growth'!AI$125:AI$134,'INPUT Growth'!$C$125:$C$134,$C78,'INPUT Growth'!$D$125:$D$134,$D78,'INPUT Growth'!$F$125:$F$134,"Western")*SUMIFS(AI$33:AI$35,$E$33:$E$35,$D78)
*SUMIFS('INPUT Growth'!$AC$173:$AC$182,'INPUT Growth'!$C$173:$C$182,'INPUT Opex'!$C78,'INPUT Growth'!$D$173:$D$182,'INPUT Opex'!$D78,'INPUT Growth'!$F$173:$F$182,"Western")</f>
        <v>3.8226978482298692</v>
      </c>
      <c r="AJ78" s="194">
        <f>SUMIFS('INPUT Growth'!AJ$125:AJ$134,'INPUT Growth'!$C$125:$C$134,$C78,'INPUT Growth'!$D$125:$D$134,$D78,'INPUT Growth'!$F$125:$F$134,"Central")*SUMIFS(AJ$33:AJ$35,$E$33:$E$35,$D78)
*SUMIFS('INPUT Growth'!$AC$173:$AC$182,'INPUT Growth'!$C$173:$C$182,'INPUT Opex'!$C78,'INPUT Growth'!$D$173:$D$182,'INPUT Opex'!$D78,'INPUT Growth'!$F$173:$F$182,"CentraL")
+SUMIFS('INPUT Growth'!AJ$125:AJ$134,'INPUT Growth'!$C$125:$C$134,$C78,'INPUT Growth'!$D$125:$D$134,$D78,'INPUT Growth'!$F$125:$F$134,"Western")*SUMIFS(AJ$33:AJ$35,$E$33:$E$35,$D78)
*SUMIFS('INPUT Growth'!$AC$173:$AC$182,'INPUT Growth'!$C$173:$C$182,'INPUT Opex'!$C78,'INPUT Growth'!$D$173:$D$182,'INPUT Opex'!$D78,'INPUT Growth'!$F$173:$F$182,"Western")</f>
        <v>3.7739321727537276</v>
      </c>
      <c r="AK78" s="194">
        <f>SUMIFS('INPUT Growth'!AK$125:AK$134,'INPUT Growth'!$C$125:$C$134,$C78,'INPUT Growth'!$D$125:$D$134,$D78,'INPUT Growth'!$F$125:$F$134,"Central")*SUMIFS(AK$33:AK$35,$E$33:$E$35,$D78)
*SUMIFS('INPUT Growth'!$AC$173:$AC$182,'INPUT Growth'!$C$173:$C$182,'INPUT Opex'!$C78,'INPUT Growth'!$D$173:$D$182,'INPUT Opex'!$D78,'INPUT Growth'!$F$173:$F$182,"CentraL")
+SUMIFS('INPUT Growth'!AK$125:AK$134,'INPUT Growth'!$C$125:$C$134,$C78,'INPUT Growth'!$D$125:$D$134,$D78,'INPUT Growth'!$F$125:$F$134,"Western")*SUMIFS(AK$33:AK$35,$E$33:$E$35,$D78)
*SUMIFS('INPUT Growth'!$AC$173:$AC$182,'INPUT Growth'!$C$173:$C$182,'INPUT Opex'!$C78,'INPUT Growth'!$D$173:$D$182,'INPUT Opex'!$D78,'INPUT Growth'!$F$173:$F$182,"Western")</f>
        <v>3.7392927919154104</v>
      </c>
      <c r="AL78" s="194">
        <f>SUMIFS('INPUT Growth'!AL$125:AL$134,'INPUT Growth'!$C$125:$C$134,$C78,'INPUT Growth'!$D$125:$D$134,$D78,'INPUT Growth'!$F$125:$F$134,"Central")*SUMIFS(AL$33:AL$35,$E$33:$E$35,$D78)
*SUMIFS('INPUT Growth'!$AC$173:$AC$182,'INPUT Growth'!$C$173:$C$182,'INPUT Opex'!$C78,'INPUT Growth'!$D$173:$D$182,'INPUT Opex'!$D78,'INPUT Growth'!$F$173:$F$182,"CentraL")
+SUMIFS('INPUT Growth'!AL$125:AL$134,'INPUT Growth'!$C$125:$C$134,$C78,'INPUT Growth'!$D$125:$D$134,$D78,'INPUT Growth'!$F$125:$F$134,"Western")*SUMIFS(AL$33:AL$35,$E$33:$E$35,$D78)
*SUMIFS('INPUT Growth'!$AC$173:$AC$182,'INPUT Growth'!$C$173:$C$182,'INPUT Opex'!$C78,'INPUT Growth'!$D$173:$D$182,'INPUT Opex'!$D78,'INPUT Growth'!$F$173:$F$182,"Western")</f>
        <v>3.695475982091637</v>
      </c>
      <c r="AM78" s="194">
        <f>SUMIFS('INPUT Growth'!AM$125:AM$134,'INPUT Growth'!$C$125:$C$134,$C78,'INPUT Growth'!$D$125:$D$134,$D78,'INPUT Growth'!$F$125:$F$134,"Central")*SUMIFS(AM$33:AM$35,$E$33:$E$35,$D78)
*SUMIFS('INPUT Growth'!$AC$173:$AC$182,'INPUT Growth'!$C$173:$C$182,'INPUT Opex'!$C78,'INPUT Growth'!$D$173:$D$182,'INPUT Opex'!$D78,'INPUT Growth'!$F$173:$F$182,"CentraL")
+SUMIFS('INPUT Growth'!AM$125:AM$134,'INPUT Growth'!$C$125:$C$134,$C78,'INPUT Growth'!$D$125:$D$134,$D78,'INPUT Growth'!$F$125:$F$134,"Western")*SUMIFS(AM$33:AM$35,$E$33:$E$35,$D78)
*SUMIFS('INPUT Growth'!$AC$173:$AC$182,'INPUT Growth'!$C$173:$C$182,'INPUT Opex'!$C78,'INPUT Growth'!$D$173:$D$182,'INPUT Opex'!$D78,'INPUT Growth'!$F$173:$F$182,"Western")</f>
        <v>3.6489752754219036</v>
      </c>
      <c r="AN78" s="194">
        <f>SUMIFS('INPUT Growth'!AN$125:AN$134,'INPUT Growth'!$C$125:$C$134,$C78,'INPUT Growth'!$D$125:$D$134,$D78,'INPUT Growth'!$F$125:$F$134,"Central")*SUMIFS(AN$33:AN$35,$E$33:$E$35,$D78)
*SUMIFS('INPUT Growth'!$AC$173:$AC$182,'INPUT Growth'!$C$173:$C$182,'INPUT Opex'!$C78,'INPUT Growth'!$D$173:$D$182,'INPUT Opex'!$D78,'INPUT Growth'!$F$173:$F$182,"CentraL")
+SUMIFS('INPUT Growth'!AN$125:AN$134,'INPUT Growth'!$C$125:$C$134,$C78,'INPUT Growth'!$D$125:$D$134,$D78,'INPUT Growth'!$F$125:$F$134,"Western")*SUMIFS(AN$33:AN$35,$E$33:$E$35,$D78)
*SUMIFS('INPUT Growth'!$AC$173:$AC$182,'INPUT Growth'!$C$173:$C$182,'INPUT Opex'!$C78,'INPUT Growth'!$D$173:$D$182,'INPUT Opex'!$D78,'INPUT Growth'!$F$173:$F$182,"Western")</f>
        <v>3.6716104424822533</v>
      </c>
      <c r="AO78" s="194">
        <f>SUMIFS('INPUT Growth'!AO$125:AO$134,'INPUT Growth'!$C$125:$C$134,$C78,'INPUT Growth'!$D$125:$D$134,$D78,'INPUT Growth'!$F$125:$F$134,"Central")*SUMIFS(AO$33:AO$35,$E$33:$E$35,$D78)
*SUMIFS('INPUT Growth'!$AC$173:$AC$182,'INPUT Growth'!$C$173:$C$182,'INPUT Opex'!$C78,'INPUT Growth'!$D$173:$D$182,'INPUT Opex'!$D78,'INPUT Growth'!$F$173:$F$182,"CentraL")
+SUMIFS('INPUT Growth'!AO$125:AO$134,'INPUT Growth'!$C$125:$C$134,$C78,'INPUT Growth'!$D$125:$D$134,$D78,'INPUT Growth'!$F$125:$F$134,"Western")*SUMIFS(AO$33:AO$35,$E$33:$E$35,$D78)
*SUMIFS('INPUT Growth'!$AC$173:$AC$182,'INPUT Growth'!$C$173:$C$182,'INPUT Opex'!$C78,'INPUT Growth'!$D$173:$D$182,'INPUT Opex'!$D78,'INPUT Growth'!$F$173:$F$182,"Western")</f>
        <v>3.7025586833497095</v>
      </c>
      <c r="AP78" s="194">
        <f>SUMIFS('INPUT Growth'!AP$125:AP$134,'INPUT Growth'!$C$125:$C$134,$C78,'INPUT Growth'!$D$125:$D$134,$D78,'INPUT Growth'!$F$125:$F$134,"Central")*SUMIFS(AP$33:AP$35,$E$33:$E$35,$D78)
*SUMIFS('INPUT Growth'!$AC$173:$AC$182,'INPUT Growth'!$C$173:$C$182,'INPUT Opex'!$C78,'INPUT Growth'!$D$173:$D$182,'INPUT Opex'!$D78,'INPUT Growth'!$F$173:$F$182,"CentraL")
+SUMIFS('INPUT Growth'!AP$125:AP$134,'INPUT Growth'!$C$125:$C$134,$C78,'INPUT Growth'!$D$125:$D$134,$D78,'INPUT Growth'!$F$125:$F$134,"Western")*SUMIFS(AP$33:AP$35,$E$33:$E$35,$D78)
*SUMIFS('INPUT Growth'!$AC$173:$AC$182,'INPUT Growth'!$C$173:$C$182,'INPUT Opex'!$C78,'INPUT Growth'!$D$173:$D$182,'INPUT Opex'!$D78,'INPUT Growth'!$F$173:$F$182,"Western")</f>
        <v>3.7301529431605247</v>
      </c>
      <c r="AQ78" s="194">
        <f>SUMIFS('INPUT Growth'!AQ$125:AQ$134,'INPUT Growth'!$C$125:$C$134,$C78,'INPUT Growth'!$D$125:$D$134,$D78,'INPUT Growth'!$F$125:$F$134,"Central")*SUMIFS(AQ$33:AQ$35,$E$33:$E$35,$D78)
*SUMIFS('INPUT Growth'!$AC$173:$AC$182,'INPUT Growth'!$C$173:$C$182,'INPUT Opex'!$C78,'INPUT Growth'!$D$173:$D$182,'INPUT Opex'!$D78,'INPUT Growth'!$F$173:$F$182,"CentraL")
+SUMIFS('INPUT Growth'!AQ$125:AQ$134,'INPUT Growth'!$C$125:$C$134,$C78,'INPUT Growth'!$D$125:$D$134,$D78,'INPUT Growth'!$F$125:$F$134,"Western")*SUMIFS(AQ$33:AQ$35,$E$33:$E$35,$D78)
*SUMIFS('INPUT Growth'!$AC$173:$AC$182,'INPUT Growth'!$C$173:$C$182,'INPUT Opex'!$C78,'INPUT Growth'!$D$173:$D$182,'INPUT Opex'!$D78,'INPUT Growth'!$F$173:$F$182,"Western")</f>
        <v>3.7492128702937269</v>
      </c>
      <c r="AR78" s="194">
        <f>SUMIFS('INPUT Growth'!AR$125:AR$134,'INPUT Growth'!$C$125:$C$134,$C78,'INPUT Growth'!$D$125:$D$134,$D78,'INPUT Growth'!$F$125:$F$134,"Central")*SUMIFS(AR$33:AR$35,$E$33:$E$35,$D78)
*SUMIFS('INPUT Growth'!$AC$173:$AC$182,'INPUT Growth'!$C$173:$C$182,'INPUT Opex'!$C78,'INPUT Growth'!$D$173:$D$182,'INPUT Opex'!$D78,'INPUT Growth'!$F$173:$F$182,"CentraL")
+SUMIFS('INPUT Growth'!AR$125:AR$134,'INPUT Growth'!$C$125:$C$134,$C78,'INPUT Growth'!$D$125:$D$134,$D78,'INPUT Growth'!$F$125:$F$134,"Western")*SUMIFS(AR$33:AR$35,$E$33:$E$35,$D78)
*SUMIFS('INPUT Growth'!$AC$173:$AC$182,'INPUT Growth'!$C$173:$C$182,'INPUT Opex'!$C78,'INPUT Growth'!$D$173:$D$182,'INPUT Opex'!$D78,'INPUT Growth'!$F$173:$F$182,"Western")</f>
        <v>3.7698226047131951</v>
      </c>
      <c r="AS78" s="194">
        <f>SUMIFS('INPUT Growth'!AS$125:AS$134,'INPUT Growth'!$C$125:$C$134,$C78,'INPUT Growth'!$D$125:$D$134,$D78,'INPUT Growth'!$F$125:$F$134,"Central")*SUMIFS(AS$33:AS$35,$E$33:$E$35,$D78)
*SUMIFS('INPUT Growth'!$AC$173:$AC$182,'INPUT Growth'!$C$173:$C$182,'INPUT Opex'!$C78,'INPUT Growth'!$D$173:$D$182,'INPUT Opex'!$D78,'INPUT Growth'!$F$173:$F$182,"CentraL")
+SUMIFS('INPUT Growth'!AS$125:AS$134,'INPUT Growth'!$C$125:$C$134,$C78,'INPUT Growth'!$D$125:$D$134,$D78,'INPUT Growth'!$F$125:$F$134,"Western")*SUMIFS(AS$33:AS$35,$E$33:$E$35,$D78)
*SUMIFS('INPUT Growth'!$AC$173:$AC$182,'INPUT Growth'!$C$173:$C$182,'INPUT Opex'!$C78,'INPUT Growth'!$D$173:$D$182,'INPUT Opex'!$D78,'INPUT Growth'!$F$173:$F$182,"Western")</f>
        <v>3.7965377262578994</v>
      </c>
      <c r="AT78" s="194">
        <f>SUMIFS('INPUT Growth'!AT$125:AT$134,'INPUT Growth'!$C$125:$C$134,$C78,'INPUT Growth'!$D$125:$D$134,$D78,'INPUT Growth'!$F$125:$F$134,"Central")*SUMIFS(AT$33:AT$35,$E$33:$E$35,$D78)
*SUMIFS('INPUT Growth'!$AC$173:$AC$182,'INPUT Growth'!$C$173:$C$182,'INPUT Opex'!$C78,'INPUT Growth'!$D$173:$D$182,'INPUT Opex'!$D78,'INPUT Growth'!$F$173:$F$182,"CentraL")
+SUMIFS('INPUT Growth'!AT$125:AT$134,'INPUT Growth'!$C$125:$C$134,$C78,'INPUT Growth'!$D$125:$D$134,$D78,'INPUT Growth'!$F$125:$F$134,"Western")*SUMIFS(AT$33:AT$35,$E$33:$E$35,$D78)
*SUMIFS('INPUT Growth'!$AC$173:$AC$182,'INPUT Growth'!$C$173:$C$182,'INPUT Opex'!$C78,'INPUT Growth'!$D$173:$D$182,'INPUT Opex'!$D78,'INPUT Growth'!$F$173:$F$182,"Western")</f>
        <v>3.8511679470655049</v>
      </c>
      <c r="AU78" s="194">
        <f>SUMIFS('INPUT Growth'!AU$125:AU$134,'INPUT Growth'!$C$125:$C$134,$C78,'INPUT Growth'!$D$125:$D$134,$D78,'INPUT Growth'!$F$125:$F$134,"Central")*SUMIFS(AU$33:AU$35,$E$33:$E$35,$D78)
*SUMIFS('INPUT Growth'!$AC$173:$AC$182,'INPUT Growth'!$C$173:$C$182,'INPUT Opex'!$C78,'INPUT Growth'!$D$173:$D$182,'INPUT Opex'!$D78,'INPUT Growth'!$F$173:$F$182,"CentraL")
+SUMIFS('INPUT Growth'!AU$125:AU$134,'INPUT Growth'!$C$125:$C$134,$C78,'INPUT Growth'!$D$125:$D$134,$D78,'INPUT Growth'!$F$125:$F$134,"Western")*SUMIFS(AU$33:AU$35,$E$33:$E$35,$D78)
*SUMIFS('INPUT Growth'!$AC$173:$AC$182,'INPUT Growth'!$C$173:$C$182,'INPUT Opex'!$C78,'INPUT Growth'!$D$173:$D$182,'INPUT Opex'!$D78,'INPUT Growth'!$F$173:$F$182,"Western")</f>
        <v>3.7996791914402555</v>
      </c>
      <c r="AV78" s="194">
        <f>SUMIFS('INPUT Growth'!AV$125:AV$134,'INPUT Growth'!$C$125:$C$134,$C78,'INPUT Growth'!$D$125:$D$134,$D78,'INPUT Growth'!$F$125:$F$134,"Central")*SUMIFS(AV$33:AV$35,$E$33:$E$35,$D78)
*SUMIFS('INPUT Growth'!$AC$173:$AC$182,'INPUT Growth'!$C$173:$C$182,'INPUT Opex'!$C78,'INPUT Growth'!$D$173:$D$182,'INPUT Opex'!$D78,'INPUT Growth'!$F$173:$F$182,"CentraL")
+SUMIFS('INPUT Growth'!AV$125:AV$134,'INPUT Growth'!$C$125:$C$134,$C78,'INPUT Growth'!$D$125:$D$134,$D78,'INPUT Growth'!$F$125:$F$134,"Western")*SUMIFS(AV$33:AV$35,$E$33:$E$35,$D78)
*SUMIFS('INPUT Growth'!$AC$173:$AC$182,'INPUT Growth'!$C$173:$C$182,'INPUT Opex'!$C78,'INPUT Growth'!$D$173:$D$182,'INPUT Opex'!$D78,'INPUT Growth'!$F$173:$F$182,"Western")</f>
        <v>3.7386120133193566</v>
      </c>
      <c r="AW78" s="194">
        <f>SUMIFS('INPUT Growth'!AW$125:AW$134,'INPUT Growth'!$C$125:$C$134,$C78,'INPUT Growth'!$D$125:$D$134,$D78,'INPUT Growth'!$F$125:$F$134,"Central")*SUMIFS(AW$33:AW$35,$E$33:$E$35,$D78)
*SUMIFS('INPUT Growth'!$AC$173:$AC$182,'INPUT Growth'!$C$173:$C$182,'INPUT Opex'!$C78,'INPUT Growth'!$D$173:$D$182,'INPUT Opex'!$D78,'INPUT Growth'!$F$173:$F$182,"CentraL")
+SUMIFS('INPUT Growth'!AW$125:AW$134,'INPUT Growth'!$C$125:$C$134,$C78,'INPUT Growth'!$D$125:$D$134,$D78,'INPUT Growth'!$F$125:$F$134,"Western")*SUMIFS(AW$33:AW$35,$E$33:$E$35,$D78)
*SUMIFS('INPUT Growth'!$AC$173:$AC$182,'INPUT Growth'!$C$173:$C$182,'INPUT Opex'!$C78,'INPUT Growth'!$D$173:$D$182,'INPUT Opex'!$D78,'INPUT Growth'!$F$173:$F$182,"Western")</f>
        <v>3.6893485693492636</v>
      </c>
    </row>
    <row r="79" spans="1:49" outlineLevel="1" x14ac:dyDescent="0.2">
      <c r="A79" s="51" t="str" cm="1">
        <f t="array" ref="A79">INDEX(TariffCode, MATCH(1,(C79=TariffZone)*(D79=TariffProduct),0))</f>
        <v>WR</v>
      </c>
      <c r="B79" s="51"/>
      <c r="C79" s="150" t="s">
        <v>283</v>
      </c>
      <c r="D79" s="150" t="s">
        <v>310</v>
      </c>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150"/>
      <c r="AC79" s="194">
        <f>SUMIFS('INPUT Growth'!AC$125:AC$134,'INPUT Growth'!$C$125:$C$134,$C79,'INPUT Growth'!$D$125:$D$134,$D79,'INPUT Growth'!$F$125:$F$134,"Central")*SUMIFS(AC$33:AC$35,$E$33:$E$35,$D79)
*SUMIFS('INPUT Growth'!$AC$173:$AC$182,'INPUT Growth'!$C$173:$C$182,'INPUT Opex'!$C79,'INPUT Growth'!$D$173:$D$182,'INPUT Opex'!$D79,'INPUT Growth'!$F$173:$F$182,"CentraL")
+SUMIFS('INPUT Growth'!AC$125:AC$134,'INPUT Growth'!$C$125:$C$134,$C79,'INPUT Growth'!$D$125:$D$134,$D79,'INPUT Growth'!$F$125:$F$134,"Western")*SUMIFS(AC$33:AC$35,$E$33:$E$35,$D79)
*SUMIFS('INPUT Growth'!$AC$173:$AC$182,'INPUT Growth'!$C$173:$C$182,'INPUT Opex'!$C79,'INPUT Growth'!$D$173:$D$182,'INPUT Opex'!$D79,'INPUT Growth'!$F$173:$F$182,"Western")</f>
        <v>253.17075060532687</v>
      </c>
      <c r="AD79" s="194">
        <f>SUMIFS('INPUT Growth'!AD$125:AD$134,'INPUT Growth'!$C$125:$C$134,$C79,'INPUT Growth'!$D$125:$D$134,$D79,'INPUT Growth'!$F$125:$F$134,"Central")*SUMIFS(AD$33:AD$35,$E$33:$E$35,$D79)
*SUMIFS('INPUT Growth'!$AC$173:$AC$182,'INPUT Growth'!$C$173:$C$182,'INPUT Opex'!$C79,'INPUT Growth'!$D$173:$D$182,'INPUT Opex'!$D79,'INPUT Growth'!$F$173:$F$182,"CentraL")
+SUMIFS('INPUT Growth'!AD$125:AD$134,'INPUT Growth'!$C$125:$C$134,$C79,'INPUT Growth'!$D$125:$D$134,$D79,'INPUT Growth'!$F$125:$F$134,"Western")*SUMIFS(AD$33:AD$35,$E$33:$E$35,$D79)
*SUMIFS('INPUT Growth'!$AC$173:$AC$182,'INPUT Growth'!$C$173:$C$182,'INPUT Opex'!$C79,'INPUT Growth'!$D$173:$D$182,'INPUT Opex'!$D79,'INPUT Growth'!$F$173:$F$182,"Western")</f>
        <v>253.17075060532687</v>
      </c>
      <c r="AE79" s="194">
        <f>SUMIFS('INPUT Growth'!AE$125:AE$134,'INPUT Growth'!$C$125:$C$134,$C79,'INPUT Growth'!$D$125:$D$134,$D79,'INPUT Growth'!$F$125:$F$134,"Central")*SUMIFS(AE$33:AE$35,$E$33:$E$35,$D79)
*SUMIFS('INPUT Growth'!$AC$173:$AC$182,'INPUT Growth'!$C$173:$C$182,'INPUT Opex'!$C79,'INPUT Growth'!$D$173:$D$182,'INPUT Opex'!$D79,'INPUT Growth'!$F$173:$F$182,"CentraL")
+SUMIFS('INPUT Growth'!AE$125:AE$134,'INPUT Growth'!$C$125:$C$134,$C79,'INPUT Growth'!$D$125:$D$134,$D79,'INPUT Growth'!$F$125:$F$134,"Western")*SUMIFS(AE$33:AE$35,$E$33:$E$35,$D79)
*SUMIFS('INPUT Growth'!$AC$173:$AC$182,'INPUT Growth'!$C$173:$C$182,'INPUT Opex'!$C79,'INPUT Growth'!$D$173:$D$182,'INPUT Opex'!$D79,'INPUT Growth'!$F$173:$F$182,"Western")</f>
        <v>253.17075060532687</v>
      </c>
      <c r="AF79" s="194">
        <f>SUMIFS('INPUT Growth'!AF$125:AF$134,'INPUT Growth'!$C$125:$C$134,$C79,'INPUT Growth'!$D$125:$D$134,$D79,'INPUT Growth'!$F$125:$F$134,"Central")*SUMIFS(AF$33:AF$35,$E$33:$E$35,$D79)
*SUMIFS('INPUT Growth'!$AC$173:$AC$182,'INPUT Growth'!$C$173:$C$182,'INPUT Opex'!$C79,'INPUT Growth'!$D$173:$D$182,'INPUT Opex'!$D79,'INPUT Growth'!$F$173:$F$182,"CentraL")
+SUMIFS('INPUT Growth'!AF$125:AF$134,'INPUT Growth'!$C$125:$C$134,$C79,'INPUT Growth'!$D$125:$D$134,$D79,'INPUT Growth'!$F$125:$F$134,"Western")*SUMIFS(AF$33:AF$35,$E$33:$E$35,$D79)
*SUMIFS('INPUT Growth'!$AC$173:$AC$182,'INPUT Growth'!$C$173:$C$182,'INPUT Opex'!$C79,'INPUT Growth'!$D$173:$D$182,'INPUT Opex'!$D79,'INPUT Growth'!$F$173:$F$182,"Western")</f>
        <v>253.17075060532687</v>
      </c>
      <c r="AG79" s="194">
        <f>SUMIFS('INPUT Growth'!AG$125:AG$134,'INPUT Growth'!$C$125:$C$134,$C79,'INPUT Growth'!$D$125:$D$134,$D79,'INPUT Growth'!$F$125:$F$134,"Central")*SUMIFS(AG$33:AG$35,$E$33:$E$35,$D79)
*SUMIFS('INPUT Growth'!$AC$173:$AC$182,'INPUT Growth'!$C$173:$C$182,'INPUT Opex'!$C79,'INPUT Growth'!$D$173:$D$182,'INPUT Opex'!$D79,'INPUT Growth'!$F$173:$F$182,"CentraL")
+SUMIFS('INPUT Growth'!AG$125:AG$134,'INPUT Growth'!$C$125:$C$134,$C79,'INPUT Growth'!$D$125:$D$134,$D79,'INPUT Growth'!$F$125:$F$134,"Western")*SUMIFS(AG$33:AG$35,$E$33:$E$35,$D79)
*SUMIFS('INPUT Growth'!$AC$173:$AC$182,'INPUT Growth'!$C$173:$C$182,'INPUT Opex'!$C79,'INPUT Growth'!$D$173:$D$182,'INPUT Opex'!$D79,'INPUT Growth'!$F$173:$F$182,"Western")</f>
        <v>253.17075060532687</v>
      </c>
      <c r="AH79" s="194">
        <f>SUMIFS('INPUT Growth'!AH$125:AH$134,'INPUT Growth'!$C$125:$C$134,$C79,'INPUT Growth'!$D$125:$D$134,$D79,'INPUT Growth'!$F$125:$F$134,"Central")*SUMIFS(AH$33:AH$35,$E$33:$E$35,$D79)
*SUMIFS('INPUT Growth'!$AC$173:$AC$182,'INPUT Growth'!$C$173:$C$182,'INPUT Opex'!$C79,'INPUT Growth'!$D$173:$D$182,'INPUT Opex'!$D79,'INPUT Growth'!$F$173:$F$182,"CentraL")
+SUMIFS('INPUT Growth'!AH$125:AH$134,'INPUT Growth'!$C$125:$C$134,$C79,'INPUT Growth'!$D$125:$D$134,$D79,'INPUT Growth'!$F$125:$F$134,"Western")*SUMIFS(AH$33:AH$35,$E$33:$E$35,$D79)
*SUMIFS('INPUT Growth'!$AC$173:$AC$182,'INPUT Growth'!$C$173:$C$182,'INPUT Opex'!$C79,'INPUT Growth'!$D$173:$D$182,'INPUT Opex'!$D79,'INPUT Growth'!$F$173:$F$182,"Western")</f>
        <v>253.17075060532687</v>
      </c>
      <c r="AI79" s="194">
        <f>SUMIFS('INPUT Growth'!AI$125:AI$134,'INPUT Growth'!$C$125:$C$134,$C79,'INPUT Growth'!$D$125:$D$134,$D79,'INPUT Growth'!$F$125:$F$134,"Central")*SUMIFS(AI$33:AI$35,$E$33:$E$35,$D79)
*SUMIFS('INPUT Growth'!$AC$173:$AC$182,'INPUT Growth'!$C$173:$C$182,'INPUT Opex'!$C79,'INPUT Growth'!$D$173:$D$182,'INPUT Opex'!$D79,'INPUT Growth'!$F$173:$F$182,"CentraL")
+SUMIFS('INPUT Growth'!AI$125:AI$134,'INPUT Growth'!$C$125:$C$134,$C79,'INPUT Growth'!$D$125:$D$134,$D79,'INPUT Growth'!$F$125:$F$134,"Western")*SUMIFS(AI$33:AI$35,$E$33:$E$35,$D79)
*SUMIFS('INPUT Growth'!$AC$173:$AC$182,'INPUT Growth'!$C$173:$C$182,'INPUT Opex'!$C79,'INPUT Growth'!$D$173:$D$182,'INPUT Opex'!$D79,'INPUT Growth'!$F$173:$F$182,"Western")</f>
        <v>253.17075060532687</v>
      </c>
      <c r="AJ79" s="194">
        <f>SUMIFS('INPUT Growth'!AJ$125:AJ$134,'INPUT Growth'!$C$125:$C$134,$C79,'INPUT Growth'!$D$125:$D$134,$D79,'INPUT Growth'!$F$125:$F$134,"Central")*SUMIFS(AJ$33:AJ$35,$E$33:$E$35,$D79)
*SUMIFS('INPUT Growth'!$AC$173:$AC$182,'INPUT Growth'!$C$173:$C$182,'INPUT Opex'!$C79,'INPUT Growth'!$D$173:$D$182,'INPUT Opex'!$D79,'INPUT Growth'!$F$173:$F$182,"CentraL")
+SUMIFS('INPUT Growth'!AJ$125:AJ$134,'INPUT Growth'!$C$125:$C$134,$C79,'INPUT Growth'!$D$125:$D$134,$D79,'INPUT Growth'!$F$125:$F$134,"Western")*SUMIFS(AJ$33:AJ$35,$E$33:$E$35,$D79)
*SUMIFS('INPUT Growth'!$AC$173:$AC$182,'INPUT Growth'!$C$173:$C$182,'INPUT Opex'!$C79,'INPUT Growth'!$D$173:$D$182,'INPUT Opex'!$D79,'INPUT Growth'!$F$173:$F$182,"Western")</f>
        <v>253.17075060532687</v>
      </c>
      <c r="AK79" s="194">
        <f>SUMIFS('INPUT Growth'!AK$125:AK$134,'INPUT Growth'!$C$125:$C$134,$C79,'INPUT Growth'!$D$125:$D$134,$D79,'INPUT Growth'!$F$125:$F$134,"Central")*SUMIFS(AK$33:AK$35,$E$33:$E$35,$D79)
*SUMIFS('INPUT Growth'!$AC$173:$AC$182,'INPUT Growth'!$C$173:$C$182,'INPUT Opex'!$C79,'INPUT Growth'!$D$173:$D$182,'INPUT Opex'!$D79,'INPUT Growth'!$F$173:$F$182,"CentraL")
+SUMIFS('INPUT Growth'!AK$125:AK$134,'INPUT Growth'!$C$125:$C$134,$C79,'INPUT Growth'!$D$125:$D$134,$D79,'INPUT Growth'!$F$125:$F$134,"Western")*SUMIFS(AK$33:AK$35,$E$33:$E$35,$D79)
*SUMIFS('INPUT Growth'!$AC$173:$AC$182,'INPUT Growth'!$C$173:$C$182,'INPUT Opex'!$C79,'INPUT Growth'!$D$173:$D$182,'INPUT Opex'!$D79,'INPUT Growth'!$F$173:$F$182,"Western")</f>
        <v>253.17075060532687</v>
      </c>
      <c r="AL79" s="194">
        <f>SUMIFS('INPUT Growth'!AL$125:AL$134,'INPUT Growth'!$C$125:$C$134,$C79,'INPUT Growth'!$D$125:$D$134,$D79,'INPUT Growth'!$F$125:$F$134,"Central")*SUMIFS(AL$33:AL$35,$E$33:$E$35,$D79)
*SUMIFS('INPUT Growth'!$AC$173:$AC$182,'INPUT Growth'!$C$173:$C$182,'INPUT Opex'!$C79,'INPUT Growth'!$D$173:$D$182,'INPUT Opex'!$D79,'INPUT Growth'!$F$173:$F$182,"CentraL")
+SUMIFS('INPUT Growth'!AL$125:AL$134,'INPUT Growth'!$C$125:$C$134,$C79,'INPUT Growth'!$D$125:$D$134,$D79,'INPUT Growth'!$F$125:$F$134,"Western")*SUMIFS(AL$33:AL$35,$E$33:$E$35,$D79)
*SUMIFS('INPUT Growth'!$AC$173:$AC$182,'INPUT Growth'!$C$173:$C$182,'INPUT Opex'!$C79,'INPUT Growth'!$D$173:$D$182,'INPUT Opex'!$D79,'INPUT Growth'!$F$173:$F$182,"Western")</f>
        <v>253.17075060532687</v>
      </c>
      <c r="AM79" s="194">
        <f>SUMIFS('INPUT Growth'!AM$125:AM$134,'INPUT Growth'!$C$125:$C$134,$C79,'INPUT Growth'!$D$125:$D$134,$D79,'INPUT Growth'!$F$125:$F$134,"Central")*SUMIFS(AM$33:AM$35,$E$33:$E$35,$D79)
*SUMIFS('INPUT Growth'!$AC$173:$AC$182,'INPUT Growth'!$C$173:$C$182,'INPUT Opex'!$C79,'INPUT Growth'!$D$173:$D$182,'INPUT Opex'!$D79,'INPUT Growth'!$F$173:$F$182,"CentraL")
+SUMIFS('INPUT Growth'!AM$125:AM$134,'INPUT Growth'!$C$125:$C$134,$C79,'INPUT Growth'!$D$125:$D$134,$D79,'INPUT Growth'!$F$125:$F$134,"Western")*SUMIFS(AM$33:AM$35,$E$33:$E$35,$D79)
*SUMIFS('INPUT Growth'!$AC$173:$AC$182,'INPUT Growth'!$C$173:$C$182,'INPUT Opex'!$C79,'INPUT Growth'!$D$173:$D$182,'INPUT Opex'!$D79,'INPUT Growth'!$F$173:$F$182,"Western")</f>
        <v>253.17075060532687</v>
      </c>
      <c r="AN79" s="194">
        <f>SUMIFS('INPUT Growth'!AN$125:AN$134,'INPUT Growth'!$C$125:$C$134,$C79,'INPUT Growth'!$D$125:$D$134,$D79,'INPUT Growth'!$F$125:$F$134,"Central")*SUMIFS(AN$33:AN$35,$E$33:$E$35,$D79)
*SUMIFS('INPUT Growth'!$AC$173:$AC$182,'INPUT Growth'!$C$173:$C$182,'INPUT Opex'!$C79,'INPUT Growth'!$D$173:$D$182,'INPUT Opex'!$D79,'INPUT Growth'!$F$173:$F$182,"CentraL")
+SUMIFS('INPUT Growth'!AN$125:AN$134,'INPUT Growth'!$C$125:$C$134,$C79,'INPUT Growth'!$D$125:$D$134,$D79,'INPUT Growth'!$F$125:$F$134,"Western")*SUMIFS(AN$33:AN$35,$E$33:$E$35,$D79)
*SUMIFS('INPUT Growth'!$AC$173:$AC$182,'INPUT Growth'!$C$173:$C$182,'INPUT Opex'!$C79,'INPUT Growth'!$D$173:$D$182,'INPUT Opex'!$D79,'INPUT Growth'!$F$173:$F$182,"Western")</f>
        <v>253.17075060532687</v>
      </c>
      <c r="AO79" s="194">
        <f>SUMIFS('INPUT Growth'!AO$125:AO$134,'INPUT Growth'!$C$125:$C$134,$C79,'INPUT Growth'!$D$125:$D$134,$D79,'INPUT Growth'!$F$125:$F$134,"Central")*SUMIFS(AO$33:AO$35,$E$33:$E$35,$D79)
*SUMIFS('INPUT Growth'!$AC$173:$AC$182,'INPUT Growth'!$C$173:$C$182,'INPUT Opex'!$C79,'INPUT Growth'!$D$173:$D$182,'INPUT Opex'!$D79,'INPUT Growth'!$F$173:$F$182,"CentraL")
+SUMIFS('INPUT Growth'!AO$125:AO$134,'INPUT Growth'!$C$125:$C$134,$C79,'INPUT Growth'!$D$125:$D$134,$D79,'INPUT Growth'!$F$125:$F$134,"Western")*SUMIFS(AO$33:AO$35,$E$33:$E$35,$D79)
*SUMIFS('INPUT Growth'!$AC$173:$AC$182,'INPUT Growth'!$C$173:$C$182,'INPUT Opex'!$C79,'INPUT Growth'!$D$173:$D$182,'INPUT Opex'!$D79,'INPUT Growth'!$F$173:$F$182,"Western")</f>
        <v>253.17075060532687</v>
      </c>
      <c r="AP79" s="194">
        <f>SUMIFS('INPUT Growth'!AP$125:AP$134,'INPUT Growth'!$C$125:$C$134,$C79,'INPUT Growth'!$D$125:$D$134,$D79,'INPUT Growth'!$F$125:$F$134,"Central")*SUMIFS(AP$33:AP$35,$E$33:$E$35,$D79)
*SUMIFS('INPUT Growth'!$AC$173:$AC$182,'INPUT Growth'!$C$173:$C$182,'INPUT Opex'!$C79,'INPUT Growth'!$D$173:$D$182,'INPUT Opex'!$D79,'INPUT Growth'!$F$173:$F$182,"CentraL")
+SUMIFS('INPUT Growth'!AP$125:AP$134,'INPUT Growth'!$C$125:$C$134,$C79,'INPUT Growth'!$D$125:$D$134,$D79,'INPUT Growth'!$F$125:$F$134,"Western")*SUMIFS(AP$33:AP$35,$E$33:$E$35,$D79)
*SUMIFS('INPUT Growth'!$AC$173:$AC$182,'INPUT Growth'!$C$173:$C$182,'INPUT Opex'!$C79,'INPUT Growth'!$D$173:$D$182,'INPUT Opex'!$D79,'INPUT Growth'!$F$173:$F$182,"Western")</f>
        <v>253.17075060532687</v>
      </c>
      <c r="AQ79" s="194">
        <f>SUMIFS('INPUT Growth'!AQ$125:AQ$134,'INPUT Growth'!$C$125:$C$134,$C79,'INPUT Growth'!$D$125:$D$134,$D79,'INPUT Growth'!$F$125:$F$134,"Central")*SUMIFS(AQ$33:AQ$35,$E$33:$E$35,$D79)
*SUMIFS('INPUT Growth'!$AC$173:$AC$182,'INPUT Growth'!$C$173:$C$182,'INPUT Opex'!$C79,'INPUT Growth'!$D$173:$D$182,'INPUT Opex'!$D79,'INPUT Growth'!$F$173:$F$182,"CentraL")
+SUMIFS('INPUT Growth'!AQ$125:AQ$134,'INPUT Growth'!$C$125:$C$134,$C79,'INPUT Growth'!$D$125:$D$134,$D79,'INPUT Growth'!$F$125:$F$134,"Western")*SUMIFS(AQ$33:AQ$35,$E$33:$E$35,$D79)
*SUMIFS('INPUT Growth'!$AC$173:$AC$182,'INPUT Growth'!$C$173:$C$182,'INPUT Opex'!$C79,'INPUT Growth'!$D$173:$D$182,'INPUT Opex'!$D79,'INPUT Growth'!$F$173:$F$182,"Western")</f>
        <v>253.17075060532687</v>
      </c>
      <c r="AR79" s="194">
        <f>SUMIFS('INPUT Growth'!AR$125:AR$134,'INPUT Growth'!$C$125:$C$134,$C79,'INPUT Growth'!$D$125:$D$134,$D79,'INPUT Growth'!$F$125:$F$134,"Central")*SUMIFS(AR$33:AR$35,$E$33:$E$35,$D79)
*SUMIFS('INPUT Growth'!$AC$173:$AC$182,'INPUT Growth'!$C$173:$C$182,'INPUT Opex'!$C79,'INPUT Growth'!$D$173:$D$182,'INPUT Opex'!$D79,'INPUT Growth'!$F$173:$F$182,"CentraL")
+SUMIFS('INPUT Growth'!AR$125:AR$134,'INPUT Growth'!$C$125:$C$134,$C79,'INPUT Growth'!$D$125:$D$134,$D79,'INPUT Growth'!$F$125:$F$134,"Western")*SUMIFS(AR$33:AR$35,$E$33:$E$35,$D79)
*SUMIFS('INPUT Growth'!$AC$173:$AC$182,'INPUT Growth'!$C$173:$C$182,'INPUT Opex'!$C79,'INPUT Growth'!$D$173:$D$182,'INPUT Opex'!$D79,'INPUT Growth'!$F$173:$F$182,"Western")</f>
        <v>253.17075060532687</v>
      </c>
      <c r="AS79" s="194">
        <f>SUMIFS('INPUT Growth'!AS$125:AS$134,'INPUT Growth'!$C$125:$C$134,$C79,'INPUT Growth'!$D$125:$D$134,$D79,'INPUT Growth'!$F$125:$F$134,"Central")*SUMIFS(AS$33:AS$35,$E$33:$E$35,$D79)
*SUMIFS('INPUT Growth'!$AC$173:$AC$182,'INPUT Growth'!$C$173:$C$182,'INPUT Opex'!$C79,'INPUT Growth'!$D$173:$D$182,'INPUT Opex'!$D79,'INPUT Growth'!$F$173:$F$182,"CentraL")
+SUMIFS('INPUT Growth'!AS$125:AS$134,'INPUT Growth'!$C$125:$C$134,$C79,'INPUT Growth'!$D$125:$D$134,$D79,'INPUT Growth'!$F$125:$F$134,"Western")*SUMIFS(AS$33:AS$35,$E$33:$E$35,$D79)
*SUMIFS('INPUT Growth'!$AC$173:$AC$182,'INPUT Growth'!$C$173:$C$182,'INPUT Opex'!$C79,'INPUT Growth'!$D$173:$D$182,'INPUT Opex'!$D79,'INPUT Growth'!$F$173:$F$182,"Western")</f>
        <v>253.17075060532687</v>
      </c>
      <c r="AT79" s="194">
        <f>SUMIFS('INPUT Growth'!AT$125:AT$134,'INPUT Growth'!$C$125:$C$134,$C79,'INPUT Growth'!$D$125:$D$134,$D79,'INPUT Growth'!$F$125:$F$134,"Central")*SUMIFS(AT$33:AT$35,$E$33:$E$35,$D79)
*SUMIFS('INPUT Growth'!$AC$173:$AC$182,'INPUT Growth'!$C$173:$C$182,'INPUT Opex'!$C79,'INPUT Growth'!$D$173:$D$182,'INPUT Opex'!$D79,'INPUT Growth'!$F$173:$F$182,"CentraL")
+SUMIFS('INPUT Growth'!AT$125:AT$134,'INPUT Growth'!$C$125:$C$134,$C79,'INPUT Growth'!$D$125:$D$134,$D79,'INPUT Growth'!$F$125:$F$134,"Western")*SUMIFS(AT$33:AT$35,$E$33:$E$35,$D79)
*SUMIFS('INPUT Growth'!$AC$173:$AC$182,'INPUT Growth'!$C$173:$C$182,'INPUT Opex'!$C79,'INPUT Growth'!$D$173:$D$182,'INPUT Opex'!$D79,'INPUT Growth'!$F$173:$F$182,"Western")</f>
        <v>253.17075060532687</v>
      </c>
      <c r="AU79" s="194">
        <f>SUMIFS('INPUT Growth'!AU$125:AU$134,'INPUT Growth'!$C$125:$C$134,$C79,'INPUT Growth'!$D$125:$D$134,$D79,'INPUT Growth'!$F$125:$F$134,"Central")*SUMIFS(AU$33:AU$35,$E$33:$E$35,$D79)
*SUMIFS('INPUT Growth'!$AC$173:$AC$182,'INPUT Growth'!$C$173:$C$182,'INPUT Opex'!$C79,'INPUT Growth'!$D$173:$D$182,'INPUT Opex'!$D79,'INPUT Growth'!$F$173:$F$182,"CentraL")
+SUMIFS('INPUT Growth'!AU$125:AU$134,'INPUT Growth'!$C$125:$C$134,$C79,'INPUT Growth'!$D$125:$D$134,$D79,'INPUT Growth'!$F$125:$F$134,"Western")*SUMIFS(AU$33:AU$35,$E$33:$E$35,$D79)
*SUMIFS('INPUT Growth'!$AC$173:$AC$182,'INPUT Growth'!$C$173:$C$182,'INPUT Opex'!$C79,'INPUT Growth'!$D$173:$D$182,'INPUT Opex'!$D79,'INPUT Growth'!$F$173:$F$182,"Western")</f>
        <v>253.17075060532687</v>
      </c>
      <c r="AV79" s="194">
        <f>SUMIFS('INPUT Growth'!AV$125:AV$134,'INPUT Growth'!$C$125:$C$134,$C79,'INPUT Growth'!$D$125:$D$134,$D79,'INPUT Growth'!$F$125:$F$134,"Central")*SUMIFS(AV$33:AV$35,$E$33:$E$35,$D79)
*SUMIFS('INPUT Growth'!$AC$173:$AC$182,'INPUT Growth'!$C$173:$C$182,'INPUT Opex'!$C79,'INPUT Growth'!$D$173:$D$182,'INPUT Opex'!$D79,'INPUT Growth'!$F$173:$F$182,"CentraL")
+SUMIFS('INPUT Growth'!AV$125:AV$134,'INPUT Growth'!$C$125:$C$134,$C79,'INPUT Growth'!$D$125:$D$134,$D79,'INPUT Growth'!$F$125:$F$134,"Western")*SUMIFS(AV$33:AV$35,$E$33:$E$35,$D79)
*SUMIFS('INPUT Growth'!$AC$173:$AC$182,'INPUT Growth'!$C$173:$C$182,'INPUT Opex'!$C79,'INPUT Growth'!$D$173:$D$182,'INPUT Opex'!$D79,'INPUT Growth'!$F$173:$F$182,"Western")</f>
        <v>253.17075060532687</v>
      </c>
      <c r="AW79" s="194">
        <f>SUMIFS('INPUT Growth'!AW$125:AW$134,'INPUT Growth'!$C$125:$C$134,$C79,'INPUT Growth'!$D$125:$D$134,$D79,'INPUT Growth'!$F$125:$F$134,"Central")*SUMIFS(AW$33:AW$35,$E$33:$E$35,$D79)
*SUMIFS('INPUT Growth'!$AC$173:$AC$182,'INPUT Growth'!$C$173:$C$182,'INPUT Opex'!$C79,'INPUT Growth'!$D$173:$D$182,'INPUT Opex'!$D79,'INPUT Growth'!$F$173:$F$182,"CentraL")
+SUMIFS('INPUT Growth'!AW$125:AW$134,'INPUT Growth'!$C$125:$C$134,$C79,'INPUT Growth'!$D$125:$D$134,$D79,'INPUT Growth'!$F$125:$F$134,"Western")*SUMIFS(AW$33:AW$35,$E$33:$E$35,$D79)
*SUMIFS('INPUT Growth'!$AC$173:$AC$182,'INPUT Growth'!$C$173:$C$182,'INPUT Opex'!$C79,'INPUT Growth'!$D$173:$D$182,'INPUT Opex'!$D79,'INPUT Growth'!$F$173:$F$182,"Western")</f>
        <v>253.17075060532687</v>
      </c>
    </row>
    <row r="80" spans="1:49" outlineLevel="1" x14ac:dyDescent="0.2">
      <c r="A80" s="51" t="str" cm="1">
        <f t="array" ref="A80">INDEX(TariffCode, MATCH(1,(C80=TariffZone)*(D80=TariffProduct),0))</f>
        <v>GR</v>
      </c>
      <c r="B80" s="51"/>
      <c r="C80" s="150" t="s">
        <v>312</v>
      </c>
      <c r="D80" s="150" t="s">
        <v>310</v>
      </c>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94"/>
      <c r="AD80" s="194"/>
      <c r="AE80" s="194"/>
      <c r="AF80" s="194"/>
      <c r="AG80" s="194"/>
      <c r="AH80" s="194"/>
      <c r="AI80" s="194"/>
      <c r="AJ80" s="194"/>
      <c r="AK80" s="194"/>
      <c r="AL80" s="194"/>
      <c r="AM80" s="194"/>
      <c r="AN80" s="194"/>
      <c r="AO80" s="194"/>
      <c r="AP80" s="194"/>
      <c r="AQ80" s="194"/>
      <c r="AR80" s="194"/>
      <c r="AS80" s="194"/>
      <c r="AT80" s="194"/>
      <c r="AU80" s="194"/>
      <c r="AV80" s="194"/>
      <c r="AW80" s="194"/>
    </row>
    <row r="81" spans="2:74" x14ac:dyDescent="0.2">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row>
    <row r="82" spans="2:74" ht="15.75" x14ac:dyDescent="0.25">
      <c r="B82" s="78" t="s">
        <v>557</v>
      </c>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row>
    <row r="83" spans="2:74" outlineLevel="1" x14ac:dyDescent="0.2">
      <c r="B83" s="150"/>
      <c r="C83" s="64" t="s">
        <v>558</v>
      </c>
      <c r="D83" s="150"/>
      <c r="E83" s="150"/>
      <c r="F83" s="122" t="s">
        <v>559</v>
      </c>
      <c r="G83" s="150"/>
      <c r="H83" s="150"/>
      <c r="I83" s="150"/>
      <c r="J83" s="150"/>
      <c r="K83" s="150"/>
      <c r="L83" s="150"/>
      <c r="M83" s="150"/>
      <c r="N83" s="150"/>
      <c r="O83" s="150"/>
      <c r="P83" s="150"/>
      <c r="Q83" s="150"/>
      <c r="R83" s="150"/>
      <c r="S83" s="150"/>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row>
    <row r="84" spans="2:74" ht="11.65" customHeight="1" outlineLevel="1" x14ac:dyDescent="0.2">
      <c r="B84" s="150"/>
      <c r="C84" s="150" t="s">
        <v>301</v>
      </c>
      <c r="D84" s="150" t="s">
        <v>560</v>
      </c>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150"/>
      <c r="AC84" s="195">
        <v>91740092.48879303</v>
      </c>
      <c r="AD84" s="195">
        <v>92773454.400446206</v>
      </c>
      <c r="AE84" s="195">
        <v>93099434.218984231</v>
      </c>
      <c r="AF84" s="195">
        <v>93270998.376580954</v>
      </c>
      <c r="AG84" s="195">
        <v>94428722.499242097</v>
      </c>
      <c r="AH84" s="195">
        <v>95397614.03569892</v>
      </c>
      <c r="AI84" s="195">
        <v>96329054.808823869</v>
      </c>
      <c r="AJ84" s="195">
        <v>97197563.276871756</v>
      </c>
      <c r="AK84" s="195">
        <v>98091216.222973868</v>
      </c>
      <c r="AL84" s="195">
        <v>98976103.087369144</v>
      </c>
      <c r="AM84" s="150"/>
      <c r="AN84" s="150"/>
      <c r="AO84" s="150"/>
      <c r="AP84" s="150"/>
      <c r="AQ84" s="150"/>
      <c r="AR84" s="150"/>
      <c r="AS84" s="150"/>
      <c r="AT84" s="150"/>
      <c r="AU84" s="150"/>
      <c r="AV84" s="150"/>
      <c r="AW84" s="150"/>
    </row>
    <row r="85" spans="2:74" ht="11.65" customHeight="1" outlineLevel="1" x14ac:dyDescent="0.2">
      <c r="B85" s="150"/>
      <c r="C85" s="150" t="s">
        <v>301</v>
      </c>
      <c r="D85" s="150" t="s">
        <v>561</v>
      </c>
      <c r="E85" s="150"/>
      <c r="F85" s="150"/>
      <c r="G85" s="150"/>
      <c r="H85" s="150"/>
      <c r="I85" s="150"/>
      <c r="J85" s="150"/>
      <c r="K85" s="150"/>
      <c r="L85" s="150"/>
      <c r="M85" s="150"/>
      <c r="N85" s="150"/>
      <c r="O85" s="150"/>
      <c r="P85" s="150"/>
      <c r="Q85" s="150"/>
      <c r="R85" s="150"/>
      <c r="S85" s="150"/>
      <c r="T85" s="150"/>
      <c r="U85" s="150"/>
      <c r="V85" s="150"/>
      <c r="W85" s="150"/>
      <c r="X85" s="150"/>
      <c r="Y85" s="150"/>
      <c r="Z85" s="150"/>
      <c r="AA85" s="150"/>
      <c r="AB85" s="150"/>
      <c r="AC85" s="194">
        <f>AC84/SUMIFS('INPUT Growth'!AC$12:AC$59,'INPUT Growth'!$D$12:$D$59,'INPUT Opex'!$C85)</f>
        <v>144.27171521903412</v>
      </c>
      <c r="AD85" s="194">
        <f>AD84/SUMIFS('INPUT Growth'!AD$12:AD$59,'INPUT Growth'!$D$12:$D$59,'INPUT Opex'!$C85)</f>
        <v>141.61180899363262</v>
      </c>
      <c r="AE85" s="194">
        <f>AE84/SUMIFS('INPUT Growth'!AE$12:AE$59,'INPUT Growth'!$D$12:$D$59,'INPUT Opex'!$C85)</f>
        <v>137.82652533130525</v>
      </c>
      <c r="AF85" s="194">
        <f>AF84/SUMIFS('INPUT Growth'!AF$12:AF$59,'INPUT Growth'!$D$12:$D$59,'INPUT Opex'!$C85)</f>
        <v>134.6124704596246</v>
      </c>
      <c r="AG85" s="194">
        <f>AG84/SUMIFS('INPUT Growth'!AG$12:AG$59,'INPUT Growth'!$D$12:$D$59,'INPUT Opex'!$C85)</f>
        <v>132.91122200638159</v>
      </c>
      <c r="AH85" s="194">
        <f>AH84/SUMIFS('INPUT Growth'!AH$12:AH$59,'INPUT Growth'!$D$12:$D$59,'INPUT Opex'!$C85)</f>
        <v>131.02297856211175</v>
      </c>
      <c r="AI85" s="194">
        <f>AI84/SUMIFS('INPUT Growth'!AI$12:AI$59,'INPUT Growth'!$D$12:$D$59,'INPUT Opex'!$C85)</f>
        <v>129.16479215177392</v>
      </c>
      <c r="AJ85" s="194">
        <f>AJ84/SUMIFS('INPUT Growth'!AJ$12:AJ$59,'INPUT Growth'!$D$12:$D$59,'INPUT Opex'!$C85)</f>
        <v>127.33725419993955</v>
      </c>
      <c r="AK85" s="194">
        <f>AK84/SUMIFS('INPUT Growth'!AK$12:AK$59,'INPUT Growth'!$D$12:$D$59,'INPUT Opex'!$C85)</f>
        <v>125.53528746740049</v>
      </c>
      <c r="AL85" s="194">
        <f>AL84/SUMIFS('INPUT Growth'!AL$12:AL$59,'INPUT Growth'!$D$12:$D$59,'INPUT Opex'!$C85)</f>
        <v>123.76018033606972</v>
      </c>
      <c r="AM85" s="150"/>
      <c r="AN85" s="150"/>
      <c r="AO85" s="150"/>
      <c r="AP85" s="150"/>
      <c r="AQ85" s="150"/>
      <c r="AR85" s="150"/>
      <c r="AS85" s="150"/>
      <c r="AT85" s="150"/>
      <c r="AU85" s="150"/>
      <c r="AV85" s="150"/>
      <c r="AW85" s="150"/>
    </row>
    <row r="86" spans="2:74" ht="11.65" customHeight="1" outlineLevel="1" x14ac:dyDescent="0.2">
      <c r="B86" s="150"/>
      <c r="C86" s="150"/>
      <c r="D86" s="150"/>
      <c r="E86" s="150"/>
      <c r="F86" s="150"/>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row>
    <row r="87" spans="2:74" outlineLevel="1" x14ac:dyDescent="0.2">
      <c r="B87" s="150"/>
      <c r="C87" s="150" t="s">
        <v>303</v>
      </c>
      <c r="D87" s="150" t="s">
        <v>560</v>
      </c>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150"/>
      <c r="AC87" s="195">
        <v>92356725.484396055</v>
      </c>
      <c r="AD87" s="195">
        <v>93380071.628100321</v>
      </c>
      <c r="AE87" s="195">
        <v>93504739.903891325</v>
      </c>
      <c r="AF87" s="195">
        <v>93546262.580368862</v>
      </c>
      <c r="AG87" s="195">
        <v>94277632.754198387</v>
      </c>
      <c r="AH87" s="195">
        <v>95253176.184866056</v>
      </c>
      <c r="AI87" s="195">
        <v>96191011.735170215</v>
      </c>
      <c r="AJ87" s="195">
        <v>97065482.920646489</v>
      </c>
      <c r="AK87" s="195">
        <v>97965271.212796047</v>
      </c>
      <c r="AL87" s="195">
        <v>98856233.239982054</v>
      </c>
      <c r="AM87" s="150"/>
      <c r="AN87" s="150"/>
      <c r="AO87" s="150"/>
      <c r="AP87" s="150"/>
      <c r="AQ87" s="150"/>
      <c r="AR87" s="150"/>
      <c r="AS87" s="150"/>
      <c r="AT87" s="150"/>
      <c r="AU87" s="150"/>
      <c r="AV87" s="150"/>
      <c r="AW87" s="150"/>
    </row>
    <row r="88" spans="2:74" outlineLevel="1" x14ac:dyDescent="0.2">
      <c r="B88" s="150"/>
      <c r="C88" s="150" t="s">
        <v>303</v>
      </c>
      <c r="D88" s="150" t="s">
        <v>561</v>
      </c>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94">
        <f>AC87/SUMIFS('INPUT Growth'!AC$12:AC$59,'INPUT Growth'!$D$12:$D$59,'INPUT Opex'!$C88)</f>
        <v>147.47130701994882</v>
      </c>
      <c r="AD88" s="194">
        <f>AD87/SUMIFS('INPUT Growth'!AD$12:AD$59,'INPUT Growth'!$D$12:$D$59,'INPUT Opex'!$C88)</f>
        <v>144.66089325699579</v>
      </c>
      <c r="AE88" s="194">
        <f>AE87/SUMIFS('INPUT Growth'!AE$12:AE$59,'INPUT Growth'!$D$12:$D$59,'INPUT Opex'!$C88)</f>
        <v>140.42540152202821</v>
      </c>
      <c r="AF88" s="194">
        <f>AF87/SUMIFS('INPUT Growth'!AF$12:AF$59,'INPUT Growth'!$D$12:$D$59,'INPUT Opex'!$C88)</f>
        <v>136.90960406651095</v>
      </c>
      <c r="AG88" s="194">
        <f>AG87/SUMIFS('INPUT Growth'!AG$12:AG$59,'INPUT Growth'!$D$12:$D$59,'INPUT Opex'!$C88)</f>
        <v>134.5190585554451</v>
      </c>
      <c r="AH88" s="194">
        <f>AH87/SUMIFS('INPUT Growth'!AH$12:AH$59,'INPUT Growth'!$D$12:$D$59,'INPUT Opex'!$C88)</f>
        <v>132.57534312780453</v>
      </c>
      <c r="AI88" s="194">
        <f>AI87/SUMIFS('INPUT Growth'!AI$12:AI$59,'INPUT Growth'!$D$12:$D$59,'INPUT Opex'!$C88)</f>
        <v>130.66427960232869</v>
      </c>
      <c r="AJ88" s="194">
        <f>AJ87/SUMIFS('INPUT Growth'!AJ$12:AJ$59,'INPUT Growth'!$D$12:$D$59,'INPUT Opex'!$C88)</f>
        <v>128.78647441685922</v>
      </c>
      <c r="AK88" s="194">
        <f>AK87/SUMIFS('INPUT Growth'!AK$12:AK$59,'INPUT Growth'!$D$12:$D$59,'INPUT Opex'!$C88)</f>
        <v>126.93606583993611</v>
      </c>
      <c r="AL88" s="194">
        <f>AL87/SUMIFS('INPUT Growth'!AL$12:AL$59,'INPUT Growth'!$D$12:$D$59,'INPUT Opex'!$C88)</f>
        <v>125.11450122604116</v>
      </c>
      <c r="AM88" s="150"/>
      <c r="AN88" s="150"/>
      <c r="AO88" s="150"/>
      <c r="AP88" s="150"/>
      <c r="AQ88" s="150"/>
      <c r="AR88" s="150"/>
      <c r="AS88" s="150"/>
      <c r="AT88" s="150"/>
      <c r="AU88" s="150"/>
      <c r="AV88" s="150"/>
      <c r="AW88" s="150"/>
    </row>
    <row r="89" spans="2:74" outlineLevel="1" x14ac:dyDescent="0.2">
      <c r="B89" s="150"/>
      <c r="C89" s="150"/>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row>
    <row r="90" spans="2:74" outlineLevel="1" x14ac:dyDescent="0.2">
      <c r="B90" s="150"/>
      <c r="C90" s="150" t="s">
        <v>310</v>
      </c>
      <c r="D90" s="150" t="s">
        <v>560</v>
      </c>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95">
        <v>32780010.038844753</v>
      </c>
      <c r="AD90" s="195">
        <v>33423325.579842389</v>
      </c>
      <c r="AE90" s="195">
        <v>33515442.970801495</v>
      </c>
      <c r="AF90" s="195">
        <v>33531238.031210415</v>
      </c>
      <c r="AG90" s="195">
        <v>33786499.661193356</v>
      </c>
      <c r="AH90" s="195">
        <v>34137892.815308921</v>
      </c>
      <c r="AI90" s="195">
        <v>34475965.353069231</v>
      </c>
      <c r="AJ90" s="195">
        <v>34774045.650424741</v>
      </c>
      <c r="AK90" s="195">
        <v>35109640.788919315</v>
      </c>
      <c r="AL90" s="195">
        <v>35443311.731291674</v>
      </c>
      <c r="AM90" s="150"/>
      <c r="AN90" s="150"/>
      <c r="AO90" s="150"/>
      <c r="AP90" s="150"/>
      <c r="AQ90" s="150"/>
      <c r="AR90" s="150"/>
      <c r="AS90" s="150"/>
      <c r="AT90" s="150"/>
      <c r="AU90" s="150"/>
      <c r="AV90" s="150"/>
      <c r="AW90" s="150"/>
    </row>
    <row r="91" spans="2:74" outlineLevel="1" x14ac:dyDescent="0.2">
      <c r="B91" s="150"/>
      <c r="C91" s="150" t="s">
        <v>310</v>
      </c>
      <c r="D91" s="150" t="s">
        <v>561</v>
      </c>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150"/>
      <c r="AC91" s="194">
        <f>AC90/SUMIFS('INPUT Growth'!AC$12:AC$59,'INPUT Growth'!$D$12:$D$59,'INPUT Opex'!$C91)</f>
        <v>727.00607002287609</v>
      </c>
      <c r="AD91" s="194">
        <f>AD90/SUMIFS('INPUT Growth'!AD$12:AD$59,'INPUT Growth'!$D$12:$D$59,'INPUT Opex'!$C91)</f>
        <v>681.22838199038927</v>
      </c>
      <c r="AE91" s="194">
        <f>AE90/SUMIFS('INPUT Growth'!AE$12:AE$59,'INPUT Growth'!$D$12:$D$59,'INPUT Opex'!$C91)</f>
        <v>631.18046849280961</v>
      </c>
      <c r="AF91" s="194">
        <f>AF90/SUMIFS('INPUT Growth'!AF$12:AF$59,'INPUT Growth'!$D$12:$D$59,'INPUT Opex'!$C91)</f>
        <v>593.91179602993577</v>
      </c>
      <c r="AG91" s="194">
        <f>AG90/SUMIFS('INPUT Growth'!AG$12:AG$59,'INPUT Growth'!$D$12:$D$59,'INPUT Opex'!$C91)</f>
        <v>566.06799266132771</v>
      </c>
      <c r="AH91" s="194">
        <f>AH90/SUMIFS('INPUT Growth'!AH$12:AH$59,'INPUT Growth'!$D$12:$D$59,'INPUT Opex'!$C91)</f>
        <v>543.8302986896897</v>
      </c>
      <c r="AI91" s="194">
        <f>AI90/SUMIFS('INPUT Growth'!AI$12:AI$59,'INPUT Growth'!$D$12:$D$59,'INPUT Opex'!$C91)</f>
        <v>523.88047367252454</v>
      </c>
      <c r="AJ91" s="194">
        <f>AJ90/SUMIFS('INPUT Growth'!AJ$12:AJ$59,'INPUT Growth'!$D$12:$D$59,'INPUT Opex'!$C91)</f>
        <v>505.50599621329815</v>
      </c>
      <c r="AK91" s="194">
        <f>AK90/SUMIFS('INPUT Growth'!AK$12:AK$59,'INPUT Growth'!$D$12:$D$59,'INPUT Opex'!$C91)</f>
        <v>488.08020353872797</v>
      </c>
      <c r="AL91" s="194">
        <f>AL90/SUMIFS('INPUT Growth'!AL$12:AL$59,'INPUT Growth'!$D$12:$D$59,'INPUT Opex'!$C91)</f>
        <v>471.93589281259023</v>
      </c>
      <c r="AM91" s="150"/>
      <c r="AN91" s="150"/>
      <c r="AO91" s="150"/>
      <c r="AP91" s="150"/>
      <c r="AQ91" s="150"/>
      <c r="AR91" s="150"/>
      <c r="AS91" s="150"/>
      <c r="AT91" s="150"/>
      <c r="AU91" s="150"/>
      <c r="AV91" s="150"/>
      <c r="AW91" s="150"/>
    </row>
    <row r="92" spans="2:74" outlineLevel="1" x14ac:dyDescent="0.2">
      <c r="B92" s="150"/>
      <c r="C92" s="150"/>
      <c r="D92" s="150"/>
      <c r="E92" s="150"/>
      <c r="F92" s="150"/>
      <c r="G92" s="150"/>
      <c r="H92" s="150"/>
      <c r="I92" s="150"/>
      <c r="J92" s="150"/>
      <c r="K92" s="150"/>
      <c r="L92" s="150"/>
      <c r="M92" s="150"/>
      <c r="N92" s="150"/>
      <c r="O92" s="150"/>
      <c r="P92" s="150"/>
      <c r="Q92" s="150"/>
      <c r="R92" s="150"/>
      <c r="S92" s="150"/>
      <c r="T92" s="150"/>
      <c r="U92" s="150"/>
      <c r="V92" s="150"/>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row>
    <row r="93" spans="2:74" outlineLevel="1" x14ac:dyDescent="0.2">
      <c r="B93" s="150"/>
      <c r="C93" s="150"/>
      <c r="D93" s="150"/>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row>
    <row r="94" spans="2:74" s="47" customFormat="1" ht="15.75" outlineLevel="1" x14ac:dyDescent="0.25">
      <c r="AX94"/>
      <c r="AY94"/>
      <c r="AZ94"/>
      <c r="BA94"/>
      <c r="BB94"/>
      <c r="BC94"/>
      <c r="BD94"/>
      <c r="BE94"/>
      <c r="BF94"/>
      <c r="BG94"/>
      <c r="BH94"/>
      <c r="BI94"/>
      <c r="BJ94"/>
      <c r="BK94"/>
      <c r="BL94"/>
      <c r="BM94"/>
      <c r="BN94"/>
      <c r="BO94"/>
      <c r="BP94"/>
      <c r="BQ94"/>
      <c r="BR94"/>
      <c r="BS94"/>
      <c r="BT94"/>
      <c r="BU94"/>
      <c r="BV94"/>
    </row>
    <row r="95" spans="2:74" s="47" customFormat="1" ht="15.75" outlineLevel="1" x14ac:dyDescent="0.25">
      <c r="AX95"/>
      <c r="AY95"/>
      <c r="AZ95"/>
      <c r="BA95"/>
      <c r="BB95"/>
      <c r="BC95"/>
      <c r="BD95"/>
      <c r="BE95"/>
      <c r="BF95"/>
      <c r="BG95"/>
      <c r="BH95"/>
      <c r="BI95"/>
      <c r="BJ95"/>
      <c r="BK95"/>
      <c r="BL95"/>
      <c r="BM95"/>
      <c r="BN95"/>
      <c r="BO95"/>
      <c r="BP95"/>
      <c r="BQ95"/>
      <c r="BR95"/>
      <c r="BS95"/>
      <c r="BT95"/>
      <c r="BU95"/>
      <c r="BV95"/>
    </row>
    <row r="96" spans="2:74" outlineLevel="1" x14ac:dyDescent="0.2">
      <c r="B96" s="150"/>
      <c r="C96" s="64" t="s">
        <v>561</v>
      </c>
      <c r="D96" s="150"/>
      <c r="E96" s="150"/>
      <c r="F96" s="150"/>
      <c r="G96" s="150"/>
      <c r="H96" s="150" t="s">
        <v>562</v>
      </c>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row>
    <row r="97" spans="1:64" outlineLevel="1" x14ac:dyDescent="0.2">
      <c r="A97" s="150"/>
      <c r="B97" s="150"/>
      <c r="C97" s="150" t="s">
        <v>301</v>
      </c>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94">
        <f>AC85</f>
        <v>144.27171521903412</v>
      </c>
      <c r="AD97" s="196">
        <f t="shared" ref="AD97:AL97" si="16">AD88/AC88-1</f>
        <v>-1.9057359833210552E-2</v>
      </c>
      <c r="AE97" s="196">
        <f t="shared" si="16"/>
        <v>-2.9278761105415385E-2</v>
      </c>
      <c r="AF97" s="196">
        <f t="shared" si="16"/>
        <v>-2.5036762703973814E-2</v>
      </c>
      <c r="AG97" s="196">
        <f t="shared" si="16"/>
        <v>-1.7460758340258731E-2</v>
      </c>
      <c r="AH97" s="196">
        <f t="shared" si="16"/>
        <v>-1.4449368353551373E-2</v>
      </c>
      <c r="AI97" s="196">
        <f t="shared" si="16"/>
        <v>-1.4414924226396675E-2</v>
      </c>
      <c r="AJ97" s="196">
        <f t="shared" si="16"/>
        <v>-1.4371220590543077E-2</v>
      </c>
      <c r="AK97" s="196">
        <f t="shared" si="16"/>
        <v>-1.4368035038630489E-2</v>
      </c>
      <c r="AL97" s="196">
        <f t="shared" si="16"/>
        <v>-1.4350252639717898E-2</v>
      </c>
      <c r="AM97" s="150"/>
      <c r="AN97" s="150"/>
      <c r="AO97" s="150"/>
      <c r="AP97" s="150"/>
      <c r="AQ97" s="150"/>
      <c r="AR97" s="150"/>
      <c r="AS97" s="150"/>
      <c r="AT97" s="150"/>
      <c r="AU97" s="150"/>
      <c r="AV97" s="150"/>
      <c r="AW97" s="150"/>
    </row>
    <row r="98" spans="1:64" outlineLevel="1" x14ac:dyDescent="0.2">
      <c r="A98" s="150"/>
      <c r="B98" s="150"/>
      <c r="C98" s="150" t="s">
        <v>303</v>
      </c>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94">
        <f>AC88</f>
        <v>147.47130701994882</v>
      </c>
      <c r="AD98" s="196">
        <f t="shared" ref="AD98:AL98" si="17">AD88/AC88-1</f>
        <v>-1.9057359833210552E-2</v>
      </c>
      <c r="AE98" s="196">
        <f t="shared" si="17"/>
        <v>-2.9278761105415385E-2</v>
      </c>
      <c r="AF98" s="196">
        <f t="shared" si="17"/>
        <v>-2.5036762703973814E-2</v>
      </c>
      <c r="AG98" s="196">
        <f t="shared" si="17"/>
        <v>-1.7460758340258731E-2</v>
      </c>
      <c r="AH98" s="196">
        <f t="shared" si="17"/>
        <v>-1.4449368353551373E-2</v>
      </c>
      <c r="AI98" s="196">
        <f t="shared" si="17"/>
        <v>-1.4414924226396675E-2</v>
      </c>
      <c r="AJ98" s="196">
        <f t="shared" si="17"/>
        <v>-1.4371220590543077E-2</v>
      </c>
      <c r="AK98" s="196">
        <f t="shared" si="17"/>
        <v>-1.4368035038630489E-2</v>
      </c>
      <c r="AL98" s="196">
        <f t="shared" si="17"/>
        <v>-1.4350252639717898E-2</v>
      </c>
      <c r="AM98" s="150"/>
      <c r="AN98" s="150"/>
      <c r="AO98" s="150"/>
      <c r="AP98" s="150"/>
      <c r="AQ98" s="150"/>
      <c r="AR98" s="150"/>
      <c r="AS98" s="150"/>
      <c r="AT98" s="150"/>
      <c r="AU98" s="150"/>
      <c r="AV98" s="150"/>
      <c r="AW98" s="150"/>
    </row>
    <row r="99" spans="1:64" outlineLevel="1" x14ac:dyDescent="0.2">
      <c r="A99" s="150"/>
      <c r="B99" s="150"/>
      <c r="C99" s="150" t="s">
        <v>305</v>
      </c>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94">
        <f>(AC84+AC87)/SUMIFS('INPUT Growth'!AC$12:AC$95,'INPUT Growth'!$D$12:$D$95,'INPUT Opex'!$C85)</f>
        <v>282.54945244704999</v>
      </c>
      <c r="AD99" s="196">
        <f>((AD84+AD87)/SUMIFS('INPUT Growth'!AD$12:AD$95,'INPUT Growth'!$D$12:$D$95,'INPUT Opex'!$C85))/((AC84+AC87)/SUMIFS('INPUT Growth'!AC$12:AC$95,'INPUT Growth'!$D$12:$D$95,'INPUT Opex'!$C85))-1</f>
        <v>-1.6126398497733785E-2</v>
      </c>
      <c r="AE99" s="196">
        <f>((AE84+AE87)/SUMIFS('INPUT Growth'!AE$12:AE$95,'INPUT Growth'!$D$12:$D$95,'INPUT Opex'!$C85))/((AD84+AD87)/SUMIFS('INPUT Growth'!AD$12:AD$95,'INPUT Growth'!$D$12:$D$95,'INPUT Opex'!$C85))-1</f>
        <v>-2.8198176744306247E-2</v>
      </c>
      <c r="AF99" s="196">
        <f>((AF84+AF87)/SUMIFS('INPUT Growth'!AF$12:AF$95,'INPUT Growth'!$D$12:$D$95,'INPUT Opex'!$C85))/((AE84+AE87)/SUMIFS('INPUT Growth'!AE$12:AE$95,'INPUT Growth'!$D$12:$D$95,'INPUT Opex'!$C85))-1</f>
        <v>-2.0381836302328815E-2</v>
      </c>
      <c r="AG99" s="196">
        <f>((AG84+AG87)/SUMIFS('INPUT Growth'!AG$12:AG$95,'INPUT Growth'!$D$12:$D$95,'INPUT Opex'!$C85))/((AF84+AF87)/SUMIFS('INPUT Growth'!AF$12:AF$95,'INPUT Growth'!$D$12:$D$95,'INPUT Opex'!$C85))-1</f>
        <v>-1.4551937003056681E-2</v>
      </c>
      <c r="AH99" s="196">
        <f>((AH84+AH87)/SUMIFS('INPUT Growth'!AH$12:AH$95,'INPUT Growth'!$D$12:$D$95,'INPUT Opex'!$C85))/((AG84+AG87)/SUMIFS('INPUT Growth'!AG$12:AG$95,'INPUT Growth'!$D$12:$D$95,'INPUT Opex'!$C85))-1</f>
        <v>-1.3591470890524593E-2</v>
      </c>
      <c r="AI99" s="196">
        <f>((AI84+AI87)/SUMIFS('INPUT Growth'!AI$12:AI$95,'INPUT Growth'!$D$12:$D$95,'INPUT Opex'!$C85))/((AH84+AH87)/SUMIFS('INPUT Growth'!AH$12:AH$95,'INPUT Growth'!$D$12:$D$95,'INPUT Opex'!$C85))-1</f>
        <v>-1.3412161085008867E-2</v>
      </c>
      <c r="AJ99" s="196">
        <f>((AJ84+AJ87)/SUMIFS('INPUT Growth'!AJ$12:AJ$95,'INPUT Growth'!$D$12:$D$95,'INPUT Opex'!$C85))/((AI84+AI87)/SUMIFS('INPUT Growth'!AI$12:AI$95,'INPUT Growth'!$D$12:$D$95,'INPUT Opex'!$C85))-1</f>
        <v>-1.3647426823707121E-2</v>
      </c>
      <c r="AK99" s="196">
        <f>((AK84+AK87)/SUMIFS('INPUT Growth'!AK$12:AK$95,'INPUT Growth'!$D$12:$D$95,'INPUT Opex'!$C85))/((AJ84+AJ87)/SUMIFS('INPUT Growth'!AJ$12:AJ$95,'INPUT Growth'!$D$12:$D$95,'INPUT Opex'!$C85))-1</f>
        <v>-1.4061923468026705E-2</v>
      </c>
      <c r="AL99" s="196">
        <f>((AL84+AL87)/SUMIFS('INPUT Growth'!AL$12:AL$95,'INPUT Growth'!$D$12:$D$95,'INPUT Opex'!$C85))/((AK84+AK87)/SUMIFS('INPUT Growth'!AK$12:AK$95,'INPUT Growth'!$D$12:$D$95,'INPUT Opex'!$C85))-1</f>
        <v>-1.3985972347713815E-2</v>
      </c>
      <c r="AM99" s="150"/>
      <c r="AN99" s="150"/>
      <c r="AO99" s="150"/>
      <c r="AP99" s="150"/>
      <c r="AQ99" s="150"/>
      <c r="AR99" s="150"/>
      <c r="AS99" s="150"/>
      <c r="AT99" s="150"/>
      <c r="AU99" s="150"/>
      <c r="AV99" s="150"/>
      <c r="AW99" s="150"/>
    </row>
    <row r="100" spans="1:64" outlineLevel="1" x14ac:dyDescent="0.2">
      <c r="A100" s="150"/>
      <c r="B100" s="150"/>
      <c r="C100" s="150" t="s">
        <v>310</v>
      </c>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94">
        <f>AC91</f>
        <v>727.00607002287609</v>
      </c>
      <c r="AD100" s="196">
        <f>AD91/AC91-1</f>
        <v>-6.2967408279062109E-2</v>
      </c>
      <c r="AE100" s="196">
        <f t="shared" ref="AE100:AL100" si="18">AE91/AD91-1</f>
        <v>-7.3467158475328698E-2</v>
      </c>
      <c r="AF100" s="196">
        <f t="shared" si="18"/>
        <v>-5.9045984980915844E-2</v>
      </c>
      <c r="AG100" s="196">
        <f t="shared" si="18"/>
        <v>-4.6882051433786653E-2</v>
      </c>
      <c r="AH100" s="196">
        <f t="shared" si="18"/>
        <v>-3.9284492781669345E-2</v>
      </c>
      <c r="AI100" s="196">
        <f t="shared" si="18"/>
        <v>-3.668391604004495E-2</v>
      </c>
      <c r="AJ100" s="196">
        <f t="shared" si="18"/>
        <v>-3.5073797140055651E-2</v>
      </c>
      <c r="AK100" s="196">
        <f t="shared" si="18"/>
        <v>-3.4471980164637595E-2</v>
      </c>
      <c r="AL100" s="196">
        <f t="shared" si="18"/>
        <v>-3.3077167664426144E-2</v>
      </c>
      <c r="AM100" s="150"/>
      <c r="AN100" s="150"/>
      <c r="AO100" s="150"/>
      <c r="AP100" s="150"/>
      <c r="AQ100" s="150"/>
      <c r="AR100" s="150"/>
      <c r="AS100" s="150"/>
      <c r="AT100" s="150"/>
      <c r="AU100" s="150"/>
      <c r="AV100" s="150"/>
      <c r="AW100" s="150"/>
    </row>
    <row r="101" spans="1:64" outlineLevel="1" x14ac:dyDescent="0.2">
      <c r="A101" s="150"/>
      <c r="B101" s="150"/>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50"/>
      <c r="AK101" s="150"/>
      <c r="AL101" s="150"/>
      <c r="AM101" s="150"/>
      <c r="AN101" s="150"/>
      <c r="AO101" s="150"/>
      <c r="AP101" s="150"/>
      <c r="AQ101" s="150"/>
      <c r="AR101" s="150"/>
      <c r="AS101" s="150"/>
      <c r="AT101" s="150"/>
      <c r="AU101" s="150"/>
      <c r="AV101" s="150"/>
      <c r="AW101" s="150"/>
    </row>
    <row r="102" spans="1:64" x14ac:dyDescent="0.2">
      <c r="A102" s="150"/>
      <c r="B102" s="150"/>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50"/>
      <c r="AK102" s="150"/>
      <c r="AL102" s="150"/>
      <c r="AM102" s="150"/>
      <c r="AN102" s="150"/>
      <c r="AO102" s="150"/>
      <c r="AP102" s="150"/>
      <c r="AQ102" s="150"/>
      <c r="AR102" s="150"/>
      <c r="AS102" s="150"/>
      <c r="AT102" s="150"/>
      <c r="AU102" s="150"/>
      <c r="AV102" s="150"/>
      <c r="AW102" s="150"/>
    </row>
    <row r="104" spans="1:64" customFormat="1" ht="11.25" x14ac:dyDescent="0.2">
      <c r="A104" s="126"/>
      <c r="B104" s="127" t="s">
        <v>45</v>
      </c>
      <c r="C104" s="127"/>
      <c r="D104" s="127"/>
      <c r="E104" s="127"/>
      <c r="F104" s="127"/>
      <c r="G104" s="128"/>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E0C1D-DC43-4A79-A766-6F83F131CEE2}">
  <sheetPr codeName="Sheet7">
    <tabColor rgb="FFFF6565"/>
  </sheetPr>
  <dimension ref="A1:CA270"/>
  <sheetViews>
    <sheetView showGridLines="0" zoomScale="85" zoomScaleNormal="85" workbookViewId="0">
      <pane xSplit="2" ySplit="7" topLeftCell="C8" activePane="bottomRight" state="frozen"/>
      <selection pane="topRight" activeCell="AA111" sqref="AA111"/>
      <selection pane="bottomLeft" activeCell="AA111" sqref="AA111"/>
      <selection pane="bottomRight"/>
    </sheetView>
  </sheetViews>
  <sheetFormatPr defaultColWidth="11" defaultRowHeight="12.75" outlineLevelRow="1" outlineLevelCol="2" x14ac:dyDescent="0.2"/>
  <cols>
    <col min="1" max="1" width="4.6640625" style="61" customWidth="1"/>
    <col min="2" max="2" width="5.1640625" style="61" customWidth="1"/>
    <col min="3" max="7" width="11" style="61"/>
    <col min="8" max="8" width="11.5" style="61" bestFit="1" customWidth="1"/>
    <col min="9" max="9" width="11" style="61"/>
    <col min="10" max="10" width="12.5" style="61" customWidth="1"/>
    <col min="11" max="11" width="11.83203125" style="61" bestFit="1" customWidth="1"/>
    <col min="12" max="12" width="11" style="61" customWidth="1"/>
    <col min="13" max="13" width="10.1640625" style="61" customWidth="1" outlineLevel="1"/>
    <col min="14" max="14" width="10.1640625" style="61" customWidth="1" outlineLevel="2"/>
    <col min="15" max="15" width="12.6640625" style="61" customWidth="1" outlineLevel="2"/>
    <col min="16" max="18" width="11.6640625" style="61" customWidth="1" outlineLevel="2"/>
    <col min="19" max="19" width="15.83203125" style="61" customWidth="1" outlineLevel="2"/>
    <col min="20" max="20" width="10.83203125" style="61" bestFit="1" customWidth="1" outlineLevel="2"/>
    <col min="21" max="26" width="11.6640625" style="61" customWidth="1" outlineLevel="2"/>
    <col min="27" max="27" width="11.6640625" style="61" customWidth="1" outlineLevel="1"/>
    <col min="28" max="28" width="17.33203125" style="61" bestFit="1" customWidth="1"/>
    <col min="29" max="29" width="18.5" style="61" bestFit="1" customWidth="1"/>
    <col min="30" max="30" width="17.33203125" style="61" bestFit="1" customWidth="1"/>
    <col min="31" max="31" width="17.5" style="61" bestFit="1" customWidth="1"/>
    <col min="32" max="37" width="17.1640625" style="61" bestFit="1" customWidth="1"/>
    <col min="38" max="38" width="13.5" style="61" customWidth="1"/>
    <col min="39" max="43" width="13.83203125" style="61" bestFit="1" customWidth="1"/>
    <col min="44" max="48" width="12" style="61" bestFit="1" customWidth="1"/>
    <col min="49" max="49" width="12" style="61" customWidth="1"/>
    <col min="50" max="51" width="12" bestFit="1" customWidth="1"/>
    <col min="52" max="64" width="11.5" bestFit="1" customWidth="1"/>
    <col min="74" max="16384" width="11" style="61"/>
  </cols>
  <sheetData>
    <row r="1" spans="1:78" s="51" customFormat="1" x14ac:dyDescent="0.2">
      <c r="B1" s="52" t="s">
        <v>563</v>
      </c>
      <c r="AX1"/>
      <c r="AY1"/>
      <c r="AZ1"/>
      <c r="BA1"/>
      <c r="BB1"/>
      <c r="BC1"/>
      <c r="BD1"/>
      <c r="BE1"/>
      <c r="BF1"/>
      <c r="BG1"/>
      <c r="BH1"/>
      <c r="BI1"/>
      <c r="BJ1"/>
      <c r="BK1"/>
      <c r="BL1"/>
      <c r="BM1"/>
      <c r="BN1"/>
      <c r="BO1"/>
      <c r="BP1"/>
      <c r="BQ1"/>
      <c r="BR1"/>
      <c r="BS1"/>
      <c r="BT1"/>
      <c r="BU1"/>
    </row>
    <row r="2" spans="1:78" s="51" customFormat="1" hidden="1" x14ac:dyDescent="0.2">
      <c r="AX2"/>
      <c r="AY2"/>
      <c r="AZ2"/>
      <c r="BA2"/>
      <c r="BB2"/>
      <c r="BC2"/>
      <c r="BD2"/>
      <c r="BE2"/>
      <c r="BF2"/>
      <c r="BG2"/>
      <c r="BH2"/>
      <c r="BI2"/>
      <c r="BJ2"/>
      <c r="BK2"/>
      <c r="BL2"/>
      <c r="BM2"/>
      <c r="BN2"/>
      <c r="BO2"/>
      <c r="BP2"/>
      <c r="BQ2"/>
      <c r="BR2"/>
      <c r="BS2"/>
      <c r="BT2"/>
      <c r="BU2"/>
    </row>
    <row r="3" spans="1:78" s="51" customFormat="1" hidden="1" x14ac:dyDescent="0.2">
      <c r="AX3"/>
      <c r="AY3"/>
      <c r="AZ3"/>
      <c r="BA3"/>
      <c r="BB3"/>
      <c r="BC3"/>
      <c r="BD3"/>
      <c r="BE3"/>
      <c r="BF3"/>
      <c r="BG3"/>
      <c r="BH3"/>
      <c r="BI3"/>
      <c r="BJ3"/>
      <c r="BK3"/>
      <c r="BL3"/>
      <c r="BM3"/>
      <c r="BN3"/>
      <c r="BO3"/>
      <c r="BP3"/>
      <c r="BQ3"/>
      <c r="BR3"/>
      <c r="BS3"/>
      <c r="BT3"/>
      <c r="BU3"/>
    </row>
    <row r="4" spans="1:78" s="51" customFormat="1" x14ac:dyDescent="0.2">
      <c r="C4" s="51" t="s">
        <v>426</v>
      </c>
      <c r="I4" s="54"/>
      <c r="J4" s="54">
        <f>'INPUT Growth'!J4</f>
        <v>-19</v>
      </c>
      <c r="K4" s="54">
        <f>'INPUT Growth'!K4</f>
        <v>-18</v>
      </c>
      <c r="L4" s="54">
        <f>'INPUT Growth'!L4</f>
        <v>-17</v>
      </c>
      <c r="M4" s="54">
        <f>'INPUT Growth'!M4</f>
        <v>-16</v>
      </c>
      <c r="N4" s="54">
        <f>'INPUT Growth'!N4</f>
        <v>-15</v>
      </c>
      <c r="O4" s="54">
        <f>'INPUT Growth'!O4</f>
        <v>-14</v>
      </c>
      <c r="P4" s="54">
        <f>'INPUT Growth'!P4</f>
        <v>-13</v>
      </c>
      <c r="Q4" s="54">
        <f>'INPUT Growth'!Q4</f>
        <v>-12</v>
      </c>
      <c r="R4" s="54">
        <f>'INPUT Growth'!R4</f>
        <v>-11</v>
      </c>
      <c r="S4" s="54">
        <f>'INPUT Growth'!S4</f>
        <v>-10</v>
      </c>
      <c r="T4" s="54">
        <f>'INPUT Growth'!T4</f>
        <v>-9</v>
      </c>
      <c r="U4" s="54">
        <f>'INPUT Growth'!U4</f>
        <v>-8</v>
      </c>
      <c r="V4" s="54">
        <f>'INPUT Growth'!V4</f>
        <v>-7</v>
      </c>
      <c r="W4" s="54">
        <f>'INPUT Growth'!W4</f>
        <v>-6</v>
      </c>
      <c r="X4" s="54">
        <f>'INPUT Growth'!X4</f>
        <v>-5</v>
      </c>
      <c r="Y4" s="54">
        <f>'INPUT Growth'!Y4</f>
        <v>-4</v>
      </c>
      <c r="Z4" s="54">
        <f>'INPUT Growth'!Z4</f>
        <v>-3</v>
      </c>
      <c r="AA4" s="54">
        <f>'INPUT Growth'!AA4</f>
        <v>-2</v>
      </c>
      <c r="AB4" s="54">
        <f>'INPUT Growth'!AB4</f>
        <v>-1</v>
      </c>
      <c r="AC4" s="54">
        <f t="shared" ref="AC4" si="0">AD4-1</f>
        <v>0</v>
      </c>
      <c r="AD4" s="54">
        <v>1</v>
      </c>
      <c r="AE4" s="54">
        <f t="shared" ref="AE4:AT6" si="1">AD4+1</f>
        <v>2</v>
      </c>
      <c r="AF4" s="54">
        <f t="shared" si="1"/>
        <v>3</v>
      </c>
      <c r="AG4" s="54">
        <f t="shared" si="1"/>
        <v>4</v>
      </c>
      <c r="AH4" s="54">
        <f t="shared" si="1"/>
        <v>5</v>
      </c>
      <c r="AI4" s="54">
        <f t="shared" si="1"/>
        <v>6</v>
      </c>
      <c r="AJ4" s="54">
        <f t="shared" si="1"/>
        <v>7</v>
      </c>
      <c r="AK4" s="54">
        <f t="shared" si="1"/>
        <v>8</v>
      </c>
      <c r="AL4" s="54">
        <f t="shared" si="1"/>
        <v>9</v>
      </c>
      <c r="AM4" s="54">
        <f t="shared" si="1"/>
        <v>10</v>
      </c>
      <c r="AN4" s="54">
        <f t="shared" si="1"/>
        <v>11</v>
      </c>
      <c r="AO4" s="54">
        <f t="shared" si="1"/>
        <v>12</v>
      </c>
      <c r="AP4" s="54">
        <f t="shared" si="1"/>
        <v>13</v>
      </c>
      <c r="AQ4" s="54">
        <f t="shared" si="1"/>
        <v>14</v>
      </c>
      <c r="AR4" s="54">
        <f t="shared" si="1"/>
        <v>15</v>
      </c>
      <c r="AS4" s="54">
        <f t="shared" si="1"/>
        <v>16</v>
      </c>
      <c r="AT4" s="54">
        <f t="shared" si="1"/>
        <v>17</v>
      </c>
      <c r="AU4" s="54">
        <f t="shared" ref="AU4:BJ6" si="2">AT4+1</f>
        <v>18</v>
      </c>
      <c r="AV4" s="54">
        <f t="shared" si="2"/>
        <v>19</v>
      </c>
      <c r="AW4" s="54">
        <f t="shared" si="2"/>
        <v>20</v>
      </c>
      <c r="AX4" s="54">
        <f t="shared" si="2"/>
        <v>21</v>
      </c>
      <c r="AY4" s="54">
        <f t="shared" si="2"/>
        <v>22</v>
      </c>
      <c r="AZ4" s="54">
        <f t="shared" si="2"/>
        <v>23</v>
      </c>
      <c r="BA4" s="54">
        <f t="shared" si="2"/>
        <v>24</v>
      </c>
      <c r="BB4" s="54">
        <f t="shared" si="2"/>
        <v>25</v>
      </c>
      <c r="BC4" s="54">
        <f t="shared" si="2"/>
        <v>26</v>
      </c>
      <c r="BD4" s="54">
        <f t="shared" si="2"/>
        <v>27</v>
      </c>
      <c r="BE4" s="54">
        <f t="shared" si="2"/>
        <v>28</v>
      </c>
      <c r="BF4" s="54">
        <f t="shared" si="2"/>
        <v>29</v>
      </c>
      <c r="BG4" s="54">
        <f t="shared" si="2"/>
        <v>30</v>
      </c>
      <c r="BH4" s="54">
        <f t="shared" si="2"/>
        <v>31</v>
      </c>
      <c r="BI4" s="54">
        <f t="shared" si="2"/>
        <v>32</v>
      </c>
      <c r="BJ4" s="54">
        <f t="shared" si="2"/>
        <v>33</v>
      </c>
      <c r="BK4" s="54">
        <f t="shared" ref="BK4:BL6" si="3">BJ4+1</f>
        <v>34</v>
      </c>
      <c r="BL4" s="54">
        <f t="shared" si="3"/>
        <v>35</v>
      </c>
      <c r="BM4"/>
      <c r="BN4"/>
      <c r="BO4"/>
      <c r="BP4"/>
      <c r="BQ4"/>
      <c r="BR4"/>
      <c r="BS4"/>
      <c r="BT4"/>
      <c r="BU4"/>
      <c r="BV4" s="54"/>
      <c r="BW4" s="54"/>
      <c r="BX4" s="54"/>
      <c r="BY4" s="54"/>
      <c r="BZ4" s="54"/>
    </row>
    <row r="5" spans="1:78" s="51" customFormat="1" x14ac:dyDescent="0.2">
      <c r="C5" s="51" t="s">
        <v>427</v>
      </c>
      <c r="I5" s="54"/>
      <c r="J5" s="54">
        <f>'INPUT Growth'!J5</f>
        <v>2004</v>
      </c>
      <c r="K5" s="54">
        <f>'INPUT Growth'!K5</f>
        <v>2005</v>
      </c>
      <c r="L5" s="54">
        <f>'INPUT Growth'!L5</f>
        <v>2006</v>
      </c>
      <c r="M5" s="54">
        <f>'INPUT Growth'!M5</f>
        <v>2007</v>
      </c>
      <c r="N5" s="54">
        <f>'INPUT Growth'!N5</f>
        <v>2008</v>
      </c>
      <c r="O5" s="54">
        <f>'INPUT Growth'!O5</f>
        <v>2009</v>
      </c>
      <c r="P5" s="54">
        <f>'INPUT Growth'!P5</f>
        <v>2010</v>
      </c>
      <c r="Q5" s="54">
        <f>'INPUT Growth'!Q5</f>
        <v>2011</v>
      </c>
      <c r="R5" s="54">
        <f>'INPUT Growth'!R5</f>
        <v>2012</v>
      </c>
      <c r="S5" s="54">
        <f>'INPUT Growth'!S5</f>
        <v>2013</v>
      </c>
      <c r="T5" s="54">
        <f>'INPUT Growth'!T5</f>
        <v>2014</v>
      </c>
      <c r="U5" s="54">
        <f>'INPUT Growth'!U5</f>
        <v>2015</v>
      </c>
      <c r="V5" s="54">
        <f>'INPUT Growth'!V5</f>
        <v>2016</v>
      </c>
      <c r="W5" s="54">
        <f>'INPUT Growth'!W5</f>
        <v>2017</v>
      </c>
      <c r="X5" s="54">
        <f>'INPUT Growth'!X5</f>
        <v>2018</v>
      </c>
      <c r="Y5" s="54">
        <f>'INPUT Growth'!Y5</f>
        <v>2019</v>
      </c>
      <c r="Z5" s="54">
        <f>'INPUT Growth'!Z5</f>
        <v>2020</v>
      </c>
      <c r="AA5" s="54">
        <f>'INPUT Growth'!AA5</f>
        <v>2021</v>
      </c>
      <c r="AB5" s="54">
        <f>'INPUT Growth'!AB5</f>
        <v>2022</v>
      </c>
      <c r="AC5" s="54">
        <f t="shared" ref="AC5:AR6" si="4">AB5+1</f>
        <v>2023</v>
      </c>
      <c r="AD5" s="54">
        <f t="shared" si="4"/>
        <v>2024</v>
      </c>
      <c r="AE5" s="54">
        <f t="shared" si="4"/>
        <v>2025</v>
      </c>
      <c r="AF5" s="54">
        <f t="shared" si="4"/>
        <v>2026</v>
      </c>
      <c r="AG5" s="54">
        <f t="shared" si="4"/>
        <v>2027</v>
      </c>
      <c r="AH5" s="54">
        <f t="shared" si="4"/>
        <v>2028</v>
      </c>
      <c r="AI5" s="54">
        <f t="shared" si="4"/>
        <v>2029</v>
      </c>
      <c r="AJ5" s="54">
        <f t="shared" si="4"/>
        <v>2030</v>
      </c>
      <c r="AK5" s="54">
        <f t="shared" si="4"/>
        <v>2031</v>
      </c>
      <c r="AL5" s="54">
        <f t="shared" si="4"/>
        <v>2032</v>
      </c>
      <c r="AM5" s="54">
        <f t="shared" si="4"/>
        <v>2033</v>
      </c>
      <c r="AN5" s="54">
        <f t="shared" si="4"/>
        <v>2034</v>
      </c>
      <c r="AO5" s="54">
        <f t="shared" si="4"/>
        <v>2035</v>
      </c>
      <c r="AP5" s="54">
        <f t="shared" si="4"/>
        <v>2036</v>
      </c>
      <c r="AQ5" s="54">
        <f t="shared" si="1"/>
        <v>2037</v>
      </c>
      <c r="AR5" s="54">
        <f t="shared" si="1"/>
        <v>2038</v>
      </c>
      <c r="AS5" s="54">
        <f t="shared" si="1"/>
        <v>2039</v>
      </c>
      <c r="AT5" s="54">
        <f t="shared" si="1"/>
        <v>2040</v>
      </c>
      <c r="AU5" s="54">
        <f t="shared" si="2"/>
        <v>2041</v>
      </c>
      <c r="AV5" s="54">
        <f t="shared" si="2"/>
        <v>2042</v>
      </c>
      <c r="AW5" s="54">
        <f t="shared" si="2"/>
        <v>2043</v>
      </c>
      <c r="AX5" s="54">
        <f t="shared" si="2"/>
        <v>2044</v>
      </c>
      <c r="AY5" s="54">
        <f t="shared" si="2"/>
        <v>2045</v>
      </c>
      <c r="AZ5" s="54">
        <f t="shared" si="2"/>
        <v>2046</v>
      </c>
      <c r="BA5" s="54">
        <f t="shared" si="2"/>
        <v>2047</v>
      </c>
      <c r="BB5" s="54">
        <f t="shared" si="2"/>
        <v>2048</v>
      </c>
      <c r="BC5" s="54">
        <f t="shared" si="2"/>
        <v>2049</v>
      </c>
      <c r="BD5" s="54">
        <f t="shared" si="2"/>
        <v>2050</v>
      </c>
      <c r="BE5" s="54">
        <f t="shared" si="2"/>
        <v>2051</v>
      </c>
      <c r="BF5" s="54">
        <f t="shared" si="2"/>
        <v>2052</v>
      </c>
      <c r="BG5" s="54">
        <f t="shared" si="2"/>
        <v>2053</v>
      </c>
      <c r="BH5" s="54">
        <f t="shared" si="2"/>
        <v>2054</v>
      </c>
      <c r="BI5" s="54">
        <f t="shared" si="2"/>
        <v>2055</v>
      </c>
      <c r="BJ5" s="54">
        <f t="shared" si="2"/>
        <v>2056</v>
      </c>
      <c r="BK5" s="54">
        <f t="shared" si="3"/>
        <v>2057</v>
      </c>
      <c r="BL5" s="54">
        <f t="shared" si="3"/>
        <v>2058</v>
      </c>
      <c r="BM5"/>
      <c r="BN5"/>
      <c r="BO5"/>
      <c r="BP5"/>
      <c r="BQ5"/>
      <c r="BR5"/>
      <c r="BS5"/>
      <c r="BT5"/>
      <c r="BU5"/>
      <c r="BV5" s="54"/>
      <c r="BW5" s="54"/>
      <c r="BX5" s="54"/>
      <c r="BY5" s="54"/>
      <c r="BZ5" s="54"/>
    </row>
    <row r="6" spans="1:78" s="51" customFormat="1" x14ac:dyDescent="0.2">
      <c r="C6" s="51" t="s">
        <v>428</v>
      </c>
      <c r="I6" s="54"/>
      <c r="J6" s="54">
        <f>'INPUT Growth'!J6</f>
        <v>2005</v>
      </c>
      <c r="K6" s="54">
        <f>'INPUT Growth'!K6</f>
        <v>2006</v>
      </c>
      <c r="L6" s="54">
        <f>'INPUT Growth'!L6</f>
        <v>2007</v>
      </c>
      <c r="M6" s="54">
        <f>'INPUT Growth'!M6</f>
        <v>2008</v>
      </c>
      <c r="N6" s="54">
        <f>'INPUT Growth'!N6</f>
        <v>2009</v>
      </c>
      <c r="O6" s="54">
        <f>'INPUT Growth'!O6</f>
        <v>2010</v>
      </c>
      <c r="P6" s="54">
        <f>'INPUT Growth'!P6</f>
        <v>2011</v>
      </c>
      <c r="Q6" s="54">
        <f>'INPUT Growth'!Q6</f>
        <v>2012</v>
      </c>
      <c r="R6" s="54">
        <f>'INPUT Growth'!R6</f>
        <v>2013</v>
      </c>
      <c r="S6" s="54">
        <f>'INPUT Growth'!S6</f>
        <v>2014</v>
      </c>
      <c r="T6" s="54">
        <f>'INPUT Growth'!T6</f>
        <v>2015</v>
      </c>
      <c r="U6" s="54">
        <f>'INPUT Growth'!U6</f>
        <v>2016</v>
      </c>
      <c r="V6" s="54">
        <f>'INPUT Growth'!V6</f>
        <v>2017</v>
      </c>
      <c r="W6" s="54">
        <f>'INPUT Growth'!W6</f>
        <v>2018</v>
      </c>
      <c r="X6" s="54">
        <f>'INPUT Growth'!X6</f>
        <v>2019</v>
      </c>
      <c r="Y6" s="54">
        <f>'INPUT Growth'!Y6</f>
        <v>2020</v>
      </c>
      <c r="Z6" s="54">
        <f>'INPUT Growth'!Z6</f>
        <v>2021</v>
      </c>
      <c r="AA6" s="54">
        <f>'INPUT Growth'!AA6</f>
        <v>2022</v>
      </c>
      <c r="AB6" s="54">
        <f>'INPUT Growth'!AB6</f>
        <v>2023</v>
      </c>
      <c r="AC6" s="54">
        <f t="shared" si="4"/>
        <v>2024</v>
      </c>
      <c r="AD6" s="54">
        <f t="shared" si="4"/>
        <v>2025</v>
      </c>
      <c r="AE6" s="54">
        <f t="shared" si="4"/>
        <v>2026</v>
      </c>
      <c r="AF6" s="54">
        <f t="shared" si="4"/>
        <v>2027</v>
      </c>
      <c r="AG6" s="54">
        <f t="shared" si="4"/>
        <v>2028</v>
      </c>
      <c r="AH6" s="54">
        <f t="shared" si="4"/>
        <v>2029</v>
      </c>
      <c r="AI6" s="54">
        <f t="shared" si="4"/>
        <v>2030</v>
      </c>
      <c r="AJ6" s="54">
        <f t="shared" si="4"/>
        <v>2031</v>
      </c>
      <c r="AK6" s="54">
        <f t="shared" si="4"/>
        <v>2032</v>
      </c>
      <c r="AL6" s="54">
        <f t="shared" si="4"/>
        <v>2033</v>
      </c>
      <c r="AM6" s="54">
        <f t="shared" si="4"/>
        <v>2034</v>
      </c>
      <c r="AN6" s="54">
        <f t="shared" si="4"/>
        <v>2035</v>
      </c>
      <c r="AO6" s="54">
        <f t="shared" si="4"/>
        <v>2036</v>
      </c>
      <c r="AP6" s="54">
        <f t="shared" si="4"/>
        <v>2037</v>
      </c>
      <c r="AQ6" s="54">
        <f t="shared" si="4"/>
        <v>2038</v>
      </c>
      <c r="AR6" s="54">
        <f t="shared" si="4"/>
        <v>2039</v>
      </c>
      <c r="AS6" s="54">
        <f t="shared" si="1"/>
        <v>2040</v>
      </c>
      <c r="AT6" s="54">
        <f t="shared" si="1"/>
        <v>2041</v>
      </c>
      <c r="AU6" s="54">
        <f t="shared" si="2"/>
        <v>2042</v>
      </c>
      <c r="AV6" s="54">
        <f t="shared" si="2"/>
        <v>2043</v>
      </c>
      <c r="AW6" s="54">
        <f t="shared" si="2"/>
        <v>2044</v>
      </c>
      <c r="AX6" s="54">
        <f t="shared" si="2"/>
        <v>2045</v>
      </c>
      <c r="AY6" s="54">
        <f t="shared" si="2"/>
        <v>2046</v>
      </c>
      <c r="AZ6" s="54">
        <f t="shared" si="2"/>
        <v>2047</v>
      </c>
      <c r="BA6" s="54">
        <f t="shared" si="2"/>
        <v>2048</v>
      </c>
      <c r="BB6" s="54">
        <f t="shared" si="2"/>
        <v>2049</v>
      </c>
      <c r="BC6" s="54">
        <f t="shared" si="2"/>
        <v>2050</v>
      </c>
      <c r="BD6" s="54">
        <f t="shared" si="2"/>
        <v>2051</v>
      </c>
      <c r="BE6" s="54">
        <f t="shared" si="2"/>
        <v>2052</v>
      </c>
      <c r="BF6" s="54">
        <f t="shared" si="2"/>
        <v>2053</v>
      </c>
      <c r="BG6" s="54">
        <f t="shared" si="2"/>
        <v>2054</v>
      </c>
      <c r="BH6" s="54">
        <f t="shared" si="2"/>
        <v>2055</v>
      </c>
      <c r="BI6" s="54">
        <f t="shared" si="2"/>
        <v>2056</v>
      </c>
      <c r="BJ6" s="54">
        <f t="shared" si="2"/>
        <v>2057</v>
      </c>
      <c r="BK6" s="54">
        <f t="shared" si="3"/>
        <v>2058</v>
      </c>
      <c r="BL6" s="54">
        <f t="shared" si="3"/>
        <v>2059</v>
      </c>
      <c r="BM6"/>
      <c r="BN6"/>
      <c r="BO6"/>
      <c r="BP6"/>
      <c r="BQ6"/>
      <c r="BR6"/>
      <c r="BS6"/>
      <c r="BT6"/>
      <c r="BU6"/>
      <c r="BV6" s="54"/>
      <c r="BW6" s="54"/>
      <c r="BX6" s="54"/>
      <c r="BY6" s="54"/>
      <c r="BZ6" s="54"/>
    </row>
    <row r="7" spans="1:78" s="51" customFormat="1" x14ac:dyDescent="0.2">
      <c r="A7" s="55"/>
      <c r="B7" s="56"/>
      <c r="C7" s="55" t="s">
        <v>429</v>
      </c>
      <c r="D7" s="55"/>
      <c r="E7" s="55"/>
      <c r="F7" s="58"/>
      <c r="G7" s="55"/>
      <c r="H7" s="55"/>
      <c r="I7" s="59"/>
      <c r="J7" s="59" t="str">
        <f>'INPUT Growth'!J7</f>
        <v>2004-05</v>
      </c>
      <c r="K7" s="60" t="str">
        <f>'INPUT Growth'!K7</f>
        <v>2005-06</v>
      </c>
      <c r="L7" s="60" t="str">
        <f>'INPUT Growth'!L7</f>
        <v>2006-07</v>
      </c>
      <c r="M7" s="60" t="str">
        <f>'INPUT Growth'!M7</f>
        <v>2007-08</v>
      </c>
      <c r="N7" s="60" t="str">
        <f>'INPUT Growth'!N7</f>
        <v>2008-09</v>
      </c>
      <c r="O7" s="60" t="str">
        <f>'INPUT Growth'!O7</f>
        <v>2009-10</v>
      </c>
      <c r="P7" s="60" t="str">
        <f>'INPUT Growth'!P7</f>
        <v>2010-11</v>
      </c>
      <c r="Q7" s="60" t="str">
        <f>'INPUT Growth'!Q7</f>
        <v>2011-12</v>
      </c>
      <c r="R7" s="60" t="str">
        <f>'INPUT Growth'!R7</f>
        <v>2012-13</v>
      </c>
      <c r="S7" s="60" t="str">
        <f>'INPUT Growth'!S7</f>
        <v>2013-14</v>
      </c>
      <c r="T7" s="60" t="str">
        <f>'INPUT Growth'!T7</f>
        <v>2014-15</v>
      </c>
      <c r="U7" s="60" t="str">
        <f>'INPUT Growth'!U7</f>
        <v>2015-16</v>
      </c>
      <c r="V7" s="60" t="str">
        <f>'INPUT Growth'!V7</f>
        <v>2016-17</v>
      </c>
      <c r="W7" s="60" t="str">
        <f>'INPUT Growth'!W7</f>
        <v>2017-18</v>
      </c>
      <c r="X7" s="60" t="str">
        <f>'INPUT Growth'!X7</f>
        <v>2018-19</v>
      </c>
      <c r="Y7" s="60" t="str">
        <f>'INPUT Growth'!Y7</f>
        <v>2019-20</v>
      </c>
      <c r="Z7" s="60" t="str">
        <f>'INPUT Growth'!Z7</f>
        <v>2020-21</v>
      </c>
      <c r="AA7" s="60" t="str">
        <f>'INPUT Growth'!AA7</f>
        <v>2021-22</v>
      </c>
      <c r="AB7" s="60" t="str">
        <f>'INPUT Growth'!AB7</f>
        <v>2022-23</v>
      </c>
      <c r="AC7" s="60" t="s">
        <v>450</v>
      </c>
      <c r="AD7" s="60" t="s">
        <v>11</v>
      </c>
      <c r="AE7" s="60" t="s">
        <v>12</v>
      </c>
      <c r="AF7" s="60" t="s">
        <v>13</v>
      </c>
      <c r="AG7" s="60" t="s">
        <v>14</v>
      </c>
      <c r="AH7" s="60" t="s">
        <v>15</v>
      </c>
      <c r="AI7" s="60" t="s">
        <v>16</v>
      </c>
      <c r="AJ7" s="60" t="s">
        <v>17</v>
      </c>
      <c r="AK7" s="60" t="s">
        <v>18</v>
      </c>
      <c r="AL7" s="60" t="s">
        <v>19</v>
      </c>
      <c r="AM7" s="60" t="str">
        <f>AM5&amp;"-"&amp;RIGHT(AM6,2)</f>
        <v>2033-34</v>
      </c>
      <c r="AN7" s="60" t="str">
        <f t="shared" ref="AN7:BL7" si="5">AN5&amp;"-"&amp;RIGHT(AN6,2)</f>
        <v>2034-35</v>
      </c>
      <c r="AO7" s="60" t="str">
        <f t="shared" si="5"/>
        <v>2035-36</v>
      </c>
      <c r="AP7" s="60" t="str">
        <f t="shared" si="5"/>
        <v>2036-37</v>
      </c>
      <c r="AQ7" s="60" t="str">
        <f t="shared" si="5"/>
        <v>2037-38</v>
      </c>
      <c r="AR7" s="60" t="str">
        <f t="shared" si="5"/>
        <v>2038-39</v>
      </c>
      <c r="AS7" s="60" t="str">
        <f t="shared" si="5"/>
        <v>2039-40</v>
      </c>
      <c r="AT7" s="60" t="str">
        <f t="shared" si="5"/>
        <v>2040-41</v>
      </c>
      <c r="AU7" s="60" t="str">
        <f t="shared" si="5"/>
        <v>2041-42</v>
      </c>
      <c r="AV7" s="60" t="str">
        <f t="shared" si="5"/>
        <v>2042-43</v>
      </c>
      <c r="AW7" s="60" t="str">
        <f t="shared" si="5"/>
        <v>2043-44</v>
      </c>
      <c r="AX7" s="60" t="str">
        <f t="shared" si="5"/>
        <v>2044-45</v>
      </c>
      <c r="AY7" s="60" t="str">
        <f t="shared" si="5"/>
        <v>2045-46</v>
      </c>
      <c r="AZ7" s="60" t="str">
        <f t="shared" si="5"/>
        <v>2046-47</v>
      </c>
      <c r="BA7" s="60" t="str">
        <f t="shared" si="5"/>
        <v>2047-48</v>
      </c>
      <c r="BB7" s="60" t="str">
        <f t="shared" si="5"/>
        <v>2048-49</v>
      </c>
      <c r="BC7" s="60" t="str">
        <f t="shared" si="5"/>
        <v>2049-50</v>
      </c>
      <c r="BD7" s="60" t="str">
        <f t="shared" si="5"/>
        <v>2050-51</v>
      </c>
      <c r="BE7" s="60" t="str">
        <f t="shared" si="5"/>
        <v>2051-52</v>
      </c>
      <c r="BF7" s="60" t="str">
        <f t="shared" si="5"/>
        <v>2052-53</v>
      </c>
      <c r="BG7" s="60" t="str">
        <f t="shared" si="5"/>
        <v>2053-54</v>
      </c>
      <c r="BH7" s="60" t="str">
        <f t="shared" si="5"/>
        <v>2054-55</v>
      </c>
      <c r="BI7" s="60" t="str">
        <f t="shared" si="5"/>
        <v>2055-56</v>
      </c>
      <c r="BJ7" s="60" t="str">
        <f t="shared" si="5"/>
        <v>2056-57</v>
      </c>
      <c r="BK7" s="60" t="str">
        <f t="shared" si="5"/>
        <v>2057-58</v>
      </c>
      <c r="BL7" s="60" t="str">
        <f t="shared" si="5"/>
        <v>2058-59</v>
      </c>
      <c r="BM7"/>
      <c r="BN7"/>
      <c r="BO7"/>
      <c r="BP7"/>
      <c r="BQ7"/>
      <c r="BR7"/>
      <c r="BS7"/>
      <c r="BT7"/>
      <c r="BU7"/>
      <c r="BV7" s="60"/>
      <c r="BW7" s="60"/>
      <c r="BX7" s="60"/>
      <c r="BY7" s="60"/>
      <c r="BZ7" s="60"/>
    </row>
    <row r="8" spans="1:78" s="51" customFormat="1" ht="15.75" x14ac:dyDescent="0.25">
      <c r="A8" s="81"/>
      <c r="B8" s="82" t="s">
        <v>564</v>
      </c>
      <c r="AX8"/>
      <c r="AY8"/>
      <c r="AZ8"/>
      <c r="BA8"/>
      <c r="BB8"/>
      <c r="BC8"/>
      <c r="BD8"/>
      <c r="BE8"/>
      <c r="BF8"/>
      <c r="BG8"/>
      <c r="BH8"/>
      <c r="BI8"/>
      <c r="BJ8"/>
      <c r="BK8"/>
      <c r="BL8"/>
      <c r="BM8"/>
      <c r="BN8"/>
      <c r="BO8"/>
      <c r="BP8"/>
      <c r="BQ8"/>
      <c r="BR8"/>
      <c r="BS8"/>
      <c r="BT8"/>
      <c r="BU8"/>
    </row>
    <row r="9" spans="1:78" s="51" customFormat="1" ht="15" x14ac:dyDescent="0.2">
      <c r="A9" s="81"/>
      <c r="B9" s="65" t="s">
        <v>565</v>
      </c>
      <c r="AX9"/>
      <c r="AY9"/>
      <c r="AZ9"/>
      <c r="BA9"/>
      <c r="BB9"/>
      <c r="BC9"/>
      <c r="BD9"/>
      <c r="BE9"/>
      <c r="BF9"/>
      <c r="BG9"/>
      <c r="BH9"/>
      <c r="BI9"/>
      <c r="BJ9"/>
      <c r="BK9"/>
      <c r="BL9"/>
      <c r="BM9"/>
      <c r="BN9"/>
      <c r="BO9"/>
      <c r="BP9"/>
      <c r="BQ9"/>
      <c r="BR9"/>
      <c r="BS9"/>
      <c r="BT9"/>
      <c r="BU9"/>
    </row>
    <row r="10" spans="1:78" s="51" customFormat="1" outlineLevel="1" x14ac:dyDescent="0.2">
      <c r="C10" s="66" t="s">
        <v>566</v>
      </c>
      <c r="AX10"/>
      <c r="AY10"/>
      <c r="AZ10"/>
      <c r="BA10"/>
      <c r="BB10"/>
      <c r="BC10"/>
      <c r="BD10"/>
      <c r="BE10"/>
      <c r="BF10"/>
      <c r="BG10"/>
      <c r="BH10"/>
      <c r="BI10"/>
      <c r="BJ10"/>
      <c r="BK10"/>
      <c r="BL10"/>
      <c r="BM10"/>
      <c r="BN10"/>
      <c r="BO10"/>
      <c r="BP10"/>
      <c r="BQ10"/>
      <c r="BR10"/>
      <c r="BS10"/>
      <c r="BT10"/>
      <c r="BU10"/>
    </row>
    <row r="11" spans="1:78" s="51" customFormat="1" ht="12.6" customHeight="1" outlineLevel="1" x14ac:dyDescent="0.2">
      <c r="D11" s="51" t="s">
        <v>301</v>
      </c>
      <c r="F11" s="51" t="s">
        <v>262</v>
      </c>
      <c r="S11" s="197">
        <v>8105</v>
      </c>
      <c r="T11" s="197">
        <v>9910</v>
      </c>
      <c r="U11" s="197">
        <v>14682</v>
      </c>
      <c r="V11" s="197">
        <v>12594</v>
      </c>
      <c r="W11" s="197">
        <v>12207</v>
      </c>
      <c r="X11" s="197">
        <v>11969.410750000119</v>
      </c>
      <c r="Y11" s="197">
        <v>14156.272929999999</v>
      </c>
      <c r="Z11" s="197">
        <v>9560.3708499999993</v>
      </c>
      <c r="AA11" s="198"/>
      <c r="AX11"/>
      <c r="AY11"/>
      <c r="AZ11"/>
      <c r="BA11"/>
      <c r="BB11"/>
      <c r="BC11"/>
      <c r="BD11"/>
      <c r="BE11"/>
      <c r="BF11"/>
      <c r="BG11"/>
      <c r="BH11"/>
      <c r="BI11"/>
      <c r="BJ11"/>
      <c r="BK11"/>
      <c r="BL11"/>
      <c r="BM11"/>
      <c r="BN11"/>
      <c r="BO11"/>
      <c r="BP11"/>
      <c r="BQ11"/>
      <c r="BR11"/>
      <c r="BS11"/>
      <c r="BT11"/>
      <c r="BU11"/>
    </row>
    <row r="12" spans="1:78" s="51" customFormat="1" ht="12.6" customHeight="1" outlineLevel="1" x14ac:dyDescent="0.2">
      <c r="D12" s="51" t="s">
        <v>303</v>
      </c>
      <c r="F12" s="51" t="s">
        <v>262</v>
      </c>
      <c r="S12" s="197">
        <v>7668</v>
      </c>
      <c r="T12" s="197">
        <v>9572</v>
      </c>
      <c r="U12" s="197">
        <v>11374</v>
      </c>
      <c r="V12" s="197">
        <v>12177</v>
      </c>
      <c r="W12" s="197">
        <v>12250</v>
      </c>
      <c r="X12" s="197">
        <v>12519.486180000134</v>
      </c>
      <c r="Y12" s="197">
        <v>14922.88537</v>
      </c>
      <c r="Z12" s="197">
        <v>9509.4578399999991</v>
      </c>
      <c r="AA12" s="198"/>
      <c r="AX12"/>
      <c r="AY12"/>
      <c r="AZ12"/>
      <c r="BA12"/>
      <c r="BB12"/>
      <c r="BC12"/>
      <c r="BD12"/>
      <c r="BE12"/>
      <c r="BF12"/>
      <c r="BG12"/>
      <c r="BH12"/>
      <c r="BI12"/>
      <c r="BJ12"/>
      <c r="BK12"/>
      <c r="BL12"/>
      <c r="BM12"/>
      <c r="BN12"/>
      <c r="BO12"/>
      <c r="BP12"/>
      <c r="BQ12"/>
      <c r="BR12"/>
      <c r="BS12"/>
      <c r="BT12"/>
      <c r="BU12"/>
    </row>
    <row r="13" spans="1:78" s="51" customFormat="1" ht="12.6" customHeight="1" outlineLevel="1" x14ac:dyDescent="0.2">
      <c r="D13" s="51" t="s">
        <v>310</v>
      </c>
      <c r="F13" s="51" t="s">
        <v>262</v>
      </c>
      <c r="S13" s="197"/>
      <c r="T13" s="197">
        <v>1035</v>
      </c>
      <c r="U13" s="197">
        <v>876</v>
      </c>
      <c r="V13" s="197">
        <v>7636</v>
      </c>
      <c r="W13" s="197">
        <v>9665</v>
      </c>
      <c r="X13" s="197">
        <v>13805.508499999998</v>
      </c>
      <c r="Y13" s="197">
        <v>15892.88258</v>
      </c>
      <c r="Z13" s="197">
        <v>10813.23178</v>
      </c>
      <c r="AA13" s="198"/>
      <c r="AX13"/>
      <c r="AY13"/>
      <c r="AZ13"/>
      <c r="BA13"/>
      <c r="BB13"/>
      <c r="BC13"/>
      <c r="BD13"/>
      <c r="BE13"/>
      <c r="BF13"/>
      <c r="BG13"/>
      <c r="BH13"/>
      <c r="BI13"/>
      <c r="BJ13"/>
      <c r="BK13"/>
      <c r="BL13"/>
      <c r="BM13"/>
      <c r="BN13"/>
      <c r="BO13"/>
      <c r="BP13"/>
      <c r="BQ13"/>
      <c r="BR13"/>
      <c r="BS13"/>
      <c r="BT13"/>
      <c r="BU13"/>
    </row>
    <row r="14" spans="1:78" s="51" customFormat="1" ht="12.6" customHeight="1" outlineLevel="1" x14ac:dyDescent="0.2">
      <c r="D14" s="51" t="s">
        <v>301</v>
      </c>
      <c r="F14" s="51" t="s">
        <v>265</v>
      </c>
      <c r="S14" s="197">
        <v>1651.025390625</v>
      </c>
      <c r="T14" s="197">
        <v>3286.6935483870966</v>
      </c>
      <c r="U14" s="197">
        <v>4135</v>
      </c>
      <c r="V14" s="197">
        <v>7592</v>
      </c>
      <c r="W14" s="197">
        <v>8228</v>
      </c>
      <c r="X14" s="197">
        <v>8930</v>
      </c>
      <c r="Y14" s="197">
        <v>18242</v>
      </c>
      <c r="Z14" s="197">
        <v>17508</v>
      </c>
      <c r="AA14" s="198"/>
      <c r="AX14"/>
      <c r="AY14"/>
      <c r="AZ14"/>
      <c r="BA14"/>
      <c r="BB14"/>
      <c r="BC14"/>
      <c r="BD14"/>
      <c r="BE14"/>
      <c r="BF14"/>
      <c r="BG14"/>
      <c r="BH14"/>
      <c r="BI14"/>
      <c r="BJ14"/>
      <c r="BK14"/>
      <c r="BL14"/>
      <c r="BM14"/>
      <c r="BN14"/>
      <c r="BO14"/>
      <c r="BP14"/>
      <c r="BQ14"/>
      <c r="BR14"/>
      <c r="BS14"/>
      <c r="BT14"/>
      <c r="BU14"/>
    </row>
    <row r="15" spans="1:78" s="51" customFormat="1" ht="12.6" customHeight="1" outlineLevel="1" x14ac:dyDescent="0.2">
      <c r="D15" s="51" t="s">
        <v>303</v>
      </c>
      <c r="F15" s="51" t="s">
        <v>265</v>
      </c>
      <c r="S15" s="197">
        <v>1297.080078125</v>
      </c>
      <c r="T15" s="197">
        <v>2678.6290322580644</v>
      </c>
      <c r="U15" s="197">
        <v>3165</v>
      </c>
      <c r="V15" s="197">
        <v>5816</v>
      </c>
      <c r="W15" s="197">
        <v>6155</v>
      </c>
      <c r="X15" s="197">
        <v>9991</v>
      </c>
      <c r="Y15" s="197">
        <v>17528</v>
      </c>
      <c r="Z15" s="197">
        <v>17385</v>
      </c>
      <c r="AA15" s="198"/>
      <c r="AX15"/>
      <c r="AY15"/>
      <c r="AZ15"/>
      <c r="BA15"/>
      <c r="BB15"/>
      <c r="BC15"/>
      <c r="BD15"/>
      <c r="BE15"/>
      <c r="BF15"/>
      <c r="BG15"/>
      <c r="BH15"/>
      <c r="BI15"/>
      <c r="BJ15"/>
      <c r="BK15"/>
      <c r="BL15"/>
      <c r="BM15"/>
      <c r="BN15"/>
      <c r="BO15"/>
      <c r="BP15"/>
      <c r="BQ15"/>
      <c r="BR15"/>
      <c r="BS15"/>
      <c r="BT15"/>
      <c r="BU15"/>
    </row>
    <row r="16" spans="1:78" s="51" customFormat="1" ht="12.6" customHeight="1" outlineLevel="1" x14ac:dyDescent="0.2">
      <c r="D16" s="51" t="s">
        <v>310</v>
      </c>
      <c r="F16" s="51" t="s">
        <v>265</v>
      </c>
      <c r="S16" s="197">
        <v>28.056640625</v>
      </c>
      <c r="T16" s="197">
        <v>84.91935483870968</v>
      </c>
      <c r="U16" s="197">
        <v>290</v>
      </c>
      <c r="V16" s="197">
        <v>301</v>
      </c>
      <c r="W16" s="197">
        <v>385</v>
      </c>
      <c r="X16" s="197">
        <v>1199</v>
      </c>
      <c r="Y16" s="197">
        <v>0</v>
      </c>
      <c r="Z16" s="197">
        <v>0</v>
      </c>
      <c r="AA16" s="198"/>
      <c r="AX16"/>
      <c r="AY16"/>
      <c r="AZ16"/>
      <c r="BA16"/>
      <c r="BB16"/>
      <c r="BC16"/>
      <c r="BD16"/>
      <c r="BE16"/>
      <c r="BF16"/>
      <c r="BG16"/>
      <c r="BH16"/>
      <c r="BI16"/>
      <c r="BJ16"/>
      <c r="BK16"/>
      <c r="BL16"/>
      <c r="BM16"/>
      <c r="BN16"/>
      <c r="BO16"/>
      <c r="BP16"/>
      <c r="BQ16"/>
      <c r="BR16"/>
      <c r="BS16"/>
      <c r="BT16"/>
      <c r="BU16"/>
    </row>
    <row r="17" spans="3:73" s="51" customFormat="1" ht="12.6" customHeight="1" outlineLevel="1" x14ac:dyDescent="0.2">
      <c r="D17" s="51" t="s">
        <v>301</v>
      </c>
      <c r="F17" s="51" t="s">
        <v>567</v>
      </c>
      <c r="S17" s="198"/>
      <c r="T17" s="198"/>
      <c r="U17" s="198"/>
      <c r="V17" s="198"/>
      <c r="W17" s="198"/>
      <c r="X17" s="198"/>
      <c r="Y17" s="198"/>
      <c r="Z17" s="198"/>
      <c r="AA17" s="198"/>
      <c r="AX17"/>
      <c r="AY17"/>
      <c r="AZ17"/>
      <c r="BA17"/>
      <c r="BB17"/>
      <c r="BC17"/>
      <c r="BD17"/>
      <c r="BE17"/>
      <c r="BF17"/>
      <c r="BG17"/>
      <c r="BH17"/>
      <c r="BI17"/>
      <c r="BJ17"/>
      <c r="BK17"/>
      <c r="BL17"/>
      <c r="BM17"/>
      <c r="BN17"/>
      <c r="BO17"/>
      <c r="BP17"/>
      <c r="BQ17"/>
      <c r="BR17"/>
      <c r="BS17"/>
      <c r="BT17"/>
      <c r="BU17"/>
    </row>
    <row r="18" spans="3:73" s="51" customFormat="1" ht="12.6" customHeight="1" outlineLevel="1" x14ac:dyDescent="0.2">
      <c r="D18" s="51" t="s">
        <v>303</v>
      </c>
      <c r="F18" s="51" t="s">
        <v>567</v>
      </c>
      <c r="S18" s="198"/>
      <c r="T18" s="198"/>
      <c r="U18" s="198"/>
      <c r="V18" s="198"/>
      <c r="W18" s="198"/>
      <c r="X18" s="198"/>
      <c r="Y18" s="198"/>
      <c r="Z18" s="198"/>
      <c r="AA18" s="198"/>
      <c r="AX18"/>
      <c r="AY18"/>
      <c r="AZ18"/>
      <c r="BA18"/>
      <c r="BB18"/>
      <c r="BC18"/>
      <c r="BD18"/>
      <c r="BE18"/>
      <c r="BF18"/>
      <c r="BG18"/>
      <c r="BH18"/>
      <c r="BI18"/>
      <c r="BJ18"/>
      <c r="BK18"/>
      <c r="BL18"/>
      <c r="BM18"/>
      <c r="BN18"/>
      <c r="BO18"/>
      <c r="BP18"/>
      <c r="BQ18"/>
      <c r="BR18"/>
      <c r="BS18"/>
      <c r="BT18"/>
      <c r="BU18"/>
    </row>
    <row r="19" spans="3:73" s="51" customFormat="1" ht="12.6" customHeight="1" outlineLevel="1" x14ac:dyDescent="0.2">
      <c r="D19" s="51" t="s">
        <v>310</v>
      </c>
      <c r="F19" s="51" t="s">
        <v>567</v>
      </c>
      <c r="S19" s="198"/>
      <c r="T19" s="198"/>
      <c r="U19" s="198"/>
      <c r="V19" s="198"/>
      <c r="W19" s="198"/>
      <c r="X19" s="198"/>
      <c r="Y19" s="198"/>
      <c r="Z19" s="198"/>
      <c r="AA19" s="198"/>
      <c r="AX19"/>
      <c r="AY19"/>
      <c r="AZ19"/>
      <c r="BA19"/>
      <c r="BB19"/>
      <c r="BC19"/>
      <c r="BD19"/>
      <c r="BE19"/>
      <c r="BF19"/>
      <c r="BG19"/>
      <c r="BH19"/>
      <c r="BI19"/>
      <c r="BJ19"/>
      <c r="BK19"/>
      <c r="BL19"/>
      <c r="BM19"/>
      <c r="BN19"/>
      <c r="BO19"/>
      <c r="BP19"/>
      <c r="BQ19"/>
      <c r="BR19"/>
      <c r="BS19"/>
      <c r="BT19"/>
      <c r="BU19"/>
    </row>
    <row r="20" spans="3:73" s="51" customFormat="1" outlineLevel="1" x14ac:dyDescent="0.2">
      <c r="AA20" s="198"/>
      <c r="AX20"/>
      <c r="AY20"/>
      <c r="AZ20"/>
      <c r="BA20"/>
      <c r="BB20"/>
      <c r="BC20"/>
      <c r="BD20"/>
      <c r="BE20"/>
      <c r="BF20"/>
      <c r="BG20"/>
      <c r="BH20"/>
      <c r="BI20"/>
      <c r="BJ20"/>
      <c r="BK20"/>
      <c r="BL20"/>
      <c r="BM20"/>
      <c r="BN20"/>
      <c r="BO20"/>
      <c r="BP20"/>
      <c r="BQ20"/>
      <c r="BR20"/>
      <c r="BS20"/>
      <c r="BT20"/>
      <c r="BU20"/>
    </row>
    <row r="21" spans="3:73" s="51" customFormat="1" outlineLevel="1" x14ac:dyDescent="0.2">
      <c r="AA21" s="198"/>
      <c r="AX21"/>
      <c r="AY21"/>
      <c r="AZ21"/>
      <c r="BA21"/>
      <c r="BB21"/>
      <c r="BC21"/>
      <c r="BD21"/>
      <c r="BE21"/>
      <c r="BF21"/>
      <c r="BG21"/>
      <c r="BH21"/>
      <c r="BI21"/>
      <c r="BJ21"/>
      <c r="BK21"/>
      <c r="BL21"/>
      <c r="BM21"/>
      <c r="BN21"/>
      <c r="BO21"/>
      <c r="BP21"/>
      <c r="BQ21"/>
      <c r="BR21"/>
      <c r="BS21"/>
      <c r="BT21"/>
      <c r="BU21"/>
    </row>
    <row r="22" spans="3:73" outlineLevel="1" x14ac:dyDescent="0.2">
      <c r="C22" s="150" t="s">
        <v>568</v>
      </c>
      <c r="D22" s="150"/>
      <c r="E22" s="150"/>
      <c r="F22" s="150"/>
      <c r="G22" s="150" t="s">
        <v>569</v>
      </c>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row>
    <row r="23" spans="3:73" outlineLevel="1" x14ac:dyDescent="0.2">
      <c r="C23" s="150"/>
      <c r="D23" s="51" t="s">
        <v>301</v>
      </c>
      <c r="E23" s="150"/>
      <c r="F23" s="51" t="s">
        <v>262</v>
      </c>
      <c r="G23" s="150"/>
      <c r="H23" s="150"/>
      <c r="I23" s="150"/>
      <c r="J23" s="150"/>
      <c r="K23" s="150"/>
      <c r="L23" s="150"/>
      <c r="M23" s="150"/>
      <c r="N23" s="150"/>
      <c r="O23" s="150"/>
      <c r="P23" s="150"/>
      <c r="Q23" s="150"/>
      <c r="R23" s="150"/>
      <c r="S23" s="187">
        <f>S11*'INPUT Reg'!S$12*1000</f>
        <v>10495341.796874998</v>
      </c>
      <c r="T23" s="187">
        <f>T11*'INPUT Reg'!T$12*1000</f>
        <v>12467419.354838707</v>
      </c>
      <c r="U23" s="187">
        <f>U11*'INPUT Reg'!U$12*1000</f>
        <v>18228775.280898876</v>
      </c>
      <c r="V23" s="187">
        <f>V11*'INPUT Reg'!V$12*1000</f>
        <v>15434051.756007394</v>
      </c>
      <c r="W23" s="187">
        <f>W11*'INPUT Reg'!W$12*1000</f>
        <v>14648400</v>
      </c>
      <c r="X23" s="187">
        <f>X11*'INPUT Reg'!X$12*1000</f>
        <v>14095416.211811865</v>
      </c>
      <c r="Y23" s="187">
        <f>Y11*'INPUT Reg'!Y$12*1000</f>
        <v>16451549.434864152</v>
      </c>
      <c r="Z23" s="187">
        <f>Z11*'INPUT Reg'!Z$12*1000</f>
        <v>10872257.072984561</v>
      </c>
      <c r="AA23" s="187">
        <f>AA11*'INPUT Reg'!AA$12*1000</f>
        <v>0</v>
      </c>
      <c r="AB23" s="187">
        <f>AB11*'INPUT Reg'!AB$12*1000</f>
        <v>0</v>
      </c>
      <c r="AC23" s="187">
        <f>AC11*'INPUT Reg'!AC$12*1000</f>
        <v>0</v>
      </c>
      <c r="AD23" s="150"/>
      <c r="AE23" s="150"/>
      <c r="AF23" s="150"/>
      <c r="AG23" s="150"/>
      <c r="AH23" s="150"/>
      <c r="AI23" s="150"/>
      <c r="AJ23" s="150"/>
      <c r="AK23" s="150"/>
      <c r="AL23" s="150"/>
      <c r="AM23" s="150"/>
      <c r="AN23" s="150"/>
      <c r="AO23" s="150"/>
      <c r="AP23" s="150"/>
      <c r="AQ23" s="150"/>
      <c r="AR23" s="150"/>
      <c r="AS23" s="150"/>
      <c r="AT23" s="150"/>
      <c r="AU23" s="150"/>
      <c r="AV23" s="150"/>
      <c r="AW23" s="150"/>
    </row>
    <row r="24" spans="3:73" outlineLevel="1" x14ac:dyDescent="0.2">
      <c r="C24" s="150"/>
      <c r="D24" s="51" t="s">
        <v>303</v>
      </c>
      <c r="E24" s="150"/>
      <c r="F24" s="51" t="s">
        <v>262</v>
      </c>
      <c r="G24" s="150"/>
      <c r="H24" s="150"/>
      <c r="I24" s="150"/>
      <c r="J24" s="150"/>
      <c r="K24" s="150"/>
      <c r="L24" s="150"/>
      <c r="M24" s="150"/>
      <c r="N24" s="150"/>
      <c r="O24" s="150"/>
      <c r="P24" s="150"/>
      <c r="Q24" s="150"/>
      <c r="R24" s="150"/>
      <c r="S24" s="187">
        <f>S12*'INPUT Reg'!S$12*1000</f>
        <v>9929460.9374999981</v>
      </c>
      <c r="T24" s="187">
        <f>T12*'INPUT Reg'!T$12*1000</f>
        <v>12042193.548387095</v>
      </c>
      <c r="U24" s="187">
        <f>U12*'INPUT Reg'!U$12*1000</f>
        <v>14121651.685393259</v>
      </c>
      <c r="V24" s="187">
        <f>V12*'INPUT Reg'!V$12*1000</f>
        <v>14923014.787430683</v>
      </c>
      <c r="W24" s="187">
        <f>W12*'INPUT Reg'!W$12*1000</f>
        <v>14700000</v>
      </c>
      <c r="X24" s="187">
        <f>X12*'INPUT Reg'!X$12*1000</f>
        <v>14743195.981065877</v>
      </c>
      <c r="Y24" s="187">
        <f>Y12*'INPUT Reg'!Y$12*1000</f>
        <v>17342459.24681858</v>
      </c>
      <c r="Z24" s="187">
        <f>Z12*'INPUT Reg'!Z$12*1000</f>
        <v>10814357.715128643</v>
      </c>
      <c r="AA24" s="187">
        <f>AA12*'INPUT Reg'!AA$12*1000</f>
        <v>0</v>
      </c>
      <c r="AB24" s="187">
        <f>AB12*'INPUT Reg'!AB$12*1000</f>
        <v>0</v>
      </c>
      <c r="AC24" s="187">
        <f>AC12*'INPUT Reg'!AC$12*1000</f>
        <v>0</v>
      </c>
      <c r="AD24" s="150"/>
      <c r="AE24" s="150"/>
      <c r="AF24" s="150"/>
      <c r="AG24" s="150"/>
      <c r="AH24" s="150"/>
      <c r="AI24" s="150"/>
      <c r="AJ24" s="150"/>
      <c r="AK24" s="150"/>
      <c r="AL24" s="150"/>
      <c r="AM24" s="150"/>
      <c r="AN24" s="150"/>
      <c r="AO24" s="150"/>
      <c r="AP24" s="150"/>
      <c r="AQ24" s="150"/>
      <c r="AR24" s="150"/>
      <c r="AS24" s="150"/>
      <c r="AT24" s="150"/>
      <c r="AU24" s="150"/>
      <c r="AV24" s="150"/>
      <c r="AW24" s="150"/>
    </row>
    <row r="25" spans="3:73" outlineLevel="1" x14ac:dyDescent="0.2">
      <c r="C25" s="150"/>
      <c r="D25" s="51" t="s">
        <v>310</v>
      </c>
      <c r="E25" s="150"/>
      <c r="F25" s="51" t="s">
        <v>262</v>
      </c>
      <c r="G25" s="150"/>
      <c r="H25" s="150"/>
      <c r="I25" s="150"/>
      <c r="J25" s="150"/>
      <c r="K25" s="150"/>
      <c r="L25" s="150"/>
      <c r="M25" s="150"/>
      <c r="N25" s="150"/>
      <c r="O25" s="150"/>
      <c r="P25" s="150"/>
      <c r="Q25" s="150"/>
      <c r="R25" s="150"/>
      <c r="S25" s="187">
        <f>S13*'INPUT Reg'!S$12*1000</f>
        <v>0</v>
      </c>
      <c r="T25" s="187">
        <f>T13*'INPUT Reg'!T$12*1000</f>
        <v>1302096.7741935481</v>
      </c>
      <c r="U25" s="187">
        <f>U13*'INPUT Reg'!U$12*1000</f>
        <v>1087617.9775280901</v>
      </c>
      <c r="V25" s="187">
        <f>V13*'INPUT Reg'!V$12*1000</f>
        <v>9357981.5157116447</v>
      </c>
      <c r="W25" s="187">
        <f>W13*'INPUT Reg'!W$12*1000</f>
        <v>11598000</v>
      </c>
      <c r="X25" s="187">
        <f>X13*'INPUT Reg'!X$12*1000</f>
        <v>16257641.448490229</v>
      </c>
      <c r="Y25" s="187">
        <f>Y13*'INPUT Reg'!Y$12*1000</f>
        <v>18469730.325223491</v>
      </c>
      <c r="Z25" s="187">
        <f>Z13*'INPUT Reg'!Z$12*1000</f>
        <v>12297037.170051457</v>
      </c>
      <c r="AA25" s="187">
        <f>AA13*'INPUT Reg'!AA$12*1000</f>
        <v>0</v>
      </c>
      <c r="AB25" s="187">
        <f>AB13*'INPUT Reg'!AB$12*1000</f>
        <v>0</v>
      </c>
      <c r="AC25" s="187">
        <f>AC13*'INPUT Reg'!AC$12*1000</f>
        <v>0</v>
      </c>
      <c r="AD25" s="150"/>
      <c r="AE25" s="150"/>
      <c r="AF25" s="150"/>
      <c r="AG25" s="150"/>
      <c r="AH25" s="150"/>
      <c r="AI25" s="150"/>
      <c r="AJ25" s="150"/>
      <c r="AK25" s="150"/>
      <c r="AL25" s="150"/>
      <c r="AM25" s="150"/>
      <c r="AN25" s="150"/>
      <c r="AO25" s="150"/>
      <c r="AP25" s="150"/>
      <c r="AQ25" s="150"/>
      <c r="AR25" s="150"/>
      <c r="AS25" s="150"/>
      <c r="AT25" s="150"/>
      <c r="AU25" s="150"/>
      <c r="AV25" s="150"/>
      <c r="AW25" s="150"/>
    </row>
    <row r="26" spans="3:73" outlineLevel="1" x14ac:dyDescent="0.2">
      <c r="C26" s="150"/>
      <c r="D26" s="51" t="s">
        <v>301</v>
      </c>
      <c r="E26" s="150"/>
      <c r="F26" s="51" t="s">
        <v>265</v>
      </c>
      <c r="G26" s="150"/>
      <c r="H26" s="150"/>
      <c r="I26" s="150"/>
      <c r="J26" s="150"/>
      <c r="K26" s="150"/>
      <c r="L26" s="150"/>
      <c r="M26" s="150"/>
      <c r="N26" s="150"/>
      <c r="O26" s="150"/>
      <c r="P26" s="150"/>
      <c r="Q26" s="150"/>
      <c r="R26" s="150"/>
      <c r="S26" s="187">
        <f>S14*'INPUT Reg'!S$12*1000</f>
        <v>2137948.894500732</v>
      </c>
      <c r="T26" s="187">
        <f>T14*'INPUT Reg'!T$12*1000</f>
        <v>4134872.5286160242</v>
      </c>
      <c r="U26" s="187">
        <f>U14*'INPUT Reg'!U$12*1000</f>
        <v>5133904.4943820229</v>
      </c>
      <c r="V26" s="187">
        <f>V14*'INPUT Reg'!V$12*1000</f>
        <v>9304059.1497227363</v>
      </c>
      <c r="W26" s="187">
        <f>W14*'INPUT Reg'!W$12*1000</f>
        <v>9873600</v>
      </c>
      <c r="X26" s="187">
        <f>X14*'INPUT Reg'!X$12*1000</f>
        <v>10516145.648312612</v>
      </c>
      <c r="Y26" s="187">
        <f>Y14*'INPUT Reg'!Y$12*1000</f>
        <v>21199730.06134969</v>
      </c>
      <c r="Z26" s="187">
        <f>Z14*'INPUT Reg'!Z$12*1000</f>
        <v>19910469.98284734</v>
      </c>
      <c r="AA26" s="187">
        <f>AA14*'INPUT Reg'!AA$12*1000</f>
        <v>0</v>
      </c>
      <c r="AB26" s="187">
        <f>AB14*'INPUT Reg'!AB$12*1000</f>
        <v>0</v>
      </c>
      <c r="AC26" s="187">
        <f>AC14*'INPUT Reg'!AC$12*1000</f>
        <v>0</v>
      </c>
      <c r="AD26" s="150"/>
      <c r="AE26" s="150"/>
      <c r="AF26" s="150"/>
      <c r="AG26" s="150"/>
      <c r="AH26" s="150"/>
      <c r="AI26" s="150"/>
      <c r="AJ26" s="150"/>
      <c r="AK26" s="150"/>
      <c r="AL26" s="150"/>
      <c r="AM26" s="150"/>
      <c r="AN26" s="150"/>
      <c r="AO26" s="150"/>
      <c r="AP26" s="150"/>
      <c r="AQ26" s="150"/>
      <c r="AR26" s="150"/>
      <c r="AS26" s="150"/>
      <c r="AT26" s="150"/>
      <c r="AU26" s="150"/>
      <c r="AV26" s="150"/>
      <c r="AW26" s="150"/>
    </row>
    <row r="27" spans="3:73" outlineLevel="1" x14ac:dyDescent="0.2">
      <c r="C27" s="150"/>
      <c r="D27" s="51" t="s">
        <v>303</v>
      </c>
      <c r="E27" s="150"/>
      <c r="F27" s="51" t="s">
        <v>265</v>
      </c>
      <c r="G27" s="150"/>
      <c r="H27" s="150"/>
      <c r="I27" s="150"/>
      <c r="J27" s="150"/>
      <c r="K27" s="150"/>
      <c r="L27" s="150"/>
      <c r="M27" s="150"/>
      <c r="N27" s="150"/>
      <c r="O27" s="150"/>
      <c r="P27" s="150"/>
      <c r="Q27" s="150"/>
      <c r="R27" s="150"/>
      <c r="S27" s="187">
        <f>S15*'INPUT Reg'!S$12*1000</f>
        <v>1679617.3667907713</v>
      </c>
      <c r="T27" s="187">
        <f>T15*'INPUT Reg'!T$12*1000</f>
        <v>3369888.1373569192</v>
      </c>
      <c r="U27" s="187">
        <f>U15*'INPUT Reg'!U$12*1000</f>
        <v>3929578.6516853934</v>
      </c>
      <c r="V27" s="187">
        <f>V15*'INPUT Reg'!V$12*1000</f>
        <v>7127556.3770794822</v>
      </c>
      <c r="W27" s="187">
        <f>W15*'INPUT Reg'!W$12*1000</f>
        <v>7386000</v>
      </c>
      <c r="X27" s="187">
        <f>X15*'INPUT Reg'!X$12*1000</f>
        <v>11765600.355239786</v>
      </c>
      <c r="Y27" s="187">
        <f>Y15*'INPUT Reg'!Y$12*1000</f>
        <v>20369963.190184049</v>
      </c>
      <c r="Z27" s="187">
        <f>Z15*'INPUT Reg'!Z$12*1000</f>
        <v>19770591.766723841</v>
      </c>
      <c r="AA27" s="187">
        <f>AA15*'INPUT Reg'!AA$12*1000</f>
        <v>0</v>
      </c>
      <c r="AB27" s="187">
        <f>AB15*'INPUT Reg'!AB$12*1000</f>
        <v>0</v>
      </c>
      <c r="AC27" s="187">
        <f>AC15*'INPUT Reg'!AC$12*1000</f>
        <v>0</v>
      </c>
      <c r="AD27" s="150"/>
      <c r="AE27" s="150"/>
      <c r="AF27" s="150"/>
      <c r="AG27" s="150"/>
      <c r="AH27" s="150"/>
      <c r="AI27" s="150"/>
      <c r="AJ27" s="150"/>
      <c r="AK27" s="150"/>
      <c r="AL27" s="150"/>
      <c r="AM27" s="150"/>
      <c r="AN27" s="150"/>
      <c r="AO27" s="150"/>
      <c r="AP27" s="150"/>
      <c r="AQ27" s="150"/>
      <c r="AR27" s="150"/>
      <c r="AS27" s="150"/>
      <c r="AT27" s="150"/>
      <c r="AU27" s="150"/>
      <c r="AV27" s="150"/>
      <c r="AW27" s="150"/>
    </row>
    <row r="28" spans="3:73" outlineLevel="1" x14ac:dyDescent="0.2">
      <c r="C28" s="150"/>
      <c r="D28" s="51" t="s">
        <v>310</v>
      </c>
      <c r="E28" s="150"/>
      <c r="F28" s="51" t="s">
        <v>265</v>
      </c>
      <c r="G28" s="150" t="s">
        <v>570</v>
      </c>
      <c r="H28" s="150" t="s">
        <v>449</v>
      </c>
      <c r="I28" s="150"/>
      <c r="J28" s="150"/>
      <c r="K28" s="150"/>
      <c r="L28" s="150"/>
      <c r="M28" s="150"/>
      <c r="N28" s="150"/>
      <c r="O28" s="150"/>
      <c r="P28" s="150"/>
      <c r="Q28" s="150"/>
      <c r="R28" s="150"/>
      <c r="S28" s="187">
        <f>S16*'INPUT Reg'!S$12*1000</f>
        <v>36331.157684326165</v>
      </c>
      <c r="T28" s="187">
        <f>T16*'INPUT Reg'!T$12*1000</f>
        <v>106834.02705515087</v>
      </c>
      <c r="U28" s="187">
        <f>U16*'INPUT Reg'!U$12*1000</f>
        <v>360056.17977528088</v>
      </c>
      <c r="V28" s="187">
        <f>V16*'INPUT Reg'!V$12*1000</f>
        <v>368878.00369685766</v>
      </c>
      <c r="W28" s="187">
        <f>W16*'INPUT Reg'!W$12*1000</f>
        <v>462000</v>
      </c>
      <c r="X28" s="187">
        <f>X16*'INPUT Reg'!X$12*1000</f>
        <v>1411966.2522202486</v>
      </c>
      <c r="Y28" s="187">
        <f>Y16*'INPUT Reg'!Y$12*1000</f>
        <v>0</v>
      </c>
      <c r="Z28" s="187">
        <f>Z16*'INPUT Reg'!Z$12*1000</f>
        <v>0</v>
      </c>
      <c r="AA28" s="187">
        <f>AA16*'INPUT Reg'!AA$12*1000</f>
        <v>0</v>
      </c>
      <c r="AB28" s="187">
        <f>AB16*'INPUT Reg'!AB$12*1000</f>
        <v>0</v>
      </c>
      <c r="AC28" s="187">
        <f>AC16*'INPUT Reg'!AC$12*1000</f>
        <v>0</v>
      </c>
      <c r="AD28" s="150"/>
      <c r="AE28" s="150"/>
      <c r="AF28" s="150"/>
      <c r="AG28" s="150"/>
      <c r="AH28" s="150"/>
      <c r="AI28" s="150"/>
      <c r="AJ28" s="150"/>
      <c r="AK28" s="150"/>
      <c r="AL28" s="150"/>
      <c r="AM28" s="150"/>
      <c r="AN28" s="150"/>
      <c r="AO28" s="150"/>
      <c r="AP28" s="150"/>
      <c r="AQ28" s="150"/>
      <c r="AR28" s="150"/>
      <c r="AS28" s="150"/>
      <c r="AT28" s="150"/>
      <c r="AU28" s="150"/>
      <c r="AV28" s="150"/>
      <c r="AW28" s="150"/>
    </row>
    <row r="29" spans="3:73" outlineLevel="1" x14ac:dyDescent="0.2">
      <c r="C29" s="150"/>
      <c r="D29" s="51" t="s">
        <v>301</v>
      </c>
      <c r="E29" s="150"/>
      <c r="F29" s="51" t="s">
        <v>567</v>
      </c>
      <c r="G29" s="195">
        <v>49725567.522402696</v>
      </c>
      <c r="H29" s="195">
        <v>64544488.372881331</v>
      </c>
      <c r="I29" s="51" t="s">
        <v>571</v>
      </c>
      <c r="J29" s="150"/>
      <c r="K29" s="150"/>
      <c r="L29" s="150"/>
      <c r="M29" s="150"/>
      <c r="N29" s="150"/>
      <c r="O29" s="150"/>
      <c r="P29" s="150"/>
      <c r="Q29" s="150"/>
      <c r="R29" s="150"/>
      <c r="S29" s="187">
        <f>S17*'INPUT Reg'!S$12*1000</f>
        <v>0</v>
      </c>
      <c r="T29" s="187">
        <f>T17*'INPUT Reg'!T$12*1000</f>
        <v>0</v>
      </c>
      <c r="U29" s="187">
        <f>U17*'INPUT Reg'!U$12*1000</f>
        <v>0</v>
      </c>
      <c r="V29" s="187">
        <f>V17*'INPUT Reg'!V$12*1000</f>
        <v>0</v>
      </c>
      <c r="W29" s="187">
        <f>W17*'INPUT Reg'!W$12*1000</f>
        <v>0</v>
      </c>
      <c r="X29" s="187">
        <f>X17*'INPUT Reg'!X$12*1000</f>
        <v>0</v>
      </c>
      <c r="Y29" s="187">
        <f>Y17*'INPUT Reg'!Y$12*1000</f>
        <v>0</v>
      </c>
      <c r="Z29" s="187">
        <f>Z17*'INPUT Reg'!Z$12*1000</f>
        <v>0</v>
      </c>
      <c r="AA29" s="187">
        <f>SUM(G$29:G$30)*$AC29/SUM($AC$29:$AC$30)</f>
        <v>30036302.529955003</v>
      </c>
      <c r="AB29" s="187">
        <f t="shared" ref="AB29:AB30" si="6">SUM(H$29:H$30)*$AC29/SUM($AC$29:$AC$30)</f>
        <v>38190185.932203375</v>
      </c>
      <c r="AC29" s="195">
        <v>30380720.402550001</v>
      </c>
      <c r="AD29" s="150"/>
      <c r="AE29" s="150"/>
      <c r="AF29" s="150"/>
      <c r="AG29" s="150"/>
      <c r="AH29" s="150"/>
      <c r="AI29" s="150"/>
      <c r="AJ29" s="150"/>
      <c r="AK29" s="150"/>
      <c r="AL29" s="150"/>
      <c r="AM29" s="150"/>
      <c r="AN29" s="150"/>
      <c r="AO29" s="150"/>
      <c r="AP29" s="150"/>
      <c r="AQ29" s="150"/>
      <c r="AR29" s="150"/>
      <c r="AS29" s="150"/>
      <c r="AT29" s="150"/>
      <c r="AU29" s="150"/>
      <c r="AV29" s="150"/>
      <c r="AW29" s="150"/>
    </row>
    <row r="30" spans="3:73" outlineLevel="1" x14ac:dyDescent="0.2">
      <c r="C30" s="150"/>
      <c r="D30" s="51" t="s">
        <v>303</v>
      </c>
      <c r="E30" s="150"/>
      <c r="F30" s="51" t="s">
        <v>567</v>
      </c>
      <c r="G30" s="195">
        <v>10347037.537507312</v>
      </c>
      <c r="H30" s="195">
        <v>11835883.491525423</v>
      </c>
      <c r="I30" s="51" t="s">
        <v>571</v>
      </c>
      <c r="J30" s="150"/>
      <c r="K30" s="150"/>
      <c r="L30" s="150"/>
      <c r="M30" s="150"/>
      <c r="N30" s="150"/>
      <c r="O30" s="150"/>
      <c r="P30" s="150"/>
      <c r="Q30" s="150"/>
      <c r="R30" s="150"/>
      <c r="S30" s="187">
        <f>S18*'INPUT Reg'!S$12*1000</f>
        <v>0</v>
      </c>
      <c r="T30" s="187">
        <f>T18*'INPUT Reg'!T$12*1000</f>
        <v>0</v>
      </c>
      <c r="U30" s="187">
        <f>U18*'INPUT Reg'!U$12*1000</f>
        <v>0</v>
      </c>
      <c r="V30" s="187">
        <f>V18*'INPUT Reg'!V$12*1000</f>
        <v>0</v>
      </c>
      <c r="W30" s="187">
        <f>W18*'INPUT Reg'!W$12*1000</f>
        <v>0</v>
      </c>
      <c r="X30" s="187">
        <f>X18*'INPUT Reg'!X$12*1000</f>
        <v>0</v>
      </c>
      <c r="Y30" s="187">
        <f>Y18*'INPUT Reg'!Y$12*1000</f>
        <v>0</v>
      </c>
      <c r="Z30" s="187">
        <f>Z18*'INPUT Reg'!Z$12*1000</f>
        <v>0</v>
      </c>
      <c r="AA30" s="187">
        <f t="shared" ref="AA30" si="7">SUM(G$29:G$30)*$AC30/SUM($AC$29:$AC$30)</f>
        <v>30036302.529955003</v>
      </c>
      <c r="AB30" s="187">
        <f t="shared" si="6"/>
        <v>38190185.932203375</v>
      </c>
      <c r="AC30" s="195">
        <v>30380720.402550001</v>
      </c>
      <c r="AD30" s="150"/>
      <c r="AE30" s="150"/>
      <c r="AF30" s="150"/>
      <c r="AG30" s="150"/>
      <c r="AH30" s="150"/>
      <c r="AI30" s="150"/>
      <c r="AJ30" s="150"/>
      <c r="AK30" s="150"/>
      <c r="AL30" s="150"/>
      <c r="AM30" s="150"/>
      <c r="AN30" s="150"/>
      <c r="AO30" s="150"/>
      <c r="AP30" s="150"/>
      <c r="AQ30" s="150"/>
      <c r="AR30" s="150"/>
      <c r="AS30" s="150"/>
      <c r="AT30" s="150"/>
      <c r="AU30" s="150"/>
      <c r="AV30" s="150"/>
      <c r="AW30" s="150"/>
    </row>
    <row r="31" spans="3:73" outlineLevel="1" x14ac:dyDescent="0.2">
      <c r="C31" s="150"/>
      <c r="D31" s="51" t="s">
        <v>310</v>
      </c>
      <c r="E31" s="150"/>
      <c r="F31" s="51" t="s">
        <v>567</v>
      </c>
      <c r="G31" s="150"/>
      <c r="H31" s="150"/>
      <c r="I31" s="150"/>
      <c r="J31" s="150"/>
      <c r="K31" s="150"/>
      <c r="L31" s="150"/>
      <c r="M31" s="150"/>
      <c r="N31" s="150"/>
      <c r="O31" s="150"/>
      <c r="P31" s="150"/>
      <c r="Q31" s="150"/>
      <c r="R31" s="150"/>
      <c r="S31" s="187">
        <f>S19*'INPUT Reg'!S$12*1000</f>
        <v>0</v>
      </c>
      <c r="T31" s="187">
        <f>T19*'INPUT Reg'!T$12*1000</f>
        <v>0</v>
      </c>
      <c r="U31" s="187">
        <f>U19*'INPUT Reg'!U$12*1000</f>
        <v>0</v>
      </c>
      <c r="V31" s="187">
        <f>V19*'INPUT Reg'!V$12*1000</f>
        <v>0</v>
      </c>
      <c r="W31" s="187">
        <f>W19*'INPUT Reg'!W$12*1000</f>
        <v>0</v>
      </c>
      <c r="X31" s="187">
        <f>X19*'INPUT Reg'!X$12*1000</f>
        <v>0</v>
      </c>
      <c r="Y31" s="187">
        <f>Y19*'INPUT Reg'!Y$12*1000</f>
        <v>0</v>
      </c>
      <c r="Z31" s="187">
        <f>Z19*'INPUT Reg'!Z$12*1000</f>
        <v>0</v>
      </c>
      <c r="AA31" s="195">
        <v>7657323.9184106123</v>
      </c>
      <c r="AB31" s="195">
        <v>13785328.237288136</v>
      </c>
      <c r="AC31" s="195">
        <v>14765133.609187501</v>
      </c>
      <c r="AD31" s="150"/>
      <c r="AE31" s="150"/>
      <c r="AF31" s="150"/>
      <c r="AG31" s="150"/>
      <c r="AH31" s="150"/>
      <c r="AI31" s="150"/>
      <c r="AJ31" s="150"/>
      <c r="AK31" s="150"/>
      <c r="AL31" s="150"/>
      <c r="AM31" s="150"/>
      <c r="AN31" s="150"/>
      <c r="AO31" s="150"/>
      <c r="AP31" s="150"/>
      <c r="AQ31" s="150"/>
      <c r="AR31" s="150"/>
      <c r="AS31" s="150"/>
      <c r="AT31" s="150"/>
      <c r="AU31" s="150"/>
      <c r="AV31" s="150"/>
      <c r="AW31" s="150"/>
    </row>
    <row r="32" spans="3:73" outlineLevel="1" x14ac:dyDescent="0.2">
      <c r="C32" s="150"/>
      <c r="D32" s="150"/>
      <c r="E32" s="150"/>
      <c r="F32" s="150"/>
      <c r="G32" s="150"/>
      <c r="H32" s="150"/>
      <c r="I32" s="150"/>
      <c r="J32" s="150"/>
      <c r="K32" s="150"/>
      <c r="L32" s="150"/>
      <c r="M32" s="150"/>
      <c r="N32" s="150"/>
      <c r="O32" s="150"/>
      <c r="P32" s="150"/>
      <c r="Q32" s="150"/>
      <c r="R32" s="150"/>
      <c r="S32" s="199">
        <f>SUM(S23:S31)</f>
        <v>24278700.153350826</v>
      </c>
      <c r="T32" s="199">
        <f t="shared" ref="T32:AC32" si="8">SUM(T23:T31)</f>
        <v>33423304.370447446</v>
      </c>
      <c r="U32" s="199">
        <f t="shared" si="8"/>
        <v>42861584.269662924</v>
      </c>
      <c r="V32" s="199">
        <f t="shared" si="8"/>
        <v>56515541.589648791</v>
      </c>
      <c r="W32" s="199">
        <f t="shared" si="8"/>
        <v>58668000</v>
      </c>
      <c r="X32" s="199">
        <f t="shared" si="8"/>
        <v>68789965.897140622</v>
      </c>
      <c r="Y32" s="199">
        <f t="shared" si="8"/>
        <v>93833432.258439958</v>
      </c>
      <c r="Z32" s="199">
        <f t="shared" si="8"/>
        <v>73664713.707735837</v>
      </c>
      <c r="AA32" s="199">
        <f t="shared" si="8"/>
        <v>67729928.978320614</v>
      </c>
      <c r="AB32" s="199">
        <f t="shared" si="8"/>
        <v>90165700.101694882</v>
      </c>
      <c r="AC32" s="199">
        <f t="shared" si="8"/>
        <v>75526574.414287508</v>
      </c>
      <c r="AD32" s="150"/>
      <c r="AE32" s="150"/>
      <c r="AF32" s="150"/>
      <c r="AG32" s="150"/>
      <c r="AH32" s="150"/>
      <c r="AI32" s="150"/>
      <c r="AJ32" s="150"/>
      <c r="AK32" s="150"/>
      <c r="AL32" s="150"/>
      <c r="AM32" s="150"/>
      <c r="AN32" s="150"/>
      <c r="AO32" s="150"/>
      <c r="AP32" s="150"/>
      <c r="AQ32" s="150"/>
      <c r="AR32" s="150"/>
      <c r="AS32" s="150"/>
      <c r="AT32" s="150"/>
      <c r="AU32" s="150"/>
      <c r="AV32" s="150"/>
      <c r="AW32" s="150"/>
    </row>
    <row r="33" spans="1:49" outlineLevel="1" x14ac:dyDescent="0.2">
      <c r="A33" s="150"/>
      <c r="B33" s="150"/>
      <c r="C33" s="150"/>
      <c r="D33" s="150"/>
      <c r="E33" s="150"/>
      <c r="F33" s="150"/>
      <c r="G33" s="150"/>
      <c r="H33" s="150"/>
      <c r="I33" s="150"/>
      <c r="J33" s="150"/>
      <c r="K33" s="150"/>
      <c r="L33" s="150"/>
      <c r="M33" s="150"/>
      <c r="N33" s="150"/>
      <c r="O33" s="150"/>
      <c r="P33" s="150"/>
      <c r="Q33" s="150"/>
      <c r="R33" s="150"/>
      <c r="S33" s="150"/>
      <c r="T33" s="150"/>
      <c r="U33" s="150"/>
      <c r="V33" s="150"/>
      <c r="W33" s="200"/>
      <c r="X33" s="200"/>
      <c r="Y33" s="199"/>
      <c r="Z33" s="199"/>
      <c r="AA33" s="200"/>
      <c r="AB33" s="200"/>
      <c r="AC33" s="200"/>
      <c r="AD33" s="150"/>
      <c r="AE33" s="150"/>
      <c r="AF33" s="150"/>
      <c r="AG33" s="150"/>
      <c r="AH33" s="150"/>
      <c r="AI33" s="150"/>
      <c r="AJ33" s="150"/>
      <c r="AK33" s="150"/>
      <c r="AL33" s="150"/>
      <c r="AM33" s="150"/>
      <c r="AN33" s="150"/>
      <c r="AO33" s="150"/>
      <c r="AP33" s="150"/>
      <c r="AQ33" s="150"/>
      <c r="AR33" s="150"/>
      <c r="AS33" s="150"/>
      <c r="AT33" s="150"/>
      <c r="AU33" s="150"/>
      <c r="AV33" s="150"/>
      <c r="AW33" s="150"/>
    </row>
    <row r="34" spans="1:49" outlineLevel="1" x14ac:dyDescent="0.2">
      <c r="A34" s="150"/>
      <c r="B34" s="150"/>
      <c r="C34" s="150"/>
      <c r="D34" s="150"/>
      <c r="E34" s="150"/>
      <c r="F34" s="150"/>
      <c r="G34" s="150"/>
      <c r="H34" s="150"/>
      <c r="I34" s="150"/>
      <c r="J34" s="64"/>
      <c r="K34" s="64" t="s">
        <v>572</v>
      </c>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row>
    <row r="35" spans="1:49" outlineLevel="1" x14ac:dyDescent="0.2">
      <c r="A35" s="71"/>
      <c r="B35" s="71"/>
      <c r="C35" s="150" t="s">
        <v>287</v>
      </c>
      <c r="D35" s="150" t="s">
        <v>301</v>
      </c>
      <c r="E35" s="150"/>
      <c r="F35" s="150" t="s">
        <v>262</v>
      </c>
      <c r="G35" s="150"/>
      <c r="H35" s="150"/>
      <c r="I35" s="150"/>
      <c r="J35" s="199"/>
      <c r="K35" s="199">
        <f>SUM(S35:AC35)</f>
        <v>244752320.3267965</v>
      </c>
      <c r="L35" s="150"/>
      <c r="M35" s="150"/>
      <c r="N35" s="150"/>
      <c r="O35" s="150"/>
      <c r="P35" s="150"/>
      <c r="Q35" s="150"/>
      <c r="R35" s="150"/>
      <c r="S35" s="187" cm="1">
        <f t="array" ref="S35">SUMIFS(S$23:S$31,$D$23:$D$31,$D35)*SUMIFS('INPUT Growth'!S$64:S$111,'INPUT Growth'!$C$64:$C$111,$C35,'INPUT Growth'!$D$64:$D$111,$D35)/SUMPRODUCT('INPUT Growth'!S$64:S$111*('INPUT Growth'!$D$64:$D$111=$D35))</f>
        <v>11897905.296419084</v>
      </c>
      <c r="T35" s="187" cm="1">
        <f t="array" ref="T35">SUMIFS(T$23:T$31,$D$23:$D$31,$D35)*SUMIFS('INPUT Growth'!T$64:T$111,'INPUT Growth'!$C$64:$C$111,$C35,'INPUT Growth'!$D$64:$D$111,$D35)/SUMPRODUCT('INPUT Growth'!T$64:T$111*('INPUT Growth'!$D$64:$D$111=$D35))</f>
        <v>15636740.420075567</v>
      </c>
      <c r="U35" s="187" cm="1">
        <f t="array" ref="U35">SUMIFS(U$23:U$31,$D$23:$D$31,$D35)*SUMIFS('INPUT Growth'!U$64:U$111,'INPUT Growth'!$C$64:$C$111,$C35,'INPUT Growth'!$D$64:$D$111,$D35)/SUMPRODUCT('INPUT Growth'!U$64:U$111*('INPUT Growth'!$D$64:$D$111=$D35))</f>
        <v>21389701.202775791</v>
      </c>
      <c r="V35" s="187" cm="1">
        <f t="array" ref="V35">SUMIFS(V$23:V$31,$D$23:$D$31,$D35)*SUMIFS('INPUT Growth'!V$64:V$111,'INPUT Growth'!$C$64:$C$111,$C35,'INPUT Growth'!$D$64:$D$111,$D35)/SUMPRODUCT('INPUT Growth'!V$64:V$111*('INPUT Growth'!$D$64:$D$111=$D35))</f>
        <v>22754799.677577533</v>
      </c>
      <c r="W35" s="187" cm="1">
        <f t="array" ref="W35">SUMIFS(W$23:W$31,$D$23:$D$31,$D35)*SUMIFS('INPUT Growth'!W$64:W$111,'INPUT Growth'!$C$64:$C$111,$C35,'INPUT Growth'!$D$64:$D$111,$D35)/SUMPRODUCT('INPUT Growth'!W$64:W$111*('INPUT Growth'!$D$64:$D$111=$D35))</f>
        <v>22018449.559631396</v>
      </c>
      <c r="X35" s="187" cm="1">
        <f t="array" ref="X35">SUMIFS(X$23:X$31,$D$23:$D$31,$D35)*SUMIFS('INPUT Growth'!X$64:X$111,'INPUT Growth'!$C$64:$C$111,$C35,'INPUT Growth'!$D$64:$D$111,$D35)/SUMPRODUCT('INPUT Growth'!X$64:X$111*('INPUT Growth'!$D$64:$D$111=$D35))</f>
        <v>21300747.466690823</v>
      </c>
      <c r="Y35" s="187" cm="1">
        <f t="array" ref="Y35">SUMIFS(Y$23:Y$31,$D$23:$D$31,$D35)*SUMIFS('INPUT Growth'!Y$64:Y$111,'INPUT Growth'!$C$64:$C$111,$C35,'INPUT Growth'!$D$64:$D$111,$D35)/SUMPRODUCT('INPUT Growth'!Y$64:Y$111*('INPUT Growth'!$D$64:$D$111=$D35))</f>
        <v>31541449.177032754</v>
      </c>
      <c r="Z35" s="187" cm="1">
        <f t="array" ref="Z35">SUMIFS(Z$23:Z$31,$D$23:$D$31,$D35)*SUMIFS('INPUT Growth'!Z$64:Z$111,'INPUT Growth'!$C$64:$C$111,$C35,'INPUT Growth'!$D$64:$D$111,$D35)/SUMPRODUCT('INPUT Growth'!Z$64:Z$111*('INPUT Growth'!$D$64:$D$111=$D35))</f>
        <v>25269286.691610917</v>
      </c>
      <c r="AA35" s="187" cm="1">
        <f t="array" ref="AA35">SUMIFS(AA$23:AA$31,$D$23:$D$31,$D35)*SUMIFS('INPUT Growth'!AA$64:AA$111,'INPUT Growth'!$C$64:$C$111,$C35,'INPUT Growth'!$D$64:$D$111,$D35)/SUMPRODUCT('INPUT Growth'!AA$64:AA$111*('INPUT Growth'!$D$64:$D$111=$D35))</f>
        <v>20704966.442841697</v>
      </c>
      <c r="AB35" s="187" cm="1">
        <f t="array" ref="AB35">SUMIFS(AB$23:AB$31,$D$23:$D$31,$D35)*SUMIFS('INPUT Growth'!AB$64:AB$111,'INPUT Growth'!$C$64:$C$111,$C35,'INPUT Growth'!$D$64:$D$111,$D35)/SUMPRODUCT('INPUT Growth'!AB$64:AB$111*('INPUT Growth'!$D$64:$D$111=$D35))</f>
        <v>28743423.666631252</v>
      </c>
      <c r="AC35" s="187" cm="1">
        <f t="array" ref="AC35">SUMIFS(AC$23:AC$31,$D$23:$D$31,$D35)*SUMIFS('INPUT Growth'!AC$64:AC$111,'INPUT Growth'!$C$64:$C$111,$C35,'INPUT Growth'!$D$64:$D$111,$D35)/SUMPRODUCT('INPUT Growth'!AC$64:AC$111*('INPUT Growth'!$D$64:$D$111=$D35))</f>
        <v>23494850.725509644</v>
      </c>
      <c r="AD35" s="150"/>
      <c r="AE35" s="150"/>
      <c r="AF35" s="150"/>
      <c r="AG35" s="150"/>
      <c r="AH35" s="150"/>
      <c r="AI35" s="150"/>
      <c r="AJ35" s="150"/>
      <c r="AK35" s="150"/>
      <c r="AL35" s="150"/>
      <c r="AM35" s="150"/>
      <c r="AN35" s="150"/>
      <c r="AO35" s="150"/>
      <c r="AP35" s="150"/>
      <c r="AQ35" s="150"/>
      <c r="AR35" s="150"/>
      <c r="AS35" s="150"/>
      <c r="AT35" s="150"/>
      <c r="AU35" s="150"/>
      <c r="AV35" s="150"/>
      <c r="AW35" s="150"/>
    </row>
    <row r="36" spans="1:49" outlineLevel="1" x14ac:dyDescent="0.2">
      <c r="A36" s="71"/>
      <c r="B36" s="71"/>
      <c r="C36" s="150" t="s">
        <v>290</v>
      </c>
      <c r="D36" s="150" t="s">
        <v>301</v>
      </c>
      <c r="E36" s="150"/>
      <c r="F36" s="150" t="s">
        <v>265</v>
      </c>
      <c r="G36" s="150"/>
      <c r="H36" s="150"/>
      <c r="I36" s="150"/>
      <c r="J36" s="199"/>
      <c r="K36" s="199">
        <f t="shared" ref="K36:K40" si="9">SUM(S36:AC36)</f>
        <v>48758830.205923639</v>
      </c>
      <c r="L36" s="150"/>
      <c r="M36" s="150"/>
      <c r="N36" s="150"/>
      <c r="O36" s="150"/>
      <c r="P36" s="150"/>
      <c r="Q36" s="150"/>
      <c r="R36" s="150"/>
      <c r="S36" s="187" cm="1">
        <f t="array" ref="S36">SUMIFS(S$23:S$31,$D$23:$D$31,$D36)*SUMIFS('INPUT Growth'!S$64:S$111,'INPUT Growth'!$C$64:$C$111,$C36,'INPUT Growth'!$D$64:$D$111,$D36)/SUMPRODUCT('INPUT Growth'!S$64:S$111*('INPUT Growth'!$D$64:$D$111=$D36))</f>
        <v>735385.39495664765</v>
      </c>
      <c r="T36" s="187" cm="1">
        <f t="array" ref="T36">SUMIFS(T$23:T$31,$D$23:$D$31,$D36)*SUMIFS('INPUT Growth'!T$64:T$111,'INPUT Growth'!$C$64:$C$111,$C36,'INPUT Growth'!$D$64:$D$111,$D36)/SUMPRODUCT('INPUT Growth'!T$64:T$111*('INPUT Growth'!$D$64:$D$111=$D36))</f>
        <v>965551.46337916236</v>
      </c>
      <c r="U36" s="187" cm="1">
        <f t="array" ref="U36">SUMIFS(U$23:U$31,$D$23:$D$31,$D36)*SUMIFS('INPUT Growth'!U$64:U$111,'INPUT Growth'!$C$64:$C$111,$C36,'INPUT Growth'!$D$64:$D$111,$D36)/SUMPRODUCT('INPUT Growth'!U$64:U$111*('INPUT Growth'!$D$64:$D$111=$D36))</f>
        <v>1972978.572505112</v>
      </c>
      <c r="V36" s="187" cm="1">
        <f t="array" ref="V36">SUMIFS(V$23:V$31,$D$23:$D$31,$D36)*SUMIFS('INPUT Growth'!V$64:V$111,'INPUT Growth'!$C$64:$C$111,$C36,'INPUT Growth'!$D$64:$D$111,$D36)/SUMPRODUCT('INPUT Growth'!V$64:V$111*('INPUT Growth'!$D$64:$D$111=$D36))</f>
        <v>1983311.2281525964</v>
      </c>
      <c r="W36" s="187" cm="1">
        <f t="array" ref="W36">SUMIFS(W$23:W$31,$D$23:$D$31,$D36)*SUMIFS('INPUT Growth'!W$64:W$111,'INPUT Growth'!$C$64:$C$111,$C36,'INPUT Growth'!$D$64:$D$111,$D36)/SUMPRODUCT('INPUT Growth'!W$64:W$111*('INPUT Growth'!$D$64:$D$111=$D36))</f>
        <v>2503550.4403686058</v>
      </c>
      <c r="X36" s="187" cm="1">
        <f t="array" ref="X36">SUMIFS(X$23:X$31,$D$23:$D$31,$D36)*SUMIFS('INPUT Growth'!X$64:X$111,'INPUT Growth'!$C$64:$C$111,$C36,'INPUT Growth'!$D$64:$D$111,$D36)/SUMPRODUCT('INPUT Growth'!X$64:X$111*('INPUT Growth'!$D$64:$D$111=$D36))</f>
        <v>3310814.3934336565</v>
      </c>
      <c r="Y36" s="187" cm="1">
        <f t="array" ref="Y36">SUMIFS(Y$23:Y$31,$D$23:$D$31,$D36)*SUMIFS('INPUT Growth'!Y$64:Y$111,'INPUT Growth'!$C$64:$C$111,$C36,'INPUT Growth'!$D$64:$D$111,$D36)/SUMPRODUCT('INPUT Growth'!Y$64:Y$111*('INPUT Growth'!$D$64:$D$111=$D36))</f>
        <v>6109830.3191810865</v>
      </c>
      <c r="Z36" s="187" cm="1">
        <f t="array" ref="Z36">SUMIFS(Z$23:Z$31,$D$23:$D$31,$D36)*SUMIFS('INPUT Growth'!Z$64:Z$111,'INPUT Growth'!$C$64:$C$111,$C36,'INPUT Growth'!$D$64:$D$111,$D36)/SUMPRODUCT('INPUT Growth'!Z$64:Z$111*('INPUT Growth'!$D$64:$D$111=$D36))</f>
        <v>5513440.3642209843</v>
      </c>
      <c r="AA36" s="187" cm="1">
        <f t="array" ref="AA36">SUMIFS(AA$23:AA$31,$D$23:$D$31,$D36)*SUMIFS('INPUT Growth'!AA$64:AA$111,'INPUT Growth'!$C$64:$C$111,$C36,'INPUT Growth'!$D$64:$D$111,$D36)/SUMPRODUCT('INPUT Growth'!AA$64:AA$111*('INPUT Growth'!$D$64:$D$111=$D36))</f>
        <v>9331336.0871133059</v>
      </c>
      <c r="AB36" s="187" cm="1">
        <f t="array" ref="AB36">SUMIFS(AB$23:AB$31,$D$23:$D$31,$D36)*SUMIFS('INPUT Growth'!AB$64:AB$111,'INPUT Growth'!$C$64:$C$111,$C36,'INPUT Growth'!$D$64:$D$111,$D36)/SUMPRODUCT('INPUT Growth'!AB$64:AB$111*('INPUT Growth'!$D$64:$D$111=$D36))</f>
        <v>9446762.2655721214</v>
      </c>
      <c r="AC36" s="187" cm="1">
        <f t="array" ref="AC36">SUMIFS(AC$23:AC$31,$D$23:$D$31,$D36)*SUMIFS('INPUT Growth'!AC$64:AC$111,'INPUT Growth'!$C$64:$C$111,$C36,'INPUT Growth'!$D$64:$D$111,$D36)/SUMPRODUCT('INPUT Growth'!AC$64:AC$111*('INPUT Growth'!$D$64:$D$111=$D36))</f>
        <v>6885869.6770403618</v>
      </c>
      <c r="AD36" s="150"/>
      <c r="AE36" s="150"/>
      <c r="AF36" s="150"/>
      <c r="AG36" s="150"/>
      <c r="AH36" s="150"/>
      <c r="AI36" s="150"/>
      <c r="AJ36" s="150"/>
      <c r="AK36" s="150"/>
      <c r="AL36" s="150"/>
      <c r="AM36" s="150"/>
      <c r="AN36" s="150"/>
      <c r="AO36" s="150"/>
      <c r="AP36" s="150"/>
      <c r="AQ36" s="150"/>
      <c r="AR36" s="150"/>
      <c r="AS36" s="150"/>
      <c r="AT36" s="150"/>
      <c r="AU36" s="150"/>
      <c r="AV36" s="150"/>
      <c r="AW36" s="150"/>
    </row>
    <row r="37" spans="1:49" outlineLevel="1" x14ac:dyDescent="0.2">
      <c r="A37" s="71"/>
      <c r="B37" s="71"/>
      <c r="C37" s="150" t="s">
        <v>287</v>
      </c>
      <c r="D37" s="150" t="s">
        <v>303</v>
      </c>
      <c r="E37" s="150"/>
      <c r="F37" s="150" t="s">
        <v>262</v>
      </c>
      <c r="G37" s="150"/>
      <c r="H37" s="150"/>
      <c r="I37" s="150"/>
      <c r="J37" s="199"/>
      <c r="K37" s="199">
        <f t="shared" si="9"/>
        <v>237334339.48727122</v>
      </c>
      <c r="L37" s="150"/>
      <c r="M37" s="150"/>
      <c r="N37" s="150"/>
      <c r="O37" s="150"/>
      <c r="P37" s="150"/>
      <c r="Q37" s="150"/>
      <c r="R37" s="150"/>
      <c r="S37" s="187" cm="1">
        <f t="array" ref="S37">SUMIFS(S$23:S$31,$D$23:$D$31,$D37)*SUMIFS('INPUT Growth'!S$64:S$111,'INPUT Growth'!$C$64:$C$111,$C37,'INPUT Growth'!$D$64:$D$111,$D37)/SUMPRODUCT('INPUT Growth'!S$64:S$111*('INPUT Growth'!$D$64:$D$111=$D37))</f>
        <v>11285037.124074403</v>
      </c>
      <c r="T37" s="187" cm="1">
        <f t="array" ref="T37">SUMIFS(T$23:T$31,$D$23:$D$31,$D37)*SUMIFS('INPUT Growth'!T$64:T$111,'INPUT Growth'!$C$64:$C$111,$C37,'INPUT Growth'!$D$64:$D$111,$D37)/SUMPRODUCT('INPUT Growth'!T$64:T$111*('INPUT Growth'!$D$64:$D$111=$D37))</f>
        <v>15001771.099796444</v>
      </c>
      <c r="U37" s="187" cm="1">
        <f t="array" ref="U37">SUMIFS(U$23:U$31,$D$23:$D$31,$D37)*SUMIFS('INPUT Growth'!U$64:U$111,'INPUT Growth'!$C$64:$C$111,$C37,'INPUT Growth'!$D$64:$D$111,$D37)/SUMPRODUCT('INPUT Growth'!U$64:U$111*('INPUT Growth'!$D$64:$D$111=$D37))</f>
        <v>16870532.345780972</v>
      </c>
      <c r="V37" s="187" cm="1">
        <f t="array" ref="V37">SUMIFS(V$23:V$31,$D$23:$D$31,$D37)*SUMIFS('INPUT Growth'!V$64:V$111,'INPUT Growth'!$C$64:$C$111,$C37,'INPUT Growth'!$D$64:$D$111,$D37)/SUMPRODUCT('INPUT Growth'!V$64:V$111*('INPUT Growth'!$D$64:$D$111=$D37))</f>
        <v>20713561.061569393</v>
      </c>
      <c r="W37" s="187" cm="1">
        <f t="array" ref="W37">SUMIFS(W$23:W$31,$D$23:$D$31,$D37)*SUMIFS('INPUT Growth'!W$64:W$111,'INPUT Growth'!$C$64:$C$111,$C37,'INPUT Growth'!$D$64:$D$111,$D37)/SUMPRODUCT('INPUT Growth'!W$64:W$111*('INPUT Growth'!$D$64:$D$111=$D37))</f>
        <v>19555918.436331127</v>
      </c>
      <c r="X37" s="187" cm="1">
        <f t="array" ref="X37">SUMIFS(X$23:X$31,$D$23:$D$31,$D37)*SUMIFS('INPUT Growth'!X$64:X$111,'INPUT Growth'!$C$64:$C$111,$C37,'INPUT Growth'!$D$64:$D$111,$D37)/SUMPRODUCT('INPUT Growth'!X$64:X$111*('INPUT Growth'!$D$64:$D$111=$D37))</f>
        <v>23246489.627305627</v>
      </c>
      <c r="Y37" s="187" cm="1">
        <f t="array" ref="Y37">SUMIFS(Y$23:Y$31,$D$23:$D$31,$D37)*SUMIFS('INPUT Growth'!Y$64:Y$111,'INPUT Growth'!$C$64:$C$111,$C37,'INPUT Growth'!$D$64:$D$111,$D37)/SUMPRODUCT('INPUT Growth'!Y$64:Y$111*('INPUT Growth'!$D$64:$D$111=$D37))</f>
        <v>31690795.777085952</v>
      </c>
      <c r="Z37" s="187" cm="1">
        <f t="array" ref="Z37">SUMIFS(Z$23:Z$31,$D$23:$D$31,$D37)*SUMIFS('INPUT Growth'!Z$64:Z$111,'INPUT Growth'!$C$64:$C$111,$C37,'INPUT Growth'!$D$64:$D$111,$D37)/SUMPRODUCT('INPUT Growth'!Z$64:Z$111*('INPUT Growth'!$D$64:$D$111=$D37))</f>
        <v>25127968.790471748</v>
      </c>
      <c r="AA37" s="187" cm="1">
        <f t="array" ref="AA37">SUMIFS(AA$23:AA$31,$D$23:$D$31,$D37)*SUMIFS('INPUT Growth'!AA$64:AA$111,'INPUT Growth'!$C$64:$C$111,$C37,'INPUT Growth'!$D$64:$D$111,$D37)/SUMPRODUCT('INPUT Growth'!AA$64:AA$111*('INPUT Growth'!$D$64:$D$111=$D37))</f>
        <v>20760473.093043361</v>
      </c>
      <c r="AB37" s="187" cm="1">
        <f t="array" ref="AB37">SUMIFS(AB$23:AB$31,$D$23:$D$31,$D37)*SUMIFS('INPUT Growth'!AB$64:AB$111,'INPUT Growth'!$C$64:$C$111,$C37,'INPUT Growth'!$D$64:$D$111,$D37)/SUMPRODUCT('INPUT Growth'!AB$64:AB$111*('INPUT Growth'!$D$64:$D$111=$D37))</f>
        <v>29586941.406302553</v>
      </c>
      <c r="AC37" s="187" cm="1">
        <f t="array" ref="AC37">SUMIFS(AC$23:AC$31,$D$23:$D$31,$D37)*SUMIFS('INPUT Growth'!AC$64:AC$111,'INPUT Growth'!$C$64:$C$111,$C37,'INPUT Growth'!$D$64:$D$111,$D37)/SUMPRODUCT('INPUT Growth'!AC$64:AC$111*('INPUT Growth'!$D$64:$D$111=$D37))</f>
        <v>23494850.725509673</v>
      </c>
      <c r="AD37" s="150"/>
      <c r="AE37" s="150"/>
      <c r="AF37" s="150"/>
      <c r="AG37" s="150"/>
      <c r="AH37" s="150"/>
      <c r="AI37" s="150"/>
      <c r="AJ37" s="150"/>
      <c r="AK37" s="150"/>
      <c r="AL37" s="150"/>
      <c r="AM37" s="150"/>
      <c r="AN37" s="150"/>
      <c r="AO37" s="150"/>
      <c r="AP37" s="150"/>
      <c r="AQ37" s="150"/>
      <c r="AR37" s="150"/>
      <c r="AS37" s="150"/>
      <c r="AT37" s="150"/>
      <c r="AU37" s="150"/>
      <c r="AV37" s="150"/>
      <c r="AW37" s="150"/>
    </row>
    <row r="38" spans="1:49" outlineLevel="1" x14ac:dyDescent="0.2">
      <c r="A38" s="71"/>
      <c r="B38" s="71"/>
      <c r="C38" s="150" t="s">
        <v>290</v>
      </c>
      <c r="D38" s="150" t="s">
        <v>303</v>
      </c>
      <c r="E38" s="150"/>
      <c r="F38" s="150" t="s">
        <v>265</v>
      </c>
      <c r="G38" s="150"/>
      <c r="H38" s="150"/>
      <c r="I38" s="150"/>
      <c r="J38" s="199"/>
      <c r="K38" s="199">
        <f t="shared" si="9"/>
        <v>45287999.124221511</v>
      </c>
      <c r="L38" s="150"/>
      <c r="M38" s="150"/>
      <c r="N38" s="150"/>
      <c r="O38" s="150"/>
      <c r="P38" s="150"/>
      <c r="Q38" s="150"/>
      <c r="R38" s="150"/>
      <c r="S38" s="187" cm="1">
        <f t="array" ref="S38">SUMIFS(S$23:S$31,$D$23:$D$31,$D38)*SUMIFS('INPUT Growth'!S$64:S$111,'INPUT Growth'!$C$64:$C$111,$C38,'INPUT Growth'!$D$64:$D$111,$D38)/SUMPRODUCT('INPUT Growth'!S$64:S$111*('INPUT Growth'!$D$64:$D$111=$D38))</f>
        <v>324041.18021636608</v>
      </c>
      <c r="T38" s="187" cm="1">
        <f t="array" ref="T38">SUMIFS(T$23:T$31,$D$23:$D$31,$D38)*SUMIFS('INPUT Growth'!T$64:T$111,'INPUT Growth'!$C$64:$C$111,$C38,'INPUT Growth'!$D$64:$D$111,$D38)/SUMPRODUCT('INPUT Growth'!T$64:T$111*('INPUT Growth'!$D$64:$D$111=$D38))</f>
        <v>410310.58594756905</v>
      </c>
      <c r="U38" s="187" cm="1">
        <f t="array" ref="U38">SUMIFS(U$23:U$31,$D$23:$D$31,$D38)*SUMIFS('INPUT Growth'!U$64:U$111,'INPUT Growth'!$C$64:$C$111,$C38,'INPUT Growth'!$D$64:$D$111,$D38)/SUMPRODUCT('INPUT Growth'!U$64:U$111*('INPUT Growth'!$D$64:$D$111=$D38))</f>
        <v>1180697.9912976788</v>
      </c>
      <c r="V38" s="187" cm="1">
        <f t="array" ref="V38">SUMIFS(V$23:V$31,$D$23:$D$31,$D38)*SUMIFS('INPUT Growth'!V$64:V$111,'INPUT Growth'!$C$64:$C$111,$C38,'INPUT Growth'!$D$64:$D$111,$D38)/SUMPRODUCT('INPUT Growth'!V$64:V$111*('INPUT Growth'!$D$64:$D$111=$D38))</f>
        <v>1337010.1029407722</v>
      </c>
      <c r="W38" s="187" cm="1">
        <f t="array" ref="W38">SUMIFS(W$23:W$31,$D$23:$D$31,$D38)*SUMIFS('INPUT Growth'!W$64:W$111,'INPUT Growth'!$C$64:$C$111,$C38,'INPUT Growth'!$D$64:$D$111,$D38)/SUMPRODUCT('INPUT Growth'!W$64:W$111*('INPUT Growth'!$D$64:$D$111=$D38))</f>
        <v>2530081.5636688741</v>
      </c>
      <c r="X38" s="187" cm="1">
        <f t="array" ref="X38">SUMIFS(X$23:X$31,$D$23:$D$31,$D38)*SUMIFS('INPUT Growth'!X$64:X$111,'INPUT Growth'!$C$64:$C$111,$C38,'INPUT Growth'!$D$64:$D$111,$D38)/SUMPRODUCT('INPUT Growth'!X$64:X$111*('INPUT Growth'!$D$64:$D$111=$D38))</f>
        <v>3262306.7090000357</v>
      </c>
      <c r="Y38" s="187" cm="1">
        <f t="array" ref="Y38">SUMIFS(Y$23:Y$31,$D$23:$D$31,$D38)*SUMIFS('INPUT Growth'!Y$64:Y$111,'INPUT Growth'!$C$64:$C$111,$C38,'INPUT Growth'!$D$64:$D$111,$D38)/SUMPRODUCT('INPUT Growth'!Y$64:Y$111*('INPUT Growth'!$D$64:$D$111=$D38))</f>
        <v>6021626.6599166747</v>
      </c>
      <c r="Z38" s="187" cm="1">
        <f t="array" ref="Z38">SUMIFS(Z$23:Z$31,$D$23:$D$31,$D38)*SUMIFS('INPUT Growth'!Z$64:Z$111,'INPUT Growth'!$C$64:$C$111,$C38,'INPUT Growth'!$D$64:$D$111,$D38)/SUMPRODUCT('INPUT Growth'!Z$64:Z$111*('INPUT Growth'!$D$64:$D$111=$D38))</f>
        <v>5456980.6913807401</v>
      </c>
      <c r="AA38" s="187" cm="1">
        <f t="array" ref="AA38">SUMIFS(AA$23:AA$31,$D$23:$D$31,$D38)*SUMIFS('INPUT Growth'!AA$64:AA$111,'INPUT Growth'!$C$64:$C$111,$C38,'INPUT Growth'!$D$64:$D$111,$D38)/SUMPRODUCT('INPUT Growth'!AA$64:AA$111*('INPUT Growth'!$D$64:$D$111=$D38))</f>
        <v>9275829.4369116407</v>
      </c>
      <c r="AB38" s="187" cm="1">
        <f t="array" ref="AB38">SUMIFS(AB$23:AB$31,$D$23:$D$31,$D38)*SUMIFS('INPUT Growth'!AB$64:AB$111,'INPUT Growth'!$C$64:$C$111,$C38,'INPUT Growth'!$D$64:$D$111,$D38)/SUMPRODUCT('INPUT Growth'!AB$64:AB$111*('INPUT Growth'!$D$64:$D$111=$D38))</f>
        <v>8603244.525900824</v>
      </c>
      <c r="AC38" s="187" cm="1">
        <f t="array" ref="AC38">SUMIFS(AC$23:AC$31,$D$23:$D$31,$D38)*SUMIFS('INPUT Growth'!AC$64:AC$111,'INPUT Growth'!$C$64:$C$111,$C38,'INPUT Growth'!$D$64:$D$111,$D38)/SUMPRODUCT('INPUT Growth'!AC$64:AC$111*('INPUT Growth'!$D$64:$D$111=$D38))</f>
        <v>6885869.6770403311</v>
      </c>
      <c r="AD38" s="150"/>
      <c r="AE38" s="150"/>
      <c r="AF38" s="150"/>
      <c r="AG38" s="150"/>
      <c r="AH38" s="150"/>
      <c r="AI38" s="150"/>
      <c r="AJ38" s="150"/>
      <c r="AK38" s="150"/>
      <c r="AL38" s="150"/>
      <c r="AM38" s="150"/>
      <c r="AN38" s="150"/>
      <c r="AO38" s="150"/>
      <c r="AP38" s="150"/>
      <c r="AQ38" s="150"/>
      <c r="AR38" s="150"/>
      <c r="AS38" s="150"/>
      <c r="AT38" s="150"/>
      <c r="AU38" s="150"/>
      <c r="AV38" s="150"/>
      <c r="AW38" s="150"/>
    </row>
    <row r="39" spans="1:49" outlineLevel="1" x14ac:dyDescent="0.2">
      <c r="A39" s="71"/>
      <c r="B39" s="71"/>
      <c r="C39" s="150" t="s">
        <v>283</v>
      </c>
      <c r="D39" s="150" t="s">
        <v>310</v>
      </c>
      <c r="E39" s="150"/>
      <c r="F39" s="150" t="s">
        <v>262</v>
      </c>
      <c r="G39" s="150"/>
      <c r="H39" s="150"/>
      <c r="I39" s="150"/>
      <c r="J39" s="199"/>
      <c r="K39" s="199">
        <f t="shared" si="9"/>
        <v>85586161.510670334</v>
      </c>
      <c r="L39" s="150"/>
      <c r="M39" s="150"/>
      <c r="N39" s="150"/>
      <c r="O39" s="150"/>
      <c r="P39" s="150"/>
      <c r="Q39" s="150"/>
      <c r="R39" s="150"/>
      <c r="S39" s="187" cm="1">
        <f t="array" ref="S39">SUMIFS(S$23:S$31,$D$23:$D$31,$D39)*SUMIFS('INPUT Growth'!S$64:S$111,'INPUT Growth'!$C$64:$C$111,$C39,'INPUT Growth'!$D$64:$D$111,$D39)/SUMPRODUCT('INPUT Growth'!S$64:S$111*('INPUT Growth'!$D$64:$D$111=$D39))</f>
        <v>14886.36918822543</v>
      </c>
      <c r="T39" s="187" cm="1">
        <f t="array" ref="T39">SUMIFS(T$23:T$31,$D$23:$D$31,$D39)*SUMIFS('INPUT Growth'!T$64:T$111,'INPUT Growth'!$C$64:$C$111,$C39,'INPUT Growth'!$D$64:$D$111,$D39)/SUMPRODUCT('INPUT Growth'!T$64:T$111*('INPUT Growth'!$D$64:$D$111=$D39))</f>
        <v>513271.69444397045</v>
      </c>
      <c r="U39" s="187" cm="1">
        <f t="array" ref="U39">SUMIFS(U$23:U$31,$D$23:$D$31,$D39)*SUMIFS('INPUT Growth'!U$64:U$111,'INPUT Growth'!$C$64:$C$111,$C39,'INPUT Growth'!$D$64:$D$111,$D39)/SUMPRODUCT('INPUT Growth'!U$64:U$111*('INPUT Growth'!$D$64:$D$111=$D39))</f>
        <v>900244.90094233933</v>
      </c>
      <c r="V39" s="187" cm="1">
        <f t="array" ref="V39">SUMIFS(V$23:V$31,$D$23:$D$31,$D39)*SUMIFS('INPUT Growth'!V$64:V$111,'INPUT Growth'!$C$64:$C$111,$C39,'INPUT Growth'!$D$64:$D$111,$D39)/SUMPRODUCT('INPUT Growth'!V$64:V$111*('INPUT Growth'!$D$64:$D$111=$D39))</f>
        <v>6880052.4409737308</v>
      </c>
      <c r="W39" s="187" cm="1">
        <f t="array" ref="W39">SUMIFS(W$23:W$31,$D$23:$D$31,$D39)*SUMIFS('INPUT Growth'!W$64:W$111,'INPUT Growth'!$C$64:$C$111,$C39,'INPUT Growth'!$D$64:$D$111,$D39)/SUMPRODUCT('INPUT Growth'!W$64:W$111*('INPUT Growth'!$D$64:$D$111=$D39))</f>
        <v>9231363.2514817957</v>
      </c>
      <c r="X39" s="187" cm="1">
        <f t="array" ref="X39">SUMIFS(X$23:X$31,$D$23:$D$31,$D39)*SUMIFS('INPUT Growth'!X$64:X$111,'INPUT Growth'!$C$64:$C$111,$C39,'INPUT Growth'!$D$64:$D$111,$D39)/SUMPRODUCT('INPUT Growth'!X$64:X$111*('INPUT Growth'!$D$64:$D$111=$D39))</f>
        <v>12470951.608612023</v>
      </c>
      <c r="Y39" s="187" cm="1">
        <f t="array" ref="Y39">SUMIFS(Y$23:Y$31,$D$23:$D$31,$D39)*SUMIFS('INPUT Growth'!Y$64:Y$111,'INPUT Growth'!$C$64:$C$111,$C39,'INPUT Growth'!$D$64:$D$111,$D39)/SUMPRODUCT('INPUT Growth'!Y$64:Y$111*('INPUT Growth'!$D$64:$D$111=$D39))</f>
        <v>13429445.571847038</v>
      </c>
      <c r="Z39" s="187" cm="1">
        <f t="array" ref="Z39">SUMIFS(Z$23:Z$31,$D$23:$D$31,$D39)*SUMIFS('INPUT Growth'!Z$64:Z$111,'INPUT Growth'!$C$64:$C$111,$C39,'INPUT Growth'!$D$64:$D$111,$D39)/SUMPRODUCT('INPUT Growth'!Z$64:Z$111*('INPUT Growth'!$D$64:$D$111=$D39))</f>
        <v>10589556.550340101</v>
      </c>
      <c r="AA39" s="187" cm="1">
        <f t="array" ref="AA39">SUMIFS(AA$23:AA$31,$D$23:$D$31,$D39)*SUMIFS('INPUT Growth'!AA$64:AA$111,'INPUT Growth'!$C$64:$C$111,$C39,'INPUT Growth'!$D$64:$D$111,$D39)/SUMPRODUCT('INPUT Growth'!AA$64:AA$111*('INPUT Growth'!$D$64:$D$111=$D39))</f>
        <v>6005139.528649983</v>
      </c>
      <c r="AB39" s="187" cm="1">
        <f t="array" ref="AB39">SUMIFS(AB$23:AB$31,$D$23:$D$31,$D39)*SUMIFS('INPUT Growth'!AB$64:AB$111,'INPUT Growth'!$C$64:$C$111,$C39,'INPUT Growth'!$D$64:$D$111,$D39)/SUMPRODUCT('INPUT Growth'!AB$64:AB$111*('INPUT Growth'!$D$64:$D$111=$D39))</f>
        <v>12936590.515005125</v>
      </c>
      <c r="AC39" s="187" cm="1">
        <f t="array" ref="AC39">SUMIFS(AC$23:AC$31,$D$23:$D$31,$D39)*SUMIFS('INPUT Growth'!AC$64:AC$111,'INPUT Growth'!$C$64:$C$111,$C39,'INPUT Growth'!$D$64:$D$111,$D39)/SUMPRODUCT('INPUT Growth'!AC$64:AC$111*('INPUT Growth'!$D$64:$D$111=$D39))</f>
        <v>12614659.079186011</v>
      </c>
      <c r="AD39" s="150"/>
      <c r="AE39" s="150"/>
      <c r="AF39" s="150"/>
      <c r="AG39" s="150"/>
      <c r="AH39" s="150"/>
      <c r="AI39" s="150"/>
      <c r="AJ39" s="150"/>
      <c r="AK39" s="150"/>
      <c r="AL39" s="150"/>
      <c r="AM39" s="150"/>
      <c r="AN39" s="150"/>
      <c r="AO39" s="150"/>
      <c r="AP39" s="150"/>
      <c r="AQ39" s="150"/>
      <c r="AR39" s="150"/>
      <c r="AS39" s="150"/>
      <c r="AT39" s="150"/>
      <c r="AU39" s="150"/>
      <c r="AV39" s="150"/>
      <c r="AW39" s="150"/>
    </row>
    <row r="40" spans="1:49" outlineLevel="1" x14ac:dyDescent="0.2">
      <c r="A40" s="71"/>
      <c r="B40" s="71"/>
      <c r="C40" s="150" t="s">
        <v>312</v>
      </c>
      <c r="D40" s="150" t="s">
        <v>310</v>
      </c>
      <c r="E40" s="150"/>
      <c r="F40" s="150" t="s">
        <v>262</v>
      </c>
      <c r="G40" s="150"/>
      <c r="H40" s="150"/>
      <c r="I40" s="150"/>
      <c r="J40" s="199"/>
      <c r="K40" s="199">
        <f t="shared" si="9"/>
        <v>23737795.085846227</v>
      </c>
      <c r="L40" s="150"/>
      <c r="M40" s="150"/>
      <c r="N40" s="150"/>
      <c r="O40" s="150"/>
      <c r="P40" s="150"/>
      <c r="Q40" s="150"/>
      <c r="R40" s="150"/>
      <c r="S40" s="187" cm="1">
        <f t="array" ref="S40">SUMIFS(S$23:S$31,$D$23:$D$31,$D40)*SUMIFS('INPUT Growth'!S$64:S$111,'INPUT Growth'!$C$64:$C$111,$C40,'INPUT Growth'!$D$64:$D$111,$D40)/SUMPRODUCT('INPUT Growth'!S$64:S$111*('INPUT Growth'!$D$64:$D$111=$D40))</f>
        <v>21444.78849610074</v>
      </c>
      <c r="T40" s="187" cm="1">
        <f t="array" ref="T40">SUMIFS(T$23:T$31,$D$23:$D$31,$D40)*SUMIFS('INPUT Growth'!T$64:T$111,'INPUT Growth'!$C$64:$C$111,$C40,'INPUT Growth'!$D$64:$D$111,$D40)/SUMPRODUCT('INPUT Growth'!T$64:T$111*('INPUT Growth'!$D$64:$D$111=$D40))</f>
        <v>895659.10680472851</v>
      </c>
      <c r="U40" s="187" cm="1">
        <f t="array" ref="U40">SUMIFS(U$23:U$31,$D$23:$D$31,$D40)*SUMIFS('INPUT Growth'!U$64:U$111,'INPUT Growth'!$C$64:$C$111,$C40,'INPUT Growth'!$D$64:$D$111,$D40)/SUMPRODUCT('INPUT Growth'!U$64:U$111*('INPUT Growth'!$D$64:$D$111=$D40))</f>
        <v>547429.25636103167</v>
      </c>
      <c r="V40" s="187" cm="1">
        <f t="array" ref="V40">SUMIFS(V$23:V$31,$D$23:$D$31,$D40)*SUMIFS('INPUT Growth'!V$64:V$111,'INPUT Growth'!$C$64:$C$111,$C40,'INPUT Growth'!$D$64:$D$111,$D40)/SUMPRODUCT('INPUT Growth'!V$64:V$111*('INPUT Growth'!$D$64:$D$111=$D40))</f>
        <v>2846807.0784347714</v>
      </c>
      <c r="W40" s="187" cm="1">
        <f t="array" ref="W40">SUMIFS(W$23:W$31,$D$23:$D$31,$D40)*SUMIFS('INPUT Growth'!W$64:W$111,'INPUT Growth'!$C$64:$C$111,$C40,'INPUT Growth'!$D$64:$D$111,$D40)/SUMPRODUCT('INPUT Growth'!W$64:W$111*('INPUT Growth'!$D$64:$D$111=$D40))</f>
        <v>2828636.7485182052</v>
      </c>
      <c r="X40" s="187" cm="1">
        <f t="array" ref="X40">SUMIFS(X$23:X$31,$D$23:$D$31,$D40)*SUMIFS('INPUT Growth'!X$64:X$111,'INPUT Growth'!$C$64:$C$111,$C40,'INPUT Growth'!$D$64:$D$111,$D40)/SUMPRODUCT('INPUT Growth'!X$64:X$111*('INPUT Growth'!$D$64:$D$111=$D40))</f>
        <v>5198656.0920984512</v>
      </c>
      <c r="Y40" s="187" cm="1">
        <f t="array" ref="Y40">SUMIFS(Y$23:Y$31,$D$23:$D$31,$D40)*SUMIFS('INPUT Growth'!Y$64:Y$111,'INPUT Growth'!$C$64:$C$111,$C40,'INPUT Growth'!$D$64:$D$111,$D40)/SUMPRODUCT('INPUT Growth'!Y$64:Y$111*('INPUT Growth'!$D$64:$D$111=$D40))</f>
        <v>5040284.7533764523</v>
      </c>
      <c r="Z40" s="187" cm="1">
        <f t="array" ref="Z40">SUMIFS(Z$23:Z$31,$D$23:$D$31,$D40)*SUMIFS('INPUT Growth'!Z$64:Z$111,'INPUT Growth'!$C$64:$C$111,$C40,'INPUT Growth'!$D$64:$D$111,$D40)/SUMPRODUCT('INPUT Growth'!Z$64:Z$111*('INPUT Growth'!$D$64:$D$111=$D40))</f>
        <v>1707480.6197113551</v>
      </c>
      <c r="AA40" s="187" cm="1">
        <f t="array" ref="AA40">SUMIFS(AA$23:AA$31,$D$23:$D$31,$D40)*SUMIFS('INPUT Growth'!AA$64:AA$111,'INPUT Growth'!$C$64:$C$111,$C40,'INPUT Growth'!$D$64:$D$111,$D40)/SUMPRODUCT('INPUT Growth'!AA$64:AA$111*('INPUT Growth'!$D$64:$D$111=$D40))</f>
        <v>1652184.3897606293</v>
      </c>
      <c r="AB40" s="187" cm="1">
        <f t="array" ref="AB40">SUMIFS(AB$23:AB$31,$D$23:$D$31,$D40)*SUMIFS('INPUT Growth'!AB$64:AB$111,'INPUT Growth'!$C$64:$C$111,$C40,'INPUT Growth'!$D$64:$D$111,$D40)/SUMPRODUCT('INPUT Growth'!AB$64:AB$111*('INPUT Growth'!$D$64:$D$111=$D40))</f>
        <v>848737.72228301235</v>
      </c>
      <c r="AC40" s="187" cm="1">
        <f t="array" ref="AC40">SUMIFS(AC$23:AC$31,$D$23:$D$31,$D40)*SUMIFS('INPUT Growth'!AC$64:AC$111,'INPUT Growth'!$C$64:$C$111,$C40,'INPUT Growth'!$D$64:$D$111,$D40)/SUMPRODUCT('INPUT Growth'!AC$64:AC$111*('INPUT Growth'!$D$64:$D$111=$D40))</f>
        <v>2150474.5300014885</v>
      </c>
      <c r="AD40" s="150"/>
      <c r="AE40" s="150"/>
      <c r="AF40" s="150"/>
      <c r="AG40" s="150"/>
      <c r="AH40" s="150"/>
      <c r="AI40" s="150"/>
      <c r="AJ40" s="150"/>
      <c r="AK40" s="150"/>
      <c r="AL40" s="150"/>
      <c r="AM40" s="150"/>
      <c r="AN40" s="150"/>
      <c r="AO40" s="150"/>
      <c r="AP40" s="150"/>
      <c r="AQ40" s="150"/>
      <c r="AR40" s="150"/>
      <c r="AS40" s="150"/>
      <c r="AT40" s="150"/>
      <c r="AU40" s="150"/>
      <c r="AV40" s="150"/>
      <c r="AW40" s="150"/>
    </row>
    <row r="41" spans="1:49" outlineLevel="1" x14ac:dyDescent="0.2">
      <c r="A41" s="150"/>
      <c r="B41" s="150"/>
      <c r="C41" s="83"/>
      <c r="D41" s="150"/>
      <c r="E41" s="150"/>
      <c r="F41" s="150"/>
      <c r="G41" s="150"/>
      <c r="H41" s="150"/>
      <c r="I41" s="150"/>
      <c r="J41" s="150"/>
      <c r="K41" s="150"/>
      <c r="L41" s="150"/>
      <c r="M41" s="150"/>
      <c r="N41" s="150"/>
      <c r="O41" s="150"/>
      <c r="P41" s="150"/>
      <c r="Q41" s="150"/>
      <c r="R41" s="84" t="s">
        <v>523</v>
      </c>
      <c r="S41" s="85">
        <f t="shared" ref="S41:Z41" si="10">SUM(S35:S40)-SUM(S23:S31)</f>
        <v>0</v>
      </c>
      <c r="T41" s="85">
        <f t="shared" si="10"/>
        <v>0</v>
      </c>
      <c r="U41" s="85">
        <f t="shared" si="10"/>
        <v>0</v>
      </c>
      <c r="V41" s="85">
        <f t="shared" si="10"/>
        <v>0</v>
      </c>
      <c r="W41" s="85">
        <f t="shared" si="10"/>
        <v>0</v>
      </c>
      <c r="X41" s="85">
        <f t="shared" si="10"/>
        <v>0</v>
      </c>
      <c r="Y41" s="85">
        <f t="shared" si="10"/>
        <v>0</v>
      </c>
      <c r="Z41" s="85">
        <f t="shared" si="10"/>
        <v>0</v>
      </c>
      <c r="AA41" s="85">
        <f>SUM(AA35:AA40)-SUM(AA29:AA31)</f>
        <v>0</v>
      </c>
      <c r="AB41" s="85">
        <f>SUM(AB35:AB40)-SUM(AB29:AB31)</f>
        <v>0</v>
      </c>
      <c r="AC41" s="85">
        <f>SUM(AC35:AC40)-SUM(AC29:AC31)</f>
        <v>0</v>
      </c>
      <c r="AD41" s="150"/>
      <c r="AE41" s="150"/>
      <c r="AF41" s="150"/>
      <c r="AG41" s="150"/>
      <c r="AH41" s="150"/>
      <c r="AI41" s="150"/>
      <c r="AJ41" s="150"/>
      <c r="AK41" s="150"/>
      <c r="AL41" s="150"/>
      <c r="AM41" s="150"/>
      <c r="AN41" s="150"/>
      <c r="AO41" s="150"/>
      <c r="AP41" s="150"/>
      <c r="AQ41" s="150"/>
      <c r="AR41" s="150"/>
      <c r="AS41" s="150"/>
      <c r="AT41" s="150"/>
      <c r="AU41" s="150"/>
      <c r="AV41" s="150"/>
      <c r="AW41" s="150"/>
    </row>
    <row r="42" spans="1:49" ht="15.75" x14ac:dyDescent="0.25">
      <c r="A42" s="150"/>
      <c r="B42" s="78" t="s">
        <v>573</v>
      </c>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row>
    <row r="43" spans="1:49" x14ac:dyDescent="0.2">
      <c r="A43" s="150"/>
      <c r="B43" s="62" t="s">
        <v>574</v>
      </c>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83" t="s">
        <v>575</v>
      </c>
      <c r="AI43" s="150"/>
      <c r="AJ43" s="150"/>
      <c r="AK43" s="150"/>
      <c r="AL43" s="150"/>
      <c r="AM43" s="150"/>
      <c r="AN43" s="150"/>
      <c r="AO43" s="150"/>
      <c r="AP43" s="150"/>
      <c r="AQ43" s="150"/>
      <c r="AR43" s="150"/>
      <c r="AS43" s="150"/>
      <c r="AT43" s="150"/>
      <c r="AU43" s="150"/>
      <c r="AV43" s="150"/>
      <c r="AW43" s="150"/>
    </row>
    <row r="44" spans="1:49" outlineLevel="1" x14ac:dyDescent="0.2">
      <c r="A44" s="150"/>
      <c r="B44" s="150"/>
      <c r="C44" s="150"/>
      <c r="D44" s="150" t="s">
        <v>301</v>
      </c>
      <c r="E44" s="150"/>
      <c r="F44" s="150" t="s">
        <v>567</v>
      </c>
      <c r="G44" s="150" t="s">
        <v>460</v>
      </c>
      <c r="H44" s="150"/>
      <c r="I44" s="150"/>
      <c r="J44" s="201">
        <v>2954.4277740096909</v>
      </c>
      <c r="K44" s="150"/>
      <c r="L44" s="150"/>
      <c r="M44" s="150"/>
      <c r="N44" s="150"/>
      <c r="O44" s="150"/>
      <c r="P44" s="150"/>
      <c r="Q44" s="150"/>
      <c r="R44" s="150"/>
      <c r="S44" s="150"/>
      <c r="T44" s="150"/>
      <c r="U44" s="150"/>
      <c r="V44" s="150"/>
      <c r="W44" s="150"/>
      <c r="X44" s="150"/>
      <c r="Y44" s="150"/>
      <c r="Z44" s="150"/>
      <c r="AA44" s="150"/>
      <c r="AB44" s="150"/>
      <c r="AC44" s="201">
        <v>2758.5214945898761</v>
      </c>
      <c r="AD44" s="201">
        <v>2690.5143026811038</v>
      </c>
      <c r="AE44" s="201">
        <v>2574.1942954616825</v>
      </c>
      <c r="AF44" s="201">
        <v>2971.0427438594638</v>
      </c>
      <c r="AG44" s="201">
        <v>3001.5594324797153</v>
      </c>
      <c r="AH44" s="202">
        <f>AVERAGE(AC44:AG44)</f>
        <v>2799.1664538143682</v>
      </c>
      <c r="AI44" s="202">
        <f>AH44</f>
        <v>2799.1664538143682</v>
      </c>
      <c r="AJ44" s="202">
        <f t="shared" ref="AJ44:AW44" si="11">AI44</f>
        <v>2799.1664538143682</v>
      </c>
      <c r="AK44" s="202">
        <f t="shared" si="11"/>
        <v>2799.1664538143682</v>
      </c>
      <c r="AL44" s="202">
        <f t="shared" si="11"/>
        <v>2799.1664538143682</v>
      </c>
      <c r="AM44" s="202">
        <f t="shared" si="11"/>
        <v>2799.1664538143682</v>
      </c>
      <c r="AN44" s="202">
        <f t="shared" si="11"/>
        <v>2799.1664538143682</v>
      </c>
      <c r="AO44" s="202">
        <f t="shared" si="11"/>
        <v>2799.1664538143682</v>
      </c>
      <c r="AP44" s="202">
        <f t="shared" si="11"/>
        <v>2799.1664538143682</v>
      </c>
      <c r="AQ44" s="202">
        <f t="shared" si="11"/>
        <v>2799.1664538143682</v>
      </c>
      <c r="AR44" s="202">
        <f t="shared" si="11"/>
        <v>2799.1664538143682</v>
      </c>
      <c r="AS44" s="202">
        <f t="shared" si="11"/>
        <v>2799.1664538143682</v>
      </c>
      <c r="AT44" s="202">
        <f t="shared" si="11"/>
        <v>2799.1664538143682</v>
      </c>
      <c r="AU44" s="202">
        <f t="shared" si="11"/>
        <v>2799.1664538143682</v>
      </c>
      <c r="AV44" s="202">
        <f t="shared" si="11"/>
        <v>2799.1664538143682</v>
      </c>
      <c r="AW44" s="202">
        <f t="shared" si="11"/>
        <v>2799.1664538143682</v>
      </c>
    </row>
    <row r="45" spans="1:49" outlineLevel="1" x14ac:dyDescent="0.2">
      <c r="A45" s="150"/>
      <c r="B45" s="150"/>
      <c r="C45" s="150"/>
      <c r="D45" s="150" t="s">
        <v>303</v>
      </c>
      <c r="E45" s="150"/>
      <c r="F45" s="150" t="s">
        <v>567</v>
      </c>
      <c r="G45" s="150" t="s">
        <v>460</v>
      </c>
      <c r="H45" s="150"/>
      <c r="I45" s="150"/>
      <c r="J45" s="201">
        <v>9499.3882043283593</v>
      </c>
      <c r="K45" s="150"/>
      <c r="L45" s="150"/>
      <c r="M45" s="150"/>
      <c r="N45" s="150"/>
      <c r="O45" s="150"/>
      <c r="P45" s="150"/>
      <c r="Q45" s="150"/>
      <c r="R45" s="150"/>
      <c r="S45" s="150"/>
      <c r="T45" s="150"/>
      <c r="U45" s="150"/>
      <c r="V45" s="150"/>
      <c r="W45" s="150"/>
      <c r="X45" s="150"/>
      <c r="Y45" s="150"/>
      <c r="Z45" s="150"/>
      <c r="AA45" s="150"/>
      <c r="AB45" s="150"/>
      <c r="AC45" s="201">
        <v>8421.8208101310101</v>
      </c>
      <c r="AD45" s="201">
        <v>8214.0643157091217</v>
      </c>
      <c r="AE45" s="201">
        <v>7858.8240866514079</v>
      </c>
      <c r="AF45" s="201">
        <v>9070.3148307039264</v>
      </c>
      <c r="AG45" s="201">
        <v>9163.804368196912</v>
      </c>
      <c r="AH45" s="202">
        <f t="shared" ref="AH45:AH46" si="12">AVERAGE(AC45:AG45)</f>
        <v>8545.7656822784775</v>
      </c>
      <c r="AI45" s="202">
        <f t="shared" ref="AI45:AW46" si="13">AH45</f>
        <v>8545.7656822784775</v>
      </c>
      <c r="AJ45" s="202">
        <f t="shared" si="13"/>
        <v>8545.7656822784775</v>
      </c>
      <c r="AK45" s="202">
        <f t="shared" si="13"/>
        <v>8545.7656822784775</v>
      </c>
      <c r="AL45" s="202">
        <f t="shared" si="13"/>
        <v>8545.7656822784775</v>
      </c>
      <c r="AM45" s="202">
        <f t="shared" si="13"/>
        <v>8545.7656822784775</v>
      </c>
      <c r="AN45" s="202">
        <f t="shared" si="13"/>
        <v>8545.7656822784775</v>
      </c>
      <c r="AO45" s="202">
        <f t="shared" si="13"/>
        <v>8545.7656822784775</v>
      </c>
      <c r="AP45" s="202">
        <f t="shared" si="13"/>
        <v>8545.7656822784775</v>
      </c>
      <c r="AQ45" s="202">
        <f t="shared" si="13"/>
        <v>8545.7656822784775</v>
      </c>
      <c r="AR45" s="202">
        <f t="shared" si="13"/>
        <v>8545.7656822784775</v>
      </c>
      <c r="AS45" s="202">
        <f t="shared" si="13"/>
        <v>8545.7656822784775</v>
      </c>
      <c r="AT45" s="202">
        <f t="shared" si="13"/>
        <v>8545.7656822784775</v>
      </c>
      <c r="AU45" s="202">
        <f t="shared" si="13"/>
        <v>8545.7656822784775</v>
      </c>
      <c r="AV45" s="202">
        <f t="shared" si="13"/>
        <v>8545.7656822784775</v>
      </c>
      <c r="AW45" s="202">
        <f t="shared" si="13"/>
        <v>8545.7656822784775</v>
      </c>
    </row>
    <row r="46" spans="1:49" outlineLevel="1" x14ac:dyDescent="0.2">
      <c r="A46" s="150"/>
      <c r="B46" s="150"/>
      <c r="C46" s="150"/>
      <c r="D46" s="150" t="s">
        <v>310</v>
      </c>
      <c r="E46" s="150"/>
      <c r="F46" s="150" t="s">
        <v>567</v>
      </c>
      <c r="G46" s="150" t="s">
        <v>460</v>
      </c>
      <c r="H46" s="150"/>
      <c r="I46" s="150"/>
      <c r="J46" s="201">
        <v>2426.8417361107404</v>
      </c>
      <c r="K46" s="150"/>
      <c r="L46" s="150"/>
      <c r="M46" s="150"/>
      <c r="N46" s="150"/>
      <c r="O46" s="150"/>
      <c r="P46" s="150"/>
      <c r="Q46" s="150"/>
      <c r="R46" s="150"/>
      <c r="S46" s="150"/>
      <c r="T46" s="150"/>
      <c r="U46" s="150"/>
      <c r="V46" s="150"/>
      <c r="W46" s="150"/>
      <c r="X46" s="150"/>
      <c r="Y46" s="150"/>
      <c r="Z46" s="150"/>
      <c r="AA46" s="150"/>
      <c r="AB46" s="150"/>
      <c r="AC46" s="201">
        <v>2265.9283489483923</v>
      </c>
      <c r="AD46" s="201">
        <v>2091.7031187633593</v>
      </c>
      <c r="AE46" s="201">
        <v>2117.0375296158436</v>
      </c>
      <c r="AF46" s="201">
        <v>2597.7627108921301</v>
      </c>
      <c r="AG46" s="201">
        <v>2765.1685163302623</v>
      </c>
      <c r="AH46" s="202">
        <f t="shared" si="12"/>
        <v>2367.5200449099975</v>
      </c>
      <c r="AI46" s="202">
        <f t="shared" si="13"/>
        <v>2367.5200449099975</v>
      </c>
      <c r="AJ46" s="202">
        <f t="shared" si="13"/>
        <v>2367.5200449099975</v>
      </c>
      <c r="AK46" s="202">
        <f t="shared" si="13"/>
        <v>2367.5200449099975</v>
      </c>
      <c r="AL46" s="202">
        <f t="shared" si="13"/>
        <v>2367.5200449099975</v>
      </c>
      <c r="AM46" s="202">
        <f t="shared" si="13"/>
        <v>2367.5200449099975</v>
      </c>
      <c r="AN46" s="202">
        <f t="shared" si="13"/>
        <v>2367.5200449099975</v>
      </c>
      <c r="AO46" s="202">
        <f t="shared" si="13"/>
        <v>2367.5200449099975</v>
      </c>
      <c r="AP46" s="202">
        <f t="shared" si="13"/>
        <v>2367.5200449099975</v>
      </c>
      <c r="AQ46" s="202">
        <f t="shared" si="13"/>
        <v>2367.5200449099975</v>
      </c>
      <c r="AR46" s="202">
        <f t="shared" si="13"/>
        <v>2367.5200449099975</v>
      </c>
      <c r="AS46" s="202">
        <f t="shared" si="13"/>
        <v>2367.5200449099975</v>
      </c>
      <c r="AT46" s="202">
        <f t="shared" si="13"/>
        <v>2367.5200449099975</v>
      </c>
      <c r="AU46" s="202">
        <f t="shared" si="13"/>
        <v>2367.5200449099975</v>
      </c>
      <c r="AV46" s="202">
        <f t="shared" si="13"/>
        <v>2367.5200449099975</v>
      </c>
      <c r="AW46" s="202">
        <f t="shared" si="13"/>
        <v>2367.5200449099975</v>
      </c>
    </row>
    <row r="47" spans="1:49" outlineLevel="1" x14ac:dyDescent="0.2">
      <c r="A47" s="150"/>
      <c r="B47" s="150"/>
      <c r="C47" s="150"/>
      <c r="D47" s="150"/>
      <c r="E47" s="150"/>
      <c r="F47" s="150"/>
      <c r="G47" s="64" t="s">
        <v>576</v>
      </c>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row>
    <row r="48" spans="1:49" outlineLevel="1" x14ac:dyDescent="0.2">
      <c r="A48" s="51" t="str" cm="1">
        <f t="array" ref="A48">INDEX(TariffCode, MATCH(1,(C48=TariffZone)*(D48=TariffProduct),0))</f>
        <v>SW</v>
      </c>
      <c r="B48" s="51" t="str">
        <f>IF($D48="Water",IF(C48="Standard",Assumptions!$H$90,Assumptions!$H$93),"")</f>
        <v>SA</v>
      </c>
      <c r="C48" s="150" t="s">
        <v>287</v>
      </c>
      <c r="D48" s="150" t="s">
        <v>301</v>
      </c>
      <c r="E48" s="150" t="s">
        <v>256</v>
      </c>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87">
        <f>SUMIFS(AC$44:AC$46,$D$44:$D$46,$D48)*SUMIFS('INPUT Growth'!AC$64:AC$115,'INPUT Growth'!$C$64:$C$115,$C48,'INPUT Growth'!$D$64:$D$115,$D48,'INPUT Growth'!$G$64:$G$115,$E48)</f>
        <v>9019718.7339698542</v>
      </c>
      <c r="AD48" s="187">
        <f>SUMIFS(AD$44:AD$46,$D$44:$D$46,$D48)*SUMIFS('INPUT Growth'!AD$64:AD$115,'INPUT Growth'!$C$64:$C$115,$C48,'INPUT Growth'!$D$64:$D$115,$D48,'INPUT Growth'!$G$64:$G$115,$E48)</f>
        <v>9544088.579732962</v>
      </c>
      <c r="AE48" s="187">
        <f>SUMIFS(AE$44:AE$46,$D$44:$D$46,$D48)*SUMIFS('INPUT Growth'!AE$64:AE$115,'INPUT Growth'!$C$64:$C$115,$C48,'INPUT Growth'!$D$64:$D$115,$D48,'INPUT Growth'!$G$64:$G$115,$E48)</f>
        <v>9751473.6738806479</v>
      </c>
      <c r="AF48" s="187">
        <f>SUMIFS(AF$44:AF$46,$D$44:$D$46,$D48)*SUMIFS('INPUT Growth'!AF$64:AF$115,'INPUT Growth'!$C$64:$C$115,$C48,'INPUT Growth'!$D$64:$D$115,$D48,'INPUT Growth'!$G$64:$G$115,$E48)</f>
        <v>10371105.604382807</v>
      </c>
      <c r="AG48" s="187">
        <f>SUMIFS(AG$44:AG$46,$D$44:$D$46,$D48)*SUMIFS('INPUT Growth'!AG$64:AG$115,'INPUT Growth'!$C$64:$C$115,$C48,'INPUT Growth'!$D$64:$D$115,$D48,'INPUT Growth'!$G$64:$G$115,$E48)</f>
        <v>10508638.545562441</v>
      </c>
      <c r="AH48" s="187">
        <f>SUMIFS(AH$44:AH$46,$D$44:$D$46,$D48)*SUMIFS('INPUT Growth'!AH$64:AH$115,'INPUT Growth'!$C$64:$C$115,$C48,'INPUT Growth'!$D$64:$D$115,$D48,'INPUT Growth'!$G$64:$G$115,$E48)</f>
        <v>9468529.8360574432</v>
      </c>
      <c r="AI48" s="187">
        <f>SUMIFS(AI$44:AI$46,$D$44:$D$46,$D48)*SUMIFS('INPUT Growth'!AI$64:AI$115,'INPUT Growth'!$C$64:$C$115,$C48,'INPUT Growth'!$D$64:$D$115,$D48,'INPUT Growth'!$G$64:$G$115,$E48)</f>
        <v>9604022.9159916546</v>
      </c>
      <c r="AJ48" s="187">
        <f>SUMIFS(AJ$44:AJ$46,$D$44:$D$46,$D48)*SUMIFS('INPUT Growth'!AJ$64:AJ$115,'INPUT Growth'!$C$64:$C$115,$C48,'INPUT Growth'!$D$64:$D$115,$D48,'INPUT Growth'!$G$64:$G$115,$E48)</f>
        <v>9337527.6405437943</v>
      </c>
      <c r="AK48" s="187">
        <f>SUMIFS(AK$44:AK$46,$D$44:$D$46,$D48)*SUMIFS('INPUT Growth'!AK$64:AK$115,'INPUT Growth'!$C$64:$C$115,$C48,'INPUT Growth'!$D$64:$D$115,$D48,'INPUT Growth'!$G$64:$G$115,$E48)</f>
        <v>9832457.851763729</v>
      </c>
      <c r="AL48" s="187">
        <f>SUMIFS(AL$44:AL$46,$D$44:$D$46,$D48)*SUMIFS('INPUT Growth'!AL$64:AL$115,'INPUT Growth'!$C$64:$C$115,$C48,'INPUT Growth'!$D$64:$D$115,$D48,'INPUT Growth'!$G$64:$G$115,$E48)</f>
        <v>10082660.013833353</v>
      </c>
      <c r="AM48" s="187">
        <f>SUMIFS(AM$44:AM$46,$D$44:$D$46,$D48)*SUMIFS('INPUT Growth'!AM$64:AM$115,'INPUT Growth'!$C$64:$C$115,$C48,'INPUT Growth'!$D$64:$D$115,$D48,'INPUT Growth'!$G$64:$G$115,$E48)</f>
        <v>9927563.0076135471</v>
      </c>
      <c r="AN48" s="187">
        <f>SUMIFS(AN$44:AN$46,$D$44:$D$46,$D48)*SUMIFS('INPUT Growth'!AN$64:AN$115,'INPUT Growth'!$C$64:$C$115,$C48,'INPUT Growth'!$D$64:$D$115,$D48,'INPUT Growth'!$G$64:$G$115,$E48)</f>
        <v>9702891.7247186098</v>
      </c>
      <c r="AO48" s="187">
        <f>SUMIFS(AO$44:AO$46,$D$44:$D$46,$D48)*SUMIFS('INPUT Growth'!AO$64:AO$115,'INPUT Growth'!$C$64:$C$115,$C48,'INPUT Growth'!$D$64:$D$115,$D48,'INPUT Growth'!$G$64:$G$115,$E48)</f>
        <v>9439166.3469357919</v>
      </c>
      <c r="AP48" s="187">
        <f>SUMIFS(AP$44:AP$46,$D$44:$D$46,$D48)*SUMIFS('INPUT Growth'!AP$64:AP$115,'INPUT Growth'!$C$64:$C$115,$C48,'INPUT Growth'!$D$64:$D$115,$D48,'INPUT Growth'!$G$64:$G$115,$E48)</f>
        <v>8885769.3244767319</v>
      </c>
      <c r="AQ48" s="187">
        <f>SUMIFS(AQ$44:AQ$46,$D$44:$D$46,$D48)*SUMIFS('INPUT Growth'!AQ$64:AQ$115,'INPUT Growth'!$C$64:$C$115,$C48,'INPUT Growth'!$D$64:$D$115,$D48,'INPUT Growth'!$G$64:$G$115,$E48)</f>
        <v>8207396.5617446415</v>
      </c>
      <c r="AR48" s="187">
        <f>SUMIFS(AR$44:AR$46,$D$44:$D$46,$D48)*SUMIFS('INPUT Growth'!AR$64:AR$115,'INPUT Growth'!$C$64:$C$115,$C48,'INPUT Growth'!$D$64:$D$115,$D48,'INPUT Growth'!$G$64:$G$115,$E48)</f>
        <v>7422599.1416407619</v>
      </c>
      <c r="AS48" s="187">
        <f>SUMIFS(AS$44:AS$46,$D$44:$D$46,$D48)*SUMIFS('INPUT Growth'!AS$64:AS$115,'INPUT Growth'!$C$64:$C$115,$C48,'INPUT Growth'!$D$64:$D$115,$D48,'INPUT Growth'!$G$64:$G$115,$E48)</f>
        <v>6683815.0965384478</v>
      </c>
      <c r="AT48" s="187">
        <f>SUMIFS(AT$44:AT$46,$D$44:$D$46,$D48)*SUMIFS('INPUT Growth'!AT$64:AT$115,'INPUT Growth'!$C$64:$C$115,$C48,'INPUT Growth'!$D$64:$D$115,$D48,'INPUT Growth'!$G$64:$G$115,$E48)</f>
        <v>6211510.7745527206</v>
      </c>
      <c r="AU48" s="187">
        <f>SUMIFS(AU$44:AU$46,$D$44:$D$46,$D48)*SUMIFS('INPUT Growth'!AU$64:AU$115,'INPUT Growth'!$C$64:$C$115,$C48,'INPUT Growth'!$D$64:$D$115,$D48,'INPUT Growth'!$G$64:$G$115,$E48)</f>
        <v>5425930.0179120712</v>
      </c>
      <c r="AV48" s="187">
        <f>SUMIFS(AV$44:AV$46,$D$44:$D$46,$D48)*SUMIFS('INPUT Growth'!AV$64:AV$115,'INPUT Growth'!$C$64:$C$115,$C48,'INPUT Growth'!$D$64:$D$115,$D48,'INPUT Growth'!$G$64:$G$115,$E48)</f>
        <v>4562542.3221326051</v>
      </c>
      <c r="AW48" s="187">
        <f>SUMIFS(AW$44:AW$46,$D$44:$D$46,$D48)*SUMIFS('INPUT Growth'!AW$64:AW$115,'INPUT Growth'!$C$64:$C$115,$C48,'INPUT Growth'!$D$64:$D$115,$D48,'INPUT Growth'!$G$64:$G$115,$E48)</f>
        <v>3899012.914458245</v>
      </c>
    </row>
    <row r="49" spans="1:49" outlineLevel="1" x14ac:dyDescent="0.2">
      <c r="A49" s="51" t="str" cm="1">
        <f t="array" ref="A49">INDEX(TariffCode, MATCH(1,(C49=TariffZone)*(D49=TariffProduct),0))</f>
        <v>GW</v>
      </c>
      <c r="B49" s="51" t="str">
        <f>IF($D49="Water",IF(C49="Standard",Assumptions!$H$90,Assumptions!$H$93),"")</f>
        <v>GA</v>
      </c>
      <c r="C49" s="150" t="s">
        <v>290</v>
      </c>
      <c r="D49" s="150" t="s">
        <v>301</v>
      </c>
      <c r="E49" s="150" t="s">
        <v>256</v>
      </c>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87">
        <f>SUMIFS(AC$44:AC$46,$D$44:$D$46,$D49)*SUMIFS('INPUT Growth'!AC$64:AC$115,'INPUT Growth'!$C$64:$C$115,$C49,'INPUT Growth'!$D$64:$D$115,$D49,'INPUT Growth'!$G$64:$G$115,$E49)</f>
        <v>12670281.266030159</v>
      </c>
      <c r="AD49" s="187">
        <f>SUMIFS(AD$44:AD$46,$D$44:$D$46,$D49)*SUMIFS('INPUT Growth'!AD$64:AD$115,'INPUT Growth'!$C$64:$C$115,$C49,'INPUT Growth'!$D$64:$D$115,$D49,'INPUT Growth'!$G$64:$G$115,$E49)</f>
        <v>12731911.420267019</v>
      </c>
      <c r="AE49" s="187">
        <f>SUMIFS(AE$44:AE$46,$D$44:$D$46,$D49)*SUMIFS('INPUT Growth'!AE$64:AE$115,'INPUT Growth'!$C$64:$C$115,$C49,'INPUT Growth'!$D$64:$D$115,$D49,'INPUT Growth'!$G$64:$G$115,$E49)</f>
        <v>13148526.32611936</v>
      </c>
      <c r="AF49" s="187">
        <f>SUMIFS(AF$44:AF$46,$D$44:$D$46,$D49)*SUMIFS('INPUT Growth'!AF$64:AF$115,'INPUT Growth'!$C$64:$C$115,$C49,'INPUT Growth'!$D$64:$D$115,$D49,'INPUT Growth'!$G$64:$G$115,$E49)</f>
        <v>13009894.395617187</v>
      </c>
      <c r="AG49" s="187">
        <f>SUMIFS(AG$44:AG$46,$D$44:$D$46,$D49)*SUMIFS('INPUT Growth'!AG$64:AG$115,'INPUT Growth'!$C$64:$C$115,$C49,'INPUT Growth'!$D$64:$D$115,$D49,'INPUT Growth'!$G$64:$G$115,$E49)</f>
        <v>13409361.454437556</v>
      </c>
      <c r="AH49" s="187">
        <f>SUMIFS(AH$44:AH$46,$D$44:$D$46,$D49)*SUMIFS('INPUT Growth'!AH$64:AH$115,'INPUT Growth'!$C$64:$C$115,$C49,'INPUT Growth'!$D$64:$D$115,$D49,'INPUT Growth'!$G$64:$G$115,$E49)</f>
        <v>12951956.441241918</v>
      </c>
      <c r="AI49" s="187">
        <f>SUMIFS(AI$44:AI$46,$D$44:$D$46,$D49)*SUMIFS('INPUT Growth'!AI$64:AI$115,'INPUT Growth'!$C$64:$C$115,$C49,'INPUT Growth'!$D$64:$D$115,$D49,'INPUT Growth'!$G$64:$G$115,$E49)</f>
        <v>13785672.742911229</v>
      </c>
      <c r="AJ49" s="187">
        <f>SUMIFS(AJ$44:AJ$46,$D$44:$D$46,$D49)*SUMIFS('INPUT Growth'!AJ$64:AJ$115,'INPUT Growth'!$C$64:$C$115,$C49,'INPUT Growth'!$D$64:$D$115,$D49,'INPUT Growth'!$G$64:$G$115,$E49)</f>
        <v>13517669.775895538</v>
      </c>
      <c r="AK49" s="187">
        <f>SUMIFS(AK$44:AK$46,$D$44:$D$46,$D49)*SUMIFS('INPUT Growth'!AK$64:AK$115,'INPUT Growth'!$C$64:$C$115,$C49,'INPUT Growth'!$D$64:$D$115,$D49,'INPUT Growth'!$G$64:$G$115,$E49)</f>
        <v>14337696.998172905</v>
      </c>
      <c r="AL49" s="187">
        <f>SUMIFS(AL$44:AL$46,$D$44:$D$46,$D49)*SUMIFS('INPUT Growth'!AL$64:AL$115,'INPUT Growth'!$C$64:$C$115,$C49,'INPUT Growth'!$D$64:$D$115,$D49,'INPUT Growth'!$G$64:$G$115,$E49)</f>
        <v>14548544.539300503</v>
      </c>
      <c r="AM49" s="187">
        <f>SUMIFS(AM$44:AM$46,$D$44:$D$46,$D49)*SUMIFS('INPUT Growth'!AM$64:AM$115,'INPUT Growth'!$C$64:$C$115,$C49,'INPUT Growth'!$D$64:$D$115,$D49,'INPUT Growth'!$G$64:$G$115,$E49)</f>
        <v>14604828.488976413</v>
      </c>
      <c r="AN49" s="187">
        <f>SUMIFS(AN$44:AN$46,$D$44:$D$46,$D49)*SUMIFS('INPUT Growth'!AN$64:AN$115,'INPUT Growth'!$C$64:$C$115,$C49,'INPUT Growth'!$D$64:$D$115,$D49,'INPUT Growth'!$G$64:$G$115,$E49)</f>
        <v>14610038.547363196</v>
      </c>
      <c r="AO49" s="187">
        <f>SUMIFS(AO$44:AO$46,$D$44:$D$46,$D49)*SUMIFS('INPUT Growth'!AO$64:AO$115,'INPUT Growth'!$C$64:$C$115,$C49,'INPUT Growth'!$D$64:$D$115,$D49,'INPUT Growth'!$G$64:$G$115,$E49)</f>
        <v>14531866.317820311</v>
      </c>
      <c r="AP49" s="187">
        <f>SUMIFS(AP$44:AP$46,$D$44:$D$46,$D49)*SUMIFS('INPUT Growth'!AP$64:AP$115,'INPUT Growth'!$C$64:$C$115,$C49,'INPUT Growth'!$D$64:$D$115,$D49,'INPUT Growth'!$G$64:$G$115,$E49)</f>
        <v>14246211.859359719</v>
      </c>
      <c r="AQ49" s="187">
        <f>SUMIFS(AQ$44:AQ$46,$D$44:$D$46,$D49)*SUMIFS('INPUT Growth'!AQ$64:AQ$115,'INPUT Growth'!$C$64:$C$115,$C49,'INPUT Growth'!$D$64:$D$115,$D49,'INPUT Growth'!$G$64:$G$115,$E49)</f>
        <v>14214459.486185538</v>
      </c>
      <c r="AR49" s="187">
        <f>SUMIFS(AR$44:AR$46,$D$44:$D$46,$D49)*SUMIFS('INPUT Growth'!AR$64:AR$115,'INPUT Growth'!$C$64:$C$115,$C49,'INPUT Growth'!$D$64:$D$115,$D49,'INPUT Growth'!$G$64:$G$115,$E49)</f>
        <v>14101936.703524388</v>
      </c>
      <c r="AS49" s="187">
        <f>SUMIFS(AS$44:AS$46,$D$44:$D$46,$D49)*SUMIFS('INPUT Growth'!AS$64:AS$115,'INPUT Growth'!$C$64:$C$115,$C49,'INPUT Growth'!$D$64:$D$115,$D49,'INPUT Growth'!$G$64:$G$115,$E49)</f>
        <v>14063927.72170865</v>
      </c>
      <c r="AT49" s="187">
        <f>SUMIFS(AT$44:AT$46,$D$44:$D$46,$D49)*SUMIFS('INPUT Growth'!AT$64:AT$115,'INPUT Growth'!$C$64:$C$115,$C49,'INPUT Growth'!$D$64:$D$115,$D49,'INPUT Growth'!$G$64:$G$115,$E49)</f>
        <v>13919675.302315457</v>
      </c>
      <c r="AU49" s="187">
        <f>SUMIFS(AU$44:AU$46,$D$44:$D$46,$D49)*SUMIFS('INPUT Growth'!AU$64:AU$115,'INPUT Growth'!$C$64:$C$115,$C49,'INPUT Growth'!$D$64:$D$115,$D49,'INPUT Growth'!$G$64:$G$115,$E49)</f>
        <v>13441312.847045427</v>
      </c>
      <c r="AV49" s="187">
        <f>SUMIFS(AV$44:AV$46,$D$44:$D$46,$D49)*SUMIFS('INPUT Growth'!AV$64:AV$115,'INPUT Growth'!$C$64:$C$115,$C49,'INPUT Growth'!$D$64:$D$115,$D49,'INPUT Growth'!$G$64:$G$115,$E49)</f>
        <v>12796913.36449934</v>
      </c>
      <c r="AW49" s="187">
        <f>SUMIFS(AW$44:AW$46,$D$44:$D$46,$D49)*SUMIFS('INPUT Growth'!AW$64:AW$115,'INPUT Growth'!$C$64:$C$115,$C49,'INPUT Growth'!$D$64:$D$115,$D49,'INPUT Growth'!$G$64:$G$115,$E49)</f>
        <v>12072982.010669051</v>
      </c>
    </row>
    <row r="50" spans="1:49" outlineLevel="1" x14ac:dyDescent="0.2">
      <c r="A50" s="51" t="str" cm="1">
        <f t="array" ref="A50">INDEX(TariffCode, MATCH(1,(C50=TariffZone)*(D50=TariffProduct),0))</f>
        <v>SS</v>
      </c>
      <c r="B50" s="51" t="str">
        <f>IF($D50="Water",IF(C50="Standard",Assumptions!$H$90,Assumptions!$H$93),"")</f>
        <v/>
      </c>
      <c r="C50" s="150" t="s">
        <v>287</v>
      </c>
      <c r="D50" s="150" t="s">
        <v>303</v>
      </c>
      <c r="E50" s="150" t="s">
        <v>256</v>
      </c>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87">
        <f>SUMIFS(AC$44:AC$46,$D$44:$D$46,$D50)*SUMIFS('INPUT Growth'!AC$64:AC$115,'INPUT Growth'!$C$64:$C$115,$C50,'INPUT Growth'!$D$64:$D$115,$D50,'INPUT Growth'!$G$64:$G$115,$E50)</f>
        <v>27537380.108966518</v>
      </c>
      <c r="AD50" s="187">
        <f>SUMIFS(AD$44:AD$46,$D$44:$D$46,$D50)*SUMIFS('INPUT Growth'!AD$64:AD$115,'INPUT Growth'!$C$64:$C$115,$C50,'INPUT Growth'!$D$64:$D$115,$D50,'INPUT Growth'!$G$64:$G$115,$E50)</f>
        <v>29137833.369118281</v>
      </c>
      <c r="AE50" s="187">
        <f>SUMIFS(AE$44:AE$46,$D$44:$D$46,$D50)*SUMIFS('INPUT Growth'!AE$64:AE$115,'INPUT Growth'!$C$64:$C$115,$C50,'INPUT Growth'!$D$64:$D$115,$D50,'INPUT Growth'!$G$64:$G$115,$E50)</f>
        <v>29770525.217831567</v>
      </c>
      <c r="AF50" s="187">
        <f>SUMIFS(AF$44:AF$46,$D$44:$D$46,$D50)*SUMIFS('INPUT Growth'!AF$64:AF$115,'INPUT Growth'!$C$64:$C$115,$C50,'INPUT Growth'!$D$64:$D$115,$D50,'INPUT Growth'!$G$64:$G$115,$E50)</f>
        <v>31662012.661598999</v>
      </c>
      <c r="AG50" s="187">
        <f>SUMIFS(AG$44:AG$46,$D$44:$D$46,$D50)*SUMIFS('INPUT Growth'!AG$64:AG$115,'INPUT Growth'!$C$64:$C$115,$C50,'INPUT Growth'!$D$64:$D$115,$D50,'INPUT Growth'!$G$64:$G$115,$E50)</f>
        <v>32083025.498539194</v>
      </c>
      <c r="AH50" s="187">
        <f>SUMIFS(AH$44:AH$46,$D$44:$D$46,$D50)*SUMIFS('INPUT Growth'!AH$64:AH$115,'INPUT Growth'!$C$64:$C$115,$C50,'INPUT Growth'!$D$64:$D$115,$D50,'INPUT Growth'!$G$64:$G$115,$E50)</f>
        <v>28907118.84044873</v>
      </c>
      <c r="AI50" s="187">
        <f>SUMIFS(AI$44:AI$46,$D$44:$D$46,$D50)*SUMIFS('INPUT Growth'!AI$64:AI$115,'INPUT Growth'!$C$64:$C$115,$C50,'INPUT Growth'!$D$64:$D$115,$D50,'INPUT Growth'!$G$64:$G$115,$E50)</f>
        <v>29320774.881199837</v>
      </c>
      <c r="AJ50" s="187">
        <f>SUMIFS(AJ$44:AJ$46,$D$44:$D$46,$D50)*SUMIFS('INPUT Growth'!AJ$64:AJ$115,'INPUT Growth'!$C$64:$C$115,$C50,'INPUT Growth'!$D$64:$D$115,$D50,'INPUT Growth'!$G$64:$G$115,$E50)</f>
        <v>28507173.32624105</v>
      </c>
      <c r="AK50" s="187">
        <f>SUMIFS(AK$44:AK$46,$D$44:$D$46,$D50)*SUMIFS('INPUT Growth'!AK$64:AK$115,'INPUT Growth'!$C$64:$C$115,$C50,'INPUT Growth'!$D$64:$D$115,$D50,'INPUT Growth'!$G$64:$G$115,$E50)</f>
        <v>30018179.436078906</v>
      </c>
      <c r="AL50" s="187">
        <f>SUMIFS(AL$44:AL$46,$D$44:$D$46,$D50)*SUMIFS('INPUT Growth'!AL$64:AL$115,'INPUT Growth'!$C$64:$C$115,$C50,'INPUT Growth'!$D$64:$D$115,$D50,'INPUT Growth'!$G$64:$G$115,$E50)</f>
        <v>30782038.63685365</v>
      </c>
      <c r="AM50" s="187">
        <f>SUMIFS(AM$44:AM$46,$D$44:$D$46,$D50)*SUMIFS('INPUT Growth'!AM$64:AM$115,'INPUT Growth'!$C$64:$C$115,$C50,'INPUT Growth'!$D$64:$D$115,$D50,'INPUT Growth'!$G$64:$G$115,$E50)</f>
        <v>30308532.435973182</v>
      </c>
      <c r="AN50" s="187">
        <f>SUMIFS(AN$44:AN$46,$D$44:$D$46,$D50)*SUMIFS('INPUT Growth'!AN$64:AN$115,'INPUT Growth'!$C$64:$C$115,$C50,'INPUT Growth'!$D$64:$D$115,$D50,'INPUT Growth'!$G$64:$G$115,$E50)</f>
        <v>29622618.192988455</v>
      </c>
      <c r="AO50" s="187">
        <f>SUMIFS(AO$44:AO$46,$D$44:$D$46,$D50)*SUMIFS('INPUT Growth'!AO$64:AO$115,'INPUT Growth'!$C$64:$C$115,$C50,'INPUT Growth'!$D$64:$D$115,$D50,'INPUT Growth'!$G$64:$G$115,$E50)</f>
        <v>28817473.047035478</v>
      </c>
      <c r="AP50" s="187">
        <f>SUMIFS(AP$44:AP$46,$D$44:$D$46,$D50)*SUMIFS('INPUT Growth'!AP$64:AP$115,'INPUT Growth'!$C$64:$C$115,$C50,'INPUT Growth'!$D$64:$D$115,$D50,'INPUT Growth'!$G$64:$G$115,$E50)</f>
        <v>27127969.631916676</v>
      </c>
      <c r="AQ50" s="187">
        <f>SUMIFS(AQ$44:AQ$46,$D$44:$D$46,$D50)*SUMIFS('INPUT Growth'!AQ$64:AQ$115,'INPUT Growth'!$C$64:$C$115,$C50,'INPUT Growth'!$D$64:$D$115,$D50,'INPUT Growth'!$G$64:$G$115,$E50)</f>
        <v>25056919.277748596</v>
      </c>
      <c r="AR50" s="187">
        <f>SUMIFS(AR$44:AR$46,$D$44:$D$46,$D50)*SUMIFS('INPUT Growth'!AR$64:AR$115,'INPUT Growth'!$C$64:$C$115,$C50,'INPUT Growth'!$D$64:$D$115,$D50,'INPUT Growth'!$G$64:$G$115,$E50)</f>
        <v>22660957.847471118</v>
      </c>
      <c r="AS50" s="187">
        <f>SUMIFS(AS$44:AS$46,$D$44:$D$46,$D50)*SUMIFS('INPUT Growth'!AS$64:AS$115,'INPUT Growth'!$C$64:$C$115,$C50,'INPUT Growth'!$D$64:$D$115,$D50,'INPUT Growth'!$G$64:$G$115,$E50)</f>
        <v>20405473.779831529</v>
      </c>
      <c r="AT50" s="187">
        <f>SUMIFS(AT$44:AT$46,$D$44:$D$46,$D50)*SUMIFS('INPUT Growth'!AT$64:AT$115,'INPUT Growth'!$C$64:$C$115,$C50,'INPUT Growth'!$D$64:$D$115,$D50,'INPUT Growth'!$G$64:$G$115,$E50)</f>
        <v>18963543.786380295</v>
      </c>
      <c r="AU50" s="187">
        <f>SUMIFS(AU$44:AU$46,$D$44:$D$46,$D50)*SUMIFS('INPUT Growth'!AU$64:AU$115,'INPUT Growth'!$C$64:$C$115,$C50,'INPUT Growth'!$D$64:$D$115,$D50,'INPUT Growth'!$G$64:$G$115,$E50)</f>
        <v>16565190.854703283</v>
      </c>
      <c r="AV50" s="187">
        <f>SUMIFS(AV$44:AV$46,$D$44:$D$46,$D50)*SUMIFS('INPUT Growth'!AV$64:AV$115,'INPUT Growth'!$C$64:$C$115,$C50,'INPUT Growth'!$D$64:$D$115,$D50,'INPUT Growth'!$G$64:$G$115,$E50)</f>
        <v>13929295.825652843</v>
      </c>
      <c r="AW50" s="187">
        <f>SUMIFS(AW$44:AW$46,$D$44:$D$46,$D50)*SUMIFS('INPUT Growth'!AW$64:AW$115,'INPUT Growth'!$C$64:$C$115,$C50,'INPUT Growth'!$D$64:$D$115,$D50,'INPUT Growth'!$G$64:$G$115,$E50)</f>
        <v>11903561.759870797</v>
      </c>
    </row>
    <row r="51" spans="1:49" outlineLevel="1" x14ac:dyDescent="0.2">
      <c r="A51" s="51" t="str" cm="1">
        <f t="array" ref="A51">INDEX(TariffCode, MATCH(1,(C51=TariffZone)*(D51=TariffProduct),0))</f>
        <v>GS</v>
      </c>
      <c r="B51" s="51" t="str">
        <f>IF($D51="Water",IF(C51="Standard",Assumptions!$H$90,Assumptions!$H$93),"")</f>
        <v/>
      </c>
      <c r="C51" s="150" t="s">
        <v>290</v>
      </c>
      <c r="D51" s="150" t="s">
        <v>303</v>
      </c>
      <c r="E51" s="150" t="s">
        <v>256</v>
      </c>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87">
        <f>SUMIFS(AC$44:AC$46,$D$44:$D$46,$D51)*SUMIFS('INPUT Growth'!AC$64:AC$115,'INPUT Growth'!$C$64:$C$115,$C51,'INPUT Growth'!$D$64:$D$115,$D51,'INPUT Growth'!$G$64:$G$115,$E51)</f>
        <v>38682619.891033471</v>
      </c>
      <c r="AD51" s="187">
        <f>SUMIFS(AD$44:AD$46,$D$44:$D$46,$D51)*SUMIFS('INPUT Growth'!AD$64:AD$115,'INPUT Growth'!$C$64:$C$115,$C51,'INPUT Growth'!$D$64:$D$115,$D51,'INPUT Growth'!$G$64:$G$115,$E51)</f>
        <v>38870166.630881675</v>
      </c>
      <c r="AE51" s="187">
        <f>SUMIFS(AE$44:AE$46,$D$44:$D$46,$D51)*SUMIFS('INPUT Growth'!AE$64:AE$115,'INPUT Growth'!$C$64:$C$115,$C51,'INPUT Growth'!$D$64:$D$115,$D51,'INPUT Growth'!$G$64:$G$115,$E51)</f>
        <v>40141474.782168381</v>
      </c>
      <c r="AF51" s="187">
        <f>SUMIFS(AF$44:AF$46,$D$44:$D$46,$D51)*SUMIFS('INPUT Growth'!AF$64:AF$115,'INPUT Growth'!$C$64:$C$115,$C51,'INPUT Growth'!$D$64:$D$115,$D51,'INPUT Growth'!$G$64:$G$115,$E51)</f>
        <v>39717987.338401109</v>
      </c>
      <c r="AG51" s="187">
        <f>SUMIFS(AG$44:AG$46,$D$44:$D$46,$D51)*SUMIFS('INPUT Growth'!AG$64:AG$115,'INPUT Growth'!$C$64:$C$115,$C51,'INPUT Growth'!$D$64:$D$115,$D51,'INPUT Growth'!$G$64:$G$115,$E51)</f>
        <v>40938974.50146085</v>
      </c>
      <c r="AH51" s="187">
        <f>SUMIFS(AH$44:AH$46,$D$44:$D$46,$D51)*SUMIFS('INPUT Growth'!AH$64:AH$115,'INPUT Growth'!$C$64:$C$115,$C51,'INPUT Growth'!$D$64:$D$115,$D51,'INPUT Growth'!$G$64:$G$115,$E51)</f>
        <v>39541908.886162557</v>
      </c>
      <c r="AI51" s="187">
        <f>SUMIFS(AI$44:AI$46,$D$44:$D$46,$D51)*SUMIFS('INPUT Growth'!AI$64:AI$115,'INPUT Growth'!$C$64:$C$115,$C51,'INPUT Growth'!$D$64:$D$115,$D51,'INPUT Growth'!$G$64:$G$115,$E51)</f>
        <v>42087218.097714916</v>
      </c>
      <c r="AJ51" s="187">
        <f>SUMIFS(AJ$44:AJ$46,$D$44:$D$46,$D51)*SUMIFS('INPUT Growth'!AJ$64:AJ$115,'INPUT Growth'!$C$64:$C$115,$C51,'INPUT Growth'!$D$64:$D$115,$D51,'INPUT Growth'!$G$64:$G$115,$E51)</f>
        <v>41269013.60860689</v>
      </c>
      <c r="AK51" s="187">
        <f>SUMIFS(AK$44:AK$46,$D$44:$D$46,$D51)*SUMIFS('INPUT Growth'!AK$64:AK$115,'INPUT Growth'!$C$64:$C$115,$C51,'INPUT Growth'!$D$64:$D$115,$D51,'INPUT Growth'!$G$64:$G$115,$E51)</f>
        <v>43772530.498473428</v>
      </c>
      <c r="AL51" s="187">
        <f>SUMIFS(AL$44:AL$46,$D$44:$D$46,$D51)*SUMIFS('INPUT Growth'!AL$64:AL$115,'INPUT Growth'!$C$64:$C$115,$C51,'INPUT Growth'!$D$64:$D$115,$D51,'INPUT Growth'!$G$64:$G$115,$E51)</f>
        <v>44416241.299846351</v>
      </c>
      <c r="AM51" s="187">
        <f>SUMIFS(AM$44:AM$46,$D$44:$D$46,$D51)*SUMIFS('INPUT Growth'!AM$64:AM$115,'INPUT Growth'!$C$64:$C$115,$C51,'INPUT Growth'!$D$64:$D$115,$D51,'INPUT Growth'!$G$64:$G$115,$E51)</f>
        <v>44588074.398570456</v>
      </c>
      <c r="AN51" s="187">
        <f>SUMIFS(AN$44:AN$46,$D$44:$D$46,$D51)*SUMIFS('INPUT Growth'!AN$64:AN$115,'INPUT Growth'!$C$64:$C$115,$C51,'INPUT Growth'!$D$64:$D$115,$D51,'INPUT Growth'!$G$64:$G$115,$E51)</f>
        <v>44603980.540237896</v>
      </c>
      <c r="AO51" s="187">
        <f>SUMIFS(AO$44:AO$46,$D$44:$D$46,$D51)*SUMIFS('INPUT Growth'!AO$64:AO$115,'INPUT Growth'!$C$64:$C$115,$C51,'INPUT Growth'!$D$64:$D$115,$D51,'INPUT Growth'!$G$64:$G$115,$E51)</f>
        <v>44365323.222940505</v>
      </c>
      <c r="AP51" s="187">
        <f>SUMIFS(AP$44:AP$46,$D$44:$D$46,$D51)*SUMIFS('INPUT Growth'!AP$64:AP$115,'INPUT Growth'!$C$64:$C$115,$C51,'INPUT Growth'!$D$64:$D$115,$D51,'INPUT Growth'!$G$64:$G$115,$E51)</f>
        <v>43493229.294844456</v>
      </c>
      <c r="AQ51" s="187">
        <f>SUMIFS(AQ$44:AQ$46,$D$44:$D$46,$D51)*SUMIFS('INPUT Growth'!AQ$64:AQ$115,'INPUT Growth'!$C$64:$C$115,$C51,'INPUT Growth'!$D$64:$D$115,$D51,'INPUT Growth'!$G$64:$G$115,$E51)</f>
        <v>43396290.314801514</v>
      </c>
      <c r="AR51" s="187">
        <f>SUMIFS(AR$44:AR$46,$D$44:$D$46,$D51)*SUMIFS('INPUT Growth'!AR$64:AR$115,'INPUT Growth'!$C$64:$C$115,$C51,'INPUT Growth'!$D$64:$D$115,$D51,'INPUT Growth'!$G$64:$G$115,$E51)</f>
        <v>43052761.857167616</v>
      </c>
      <c r="AS51" s="187">
        <f>SUMIFS(AS$44:AS$46,$D$44:$D$46,$D51)*SUMIFS('INPUT Growth'!AS$64:AS$115,'INPUT Growth'!$C$64:$C$115,$C51,'INPUT Growth'!$D$64:$D$115,$D51,'INPUT Growth'!$G$64:$G$115,$E51)</f>
        <v>42936721.650992423</v>
      </c>
      <c r="AT51" s="187">
        <f>SUMIFS(AT$44:AT$46,$D$44:$D$46,$D51)*SUMIFS('INPUT Growth'!AT$64:AT$115,'INPUT Growth'!$C$64:$C$115,$C51,'INPUT Growth'!$D$64:$D$115,$D51,'INPUT Growth'!$G$64:$G$115,$E51)</f>
        <v>42496323.626946062</v>
      </c>
      <c r="AU51" s="187">
        <f>SUMIFS(AU$44:AU$46,$D$44:$D$46,$D51)*SUMIFS('INPUT Growth'!AU$64:AU$115,'INPUT Growth'!$C$64:$C$115,$C51,'INPUT Growth'!$D$64:$D$115,$D51,'INPUT Growth'!$G$64:$G$115,$E51)</f>
        <v>41035898.346282206</v>
      </c>
      <c r="AV51" s="187">
        <f>SUMIFS(AV$44:AV$46,$D$44:$D$46,$D51)*SUMIFS('INPUT Growth'!AV$64:AV$115,'INPUT Growth'!$C$64:$C$115,$C51,'INPUT Growth'!$D$64:$D$115,$D51,'INPUT Growth'!$G$64:$G$115,$E51)</f>
        <v>39068567.330252215</v>
      </c>
      <c r="AW51" s="187">
        <f>SUMIFS(AW$44:AW$46,$D$44:$D$46,$D51)*SUMIFS('INPUT Growth'!AW$64:AW$115,'INPUT Growth'!$C$64:$C$115,$C51,'INPUT Growth'!$D$64:$D$115,$D51,'INPUT Growth'!$G$64:$G$115,$E51)</f>
        <v>36858428.054161616</v>
      </c>
    </row>
    <row r="52" spans="1:49" outlineLevel="1" x14ac:dyDescent="0.2">
      <c r="A52" s="51" t="str" cm="1">
        <f t="array" ref="A52">INDEX(TariffCode, MATCH(1,(C52=TariffZone)*(D52=TariffProduct),0))</f>
        <v>WR</v>
      </c>
      <c r="B52" s="51" t="str">
        <f>IF($D52="Water",IF(C52="Standard",Assumptions!$H$90,Assumptions!$H$93),"")</f>
        <v/>
      </c>
      <c r="C52" s="150" t="s">
        <v>283</v>
      </c>
      <c r="D52" s="150" t="s">
        <v>310</v>
      </c>
      <c r="E52" s="150" t="s">
        <v>256</v>
      </c>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87">
        <f>SUMIFS(AC$44:AC$46,$D$44:$D$46,$D52)*SUMIFS('INPUT Growth'!AC$64:AC$115,'INPUT Growth'!$C$64:$C$115,$C52,'INPUT Growth'!$D$64:$D$115,$D52,'INPUT Growth'!$G$64:$G$115,$E52)</f>
        <v>6915145.7270524567</v>
      </c>
      <c r="AD52" s="187">
        <f>SUMIFS(AD$44:AD$46,$D$44:$D$46,$D52)*SUMIFS('INPUT Growth'!AD$64:AD$115,'INPUT Growth'!$C$64:$C$115,$C52,'INPUT Growth'!$D$64:$D$115,$D52,'INPUT Growth'!$G$64:$G$115,$E52)</f>
        <v>7078833.1890508123</v>
      </c>
      <c r="AE52" s="187">
        <f>SUMIFS(AE$44:AE$46,$D$44:$D$46,$D52)*SUMIFS('INPUT Growth'!AE$64:AE$115,'INPUT Growth'!$C$64:$C$115,$C52,'INPUT Growth'!$D$64:$D$115,$D52,'INPUT Growth'!$G$64:$G$115,$E52)</f>
        <v>7300612.9780549556</v>
      </c>
      <c r="AF52" s="187">
        <f>SUMIFS(AF$44:AF$46,$D$44:$D$46,$D52)*SUMIFS('INPUT Growth'!AF$64:AF$115,'INPUT Growth'!$C$64:$C$115,$C52,'INPUT Growth'!$D$64:$D$115,$D52,'INPUT Growth'!$G$64:$G$115,$E52)</f>
        <v>7664083.6733834883</v>
      </c>
      <c r="AG52" s="187">
        <f>SUMIFS(AG$44:AG$46,$D$44:$D$46,$D52)*SUMIFS('INPUT Growth'!AG$64:AG$115,'INPUT Growth'!$C$64:$C$115,$C52,'INPUT Growth'!$D$64:$D$115,$D52,'INPUT Growth'!$G$64:$G$115,$E52)</f>
        <v>7937810.4700211519</v>
      </c>
      <c r="AH52" s="187">
        <f>SUMIFS(AH$44:AH$46,$D$44:$D$46,$D52)*SUMIFS('INPUT Growth'!AH$64:AH$115,'INPUT Growth'!$C$64:$C$115,$C52,'INPUT Growth'!$D$64:$D$115,$D52,'INPUT Growth'!$G$64:$G$115,$E52)</f>
        <v>6573437.9304173952</v>
      </c>
      <c r="AI52" s="187">
        <f>SUMIFS(AI$44:AI$46,$D$44:$D$46,$D52)*SUMIFS('INPUT Growth'!AI$64:AI$115,'INPUT Growth'!$C$64:$C$115,$C52,'INPUT Growth'!$D$64:$D$115,$D52,'INPUT Growth'!$G$64:$G$115,$E52)</f>
        <v>6584328.3259038888</v>
      </c>
      <c r="AJ52" s="187">
        <f>SUMIFS(AJ$44:AJ$46,$D$44:$D$46,$D52)*SUMIFS('INPUT Growth'!AJ$64:AJ$115,'INPUT Growth'!$C$64:$C$115,$C52,'INPUT Growth'!$D$64:$D$115,$D52,'INPUT Growth'!$G$64:$G$115,$E52)</f>
        <v>6468773.886980623</v>
      </c>
      <c r="AK52" s="187">
        <f>SUMIFS(AK$44:AK$46,$D$44:$D$46,$D52)*SUMIFS('INPUT Growth'!AK$64:AK$115,'INPUT Growth'!$C$64:$C$115,$C52,'INPUT Growth'!$D$64:$D$115,$D52,'INPUT Growth'!$G$64:$G$115,$E52)</f>
        <v>6690295.6958756866</v>
      </c>
      <c r="AL52" s="187">
        <f>SUMIFS(AL$44:AL$46,$D$44:$D$46,$D52)*SUMIFS('INPUT Growth'!AL$64:AL$115,'INPUT Growth'!$C$64:$C$115,$C52,'INPUT Growth'!$D$64:$D$115,$D52,'INPUT Growth'!$G$64:$G$115,$E52)</f>
        <v>6765860.1281621726</v>
      </c>
      <c r="AM52" s="187">
        <f>SUMIFS(AM$44:AM$46,$D$44:$D$46,$D52)*SUMIFS('INPUT Growth'!AM$64:AM$115,'INPUT Growth'!$C$64:$C$115,$C52,'INPUT Growth'!$D$64:$D$115,$D52,'INPUT Growth'!$G$64:$G$115,$E52)</f>
        <v>6685033.0853401497</v>
      </c>
      <c r="AN52" s="187">
        <f>SUMIFS(AN$44:AN$46,$D$44:$D$46,$D52)*SUMIFS('INPUT Growth'!AN$64:AN$115,'INPUT Growth'!$C$64:$C$115,$C52,'INPUT Growth'!$D$64:$D$115,$D52,'INPUT Growth'!$G$64:$G$115,$E52)</f>
        <v>6585938.6949096369</v>
      </c>
      <c r="AO52" s="187">
        <f>SUMIFS(AO$44:AO$46,$D$44:$D$46,$D52)*SUMIFS('INPUT Growth'!AO$64:AO$115,'INPUT Growth'!$C$64:$C$115,$C52,'INPUT Growth'!$D$64:$D$115,$D52,'INPUT Growth'!$G$64:$G$115,$E52)</f>
        <v>6153389.2737363772</v>
      </c>
      <c r="AP52" s="187">
        <f>SUMIFS(AP$44:AP$46,$D$44:$D$46,$D52)*SUMIFS('INPUT Growth'!AP$64:AP$115,'INPUT Growth'!$C$64:$C$115,$C52,'INPUT Growth'!$D$64:$D$115,$D52,'INPUT Growth'!$G$64:$G$115,$E52)</f>
        <v>5479755.8229854377</v>
      </c>
      <c r="AQ52" s="187">
        <f>SUMIFS(AQ$44:AQ$46,$D$44:$D$46,$D52)*SUMIFS('INPUT Growth'!AQ$64:AQ$115,'INPUT Growth'!$C$64:$C$115,$C52,'INPUT Growth'!$D$64:$D$115,$D52,'INPUT Growth'!$G$64:$G$115,$E52)</f>
        <v>4910144.0957102692</v>
      </c>
      <c r="AR52" s="187">
        <f>SUMIFS(AR$44:AR$46,$D$44:$D$46,$D52)*SUMIFS('INPUT Growth'!AR$64:AR$115,'INPUT Growth'!$C$64:$C$115,$C52,'INPUT Growth'!$D$64:$D$115,$D52,'INPUT Growth'!$G$64:$G$115,$E52)</f>
        <v>4436959.7506784908</v>
      </c>
      <c r="AS52" s="187">
        <f>SUMIFS(AS$44:AS$46,$D$44:$D$46,$D52)*SUMIFS('INPUT Growth'!AS$64:AS$115,'INPUT Growth'!$C$64:$C$115,$C52,'INPUT Growth'!$D$64:$D$115,$D52,'INPUT Growth'!$G$64:$G$115,$E52)</f>
        <v>4012811.9961089646</v>
      </c>
      <c r="AT52" s="187">
        <f>SUMIFS(AT$44:AT$46,$D$44:$D$46,$D52)*SUMIFS('INPUT Growth'!AT$64:AT$115,'INPUT Growth'!$C$64:$C$115,$C52,'INPUT Growth'!$D$64:$D$115,$D52,'INPUT Growth'!$G$64:$G$115,$E52)</f>
        <v>3878296.1983543457</v>
      </c>
      <c r="AU52" s="187">
        <f>SUMIFS(AU$44:AU$46,$D$44:$D$46,$D52)*SUMIFS('INPUT Growth'!AU$64:AU$115,'INPUT Growth'!$C$64:$C$115,$C52,'INPUT Growth'!$D$64:$D$115,$D52,'INPUT Growth'!$G$64:$G$115,$E52)</f>
        <v>3492740.5031295945</v>
      </c>
      <c r="AV52" s="187">
        <f>SUMIFS(AV$44:AV$46,$D$44:$D$46,$D52)*SUMIFS('INPUT Growth'!AV$64:AV$115,'INPUT Growth'!$C$64:$C$115,$C52,'INPUT Growth'!$D$64:$D$115,$D52,'INPUT Growth'!$G$64:$G$115,$E52)</f>
        <v>3072313.8805138827</v>
      </c>
      <c r="AW52" s="187">
        <f>SUMIFS(AW$44:AW$46,$D$44:$D$46,$D52)*SUMIFS('INPUT Growth'!AW$64:AW$115,'INPUT Growth'!$C$64:$C$115,$C52,'INPUT Growth'!$D$64:$D$115,$D52,'INPUT Growth'!$G$64:$G$115,$E52)</f>
        <v>2648263.7792713102</v>
      </c>
    </row>
    <row r="53" spans="1:49" outlineLevel="1" x14ac:dyDescent="0.2">
      <c r="A53" s="51" t="str" cm="1">
        <f t="array" ref="A53">INDEX(TariffCode, MATCH(1,(C53=TariffZone)*(D53=TariffProduct),0))</f>
        <v>GR</v>
      </c>
      <c r="B53" s="51" t="str">
        <f>IF($D53="Water",IF(C53="Standard",Assumptions!$H$90,Assumptions!$H$93),"")</f>
        <v/>
      </c>
      <c r="C53" s="150" t="s">
        <v>312</v>
      </c>
      <c r="D53" s="150" t="s">
        <v>310</v>
      </c>
      <c r="E53" s="150" t="s">
        <v>256</v>
      </c>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87">
        <f>SUMIFS(AC$44:AC$46,$D$44:$D$46,$D53)*SUMIFS('INPUT Growth'!AC$64:AC$115,'INPUT Growth'!$C$64:$C$115,$C53,'INPUT Growth'!$D$64:$D$115,$D53,'INPUT Growth'!$G$64:$G$115,$E53)</f>
        <v>1178854.2729475417</v>
      </c>
      <c r="AD53" s="187">
        <f>SUMIFS(AD$44:AD$46,$D$44:$D$46,$D53)*SUMIFS('INPUT Growth'!AD$64:AD$115,'INPUT Growth'!$C$64:$C$115,$C53,'INPUT Growth'!$D$64:$D$115,$D53,'INPUT Growth'!$G$64:$G$115,$E53)</f>
        <v>1234166.8109491884</v>
      </c>
      <c r="AE53" s="187">
        <f>SUMIFS(AE$44:AE$46,$D$44:$D$46,$D53)*SUMIFS('INPUT Growth'!AE$64:AE$115,'INPUT Growth'!$C$64:$C$115,$C53,'INPUT Growth'!$D$64:$D$115,$D53,'INPUT Growth'!$G$64:$G$115,$E53)</f>
        <v>1244387.0219450446</v>
      </c>
      <c r="AF53" s="187">
        <f>SUMIFS(AF$44:AF$46,$D$44:$D$46,$D53)*SUMIFS('INPUT Growth'!AF$64:AF$115,'INPUT Growth'!$C$64:$C$115,$C53,'INPUT Growth'!$D$64:$D$115,$D53,'INPUT Growth'!$G$64:$G$115,$E53)</f>
        <v>1060916.3266165103</v>
      </c>
      <c r="AG53" s="187">
        <f>SUMIFS(AG$44:AG$46,$D$44:$D$46,$D53)*SUMIFS('INPUT Growth'!AG$64:AG$115,'INPUT Growth'!$C$64:$C$115,$C53,'INPUT Growth'!$D$64:$D$115,$D53,'INPUT Growth'!$G$64:$G$115,$E53)</f>
        <v>988189.52997885097</v>
      </c>
      <c r="AH53" s="187">
        <f>SUMIFS(AH$44:AH$46,$D$44:$D$46,$D53)*SUMIFS('INPUT Growth'!AH$64:AH$115,'INPUT Growth'!$C$64:$C$115,$C53,'INPUT Growth'!$D$64:$D$115,$D53,'INPUT Growth'!$G$64:$G$115,$E53)</f>
        <v>734550.19938942033</v>
      </c>
      <c r="AI53" s="187">
        <f>SUMIFS(AI$44:AI$46,$D$44:$D$46,$D53)*SUMIFS('INPUT Growth'!AI$64:AI$115,'INPUT Growth'!$C$64:$C$115,$C53,'INPUT Growth'!$D$64:$D$115,$D53,'INPUT Growth'!$G$64:$G$115,$E53)</f>
        <v>602933.84523563483</v>
      </c>
      <c r="AJ53" s="187">
        <f>SUMIFS(AJ$44:AJ$46,$D$44:$D$46,$D53)*SUMIFS('INPUT Growth'!AJ$64:AJ$115,'INPUT Growth'!$C$64:$C$115,$C53,'INPUT Growth'!$D$64:$D$115,$D53,'INPUT Growth'!$G$64:$G$115,$E53)</f>
        <v>590535.95720360859</v>
      </c>
      <c r="AK53" s="187">
        <f>SUMIFS(AK$44:AK$46,$D$44:$D$46,$D53)*SUMIFS('INPUT Growth'!AK$64:AK$115,'INPUT Growth'!$C$64:$C$115,$C53,'INPUT Growth'!$D$64:$D$115,$D53,'INPUT Growth'!$G$64:$G$115,$E53)</f>
        <v>752222.96427281026</v>
      </c>
      <c r="AL53" s="187">
        <f>SUMIFS(AL$44:AL$46,$D$44:$D$46,$D53)*SUMIFS('INPUT Growth'!AL$64:AL$115,'INPUT Growth'!$C$64:$C$115,$C53,'INPUT Growth'!$D$64:$D$115,$D53,'INPUT Growth'!$G$64:$G$115,$E53)</f>
        <v>733969.34904559643</v>
      </c>
      <c r="AM53" s="187">
        <f>SUMIFS(AM$44:AM$46,$D$44:$D$46,$D53)*SUMIFS('INPUT Growth'!AM$64:AM$115,'INPUT Growth'!$C$64:$C$115,$C53,'INPUT Growth'!$D$64:$D$115,$D53,'INPUT Growth'!$G$64:$G$115,$E53)</f>
        <v>664326.62340877624</v>
      </c>
      <c r="AN53" s="187">
        <f>SUMIFS(AN$44:AN$46,$D$44:$D$46,$D53)*SUMIFS('INPUT Growth'!AN$64:AN$115,'INPUT Growth'!$C$64:$C$115,$C53,'INPUT Growth'!$D$64:$D$115,$D53,'INPUT Growth'!$G$64:$G$115,$E53)</f>
        <v>609646.24834272638</v>
      </c>
      <c r="AO53" s="187">
        <f>SUMIFS(AO$44:AO$46,$D$44:$D$46,$D53)*SUMIFS('INPUT Growth'!AO$64:AO$115,'INPUT Growth'!$C$64:$C$115,$C53,'INPUT Growth'!$D$64:$D$115,$D53,'INPUT Growth'!$G$64:$G$115,$E53)</f>
        <v>546673.49830112897</v>
      </c>
      <c r="AP53" s="187">
        <f>SUMIFS(AP$44:AP$46,$D$44:$D$46,$D53)*SUMIFS('INPUT Growth'!AP$64:AP$115,'INPUT Growth'!$C$64:$C$115,$C53,'INPUT Growth'!$D$64:$D$115,$D53,'INPUT Growth'!$G$64:$G$115,$E53)</f>
        <v>482971.40019814734</v>
      </c>
      <c r="AQ53" s="187">
        <f>SUMIFS(AQ$44:AQ$46,$D$44:$D$46,$D53)*SUMIFS('INPUT Growth'!AQ$64:AQ$115,'INPUT Growth'!$C$64:$C$115,$C53,'INPUT Growth'!$D$64:$D$115,$D53,'INPUT Growth'!$G$64:$G$115,$E53)</f>
        <v>431591.41371147439</v>
      </c>
      <c r="AR53" s="187">
        <f>SUMIFS(AR$44:AR$46,$D$44:$D$46,$D53)*SUMIFS('INPUT Growth'!AR$64:AR$115,'INPUT Growth'!$C$64:$C$115,$C53,'INPUT Growth'!$D$64:$D$115,$D53,'INPUT Growth'!$G$64:$G$115,$E53)</f>
        <v>454222.99222979636</v>
      </c>
      <c r="AS53" s="187">
        <f>SUMIFS(AS$44:AS$46,$D$44:$D$46,$D53)*SUMIFS('INPUT Growth'!AS$64:AS$115,'INPUT Growth'!$C$64:$C$115,$C53,'INPUT Growth'!$D$64:$D$115,$D53,'INPUT Growth'!$G$64:$G$115,$E53)</f>
        <v>570958.21613941446</v>
      </c>
      <c r="AT53" s="187">
        <f>SUMIFS(AT$44:AT$46,$D$44:$D$46,$D53)*SUMIFS('INPUT Growth'!AT$64:AT$115,'INPUT Growth'!$C$64:$C$115,$C53,'INPUT Growth'!$D$64:$D$115,$D53,'INPUT Growth'!$G$64:$G$115,$E53)</f>
        <v>658262.35729099216</v>
      </c>
      <c r="AU53" s="187">
        <f>SUMIFS(AU$44:AU$46,$D$44:$D$46,$D53)*SUMIFS('INPUT Growth'!AU$64:AU$115,'INPUT Growth'!$C$64:$C$115,$C53,'INPUT Growth'!$D$64:$D$115,$D53,'INPUT Growth'!$G$64:$G$115,$E53)</f>
        <v>605660.16395267367</v>
      </c>
      <c r="AV53" s="187">
        <f>SUMIFS(AV$44:AV$46,$D$44:$D$46,$D53)*SUMIFS('INPUT Growth'!AV$64:AV$115,'INPUT Growth'!$C$64:$C$115,$C53,'INPUT Growth'!$D$64:$D$115,$D53,'INPUT Growth'!$G$64:$G$115,$E53)</f>
        <v>535365.57394800475</v>
      </c>
      <c r="AW53" s="187">
        <f>SUMIFS(AW$44:AW$46,$D$44:$D$46,$D53)*SUMIFS('INPUT Growth'!AW$64:AW$115,'INPUT Growth'!$C$64:$C$115,$C53,'INPUT Growth'!$D$64:$D$115,$D53,'INPUT Growth'!$G$64:$G$115,$E53)</f>
        <v>501916.40454039664</v>
      </c>
    </row>
    <row r="54" spans="1:49" outlineLevel="1" x14ac:dyDescent="0.2">
      <c r="A54" s="150"/>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86">
        <f t="shared" ref="AC54:AW54" si="14">SUM(AC48:AC53)</f>
        <v>96003999.999999985</v>
      </c>
      <c r="AD54" s="86">
        <f t="shared" si="14"/>
        <v>98596999.99999994</v>
      </c>
      <c r="AE54" s="86">
        <f t="shared" si="14"/>
        <v>101356999.99999996</v>
      </c>
      <c r="AF54" s="86">
        <f t="shared" si="14"/>
        <v>103486000.0000001</v>
      </c>
      <c r="AG54" s="86">
        <f t="shared" si="14"/>
        <v>105866000.00000006</v>
      </c>
      <c r="AH54" s="86">
        <f t="shared" si="14"/>
        <v>98177502.133717448</v>
      </c>
      <c r="AI54" s="86">
        <f t="shared" si="14"/>
        <v>101984950.80895716</v>
      </c>
      <c r="AJ54" s="86">
        <f t="shared" si="14"/>
        <v>99690694.19547151</v>
      </c>
      <c r="AK54" s="86">
        <f t="shared" si="14"/>
        <v>105403383.44463748</v>
      </c>
      <c r="AL54" s="86">
        <f t="shared" si="14"/>
        <v>107329313.96704163</v>
      </c>
      <c r="AM54" s="86">
        <f t="shared" si="14"/>
        <v>106778358.03988253</v>
      </c>
      <c r="AN54" s="86">
        <f t="shared" si="14"/>
        <v>105735113.94856051</v>
      </c>
      <c r="AO54" s="86">
        <f t="shared" si="14"/>
        <v>103853891.70676959</v>
      </c>
      <c r="AP54" s="86">
        <f t="shared" si="14"/>
        <v>99715907.333781168</v>
      </c>
      <c r="AQ54" s="86">
        <f t="shared" si="14"/>
        <v>96216801.149902031</v>
      </c>
      <c r="AR54" s="86">
        <f t="shared" si="14"/>
        <v>92129438.292712167</v>
      </c>
      <c r="AS54" s="86">
        <f t="shared" si="14"/>
        <v>88673708.461319432</v>
      </c>
      <c r="AT54" s="86">
        <f t="shared" si="14"/>
        <v>86127612.045839876</v>
      </c>
      <c r="AU54" s="86">
        <f t="shared" si="14"/>
        <v>80566732.733025268</v>
      </c>
      <c r="AV54" s="86">
        <f t="shared" si="14"/>
        <v>73964998.296998888</v>
      </c>
      <c r="AW54" s="86">
        <f t="shared" si="14"/>
        <v>67884164.922971413</v>
      </c>
    </row>
    <row r="55" spans="1:49" outlineLevel="1" x14ac:dyDescent="0.2">
      <c r="A55" s="150"/>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86"/>
      <c r="AD55" s="86"/>
      <c r="AE55" s="86"/>
      <c r="AF55" s="86"/>
      <c r="AG55" s="86"/>
      <c r="AH55" s="86"/>
      <c r="AI55" s="86"/>
      <c r="AJ55" s="86"/>
      <c r="AK55" s="86"/>
      <c r="AL55" s="86"/>
      <c r="AM55" s="86"/>
      <c r="AN55" s="86"/>
      <c r="AO55" s="86"/>
      <c r="AP55" s="86"/>
      <c r="AQ55" s="86"/>
      <c r="AR55" s="86"/>
      <c r="AS55" s="86"/>
      <c r="AT55" s="86"/>
      <c r="AU55" s="86"/>
      <c r="AV55" s="86"/>
      <c r="AW55" s="86"/>
    </row>
    <row r="56" spans="1:49" outlineLevel="1" x14ac:dyDescent="0.2">
      <c r="A56" s="150"/>
      <c r="B56" s="150"/>
      <c r="C56" s="83" t="s">
        <v>577</v>
      </c>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85"/>
      <c r="AD56" s="85"/>
      <c r="AE56" s="85"/>
      <c r="AF56" s="85"/>
      <c r="AG56" s="85"/>
      <c r="AH56" s="85"/>
      <c r="AI56" s="85"/>
      <c r="AJ56" s="85"/>
      <c r="AK56" s="85"/>
      <c r="AL56" s="85"/>
      <c r="AM56" s="85"/>
      <c r="AN56" s="85"/>
      <c r="AO56" s="85"/>
      <c r="AP56" s="85"/>
      <c r="AQ56" s="85"/>
      <c r="AR56" s="85"/>
      <c r="AS56" s="85"/>
      <c r="AT56" s="85"/>
      <c r="AU56" s="85"/>
      <c r="AV56" s="85"/>
      <c r="AW56" s="85"/>
    </row>
    <row r="57" spans="1:49" x14ac:dyDescent="0.2">
      <c r="A57" s="150"/>
      <c r="B57" s="150"/>
      <c r="C57" s="83"/>
      <c r="D57" s="150" t="s">
        <v>578</v>
      </c>
      <c r="E57" s="83"/>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85"/>
      <c r="AD57" s="85"/>
      <c r="AE57" s="85"/>
      <c r="AF57" s="85"/>
      <c r="AG57" s="85"/>
      <c r="AH57" s="85"/>
      <c r="AI57" s="85"/>
      <c r="AJ57" s="85"/>
      <c r="AK57" s="85"/>
      <c r="AL57" s="85"/>
      <c r="AM57" s="85"/>
      <c r="AN57" s="85"/>
      <c r="AO57" s="85"/>
      <c r="AP57" s="85"/>
      <c r="AQ57" s="85"/>
      <c r="AR57" s="85"/>
      <c r="AS57" s="85"/>
      <c r="AT57" s="85"/>
      <c r="AU57" s="85"/>
      <c r="AV57" s="85"/>
      <c r="AW57" s="85"/>
    </row>
    <row r="58" spans="1:49" x14ac:dyDescent="0.2">
      <c r="A58" s="150"/>
      <c r="B58" s="150"/>
      <c r="C58" s="83"/>
      <c r="D58" s="150"/>
      <c r="E58" s="83"/>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85"/>
      <c r="AD58" s="85"/>
      <c r="AE58" s="85"/>
      <c r="AF58" s="85"/>
      <c r="AG58" s="85"/>
      <c r="AH58" s="85"/>
      <c r="AI58" s="85"/>
      <c r="AJ58" s="85"/>
      <c r="AK58" s="85"/>
      <c r="AL58" s="85"/>
      <c r="AM58" s="85"/>
      <c r="AN58" s="85"/>
      <c r="AO58" s="85"/>
      <c r="AP58" s="85"/>
      <c r="AQ58" s="85"/>
      <c r="AR58" s="85"/>
      <c r="AS58" s="85"/>
      <c r="AT58" s="85"/>
      <c r="AU58" s="85"/>
      <c r="AV58" s="85"/>
      <c r="AW58" s="85"/>
    </row>
    <row r="59" spans="1:49" x14ac:dyDescent="0.2">
      <c r="A59" s="150"/>
      <c r="B59" s="150"/>
      <c r="C59" s="83"/>
      <c r="D59" s="150"/>
      <c r="E59" s="83"/>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85"/>
      <c r="AD59" s="85"/>
      <c r="AE59" s="85"/>
      <c r="AF59" s="85"/>
      <c r="AG59" s="85"/>
      <c r="AH59" s="85"/>
      <c r="AI59" s="85"/>
      <c r="AJ59" s="85"/>
      <c r="AK59" s="85"/>
      <c r="AL59" s="85"/>
      <c r="AM59" s="85"/>
      <c r="AN59" s="85"/>
      <c r="AO59" s="85"/>
      <c r="AP59" s="85"/>
      <c r="AQ59" s="85"/>
      <c r="AR59" s="85"/>
      <c r="AS59" s="85"/>
      <c r="AT59" s="85"/>
      <c r="AU59" s="85"/>
      <c r="AV59" s="85"/>
      <c r="AW59" s="85"/>
    </row>
    <row r="60" spans="1:49" x14ac:dyDescent="0.2">
      <c r="A60" s="150"/>
      <c r="B60" s="150"/>
      <c r="C60" s="83"/>
      <c r="D60" s="150"/>
      <c r="E60" s="83"/>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85"/>
      <c r="AD60" s="85"/>
      <c r="AE60" s="85"/>
      <c r="AF60" s="85"/>
      <c r="AG60" s="85"/>
      <c r="AH60" s="85"/>
      <c r="AI60" s="85"/>
      <c r="AJ60" s="85"/>
      <c r="AK60" s="85"/>
      <c r="AL60" s="85"/>
      <c r="AM60" s="85"/>
      <c r="AN60" s="85"/>
      <c r="AO60" s="85"/>
      <c r="AP60" s="85"/>
      <c r="AQ60" s="85"/>
      <c r="AR60" s="85"/>
      <c r="AS60" s="85"/>
      <c r="AT60" s="85"/>
      <c r="AU60" s="85"/>
      <c r="AV60" s="85"/>
      <c r="AW60" s="85"/>
    </row>
    <row r="61" spans="1:49" x14ac:dyDescent="0.2">
      <c r="A61" s="150"/>
      <c r="B61" s="150"/>
      <c r="C61" s="83"/>
      <c r="D61" s="150"/>
      <c r="E61" s="83"/>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85"/>
      <c r="AD61" s="85"/>
      <c r="AE61" s="85"/>
      <c r="AF61" s="85"/>
      <c r="AG61" s="85"/>
      <c r="AH61" s="85"/>
      <c r="AI61" s="85"/>
      <c r="AJ61" s="85"/>
      <c r="AK61" s="85"/>
      <c r="AL61" s="85"/>
      <c r="AM61" s="85"/>
      <c r="AN61" s="85"/>
      <c r="AO61" s="85"/>
      <c r="AP61" s="85"/>
      <c r="AQ61" s="85"/>
      <c r="AR61" s="85"/>
      <c r="AS61" s="85"/>
      <c r="AT61" s="85"/>
      <c r="AU61" s="85"/>
      <c r="AV61" s="85"/>
      <c r="AW61" s="85"/>
    </row>
    <row r="62" spans="1:49" x14ac:dyDescent="0.2">
      <c r="A62" s="150"/>
      <c r="B62" s="150"/>
      <c r="C62" s="83"/>
      <c r="D62" s="150"/>
      <c r="E62" s="83"/>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85"/>
      <c r="AD62" s="85"/>
      <c r="AE62" s="85"/>
      <c r="AF62" s="85"/>
      <c r="AG62" s="85"/>
      <c r="AH62" s="85"/>
      <c r="AI62" s="85"/>
      <c r="AJ62" s="85"/>
      <c r="AK62" s="85"/>
      <c r="AL62" s="85"/>
      <c r="AM62" s="85"/>
      <c r="AN62" s="85"/>
      <c r="AO62" s="85"/>
      <c r="AP62" s="85"/>
      <c r="AQ62" s="85"/>
      <c r="AR62" s="85"/>
      <c r="AS62" s="85"/>
      <c r="AT62" s="85"/>
      <c r="AU62" s="85"/>
      <c r="AV62" s="85"/>
      <c r="AW62" s="85"/>
    </row>
    <row r="63" spans="1:49" ht="15.75" x14ac:dyDescent="0.25">
      <c r="A63" s="150"/>
      <c r="B63" s="78" t="s">
        <v>579</v>
      </c>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row>
    <row r="64" spans="1:49" outlineLevel="1" x14ac:dyDescent="0.2">
      <c r="A64" s="150"/>
      <c r="B64" s="62" t="s">
        <v>580</v>
      </c>
      <c r="C64" s="150"/>
      <c r="D64" s="150"/>
      <c r="E64" s="150"/>
      <c r="F64" s="150"/>
      <c r="G64" s="150"/>
      <c r="H64" s="150"/>
      <c r="I64" s="150"/>
      <c r="J64" s="64"/>
      <c r="K64" s="64" t="s">
        <v>581</v>
      </c>
      <c r="L64" s="150"/>
      <c r="M64" s="150"/>
      <c r="N64" s="150"/>
      <c r="O64" s="150"/>
      <c r="P64" s="150"/>
      <c r="Q64" s="150"/>
      <c r="R64" s="150"/>
      <c r="S64" s="150"/>
      <c r="T64" s="150"/>
      <c r="U64" s="150"/>
      <c r="V64" s="150"/>
      <c r="W64" s="150"/>
      <c r="X64" s="150"/>
      <c r="Y64" s="150"/>
      <c r="Z64" s="150"/>
      <c r="AA64" s="150" t="s">
        <v>582</v>
      </c>
      <c r="AB64" s="150" t="s">
        <v>582</v>
      </c>
      <c r="AC64" s="150" t="s">
        <v>583</v>
      </c>
      <c r="AD64" s="150"/>
      <c r="AE64" s="150"/>
      <c r="AF64" s="150"/>
      <c r="AG64" s="150"/>
      <c r="AH64" s="150"/>
      <c r="AI64" s="150"/>
      <c r="AJ64" s="150"/>
      <c r="AK64" s="150"/>
      <c r="AL64" s="150"/>
      <c r="AM64" s="83"/>
      <c r="AN64" s="150"/>
      <c r="AO64" s="150"/>
      <c r="AP64" s="150"/>
      <c r="AQ64" s="150"/>
      <c r="AR64" s="150"/>
      <c r="AS64" s="150"/>
      <c r="AT64" s="150"/>
      <c r="AU64" s="150"/>
      <c r="AV64" s="150"/>
      <c r="AW64" s="150"/>
    </row>
    <row r="65" spans="2:49" outlineLevel="1" x14ac:dyDescent="0.2">
      <c r="B65" s="150"/>
      <c r="C65" s="150"/>
      <c r="D65" s="150"/>
      <c r="E65" s="150" t="s">
        <v>301</v>
      </c>
      <c r="F65" s="150"/>
      <c r="G65" s="150" t="s">
        <v>460</v>
      </c>
      <c r="H65" s="150"/>
      <c r="I65" s="150"/>
      <c r="J65" s="199"/>
      <c r="K65" s="199">
        <f>SUM(S65:AB65)</f>
        <v>0</v>
      </c>
      <c r="L65" s="150"/>
      <c r="M65" s="150"/>
      <c r="N65" s="150"/>
      <c r="O65" s="150"/>
      <c r="P65" s="150"/>
      <c r="Q65" s="150"/>
      <c r="R65" s="150"/>
      <c r="S65" s="150"/>
      <c r="T65" s="150"/>
      <c r="U65" s="150"/>
      <c r="V65" s="150"/>
      <c r="W65" s="150"/>
      <c r="X65" s="150"/>
      <c r="Y65" s="150"/>
      <c r="Z65" s="150"/>
      <c r="AA65" s="195">
        <v>0</v>
      </c>
      <c r="AB65" s="195">
        <v>0</v>
      </c>
      <c r="AC65" s="195">
        <v>0</v>
      </c>
      <c r="AD65" s="195">
        <v>0</v>
      </c>
      <c r="AE65" s="195">
        <v>0</v>
      </c>
      <c r="AF65" s="195"/>
      <c r="AG65" s="195"/>
      <c r="AH65" s="195"/>
      <c r="AI65" s="195"/>
      <c r="AJ65" s="195"/>
      <c r="AK65" s="195"/>
      <c r="AL65" s="195"/>
      <c r="AM65" s="195"/>
      <c r="AN65" s="195"/>
      <c r="AO65" s="195"/>
      <c r="AP65" s="195"/>
      <c r="AQ65" s="195"/>
      <c r="AR65" s="195"/>
      <c r="AS65" s="195"/>
      <c r="AT65" s="195"/>
      <c r="AU65" s="195"/>
      <c r="AV65" s="195"/>
      <c r="AW65" s="195"/>
    </row>
    <row r="66" spans="2:49" outlineLevel="1" x14ac:dyDescent="0.2">
      <c r="B66" s="150"/>
      <c r="C66" s="150"/>
      <c r="D66" s="150"/>
      <c r="E66" s="150" t="s">
        <v>303</v>
      </c>
      <c r="F66" s="150"/>
      <c r="G66" s="150" t="s">
        <v>460</v>
      </c>
      <c r="H66" s="150"/>
      <c r="I66" s="150"/>
      <c r="J66" s="199"/>
      <c r="K66" s="199">
        <f t="shared" ref="K66:K67" si="15">SUM(S66:AB66)</f>
        <v>0</v>
      </c>
      <c r="L66" s="150"/>
      <c r="M66" s="150"/>
      <c r="N66" s="150"/>
      <c r="O66" s="150"/>
      <c r="P66" s="150"/>
      <c r="Q66" s="150"/>
      <c r="R66" s="150"/>
      <c r="S66" s="150"/>
      <c r="T66" s="150"/>
      <c r="U66" s="150"/>
      <c r="V66" s="150"/>
      <c r="W66" s="150"/>
      <c r="X66" s="150"/>
      <c r="Y66" s="150"/>
      <c r="Z66" s="150"/>
      <c r="AA66" s="195">
        <v>0</v>
      </c>
      <c r="AB66" s="195">
        <v>0</v>
      </c>
      <c r="AC66" s="195">
        <v>0</v>
      </c>
      <c r="AD66" s="195">
        <v>0</v>
      </c>
      <c r="AE66" s="195">
        <v>0</v>
      </c>
      <c r="AF66" s="195"/>
      <c r="AG66" s="195"/>
      <c r="AH66" s="195"/>
      <c r="AI66" s="195"/>
      <c r="AJ66" s="195"/>
      <c r="AK66" s="195"/>
      <c r="AL66" s="195"/>
      <c r="AM66" s="195"/>
      <c r="AN66" s="195"/>
      <c r="AO66" s="195"/>
      <c r="AP66" s="195"/>
      <c r="AQ66" s="195"/>
      <c r="AR66" s="195"/>
      <c r="AS66" s="195"/>
      <c r="AT66" s="195"/>
      <c r="AU66" s="195"/>
      <c r="AV66" s="195"/>
      <c r="AW66" s="195"/>
    </row>
    <row r="67" spans="2:49" outlineLevel="1" x14ac:dyDescent="0.2">
      <c r="B67" s="150"/>
      <c r="C67" s="150"/>
      <c r="D67" s="150"/>
      <c r="E67" s="150" t="s">
        <v>310</v>
      </c>
      <c r="F67" s="150"/>
      <c r="G67" s="150" t="s">
        <v>460</v>
      </c>
      <c r="H67" s="150"/>
      <c r="I67" s="150"/>
      <c r="J67" s="199"/>
      <c r="K67" s="199">
        <f t="shared" si="15"/>
        <v>17781487.668519352</v>
      </c>
      <c r="L67" s="150"/>
      <c r="M67" s="150" t="s">
        <v>584</v>
      </c>
      <c r="N67" s="150"/>
      <c r="O67" s="150"/>
      <c r="P67" s="150"/>
      <c r="Q67" s="150"/>
      <c r="R67" s="150"/>
      <c r="S67" s="150"/>
      <c r="T67" s="150"/>
      <c r="U67" s="150"/>
      <c r="V67" s="150"/>
      <c r="W67" s="150"/>
      <c r="X67" s="150"/>
      <c r="Y67" s="150"/>
      <c r="Z67" s="150"/>
      <c r="AA67" s="195">
        <v>12109332.704838967</v>
      </c>
      <c r="AB67" s="195">
        <v>5672154.9636803856</v>
      </c>
      <c r="AC67" s="195">
        <v>15600000</v>
      </c>
      <c r="AD67" s="195">
        <v>18164251.20772947</v>
      </c>
      <c r="AE67" s="195">
        <v>159630.32976265493</v>
      </c>
      <c r="AF67" s="195"/>
      <c r="AG67" s="195"/>
      <c r="AH67" s="195"/>
      <c r="AI67" s="195"/>
      <c r="AJ67" s="195"/>
      <c r="AK67" s="195"/>
      <c r="AL67" s="195"/>
      <c r="AM67" s="195"/>
      <c r="AN67" s="195"/>
      <c r="AO67" s="195"/>
      <c r="AP67" s="195"/>
      <c r="AQ67" s="195"/>
      <c r="AR67" s="195"/>
      <c r="AS67" s="195"/>
      <c r="AT67" s="195"/>
      <c r="AU67" s="195"/>
      <c r="AV67" s="195"/>
      <c r="AW67" s="195"/>
    </row>
    <row r="68" spans="2:49" outlineLevel="1" x14ac:dyDescent="0.2">
      <c r="B68" s="150"/>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row>
    <row r="69" spans="2:49" outlineLevel="1" x14ac:dyDescent="0.2">
      <c r="B69" s="150"/>
      <c r="C69" s="150" t="s">
        <v>287</v>
      </c>
      <c r="D69" s="150" t="s">
        <v>301</v>
      </c>
      <c r="E69" s="150"/>
      <c r="F69" s="150" t="s">
        <v>262</v>
      </c>
      <c r="G69" s="150"/>
      <c r="H69" s="150"/>
      <c r="I69" s="150"/>
      <c r="J69" s="199"/>
      <c r="K69" s="199">
        <f>SUM(S69:AB69)</f>
        <v>0</v>
      </c>
      <c r="L69" s="150"/>
      <c r="M69" s="150"/>
      <c r="N69" s="150"/>
      <c r="O69" s="150"/>
      <c r="P69" s="150"/>
      <c r="Q69" s="150"/>
      <c r="R69" s="150"/>
      <c r="S69" s="150"/>
      <c r="T69" s="150"/>
      <c r="U69" s="150"/>
      <c r="V69" s="150"/>
      <c r="W69" s="150"/>
      <c r="X69" s="150"/>
      <c r="Y69" s="150"/>
      <c r="Z69" s="150"/>
      <c r="AA69" s="195">
        <v>0</v>
      </c>
      <c r="AB69" s="195">
        <v>0</v>
      </c>
      <c r="AC69" s="150"/>
      <c r="AD69" s="150"/>
      <c r="AE69" s="150"/>
      <c r="AF69" s="150"/>
      <c r="AG69" s="150"/>
      <c r="AH69" s="150"/>
      <c r="AI69" s="150"/>
      <c r="AJ69" s="150"/>
      <c r="AK69" s="150"/>
      <c r="AL69" s="150"/>
      <c r="AM69" s="150"/>
      <c r="AN69" s="150"/>
      <c r="AO69" s="150"/>
      <c r="AP69" s="150"/>
      <c r="AQ69" s="150"/>
      <c r="AR69" s="150"/>
      <c r="AS69" s="150"/>
      <c r="AT69" s="150"/>
      <c r="AU69" s="150"/>
      <c r="AV69" s="150"/>
      <c r="AW69" s="150"/>
    </row>
    <row r="70" spans="2:49" outlineLevel="1" x14ac:dyDescent="0.2">
      <c r="B70" s="150"/>
      <c r="C70" s="150" t="s">
        <v>287</v>
      </c>
      <c r="D70" s="150" t="s">
        <v>301</v>
      </c>
      <c r="E70" s="150"/>
      <c r="F70" s="150" t="s">
        <v>265</v>
      </c>
      <c r="G70" s="150"/>
      <c r="H70" s="150"/>
      <c r="I70" s="150"/>
      <c r="J70" s="199"/>
      <c r="K70" s="199">
        <f t="shared" ref="K70:K78" si="16">SUM(S70:AB70)</f>
        <v>0</v>
      </c>
      <c r="L70" s="150"/>
      <c r="M70" s="150"/>
      <c r="N70" s="150"/>
      <c r="O70" s="150"/>
      <c r="P70" s="150"/>
      <c r="Q70" s="150"/>
      <c r="R70" s="150"/>
      <c r="S70" s="150"/>
      <c r="T70" s="150"/>
      <c r="U70" s="150"/>
      <c r="V70" s="150"/>
      <c r="W70" s="150"/>
      <c r="X70" s="150"/>
      <c r="Y70" s="150"/>
      <c r="Z70" s="150"/>
      <c r="AA70" s="195">
        <v>0</v>
      </c>
      <c r="AB70" s="195">
        <v>0</v>
      </c>
      <c r="AC70" s="150"/>
      <c r="AD70" s="150"/>
      <c r="AE70" s="150"/>
      <c r="AF70" s="150"/>
      <c r="AG70" s="150"/>
      <c r="AH70" s="150"/>
      <c r="AI70" s="150"/>
      <c r="AJ70" s="150"/>
      <c r="AK70" s="150"/>
      <c r="AL70" s="150"/>
      <c r="AM70" s="150"/>
      <c r="AN70" s="150"/>
      <c r="AO70" s="150"/>
      <c r="AP70" s="150"/>
      <c r="AQ70" s="150"/>
      <c r="AR70" s="150"/>
      <c r="AS70" s="150"/>
      <c r="AT70" s="150"/>
      <c r="AU70" s="150"/>
      <c r="AV70" s="150"/>
      <c r="AW70" s="150"/>
    </row>
    <row r="71" spans="2:49" outlineLevel="1" x14ac:dyDescent="0.2">
      <c r="B71" s="150"/>
      <c r="C71" s="150" t="s">
        <v>290</v>
      </c>
      <c r="D71" s="150" t="s">
        <v>301</v>
      </c>
      <c r="E71" s="150"/>
      <c r="F71" s="150" t="s">
        <v>265</v>
      </c>
      <c r="G71" s="150"/>
      <c r="H71" s="150"/>
      <c r="I71" s="150"/>
      <c r="J71" s="199"/>
      <c r="K71" s="199">
        <f t="shared" si="16"/>
        <v>0</v>
      </c>
      <c r="L71" s="150"/>
      <c r="M71" s="150"/>
      <c r="N71" s="150"/>
      <c r="O71" s="150"/>
      <c r="P71" s="150"/>
      <c r="Q71" s="150"/>
      <c r="R71" s="150"/>
      <c r="S71" s="150"/>
      <c r="T71" s="150"/>
      <c r="U71" s="150"/>
      <c r="V71" s="150"/>
      <c r="W71" s="150"/>
      <c r="X71" s="150"/>
      <c r="Y71" s="150"/>
      <c r="Z71" s="150"/>
      <c r="AA71" s="195">
        <v>0</v>
      </c>
      <c r="AB71" s="195">
        <v>0</v>
      </c>
      <c r="AC71" s="150"/>
      <c r="AD71" s="150"/>
      <c r="AE71" s="150"/>
      <c r="AF71" s="150"/>
      <c r="AG71" s="150"/>
      <c r="AH71" s="150"/>
      <c r="AI71" s="150"/>
      <c r="AJ71" s="150"/>
      <c r="AK71" s="150"/>
      <c r="AL71" s="150"/>
      <c r="AM71" s="150"/>
      <c r="AN71" s="150"/>
      <c r="AO71" s="150"/>
      <c r="AP71" s="150"/>
      <c r="AQ71" s="150"/>
      <c r="AR71" s="150"/>
      <c r="AS71" s="150"/>
      <c r="AT71" s="150"/>
      <c r="AU71" s="150"/>
      <c r="AV71" s="150"/>
      <c r="AW71" s="150"/>
    </row>
    <row r="72" spans="2:49" outlineLevel="1" x14ac:dyDescent="0.2">
      <c r="B72" s="150"/>
      <c r="C72" s="150" t="s">
        <v>287</v>
      </c>
      <c r="D72" s="150" t="s">
        <v>303</v>
      </c>
      <c r="E72" s="150"/>
      <c r="F72" s="150" t="s">
        <v>262</v>
      </c>
      <c r="G72" s="150"/>
      <c r="H72" s="150"/>
      <c r="I72" s="150"/>
      <c r="J72" s="199"/>
      <c r="K72" s="199">
        <f t="shared" si="16"/>
        <v>0</v>
      </c>
      <c r="L72" s="150"/>
      <c r="M72" s="150"/>
      <c r="N72" s="150"/>
      <c r="O72" s="150"/>
      <c r="P72" s="150"/>
      <c r="Q72" s="150"/>
      <c r="R72" s="150"/>
      <c r="S72" s="150"/>
      <c r="T72" s="150"/>
      <c r="U72" s="150"/>
      <c r="V72" s="150"/>
      <c r="W72" s="150"/>
      <c r="X72" s="150"/>
      <c r="Y72" s="150"/>
      <c r="Z72" s="150"/>
      <c r="AA72" s="195">
        <v>0</v>
      </c>
      <c r="AB72" s="195">
        <v>0</v>
      </c>
      <c r="AC72" s="150"/>
      <c r="AD72" s="150"/>
      <c r="AE72" s="150"/>
      <c r="AF72" s="150"/>
      <c r="AG72" s="150"/>
      <c r="AH72" s="150"/>
      <c r="AI72" s="150"/>
      <c r="AJ72" s="150"/>
      <c r="AK72" s="150"/>
      <c r="AL72" s="150"/>
      <c r="AM72" s="150"/>
      <c r="AN72" s="150"/>
      <c r="AO72" s="150"/>
      <c r="AP72" s="150"/>
      <c r="AQ72" s="150"/>
      <c r="AR72" s="150"/>
      <c r="AS72" s="150"/>
      <c r="AT72" s="150"/>
      <c r="AU72" s="150"/>
      <c r="AV72" s="150"/>
      <c r="AW72" s="150"/>
    </row>
    <row r="73" spans="2:49" outlineLevel="1" x14ac:dyDescent="0.2">
      <c r="B73" s="150"/>
      <c r="C73" s="150" t="s">
        <v>287</v>
      </c>
      <c r="D73" s="150" t="s">
        <v>303</v>
      </c>
      <c r="E73" s="150"/>
      <c r="F73" s="150" t="s">
        <v>265</v>
      </c>
      <c r="G73" s="150"/>
      <c r="H73" s="150"/>
      <c r="I73" s="150"/>
      <c r="J73" s="199"/>
      <c r="K73" s="199">
        <f t="shared" si="16"/>
        <v>0</v>
      </c>
      <c r="L73" s="150"/>
      <c r="M73" s="150"/>
      <c r="N73" s="150"/>
      <c r="O73" s="150"/>
      <c r="P73" s="150"/>
      <c r="Q73" s="150"/>
      <c r="R73" s="150"/>
      <c r="S73" s="150"/>
      <c r="T73" s="150"/>
      <c r="U73" s="150"/>
      <c r="V73" s="150"/>
      <c r="W73" s="150"/>
      <c r="X73" s="150"/>
      <c r="Y73" s="150"/>
      <c r="Z73" s="150"/>
      <c r="AA73" s="195">
        <v>0</v>
      </c>
      <c r="AB73" s="195">
        <v>0</v>
      </c>
      <c r="AC73" s="150"/>
      <c r="AD73" s="150"/>
      <c r="AE73" s="150"/>
      <c r="AF73" s="150"/>
      <c r="AG73" s="150"/>
      <c r="AH73" s="150"/>
      <c r="AI73" s="150"/>
      <c r="AJ73" s="150"/>
      <c r="AK73" s="150"/>
      <c r="AL73" s="150"/>
      <c r="AM73" s="150"/>
      <c r="AN73" s="150"/>
      <c r="AO73" s="150"/>
      <c r="AP73" s="150"/>
      <c r="AQ73" s="150"/>
      <c r="AR73" s="150"/>
      <c r="AS73" s="150"/>
      <c r="AT73" s="150"/>
      <c r="AU73" s="150"/>
      <c r="AV73" s="150"/>
      <c r="AW73" s="150"/>
    </row>
    <row r="74" spans="2:49" outlineLevel="1" x14ac:dyDescent="0.2">
      <c r="B74" s="150"/>
      <c r="C74" s="150" t="s">
        <v>290</v>
      </c>
      <c r="D74" s="150" t="s">
        <v>303</v>
      </c>
      <c r="E74" s="150"/>
      <c r="F74" s="150" t="s">
        <v>265</v>
      </c>
      <c r="G74" s="150"/>
      <c r="H74" s="150"/>
      <c r="I74" s="150"/>
      <c r="J74" s="199"/>
      <c r="K74" s="199">
        <f t="shared" si="16"/>
        <v>0</v>
      </c>
      <c r="L74" s="150"/>
      <c r="M74" s="150"/>
      <c r="N74" s="150"/>
      <c r="O74" s="150"/>
      <c r="P74" s="150"/>
      <c r="Q74" s="150"/>
      <c r="R74" s="150"/>
      <c r="S74" s="150"/>
      <c r="T74" s="150"/>
      <c r="U74" s="150"/>
      <c r="V74" s="150"/>
      <c r="W74" s="150"/>
      <c r="X74" s="150"/>
      <c r="Y74" s="150"/>
      <c r="Z74" s="150"/>
      <c r="AA74" s="195">
        <v>0</v>
      </c>
      <c r="AB74" s="195">
        <v>0</v>
      </c>
      <c r="AC74" s="150"/>
      <c r="AD74" s="150"/>
      <c r="AE74" s="150"/>
      <c r="AF74" s="150"/>
      <c r="AG74" s="150"/>
      <c r="AH74" s="150"/>
      <c r="AI74" s="150"/>
      <c r="AJ74" s="150"/>
      <c r="AK74" s="150"/>
      <c r="AL74" s="150"/>
      <c r="AM74" s="150"/>
      <c r="AN74" s="150"/>
      <c r="AO74" s="150"/>
      <c r="AP74" s="150"/>
      <c r="AQ74" s="150"/>
      <c r="AR74" s="150"/>
      <c r="AS74" s="150"/>
      <c r="AT74" s="150"/>
      <c r="AU74" s="150"/>
      <c r="AV74" s="150"/>
      <c r="AW74" s="150"/>
    </row>
    <row r="75" spans="2:49" outlineLevel="1" x14ac:dyDescent="0.2">
      <c r="B75" s="150"/>
      <c r="C75" s="150" t="s">
        <v>283</v>
      </c>
      <c r="D75" s="150" t="s">
        <v>310</v>
      </c>
      <c r="E75" s="150"/>
      <c r="F75" s="150" t="s">
        <v>262</v>
      </c>
      <c r="G75" s="150"/>
      <c r="H75" s="150"/>
      <c r="I75" s="150"/>
      <c r="J75" s="199"/>
      <c r="K75" s="199">
        <f t="shared" si="16"/>
        <v>0</v>
      </c>
      <c r="L75" s="150"/>
      <c r="M75" s="150"/>
      <c r="N75" s="150"/>
      <c r="O75" s="150"/>
      <c r="P75" s="150"/>
      <c r="Q75" s="150"/>
      <c r="R75" s="150"/>
      <c r="S75" s="150"/>
      <c r="T75" s="150"/>
      <c r="U75" s="150"/>
      <c r="V75" s="150"/>
      <c r="W75" s="150"/>
      <c r="X75" s="150"/>
      <c r="Y75" s="150"/>
      <c r="Z75" s="150"/>
      <c r="AA75" s="195">
        <v>0</v>
      </c>
      <c r="AB75" s="195">
        <v>0</v>
      </c>
      <c r="AC75" s="150"/>
      <c r="AD75" s="150"/>
      <c r="AE75" s="150"/>
      <c r="AF75" s="150"/>
      <c r="AG75" s="150"/>
      <c r="AH75" s="150"/>
      <c r="AI75" s="150"/>
      <c r="AJ75" s="150"/>
      <c r="AK75" s="150"/>
      <c r="AL75" s="150"/>
      <c r="AM75" s="150"/>
      <c r="AN75" s="150"/>
      <c r="AO75" s="150"/>
      <c r="AP75" s="150"/>
      <c r="AQ75" s="150"/>
      <c r="AR75" s="150"/>
      <c r="AS75" s="150"/>
      <c r="AT75" s="150"/>
      <c r="AU75" s="150"/>
      <c r="AV75" s="150"/>
      <c r="AW75" s="150"/>
    </row>
    <row r="76" spans="2:49" outlineLevel="1" x14ac:dyDescent="0.2">
      <c r="B76" s="150"/>
      <c r="C76" s="150" t="s">
        <v>312</v>
      </c>
      <c r="D76" s="150" t="s">
        <v>310</v>
      </c>
      <c r="E76" s="150"/>
      <c r="F76" s="150" t="s">
        <v>262</v>
      </c>
      <c r="G76" s="150"/>
      <c r="H76" s="150"/>
      <c r="I76" s="150"/>
      <c r="J76" s="199"/>
      <c r="K76" s="199">
        <f t="shared" si="16"/>
        <v>0</v>
      </c>
      <c r="L76" s="150"/>
      <c r="M76" s="150"/>
      <c r="N76" s="150"/>
      <c r="O76" s="150"/>
      <c r="P76" s="150"/>
      <c r="Q76" s="150"/>
      <c r="R76" s="150"/>
      <c r="S76" s="150"/>
      <c r="T76" s="150"/>
      <c r="U76" s="150"/>
      <c r="V76" s="150"/>
      <c r="W76" s="150"/>
      <c r="X76" s="150"/>
      <c r="Y76" s="150"/>
      <c r="Z76" s="150"/>
      <c r="AA76" s="195">
        <v>0</v>
      </c>
      <c r="AB76" s="195">
        <v>0</v>
      </c>
      <c r="AC76" s="150"/>
      <c r="AD76" s="150"/>
      <c r="AE76" s="150"/>
      <c r="AF76" s="150"/>
      <c r="AG76" s="150"/>
      <c r="AH76" s="150"/>
      <c r="AI76" s="150"/>
      <c r="AJ76" s="150"/>
      <c r="AK76" s="150"/>
      <c r="AL76" s="150"/>
      <c r="AM76" s="150"/>
      <c r="AN76" s="150"/>
      <c r="AO76" s="150"/>
      <c r="AP76" s="150"/>
      <c r="AQ76" s="150"/>
      <c r="AR76" s="150"/>
      <c r="AS76" s="150"/>
      <c r="AT76" s="150"/>
      <c r="AU76" s="150"/>
      <c r="AV76" s="150"/>
      <c r="AW76" s="150"/>
    </row>
    <row r="77" spans="2:49" outlineLevel="1" x14ac:dyDescent="0.2">
      <c r="B77" s="150"/>
      <c r="C77" s="150" t="s">
        <v>283</v>
      </c>
      <c r="D77" s="150" t="s">
        <v>310</v>
      </c>
      <c r="E77" s="150"/>
      <c r="F77" s="150" t="s">
        <v>265</v>
      </c>
      <c r="G77" s="150"/>
      <c r="H77" s="150"/>
      <c r="I77" s="150"/>
      <c r="J77" s="199"/>
      <c r="K77" s="199">
        <f t="shared" si="16"/>
        <v>0</v>
      </c>
      <c r="L77" s="150"/>
      <c r="M77" s="150"/>
      <c r="N77" s="150"/>
      <c r="O77" s="150"/>
      <c r="P77" s="150"/>
      <c r="Q77" s="150"/>
      <c r="R77" s="150"/>
      <c r="S77" s="150"/>
      <c r="T77" s="150"/>
      <c r="U77" s="150"/>
      <c r="V77" s="150"/>
      <c r="W77" s="150"/>
      <c r="X77" s="150"/>
      <c r="Y77" s="150"/>
      <c r="Z77" s="150"/>
      <c r="AA77" s="195">
        <v>0</v>
      </c>
      <c r="AB77" s="195">
        <v>0</v>
      </c>
      <c r="AC77" s="150"/>
      <c r="AD77" s="150"/>
      <c r="AE77" s="150"/>
      <c r="AF77" s="150"/>
      <c r="AG77" s="150"/>
      <c r="AH77" s="150"/>
      <c r="AI77" s="150"/>
      <c r="AJ77" s="150"/>
      <c r="AK77" s="150"/>
      <c r="AL77" s="150"/>
      <c r="AM77" s="150"/>
      <c r="AN77" s="150"/>
      <c r="AO77" s="150"/>
      <c r="AP77" s="150"/>
      <c r="AQ77" s="150"/>
      <c r="AR77" s="150"/>
      <c r="AS77" s="150"/>
      <c r="AT77" s="150"/>
      <c r="AU77" s="150"/>
      <c r="AV77" s="150"/>
      <c r="AW77" s="150"/>
    </row>
    <row r="78" spans="2:49" outlineLevel="1" x14ac:dyDescent="0.2">
      <c r="B78" s="150"/>
      <c r="C78" s="150" t="s">
        <v>312</v>
      </c>
      <c r="D78" s="150" t="s">
        <v>310</v>
      </c>
      <c r="E78" s="150"/>
      <c r="F78" s="150" t="s">
        <v>265</v>
      </c>
      <c r="G78" s="150"/>
      <c r="H78" s="150"/>
      <c r="I78" s="150"/>
      <c r="J78" s="199"/>
      <c r="K78" s="199">
        <f t="shared" si="16"/>
        <v>17781487.668519352</v>
      </c>
      <c r="L78" s="150"/>
      <c r="M78" s="150"/>
      <c r="N78" s="150"/>
      <c r="O78" s="150"/>
      <c r="P78" s="150"/>
      <c r="Q78" s="150"/>
      <c r="R78" s="150"/>
      <c r="S78" s="150"/>
      <c r="T78" s="150"/>
      <c r="U78" s="150"/>
      <c r="V78" s="150"/>
      <c r="W78" s="150"/>
      <c r="X78" s="150"/>
      <c r="Y78" s="150"/>
      <c r="Z78" s="150"/>
      <c r="AA78" s="187">
        <f>AA67</f>
        <v>12109332.704838967</v>
      </c>
      <c r="AB78" s="187">
        <f>AB67</f>
        <v>5672154.9636803856</v>
      </c>
      <c r="AC78" s="150"/>
      <c r="AD78" s="150"/>
      <c r="AE78" s="150"/>
      <c r="AF78" s="150"/>
      <c r="AG78" s="150"/>
      <c r="AH78" s="150"/>
      <c r="AI78" s="150"/>
      <c r="AJ78" s="150"/>
      <c r="AK78" s="150"/>
      <c r="AL78" s="150"/>
      <c r="AM78" s="150"/>
      <c r="AN78" s="150"/>
      <c r="AO78" s="150"/>
      <c r="AP78" s="150"/>
      <c r="AQ78" s="150"/>
      <c r="AR78" s="150"/>
      <c r="AS78" s="150"/>
      <c r="AT78" s="150"/>
      <c r="AU78" s="150"/>
      <c r="AV78" s="150"/>
      <c r="AW78" s="150"/>
    </row>
    <row r="79" spans="2:49" x14ac:dyDescent="0.2">
      <c r="B79" s="150"/>
      <c r="C79" s="83"/>
      <c r="D79" s="150"/>
      <c r="E79" s="83"/>
      <c r="F79" s="150"/>
      <c r="G79" s="150"/>
      <c r="H79" s="150"/>
      <c r="I79" s="150"/>
      <c r="J79" s="150"/>
      <c r="K79" s="150"/>
      <c r="L79" s="150"/>
      <c r="M79" s="150"/>
      <c r="N79" s="150"/>
      <c r="O79" s="150"/>
      <c r="P79" s="150"/>
      <c r="Q79" s="150"/>
      <c r="R79" s="150"/>
      <c r="S79" s="150"/>
      <c r="T79" s="150"/>
      <c r="U79" s="150"/>
      <c r="V79" s="150"/>
      <c r="W79" s="150"/>
      <c r="X79" s="150"/>
      <c r="Y79" s="150"/>
      <c r="Z79" s="150"/>
      <c r="AA79" s="150"/>
      <c r="AB79" s="150"/>
      <c r="AC79" s="85"/>
      <c r="AD79" s="85"/>
      <c r="AE79" s="85"/>
      <c r="AF79" s="85"/>
      <c r="AG79" s="85"/>
      <c r="AH79" s="85"/>
      <c r="AI79" s="85"/>
      <c r="AJ79" s="85"/>
      <c r="AK79" s="85"/>
      <c r="AL79" s="85"/>
      <c r="AM79" s="85"/>
      <c r="AN79" s="85"/>
      <c r="AO79" s="85"/>
      <c r="AP79" s="85"/>
      <c r="AQ79" s="85"/>
      <c r="AR79" s="85"/>
      <c r="AS79" s="85"/>
      <c r="AT79" s="85"/>
      <c r="AU79" s="85"/>
      <c r="AV79" s="85"/>
      <c r="AW79" s="85"/>
    </row>
    <row r="80" spans="2:49" ht="15.75" x14ac:dyDescent="0.25">
      <c r="B80" s="78" t="s">
        <v>401</v>
      </c>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85"/>
      <c r="AE80" s="85"/>
      <c r="AF80" s="85"/>
      <c r="AG80" s="85"/>
      <c r="AH80" s="85"/>
      <c r="AI80" s="85"/>
      <c r="AJ80" s="85"/>
      <c r="AK80" s="85"/>
      <c r="AL80" s="85"/>
      <c r="AM80" s="85"/>
      <c r="AN80" s="85"/>
      <c r="AO80" s="85"/>
      <c r="AP80" s="85"/>
      <c r="AQ80" s="85"/>
      <c r="AR80" s="85"/>
      <c r="AS80" s="85"/>
      <c r="AT80" s="85"/>
      <c r="AU80" s="85"/>
      <c r="AV80" s="85"/>
      <c r="AW80" s="85"/>
    </row>
    <row r="81" spans="2:49" ht="15.75" x14ac:dyDescent="0.25">
      <c r="B81" s="78"/>
      <c r="C81" s="87" t="s">
        <v>585</v>
      </c>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85"/>
      <c r="AD81" s="85"/>
      <c r="AE81" s="85"/>
      <c r="AF81" s="85"/>
      <c r="AG81" s="85"/>
      <c r="AH81" s="85"/>
      <c r="AI81" s="85"/>
      <c r="AJ81" s="85"/>
      <c r="AK81" s="85"/>
      <c r="AL81" s="85"/>
      <c r="AM81" s="85"/>
      <c r="AN81" s="85"/>
      <c r="AO81" s="85"/>
      <c r="AP81" s="85"/>
      <c r="AQ81" s="85"/>
      <c r="AR81" s="85"/>
      <c r="AS81" s="85"/>
      <c r="AT81" s="85"/>
      <c r="AU81" s="85"/>
      <c r="AV81" s="85"/>
      <c r="AW81" s="85"/>
    </row>
    <row r="82" spans="2:49" ht="15.75" outlineLevel="1" x14ac:dyDescent="0.25">
      <c r="B82" s="78"/>
      <c r="C82" s="62" t="s">
        <v>586</v>
      </c>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row>
    <row r="83" spans="2:49" outlineLevel="1" x14ac:dyDescent="0.2">
      <c r="B83" s="150"/>
      <c r="C83" s="64" t="s">
        <v>587</v>
      </c>
      <c r="D83" s="150"/>
      <c r="E83" s="150" t="s">
        <v>588</v>
      </c>
      <c r="F83" s="150"/>
      <c r="G83" s="150"/>
      <c r="H83" s="150"/>
      <c r="I83" s="150"/>
      <c r="J83" s="150"/>
      <c r="K83" s="150"/>
      <c r="L83" s="150"/>
      <c r="M83" s="150"/>
      <c r="N83" s="150"/>
      <c r="O83" s="150"/>
      <c r="P83" s="150"/>
      <c r="Q83" s="150"/>
      <c r="R83" s="150"/>
      <c r="S83" s="150"/>
      <c r="T83" s="150"/>
      <c r="U83" s="150"/>
      <c r="V83" s="150"/>
      <c r="W83" s="150"/>
      <c r="X83" s="150"/>
      <c r="Y83" s="150"/>
      <c r="Z83" s="150"/>
      <c r="AA83" s="150"/>
      <c r="AB83" s="77"/>
      <c r="AC83" s="77"/>
      <c r="AD83" s="77"/>
      <c r="AE83" s="150"/>
      <c r="AF83" s="150"/>
      <c r="AG83" s="150"/>
      <c r="AH83" s="150"/>
      <c r="AI83" s="150"/>
      <c r="AJ83" s="150"/>
      <c r="AK83" s="150"/>
      <c r="AL83" s="150"/>
      <c r="AM83" s="150"/>
      <c r="AN83" s="150"/>
      <c r="AO83" s="150"/>
      <c r="AP83" s="150"/>
      <c r="AQ83" s="150"/>
      <c r="AR83" s="150"/>
      <c r="AS83" s="150"/>
      <c r="AT83" s="150"/>
      <c r="AU83" s="150"/>
      <c r="AV83" s="150"/>
      <c r="AW83" s="150"/>
    </row>
    <row r="84" spans="2:49" outlineLevel="1" x14ac:dyDescent="0.2">
      <c r="B84" s="64"/>
      <c r="C84" s="150"/>
      <c r="D84" s="64" t="s">
        <v>506</v>
      </c>
      <c r="E84" s="150"/>
      <c r="F84" s="64" t="s">
        <v>589</v>
      </c>
      <c r="G84" s="64" t="s">
        <v>590</v>
      </c>
      <c r="H84" s="150"/>
      <c r="I84" s="150"/>
      <c r="J84" s="150"/>
      <c r="K84" s="150"/>
      <c r="L84" s="150"/>
      <c r="M84" s="150"/>
      <c r="N84" s="150"/>
      <c r="O84" s="150"/>
      <c r="P84" s="150"/>
      <c r="Q84" s="150"/>
      <c r="R84" s="150"/>
      <c r="S84" s="150"/>
      <c r="T84" s="150"/>
      <c r="U84" s="150"/>
      <c r="V84" s="150"/>
      <c r="W84" s="150"/>
      <c r="X84" s="83" t="s">
        <v>591</v>
      </c>
      <c r="Y84" s="150"/>
      <c r="Z84" s="150"/>
      <c r="AA84" s="83" t="s">
        <v>592</v>
      </c>
      <c r="AB84" s="84" t="s">
        <v>593</v>
      </c>
      <c r="AC84" s="77"/>
      <c r="AD84" s="77"/>
      <c r="AE84" s="150"/>
      <c r="AF84" s="150"/>
      <c r="AG84" s="150"/>
      <c r="AH84" s="150"/>
      <c r="AI84" s="150"/>
      <c r="AJ84" s="150"/>
      <c r="AK84" s="150"/>
      <c r="AL84" s="150"/>
      <c r="AM84" s="150"/>
      <c r="AN84" s="150"/>
      <c r="AO84" s="150"/>
      <c r="AP84" s="150"/>
      <c r="AQ84" s="150"/>
      <c r="AR84" s="150"/>
      <c r="AS84" s="150"/>
      <c r="AT84" s="150"/>
      <c r="AU84" s="150"/>
      <c r="AV84" s="150"/>
      <c r="AW84" s="150"/>
    </row>
    <row r="85" spans="2:49" outlineLevel="1" x14ac:dyDescent="0.2">
      <c r="B85" s="64"/>
      <c r="C85" s="150"/>
      <c r="D85" s="150" t="s">
        <v>301</v>
      </c>
      <c r="E85" s="150"/>
      <c r="F85" s="150" t="s">
        <v>262</v>
      </c>
      <c r="G85" s="150" t="s">
        <v>594</v>
      </c>
      <c r="H85" s="150"/>
      <c r="I85" s="150"/>
      <c r="J85" s="150"/>
      <c r="K85" s="150"/>
      <c r="L85" s="150"/>
      <c r="M85" s="150"/>
      <c r="N85" s="150"/>
      <c r="O85" s="150"/>
      <c r="P85" s="150"/>
      <c r="Q85" s="150"/>
      <c r="R85" s="150"/>
      <c r="S85" s="195">
        <v>-34529.120000000003</v>
      </c>
      <c r="T85" s="195">
        <v>5000</v>
      </c>
      <c r="U85" s="195">
        <v>50757.82</v>
      </c>
      <c r="V85" s="195">
        <v>19774.97</v>
      </c>
      <c r="W85" s="195">
        <v>88800</v>
      </c>
      <c r="X85" s="195">
        <v>80000</v>
      </c>
      <c r="Y85" s="195">
        <v>16643.32</v>
      </c>
      <c r="Z85" s="195">
        <v>0</v>
      </c>
      <c r="AA85" s="203">
        <v>6821.23</v>
      </c>
      <c r="AB85" s="204">
        <v>0</v>
      </c>
      <c r="AC85" s="77"/>
      <c r="AD85" s="77"/>
      <c r="AE85" s="150"/>
      <c r="AF85" s="150"/>
      <c r="AG85" s="150"/>
      <c r="AH85" s="150"/>
      <c r="AI85" s="150"/>
      <c r="AJ85" s="150"/>
      <c r="AK85" s="150"/>
      <c r="AL85" s="150"/>
      <c r="AM85" s="150"/>
      <c r="AN85" s="150"/>
      <c r="AO85" s="150"/>
      <c r="AP85" s="150"/>
      <c r="AQ85" s="150"/>
      <c r="AR85" s="150"/>
      <c r="AS85" s="150"/>
      <c r="AT85" s="150"/>
      <c r="AU85" s="150"/>
      <c r="AV85" s="150"/>
      <c r="AW85" s="150"/>
    </row>
    <row r="86" spans="2:49" outlineLevel="1" x14ac:dyDescent="0.2">
      <c r="B86" s="150"/>
      <c r="C86" s="150"/>
      <c r="D86" s="150" t="s">
        <v>301</v>
      </c>
      <c r="E86" s="150"/>
      <c r="F86" s="150" t="s">
        <v>262</v>
      </c>
      <c r="G86" s="150" t="s">
        <v>595</v>
      </c>
      <c r="H86" s="150"/>
      <c r="I86" s="150"/>
      <c r="J86" s="150"/>
      <c r="K86" s="150"/>
      <c r="L86" s="150"/>
      <c r="M86" s="150"/>
      <c r="N86" s="150"/>
      <c r="O86" s="150"/>
      <c r="P86" s="150"/>
      <c r="Q86" s="150"/>
      <c r="R86" s="150"/>
      <c r="S86" s="195">
        <v>735779.64</v>
      </c>
      <c r="T86" s="195">
        <v>1340656.0800000003</v>
      </c>
      <c r="U86" s="195">
        <v>1722983.99</v>
      </c>
      <c r="V86" s="195">
        <v>1310297.32</v>
      </c>
      <c r="W86" s="195">
        <v>1475732</v>
      </c>
      <c r="X86" s="195">
        <v>2322590.48</v>
      </c>
      <c r="Y86" s="195">
        <v>1584923.02</v>
      </c>
      <c r="Z86" s="195">
        <v>1630847.3</v>
      </c>
      <c r="AA86" s="203">
        <v>-98046.56</v>
      </c>
      <c r="AB86" s="204">
        <v>3305403.3705691257</v>
      </c>
      <c r="AC86" s="77"/>
      <c r="AD86" s="77"/>
      <c r="AE86" s="150"/>
      <c r="AF86" s="150"/>
      <c r="AG86" s="150"/>
      <c r="AH86" s="150"/>
      <c r="AI86" s="150"/>
      <c r="AJ86" s="150"/>
      <c r="AK86" s="150"/>
      <c r="AL86" s="150"/>
      <c r="AM86" s="150"/>
      <c r="AN86" s="150"/>
      <c r="AO86" s="150"/>
      <c r="AP86" s="150"/>
      <c r="AQ86" s="150"/>
      <c r="AR86" s="150"/>
      <c r="AS86" s="150"/>
      <c r="AT86" s="150"/>
      <c r="AU86" s="150"/>
      <c r="AV86" s="150"/>
      <c r="AW86" s="150"/>
    </row>
    <row r="87" spans="2:49" outlineLevel="1" x14ac:dyDescent="0.2">
      <c r="B87" s="150"/>
      <c r="C87" s="150"/>
      <c r="D87" s="150" t="s">
        <v>301</v>
      </c>
      <c r="E87" s="150"/>
      <c r="F87" s="150" t="s">
        <v>262</v>
      </c>
      <c r="G87" s="150" t="s">
        <v>596</v>
      </c>
      <c r="H87" s="150"/>
      <c r="I87" s="150"/>
      <c r="J87" s="150"/>
      <c r="K87" s="150"/>
      <c r="L87" s="150"/>
      <c r="M87" s="150"/>
      <c r="N87" s="150"/>
      <c r="O87" s="150"/>
      <c r="P87" s="150"/>
      <c r="Q87" s="150"/>
      <c r="R87" s="150"/>
      <c r="S87" s="195">
        <v>16876974.16</v>
      </c>
      <c r="T87" s="195">
        <v>10591892.529999999</v>
      </c>
      <c r="U87" s="195">
        <v>15522819.370000001</v>
      </c>
      <c r="V87" s="195">
        <v>11856801.319999998</v>
      </c>
      <c r="W87" s="195">
        <v>13991626.910000002</v>
      </c>
      <c r="X87" s="195">
        <v>16918071.84</v>
      </c>
      <c r="Y87" s="195">
        <v>22365114.619999994</v>
      </c>
      <c r="Z87" s="195">
        <v>15439042.380000003</v>
      </c>
      <c r="AA87" s="203">
        <v>30328656.039999999</v>
      </c>
      <c r="AB87" s="204">
        <v>57617309.476883732</v>
      </c>
      <c r="AC87" s="88"/>
      <c r="AD87" s="77"/>
      <c r="AE87" s="150"/>
      <c r="AF87" s="150"/>
      <c r="AG87" s="150"/>
      <c r="AH87" s="150"/>
      <c r="AI87" s="150"/>
      <c r="AJ87" s="150"/>
      <c r="AK87" s="150"/>
      <c r="AL87" s="150"/>
      <c r="AM87" s="150"/>
      <c r="AN87" s="150"/>
      <c r="AO87" s="150"/>
      <c r="AP87" s="150"/>
      <c r="AQ87" s="150"/>
      <c r="AR87" s="150"/>
      <c r="AS87" s="150"/>
      <c r="AT87" s="150"/>
      <c r="AU87" s="150"/>
      <c r="AV87" s="150"/>
      <c r="AW87" s="150"/>
    </row>
    <row r="88" spans="2:49" outlineLevel="1" x14ac:dyDescent="0.2">
      <c r="B88" s="150"/>
      <c r="C88" s="150"/>
      <c r="D88" s="150" t="s">
        <v>301</v>
      </c>
      <c r="E88" s="150"/>
      <c r="F88" s="150" t="s">
        <v>262</v>
      </c>
      <c r="G88" s="150" t="s">
        <v>597</v>
      </c>
      <c r="H88" s="150"/>
      <c r="I88" s="150"/>
      <c r="J88" s="150"/>
      <c r="K88" s="150"/>
      <c r="L88" s="150"/>
      <c r="M88" s="150"/>
      <c r="N88" s="150"/>
      <c r="O88" s="150"/>
      <c r="P88" s="150"/>
      <c r="Q88" s="150"/>
      <c r="R88" s="150"/>
      <c r="S88" s="195">
        <v>27749183.780000001</v>
      </c>
      <c r="T88" s="195">
        <v>16648311.920000004</v>
      </c>
      <c r="U88" s="195">
        <v>17818752.259999998</v>
      </c>
      <c r="V88" s="195">
        <v>17704879.000000004</v>
      </c>
      <c r="W88" s="195">
        <v>18168503</v>
      </c>
      <c r="X88" s="195">
        <v>24681000</v>
      </c>
      <c r="Y88" s="195">
        <v>30374756.039999999</v>
      </c>
      <c r="Z88" s="195">
        <v>38741399.759999998</v>
      </c>
      <c r="AA88" s="203">
        <v>57001743.520000003</v>
      </c>
      <c r="AB88" s="204">
        <v>90691736.602991626</v>
      </c>
      <c r="AC88" s="88"/>
      <c r="AD88" s="77"/>
      <c r="AE88" s="150"/>
      <c r="AF88" s="150"/>
      <c r="AG88" s="150"/>
      <c r="AH88" s="150"/>
      <c r="AI88" s="150"/>
      <c r="AJ88" s="150"/>
      <c r="AK88" s="150"/>
      <c r="AL88" s="150"/>
      <c r="AM88" s="150"/>
      <c r="AN88" s="150"/>
      <c r="AO88" s="150"/>
      <c r="AP88" s="150"/>
      <c r="AQ88" s="150"/>
      <c r="AR88" s="150"/>
      <c r="AS88" s="150"/>
      <c r="AT88" s="150"/>
      <c r="AU88" s="150"/>
      <c r="AV88" s="150"/>
      <c r="AW88" s="150"/>
    </row>
    <row r="89" spans="2:49" outlineLevel="1" x14ac:dyDescent="0.2">
      <c r="B89" s="150"/>
      <c r="C89" s="150"/>
      <c r="D89" s="150" t="s">
        <v>301</v>
      </c>
      <c r="E89" s="150"/>
      <c r="F89" s="150" t="s">
        <v>262</v>
      </c>
      <c r="G89" s="150" t="s">
        <v>598</v>
      </c>
      <c r="H89" s="150"/>
      <c r="I89" s="150"/>
      <c r="J89" s="150"/>
      <c r="K89" s="150"/>
      <c r="L89" s="150"/>
      <c r="M89" s="150"/>
      <c r="N89" s="150"/>
      <c r="O89" s="150"/>
      <c r="P89" s="150"/>
      <c r="Q89" s="150"/>
      <c r="R89" s="150"/>
      <c r="S89" s="195">
        <v>0</v>
      </c>
      <c r="T89" s="195">
        <v>0</v>
      </c>
      <c r="U89" s="195">
        <v>0</v>
      </c>
      <c r="V89" s="195">
        <v>0</v>
      </c>
      <c r="W89" s="195">
        <v>0</v>
      </c>
      <c r="X89" s="195">
        <v>0</v>
      </c>
      <c r="Y89" s="195">
        <v>0</v>
      </c>
      <c r="Z89" s="195">
        <v>0</v>
      </c>
      <c r="AA89" s="203">
        <v>0</v>
      </c>
      <c r="AB89" s="204">
        <v>0</v>
      </c>
      <c r="AC89" s="88"/>
      <c r="AD89" s="77"/>
      <c r="AE89" s="150"/>
      <c r="AF89" s="150"/>
      <c r="AG89" s="150"/>
      <c r="AH89" s="150"/>
      <c r="AI89" s="150"/>
      <c r="AJ89" s="150"/>
      <c r="AK89" s="150"/>
      <c r="AL89" s="150"/>
      <c r="AM89" s="150"/>
      <c r="AN89" s="150"/>
      <c r="AO89" s="150"/>
      <c r="AP89" s="150"/>
      <c r="AQ89" s="150"/>
      <c r="AR89" s="150"/>
      <c r="AS89" s="150"/>
      <c r="AT89" s="150"/>
      <c r="AU89" s="150"/>
      <c r="AV89" s="150"/>
      <c r="AW89" s="150"/>
    </row>
    <row r="90" spans="2:49" outlineLevel="1" x14ac:dyDescent="0.2">
      <c r="B90" s="150"/>
      <c r="C90" s="150"/>
      <c r="D90" s="150" t="s">
        <v>303</v>
      </c>
      <c r="E90" s="150"/>
      <c r="F90" s="150" t="s">
        <v>262</v>
      </c>
      <c r="G90" s="150" t="s">
        <v>594</v>
      </c>
      <c r="H90" s="150"/>
      <c r="I90" s="150"/>
      <c r="J90" s="150"/>
      <c r="K90" s="150"/>
      <c r="L90" s="150"/>
      <c r="M90" s="150"/>
      <c r="N90" s="150"/>
      <c r="O90" s="150"/>
      <c r="P90" s="150"/>
      <c r="Q90" s="150"/>
      <c r="R90" s="150"/>
      <c r="S90" s="195">
        <v>-11404.37</v>
      </c>
      <c r="T90" s="195">
        <v>75826.909999999989</v>
      </c>
      <c r="U90" s="195">
        <v>29170.94</v>
      </c>
      <c r="V90" s="195">
        <v>-244.54</v>
      </c>
      <c r="W90" s="195">
        <v>0</v>
      </c>
      <c r="X90" s="195">
        <v>0</v>
      </c>
      <c r="Y90" s="195">
        <v>0</v>
      </c>
      <c r="Z90" s="195">
        <v>0</v>
      </c>
      <c r="AA90" s="203">
        <v>1814364.24</v>
      </c>
      <c r="AB90" s="204">
        <v>0</v>
      </c>
      <c r="AC90" s="88"/>
      <c r="AD90" s="77"/>
      <c r="AE90" s="150"/>
      <c r="AF90" s="150"/>
      <c r="AG90" s="150"/>
      <c r="AH90" s="150"/>
      <c r="AI90" s="150"/>
      <c r="AJ90" s="150"/>
      <c r="AK90" s="150"/>
      <c r="AL90" s="150"/>
      <c r="AM90" s="150"/>
      <c r="AN90" s="150"/>
      <c r="AO90" s="150"/>
      <c r="AP90" s="150"/>
      <c r="AQ90" s="150"/>
      <c r="AR90" s="150"/>
      <c r="AS90" s="150"/>
      <c r="AT90" s="150"/>
      <c r="AU90" s="150"/>
      <c r="AV90" s="150"/>
      <c r="AW90" s="150"/>
    </row>
    <row r="91" spans="2:49" outlineLevel="1" x14ac:dyDescent="0.2">
      <c r="B91" s="150"/>
      <c r="C91" s="150"/>
      <c r="D91" s="150" t="s">
        <v>303</v>
      </c>
      <c r="E91" s="150"/>
      <c r="F91" s="150" t="s">
        <v>262</v>
      </c>
      <c r="G91" s="150" t="s">
        <v>595</v>
      </c>
      <c r="H91" s="150"/>
      <c r="I91" s="150"/>
      <c r="J91" s="150"/>
      <c r="K91" s="150"/>
      <c r="L91" s="150"/>
      <c r="M91" s="150"/>
      <c r="N91" s="150"/>
      <c r="O91" s="150"/>
      <c r="P91" s="150"/>
      <c r="Q91" s="150"/>
      <c r="R91" s="150"/>
      <c r="S91" s="195">
        <v>2369746.19</v>
      </c>
      <c r="T91" s="195">
        <v>2299300.25</v>
      </c>
      <c r="U91" s="195">
        <v>3923154.8899999997</v>
      </c>
      <c r="V91" s="195">
        <v>802898.3600000001</v>
      </c>
      <c r="W91" s="195">
        <v>860295</v>
      </c>
      <c r="X91" s="195">
        <v>3154737</v>
      </c>
      <c r="Y91" s="195">
        <v>6279002.7000000002</v>
      </c>
      <c r="Z91" s="195">
        <v>4466488.879999999</v>
      </c>
      <c r="AA91" s="203">
        <v>1592381.26</v>
      </c>
      <c r="AB91" s="204">
        <v>6856970.867784854</v>
      </c>
      <c r="AC91" s="88"/>
      <c r="AD91" s="77"/>
      <c r="AE91" s="150"/>
      <c r="AF91" s="150"/>
      <c r="AG91" s="150"/>
      <c r="AH91" s="150"/>
      <c r="AI91" s="150"/>
      <c r="AJ91" s="150"/>
      <c r="AK91" s="150"/>
      <c r="AL91" s="150"/>
      <c r="AM91" s="150"/>
      <c r="AN91" s="150"/>
      <c r="AO91" s="150"/>
      <c r="AP91" s="150"/>
      <c r="AQ91" s="150"/>
      <c r="AR91" s="150"/>
      <c r="AS91" s="150"/>
      <c r="AT91" s="150"/>
      <c r="AU91" s="150"/>
      <c r="AV91" s="150"/>
      <c r="AW91" s="150"/>
    </row>
    <row r="92" spans="2:49" outlineLevel="1" x14ac:dyDescent="0.2">
      <c r="B92" s="150"/>
      <c r="C92" s="150"/>
      <c r="D92" s="150" t="s">
        <v>303</v>
      </c>
      <c r="E92" s="150"/>
      <c r="F92" s="150" t="s">
        <v>262</v>
      </c>
      <c r="G92" s="150" t="s">
        <v>596</v>
      </c>
      <c r="H92" s="150"/>
      <c r="I92" s="150"/>
      <c r="J92" s="150"/>
      <c r="K92" s="150"/>
      <c r="L92" s="150"/>
      <c r="M92" s="150"/>
      <c r="N92" s="150"/>
      <c r="O92" s="150"/>
      <c r="P92" s="150"/>
      <c r="Q92" s="150"/>
      <c r="R92" s="150"/>
      <c r="S92" s="195">
        <v>5867924.1200000001</v>
      </c>
      <c r="T92" s="195">
        <v>2905408.3000000007</v>
      </c>
      <c r="U92" s="195">
        <v>15582988.229999999</v>
      </c>
      <c r="V92" s="195">
        <v>13940523.180000002</v>
      </c>
      <c r="W92" s="195">
        <v>26455537</v>
      </c>
      <c r="X92" s="195">
        <v>34716055.509999998</v>
      </c>
      <c r="Y92" s="195">
        <v>48523231.300000004</v>
      </c>
      <c r="Z92" s="195">
        <v>38039751.770000003</v>
      </c>
      <c r="AA92" s="203">
        <v>51577707.719999999</v>
      </c>
      <c r="AB92" s="204">
        <v>74476429.309580341</v>
      </c>
      <c r="AC92" s="88"/>
      <c r="AD92" s="77"/>
      <c r="AE92" s="150"/>
      <c r="AF92" s="150"/>
      <c r="AG92" s="150"/>
      <c r="AH92" s="150"/>
      <c r="AI92" s="150"/>
      <c r="AJ92" s="150"/>
      <c r="AK92" s="150"/>
      <c r="AL92" s="150"/>
      <c r="AM92" s="150"/>
      <c r="AN92" s="150"/>
      <c r="AO92" s="150"/>
      <c r="AP92" s="150"/>
      <c r="AQ92" s="150"/>
      <c r="AR92" s="150"/>
      <c r="AS92" s="150"/>
      <c r="AT92" s="150"/>
      <c r="AU92" s="150"/>
      <c r="AV92" s="150"/>
      <c r="AW92" s="150"/>
    </row>
    <row r="93" spans="2:49" outlineLevel="1" x14ac:dyDescent="0.2">
      <c r="B93" s="150"/>
      <c r="C93" s="150"/>
      <c r="D93" s="150" t="s">
        <v>303</v>
      </c>
      <c r="E93" s="150"/>
      <c r="F93" s="150" t="s">
        <v>262</v>
      </c>
      <c r="G93" s="150" t="s">
        <v>597</v>
      </c>
      <c r="H93" s="150"/>
      <c r="I93" s="150"/>
      <c r="J93" s="150"/>
      <c r="K93" s="150"/>
      <c r="L93" s="150"/>
      <c r="M93" s="150"/>
      <c r="N93" s="150"/>
      <c r="O93" s="150"/>
      <c r="P93" s="150"/>
      <c r="Q93" s="150"/>
      <c r="R93" s="150"/>
      <c r="S93" s="195">
        <v>19202004.059999999</v>
      </c>
      <c r="T93" s="195">
        <v>9163991.7100000028</v>
      </c>
      <c r="U93" s="195">
        <v>10661918.370000001</v>
      </c>
      <c r="V93" s="195">
        <v>9913296.0499999952</v>
      </c>
      <c r="W93" s="195">
        <v>10992900.99</v>
      </c>
      <c r="X93" s="195">
        <v>10716393</v>
      </c>
      <c r="Y93" s="195">
        <v>14696790.630000005</v>
      </c>
      <c r="Z93" s="195">
        <v>16351516.020000001</v>
      </c>
      <c r="AA93" s="203">
        <v>22436939.25</v>
      </c>
      <c r="AB93" s="204">
        <v>31464516.232150033</v>
      </c>
      <c r="AC93" s="88"/>
      <c r="AD93" s="77"/>
      <c r="AE93" s="150"/>
      <c r="AF93" s="150"/>
      <c r="AG93" s="150"/>
      <c r="AH93" s="150"/>
      <c r="AI93" s="150"/>
      <c r="AJ93" s="150"/>
      <c r="AK93" s="150"/>
      <c r="AL93" s="150"/>
      <c r="AM93" s="150"/>
      <c r="AN93" s="150"/>
      <c r="AO93" s="150"/>
      <c r="AP93" s="150"/>
      <c r="AQ93" s="150"/>
      <c r="AR93" s="150"/>
      <c r="AS93" s="150"/>
      <c r="AT93" s="150"/>
      <c r="AU93" s="150"/>
      <c r="AV93" s="150"/>
      <c r="AW93" s="150"/>
    </row>
    <row r="94" spans="2:49" outlineLevel="1" x14ac:dyDescent="0.2">
      <c r="B94" s="150"/>
      <c r="C94" s="150"/>
      <c r="D94" s="150" t="s">
        <v>310</v>
      </c>
      <c r="E94" s="150"/>
      <c r="F94" s="150" t="s">
        <v>262</v>
      </c>
      <c r="G94" s="150" t="s">
        <v>594</v>
      </c>
      <c r="H94" s="150"/>
      <c r="I94" s="150"/>
      <c r="J94" s="150"/>
      <c r="K94" s="150"/>
      <c r="L94" s="150"/>
      <c r="M94" s="150"/>
      <c r="N94" s="150"/>
      <c r="O94" s="150"/>
      <c r="P94" s="150"/>
      <c r="Q94" s="150"/>
      <c r="R94" s="150"/>
      <c r="S94" s="195">
        <v>0</v>
      </c>
      <c r="T94" s="195">
        <v>0</v>
      </c>
      <c r="U94" s="195">
        <v>0</v>
      </c>
      <c r="V94" s="195">
        <v>0</v>
      </c>
      <c r="W94" s="195">
        <v>0</v>
      </c>
      <c r="X94" s="195">
        <v>0</v>
      </c>
      <c r="Y94" s="195">
        <v>0</v>
      </c>
      <c r="Z94" s="195">
        <v>285435.84000000003</v>
      </c>
      <c r="AA94" s="203">
        <v>495384.97</v>
      </c>
      <c r="AB94" s="204">
        <v>0</v>
      </c>
      <c r="AC94" s="88"/>
      <c r="AD94" s="77"/>
      <c r="AE94" s="150"/>
      <c r="AF94" s="150"/>
      <c r="AG94" s="150"/>
      <c r="AH94" s="150"/>
      <c r="AI94" s="150"/>
      <c r="AJ94" s="150"/>
      <c r="AK94" s="150"/>
      <c r="AL94" s="150"/>
      <c r="AM94" s="150"/>
      <c r="AN94" s="150"/>
      <c r="AO94" s="150"/>
      <c r="AP94" s="150"/>
      <c r="AQ94" s="150"/>
      <c r="AR94" s="150"/>
      <c r="AS94" s="150"/>
      <c r="AT94" s="150"/>
      <c r="AU94" s="150"/>
      <c r="AV94" s="150"/>
      <c r="AW94" s="150"/>
    </row>
    <row r="95" spans="2:49" outlineLevel="1" x14ac:dyDescent="0.2">
      <c r="B95" s="150"/>
      <c r="C95" s="150"/>
      <c r="D95" s="150" t="s">
        <v>310</v>
      </c>
      <c r="E95" s="150"/>
      <c r="F95" s="150" t="s">
        <v>262</v>
      </c>
      <c r="G95" s="150" t="s">
        <v>595</v>
      </c>
      <c r="H95" s="150"/>
      <c r="I95" s="150"/>
      <c r="J95" s="150"/>
      <c r="K95" s="150"/>
      <c r="L95" s="150"/>
      <c r="M95" s="150"/>
      <c r="N95" s="150"/>
      <c r="O95" s="150"/>
      <c r="P95" s="150"/>
      <c r="Q95" s="150"/>
      <c r="R95" s="150"/>
      <c r="S95" s="195">
        <v>68245.149999999994</v>
      </c>
      <c r="T95" s="195">
        <v>6155642.0799999991</v>
      </c>
      <c r="U95" s="195">
        <v>2536321.31</v>
      </c>
      <c r="V95" s="195">
        <v>1101031.1899999997</v>
      </c>
      <c r="W95" s="195">
        <v>489843</v>
      </c>
      <c r="X95" s="195">
        <v>1508860.96</v>
      </c>
      <c r="Y95" s="195">
        <v>633006.57999999996</v>
      </c>
      <c r="Z95" s="195">
        <v>777409.64</v>
      </c>
      <c r="AA95" s="203">
        <v>1558313.38</v>
      </c>
      <c r="AB95" s="204">
        <v>8031842.6452667834</v>
      </c>
      <c r="AC95" s="88"/>
      <c r="AD95" s="77"/>
      <c r="AE95" s="150"/>
      <c r="AF95" s="150"/>
      <c r="AG95" s="150"/>
      <c r="AH95" s="150"/>
      <c r="AI95" s="150"/>
      <c r="AJ95" s="150"/>
      <c r="AK95" s="150"/>
      <c r="AL95" s="150"/>
      <c r="AM95" s="150"/>
      <c r="AN95" s="150"/>
      <c r="AO95" s="150"/>
      <c r="AP95" s="150"/>
      <c r="AQ95" s="150"/>
      <c r="AR95" s="150"/>
      <c r="AS95" s="150"/>
      <c r="AT95" s="150"/>
      <c r="AU95" s="150"/>
      <c r="AV95" s="150"/>
      <c r="AW95" s="150"/>
    </row>
    <row r="96" spans="2:49" outlineLevel="1" x14ac:dyDescent="0.2">
      <c r="B96" s="150"/>
      <c r="C96" s="150"/>
      <c r="D96" s="150" t="s">
        <v>310</v>
      </c>
      <c r="E96" s="150"/>
      <c r="F96" s="150" t="s">
        <v>262</v>
      </c>
      <c r="G96" s="150" t="s">
        <v>596</v>
      </c>
      <c r="H96" s="150"/>
      <c r="I96" s="84"/>
      <c r="J96" s="150"/>
      <c r="K96" s="150"/>
      <c r="L96" s="150"/>
      <c r="M96" s="150"/>
      <c r="N96" s="150"/>
      <c r="O96" s="150"/>
      <c r="P96" s="150"/>
      <c r="Q96" s="150"/>
      <c r="R96" s="150"/>
      <c r="S96" s="195">
        <v>12503369.98</v>
      </c>
      <c r="T96" s="195">
        <v>10132276.760000009</v>
      </c>
      <c r="U96" s="195">
        <v>17268850.930000003</v>
      </c>
      <c r="V96" s="195">
        <v>20946832.629999999</v>
      </c>
      <c r="W96" s="195">
        <v>22130515.280000001</v>
      </c>
      <c r="X96" s="195">
        <v>13253499.330000002</v>
      </c>
      <c r="Y96" s="195">
        <v>10158948.129999999</v>
      </c>
      <c r="Z96" s="195">
        <v>4570078.9699999988</v>
      </c>
      <c r="AA96" s="203">
        <v>31043806.559999999</v>
      </c>
      <c r="AB96" s="204">
        <v>62558251.820191592</v>
      </c>
      <c r="AC96" s="88"/>
      <c r="AD96" s="77"/>
      <c r="AE96" s="150"/>
      <c r="AF96" s="150"/>
      <c r="AG96" s="150"/>
      <c r="AH96" s="150"/>
      <c r="AI96" s="150"/>
      <c r="AJ96" s="150"/>
      <c r="AK96" s="150"/>
      <c r="AL96" s="150"/>
      <c r="AM96" s="150"/>
      <c r="AN96" s="150"/>
      <c r="AO96" s="150"/>
      <c r="AP96" s="150"/>
      <c r="AQ96" s="150"/>
      <c r="AR96" s="150"/>
      <c r="AS96" s="150"/>
      <c r="AT96" s="150"/>
      <c r="AU96" s="150"/>
      <c r="AV96" s="150"/>
      <c r="AW96" s="150"/>
    </row>
    <row r="97" spans="3:30" outlineLevel="1" x14ac:dyDescent="0.2">
      <c r="C97" s="150"/>
      <c r="D97" s="150" t="s">
        <v>310</v>
      </c>
      <c r="E97" s="150"/>
      <c r="F97" s="150" t="s">
        <v>262</v>
      </c>
      <c r="G97" s="150" t="s">
        <v>597</v>
      </c>
      <c r="H97" s="150"/>
      <c r="I97" s="150"/>
      <c r="J97" s="150"/>
      <c r="K97" s="150"/>
      <c r="L97" s="150"/>
      <c r="M97" s="150"/>
      <c r="N97" s="150"/>
      <c r="O97" s="150"/>
      <c r="P97" s="150"/>
      <c r="Q97" s="150"/>
      <c r="R97" s="150"/>
      <c r="S97" s="195">
        <v>17580.37</v>
      </c>
      <c r="T97" s="195">
        <v>238485.16</v>
      </c>
      <c r="U97" s="195">
        <v>0</v>
      </c>
      <c r="V97" s="195">
        <v>407104.01</v>
      </c>
      <c r="W97" s="195">
        <v>199800</v>
      </c>
      <c r="X97" s="195">
        <v>80000</v>
      </c>
      <c r="Y97" s="195">
        <v>293994.84999999998</v>
      </c>
      <c r="Z97" s="195">
        <v>492810.65</v>
      </c>
      <c r="AA97" s="203">
        <v>3245947.47</v>
      </c>
      <c r="AB97" s="204">
        <v>1413717.1097824322</v>
      </c>
      <c r="AC97" s="88"/>
      <c r="AD97" s="77"/>
    </row>
    <row r="98" spans="3:30" outlineLevel="1" x14ac:dyDescent="0.2">
      <c r="C98" s="150"/>
      <c r="D98" s="150" t="s">
        <v>310</v>
      </c>
      <c r="E98" s="150"/>
      <c r="F98" s="150" t="s">
        <v>262</v>
      </c>
      <c r="G98" s="150" t="s">
        <v>599</v>
      </c>
      <c r="H98" s="150"/>
      <c r="I98" s="150"/>
      <c r="J98" s="150"/>
      <c r="K98" s="150"/>
      <c r="L98" s="150"/>
      <c r="M98" s="150"/>
      <c r="N98" s="150"/>
      <c r="O98" s="150"/>
      <c r="P98" s="150"/>
      <c r="Q98" s="150"/>
      <c r="R98" s="150"/>
      <c r="S98" s="195">
        <v>0</v>
      </c>
      <c r="T98" s="195">
        <v>0</v>
      </c>
      <c r="U98" s="195">
        <v>0</v>
      </c>
      <c r="V98" s="195">
        <v>0</v>
      </c>
      <c r="W98" s="195">
        <v>0</v>
      </c>
      <c r="X98" s="195">
        <v>0</v>
      </c>
      <c r="Y98" s="195">
        <v>0</v>
      </c>
      <c r="Z98" s="195">
        <v>0</v>
      </c>
      <c r="AA98" s="203">
        <v>0</v>
      </c>
      <c r="AB98" s="204">
        <v>0</v>
      </c>
      <c r="AC98" s="88"/>
      <c r="AD98" s="77"/>
    </row>
    <row r="99" spans="3:30" outlineLevel="1" x14ac:dyDescent="0.2">
      <c r="C99" s="150"/>
      <c r="D99" s="150" t="s">
        <v>600</v>
      </c>
      <c r="E99" s="150"/>
      <c r="F99" s="150" t="s">
        <v>262</v>
      </c>
      <c r="G99" s="150" t="s">
        <v>594</v>
      </c>
      <c r="H99" s="150"/>
      <c r="I99" s="150"/>
      <c r="J99" s="150"/>
      <c r="K99" s="150"/>
      <c r="L99" s="150"/>
      <c r="M99" s="150"/>
      <c r="N99" s="150"/>
      <c r="O99" s="150"/>
      <c r="P99" s="150"/>
      <c r="Q99" s="150"/>
      <c r="R99" s="150"/>
      <c r="S99" s="195">
        <v>0</v>
      </c>
      <c r="T99" s="195">
        <v>0</v>
      </c>
      <c r="U99" s="195">
        <v>0</v>
      </c>
      <c r="V99" s="195">
        <v>0</v>
      </c>
      <c r="W99" s="195">
        <v>0</v>
      </c>
      <c r="X99" s="195">
        <v>0</v>
      </c>
      <c r="Y99" s="195">
        <v>0</v>
      </c>
      <c r="Z99" s="195">
        <v>0</v>
      </c>
      <c r="AA99" s="203">
        <v>2804303.45</v>
      </c>
      <c r="AB99" s="204">
        <v>0</v>
      </c>
      <c r="AC99" s="88"/>
      <c r="AD99" s="77"/>
    </row>
    <row r="100" spans="3:30" outlineLevel="1" x14ac:dyDescent="0.2">
      <c r="C100" s="150"/>
      <c r="D100" s="150" t="s">
        <v>600</v>
      </c>
      <c r="E100" s="150"/>
      <c r="F100" s="150" t="s">
        <v>262</v>
      </c>
      <c r="G100" s="150" t="s">
        <v>596</v>
      </c>
      <c r="H100" s="83"/>
      <c r="I100" s="150"/>
      <c r="J100" s="150"/>
      <c r="K100" s="150"/>
      <c r="L100" s="150"/>
      <c r="M100" s="150"/>
      <c r="N100" s="150"/>
      <c r="O100" s="150"/>
      <c r="P100" s="150"/>
      <c r="Q100" s="150"/>
      <c r="R100" s="150"/>
      <c r="S100" s="195">
        <v>0</v>
      </c>
      <c r="T100" s="195">
        <v>0</v>
      </c>
      <c r="U100" s="195">
        <v>0</v>
      </c>
      <c r="V100" s="195">
        <v>0</v>
      </c>
      <c r="W100" s="195">
        <v>0</v>
      </c>
      <c r="X100" s="195">
        <v>0</v>
      </c>
      <c r="Y100" s="195">
        <v>0</v>
      </c>
      <c r="Z100" s="195">
        <v>0</v>
      </c>
      <c r="AA100" s="203">
        <v>1925464.07</v>
      </c>
      <c r="AB100" s="204">
        <v>0</v>
      </c>
      <c r="AC100" s="88"/>
      <c r="AD100" s="77"/>
    </row>
    <row r="101" spans="3:30" outlineLevel="1" x14ac:dyDescent="0.2">
      <c r="C101" s="150"/>
      <c r="D101" s="150" t="s">
        <v>600</v>
      </c>
      <c r="E101" s="150"/>
      <c r="F101" s="150" t="s">
        <v>262</v>
      </c>
      <c r="G101" s="150" t="s">
        <v>597</v>
      </c>
      <c r="H101" s="150"/>
      <c r="I101" s="150"/>
      <c r="J101" s="150"/>
      <c r="K101" s="150"/>
      <c r="L101" s="150"/>
      <c r="M101" s="150"/>
      <c r="N101" s="150"/>
      <c r="O101" s="150"/>
      <c r="P101" s="150"/>
      <c r="Q101" s="150"/>
      <c r="R101" s="150"/>
      <c r="S101" s="195">
        <v>0</v>
      </c>
      <c r="T101" s="195">
        <v>0</v>
      </c>
      <c r="U101" s="195">
        <v>0</v>
      </c>
      <c r="V101" s="195">
        <v>0</v>
      </c>
      <c r="W101" s="195">
        <v>0</v>
      </c>
      <c r="X101" s="195">
        <v>0</v>
      </c>
      <c r="Y101" s="195">
        <v>0</v>
      </c>
      <c r="Z101" s="195">
        <v>0</v>
      </c>
      <c r="AA101" s="203">
        <v>136860.15</v>
      </c>
      <c r="AB101" s="204">
        <v>0</v>
      </c>
      <c r="AC101" s="88"/>
      <c r="AD101" s="77"/>
    </row>
    <row r="102" spans="3:30" outlineLevel="1" x14ac:dyDescent="0.2">
      <c r="C102" s="150"/>
      <c r="D102" s="150" t="s">
        <v>600</v>
      </c>
      <c r="E102" s="150"/>
      <c r="F102" s="150" t="s">
        <v>262</v>
      </c>
      <c r="G102" s="150" t="s">
        <v>601</v>
      </c>
      <c r="H102" s="150"/>
      <c r="I102" s="150"/>
      <c r="J102" s="150"/>
      <c r="K102" s="150"/>
      <c r="L102" s="150"/>
      <c r="M102" s="150"/>
      <c r="N102" s="150"/>
      <c r="O102" s="150"/>
      <c r="P102" s="150"/>
      <c r="Q102" s="150"/>
      <c r="R102" s="150"/>
      <c r="S102" s="195">
        <v>9459408.8499999996</v>
      </c>
      <c r="T102" s="195">
        <v>1790234.59</v>
      </c>
      <c r="U102" s="195">
        <v>10890.72</v>
      </c>
      <c r="V102" s="195">
        <v>24431.97</v>
      </c>
      <c r="W102" s="195">
        <v>23546.04</v>
      </c>
      <c r="X102" s="195">
        <v>24852</v>
      </c>
      <c r="Y102" s="195">
        <v>3450</v>
      </c>
      <c r="Z102" s="195">
        <v>896525.15</v>
      </c>
      <c r="AA102" s="203">
        <v>427076.02</v>
      </c>
      <c r="AB102" s="204">
        <v>0</v>
      </c>
      <c r="AC102" s="88"/>
      <c r="AD102" s="77"/>
    </row>
    <row r="103" spans="3:30" outlineLevel="1" x14ac:dyDescent="0.2">
      <c r="C103" s="150"/>
      <c r="D103" s="150" t="s">
        <v>600</v>
      </c>
      <c r="E103" s="150"/>
      <c r="F103" s="150" t="s">
        <v>262</v>
      </c>
      <c r="G103" s="150" t="s">
        <v>602</v>
      </c>
      <c r="H103" s="150"/>
      <c r="I103" s="150"/>
      <c r="J103" s="150"/>
      <c r="K103" s="150"/>
      <c r="L103" s="150"/>
      <c r="M103" s="150"/>
      <c r="N103" s="150"/>
      <c r="O103" s="150"/>
      <c r="P103" s="150"/>
      <c r="Q103" s="150"/>
      <c r="R103" s="150"/>
      <c r="S103" s="195">
        <v>23961492.449999999</v>
      </c>
      <c r="T103" s="195">
        <v>15010430.5</v>
      </c>
      <c r="U103" s="195">
        <v>20974535.159999996</v>
      </c>
      <c r="V103" s="195">
        <v>10696747.180000003</v>
      </c>
      <c r="W103" s="195">
        <v>13189999.68</v>
      </c>
      <c r="X103" s="195">
        <v>13032854.039999999</v>
      </c>
      <c r="Y103" s="195">
        <v>17862105.379999999</v>
      </c>
      <c r="Z103" s="195">
        <v>32530490.93</v>
      </c>
      <c r="AA103" s="203">
        <v>20271794.539999999</v>
      </c>
      <c r="AB103" s="204">
        <v>0</v>
      </c>
      <c r="AC103" s="88"/>
      <c r="AD103" s="77"/>
    </row>
    <row r="104" spans="3:30" outlineLevel="1" x14ac:dyDescent="0.2">
      <c r="C104" s="150"/>
      <c r="D104" s="150" t="s">
        <v>600</v>
      </c>
      <c r="E104" s="150"/>
      <c r="F104" s="150" t="s">
        <v>262</v>
      </c>
      <c r="G104" s="150" t="s">
        <v>603</v>
      </c>
      <c r="H104" s="150"/>
      <c r="I104" s="150"/>
      <c r="J104" s="150"/>
      <c r="K104" s="150"/>
      <c r="L104" s="150"/>
      <c r="M104" s="150"/>
      <c r="N104" s="150"/>
      <c r="O104" s="150"/>
      <c r="P104" s="150"/>
      <c r="Q104" s="150"/>
      <c r="R104" s="150"/>
      <c r="S104" s="205">
        <v>1824158.49</v>
      </c>
      <c r="T104" s="205">
        <v>820867.2</v>
      </c>
      <c r="U104" s="205">
        <v>1462265.04</v>
      </c>
      <c r="V104" s="205">
        <v>1868521.99</v>
      </c>
      <c r="W104" s="205">
        <v>2432901.6</v>
      </c>
      <c r="X104" s="205">
        <v>2680000.0299999998</v>
      </c>
      <c r="Y104" s="205">
        <v>373589.87</v>
      </c>
      <c r="Z104" s="205">
        <v>1082644.92</v>
      </c>
      <c r="AA104" s="203">
        <v>1324987.43</v>
      </c>
      <c r="AB104" s="204">
        <v>0</v>
      </c>
      <c r="AC104" s="88"/>
      <c r="AD104" s="77"/>
    </row>
    <row r="105" spans="3:30" outlineLevel="1" x14ac:dyDescent="0.2">
      <c r="C105" s="150"/>
      <c r="D105" s="150" t="s">
        <v>310</v>
      </c>
      <c r="E105" s="150"/>
      <c r="F105" s="150" t="s">
        <v>265</v>
      </c>
      <c r="G105" s="150" t="s">
        <v>596</v>
      </c>
      <c r="H105" s="150"/>
      <c r="I105" s="150"/>
      <c r="J105" s="150"/>
      <c r="K105" s="150"/>
      <c r="L105" s="150"/>
      <c r="M105" s="150"/>
      <c r="N105" s="150"/>
      <c r="O105" s="150"/>
      <c r="P105" s="150"/>
      <c r="Q105" s="150"/>
      <c r="R105" s="150"/>
      <c r="S105" s="206">
        <v>1040410.4999999999</v>
      </c>
      <c r="T105" s="206">
        <v>1336758.8600000001</v>
      </c>
      <c r="U105" s="206">
        <v>2856335.06</v>
      </c>
      <c r="V105" s="206">
        <v>793286.24000000022</v>
      </c>
      <c r="W105" s="206">
        <v>2349629.37</v>
      </c>
      <c r="X105" s="206">
        <v>5613748.7299999995</v>
      </c>
      <c r="Y105" s="206">
        <v>7445780.7200000007</v>
      </c>
      <c r="Z105" s="207">
        <v>17622218.390000001</v>
      </c>
      <c r="AA105" s="208">
        <v>0</v>
      </c>
      <c r="AB105" s="204">
        <v>0</v>
      </c>
      <c r="AC105" s="88"/>
      <c r="AD105" s="77"/>
    </row>
    <row r="106" spans="3:30" outlineLevel="1" x14ac:dyDescent="0.2">
      <c r="C106" s="150"/>
      <c r="D106" s="150" t="s">
        <v>303</v>
      </c>
      <c r="E106" s="150"/>
      <c r="F106" s="150" t="s">
        <v>265</v>
      </c>
      <c r="G106" s="150" t="s">
        <v>596</v>
      </c>
      <c r="H106" s="150"/>
      <c r="I106" s="150"/>
      <c r="J106" s="150"/>
      <c r="K106" s="150"/>
      <c r="L106" s="150"/>
      <c r="M106" s="150"/>
      <c r="N106" s="150"/>
      <c r="O106" s="150"/>
      <c r="P106" s="150"/>
      <c r="Q106" s="150"/>
      <c r="R106" s="150"/>
      <c r="S106" s="195">
        <v>2609796.88</v>
      </c>
      <c r="T106" s="195">
        <v>4389360.4700000016</v>
      </c>
      <c r="U106" s="195">
        <v>32575296.790000007</v>
      </c>
      <c r="V106" s="195">
        <v>11891001.41</v>
      </c>
      <c r="W106" s="195">
        <v>31454950.639999997</v>
      </c>
      <c r="X106" s="195">
        <v>25808062.07</v>
      </c>
      <c r="Y106" s="195">
        <v>32609365.330000002</v>
      </c>
      <c r="Z106" s="209">
        <v>34012209.379999988</v>
      </c>
      <c r="AA106" s="208">
        <v>0</v>
      </c>
      <c r="AB106" s="204">
        <v>0</v>
      </c>
      <c r="AC106" s="88"/>
      <c r="AD106" s="150"/>
    </row>
    <row r="107" spans="3:30" outlineLevel="1" x14ac:dyDescent="0.2">
      <c r="C107" s="150"/>
      <c r="D107" s="150" t="s">
        <v>301</v>
      </c>
      <c r="E107" s="150"/>
      <c r="F107" s="150" t="s">
        <v>265</v>
      </c>
      <c r="G107" s="150" t="s">
        <v>596</v>
      </c>
      <c r="H107" s="150"/>
      <c r="I107" s="150"/>
      <c r="J107" s="150"/>
      <c r="K107" s="150"/>
      <c r="L107" s="150"/>
      <c r="M107" s="150"/>
      <c r="N107" s="150"/>
      <c r="O107" s="150"/>
      <c r="P107" s="150"/>
      <c r="Q107" s="150"/>
      <c r="R107" s="150"/>
      <c r="S107" s="195">
        <v>311422.58000000007</v>
      </c>
      <c r="T107" s="195">
        <v>888611.91999999993</v>
      </c>
      <c r="U107" s="195">
        <v>7687781.6499999994</v>
      </c>
      <c r="V107" s="195">
        <v>3801094.4100000006</v>
      </c>
      <c r="W107" s="195">
        <v>7226859.8499999996</v>
      </c>
      <c r="X107" s="195">
        <v>13924181.179999998</v>
      </c>
      <c r="Y107" s="195">
        <v>10232305.289999999</v>
      </c>
      <c r="Z107" s="209">
        <v>16896984.389999997</v>
      </c>
      <c r="AA107" s="208">
        <v>0</v>
      </c>
      <c r="AB107" s="204">
        <v>0</v>
      </c>
      <c r="AC107" s="88"/>
      <c r="AD107" s="150"/>
    </row>
    <row r="108" spans="3:30" outlineLevel="1" x14ac:dyDescent="0.2">
      <c r="C108" s="150"/>
      <c r="D108" s="150" t="s">
        <v>600</v>
      </c>
      <c r="E108" s="150"/>
      <c r="F108" s="150" t="s">
        <v>265</v>
      </c>
      <c r="G108" s="150" t="s">
        <v>596</v>
      </c>
      <c r="H108" s="83"/>
      <c r="I108" s="150"/>
      <c r="J108" s="150"/>
      <c r="K108" s="150"/>
      <c r="L108" s="150"/>
      <c r="M108" s="150"/>
      <c r="N108" s="150"/>
      <c r="O108" s="150"/>
      <c r="P108" s="150"/>
      <c r="Q108" s="150"/>
      <c r="R108" s="150"/>
      <c r="S108" s="195">
        <v>0</v>
      </c>
      <c r="T108" s="195">
        <v>0</v>
      </c>
      <c r="U108" s="195">
        <v>190945.29</v>
      </c>
      <c r="V108" s="195">
        <v>31462.19</v>
      </c>
      <c r="W108" s="195">
        <v>1001310.7100000001</v>
      </c>
      <c r="X108" s="195">
        <v>-146281.07</v>
      </c>
      <c r="Y108" s="195">
        <v>771668.47</v>
      </c>
      <c r="Z108" s="209">
        <v>649983.4</v>
      </c>
      <c r="AA108" s="208">
        <v>0</v>
      </c>
      <c r="AB108" s="204">
        <v>0</v>
      </c>
      <c r="AC108" s="88"/>
      <c r="AD108" s="150"/>
    </row>
    <row r="109" spans="3:30" outlineLevel="1" x14ac:dyDescent="0.2">
      <c r="C109" s="150"/>
      <c r="D109" s="150" t="s">
        <v>604</v>
      </c>
      <c r="E109" s="150"/>
      <c r="F109" s="150" t="s">
        <v>265</v>
      </c>
      <c r="G109" s="150" t="s">
        <v>596</v>
      </c>
      <c r="H109" s="83"/>
      <c r="I109" s="150"/>
      <c r="J109" s="150"/>
      <c r="K109" s="150"/>
      <c r="L109" s="150"/>
      <c r="M109" s="150"/>
      <c r="N109" s="150"/>
      <c r="O109" s="150"/>
      <c r="P109" s="150"/>
      <c r="Q109" s="150"/>
      <c r="R109" s="150"/>
      <c r="S109" s="195">
        <v>332915.91000000003</v>
      </c>
      <c r="T109" s="195">
        <v>394886.6100000001</v>
      </c>
      <c r="U109" s="195">
        <v>846539.52999999991</v>
      </c>
      <c r="V109" s="195">
        <v>707761.71000000031</v>
      </c>
      <c r="W109" s="195">
        <v>1909782.8000000019</v>
      </c>
      <c r="X109" s="195">
        <v>1857516.0300000005</v>
      </c>
      <c r="Y109" s="195">
        <v>1605150.64</v>
      </c>
      <c r="Z109" s="209">
        <v>1579272.0499999991</v>
      </c>
      <c r="AA109" s="208">
        <v>0</v>
      </c>
      <c r="AB109" s="204">
        <v>0</v>
      </c>
      <c r="AC109" s="88"/>
      <c r="AD109" s="150"/>
    </row>
    <row r="110" spans="3:30" outlineLevel="1" x14ac:dyDescent="0.2">
      <c r="C110" s="150"/>
      <c r="D110" s="150" t="s">
        <v>605</v>
      </c>
      <c r="E110" s="150"/>
      <c r="F110" s="150" t="s">
        <v>265</v>
      </c>
      <c r="G110" s="150" t="s">
        <v>596</v>
      </c>
      <c r="H110" s="83"/>
      <c r="I110" s="150"/>
      <c r="J110" s="150"/>
      <c r="K110" s="150"/>
      <c r="L110" s="150"/>
      <c r="M110" s="150"/>
      <c r="N110" s="150"/>
      <c r="O110" s="150"/>
      <c r="P110" s="150"/>
      <c r="Q110" s="150"/>
      <c r="R110" s="150"/>
      <c r="S110" s="195">
        <v>0</v>
      </c>
      <c r="T110" s="195">
        <v>0</v>
      </c>
      <c r="U110" s="195">
        <v>0</v>
      </c>
      <c r="V110" s="195">
        <v>0</v>
      </c>
      <c r="W110" s="195">
        <v>441254</v>
      </c>
      <c r="X110" s="195">
        <v>2567281.11</v>
      </c>
      <c r="Y110" s="195">
        <v>3768166.67</v>
      </c>
      <c r="Z110" s="209">
        <v>135453.62</v>
      </c>
      <c r="AA110" s="208">
        <v>0</v>
      </c>
      <c r="AB110" s="204">
        <v>0</v>
      </c>
      <c r="AC110" s="88"/>
      <c r="AD110" s="150"/>
    </row>
    <row r="111" spans="3:30" outlineLevel="1" x14ac:dyDescent="0.2">
      <c r="C111" s="150"/>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150"/>
      <c r="AC111" s="150"/>
      <c r="AD111" s="150"/>
    </row>
    <row r="112" spans="3:30" outlineLevel="1" x14ac:dyDescent="0.2">
      <c r="C112" s="150" t="s">
        <v>460</v>
      </c>
      <c r="D112" s="150"/>
      <c r="E112" s="150"/>
      <c r="F112" s="150"/>
      <c r="G112" s="150"/>
      <c r="H112" s="150"/>
      <c r="I112" s="150"/>
      <c r="J112" s="64"/>
      <c r="K112" s="64"/>
      <c r="L112" s="150"/>
      <c r="M112" s="150"/>
      <c r="N112" s="150"/>
      <c r="O112" s="150"/>
      <c r="P112" s="150"/>
      <c r="Q112" s="150"/>
      <c r="R112" s="150"/>
      <c r="S112" s="150"/>
      <c r="T112" s="150"/>
      <c r="U112" s="150"/>
      <c r="V112" s="150"/>
      <c r="W112" s="150"/>
      <c r="X112" s="150"/>
      <c r="Y112" s="150"/>
      <c r="Z112" s="150"/>
      <c r="AA112" s="83" t="s">
        <v>606</v>
      </c>
      <c r="AB112" s="150"/>
      <c r="AC112" s="150"/>
      <c r="AD112" s="150"/>
    </row>
    <row r="113" spans="2:30" outlineLevel="1" x14ac:dyDescent="0.2">
      <c r="B113" s="150"/>
      <c r="C113" s="150"/>
      <c r="D113" s="150" t="s">
        <v>301</v>
      </c>
      <c r="E113" s="150"/>
      <c r="F113" s="150" t="s">
        <v>262</v>
      </c>
      <c r="G113" s="150" t="s">
        <v>596</v>
      </c>
      <c r="H113" s="150"/>
      <c r="I113" s="150"/>
      <c r="J113" s="199"/>
      <c r="K113" s="199"/>
      <c r="L113" s="150"/>
      <c r="M113" s="150"/>
      <c r="N113" s="150"/>
      <c r="O113" s="150"/>
      <c r="P113" s="150"/>
      <c r="Q113" s="150"/>
      <c r="R113" s="150"/>
      <c r="S113" s="187">
        <f>SUMIFS(S$85:S$110,$D$85:$D$110,$D113,$G$85:$G$110,$G113,$F$85:$F$110,$F113)*'INPUT Reg'!S$12</f>
        <v>21854363.023593746</v>
      </c>
      <c r="T113" s="187">
        <f>SUMIFS(T$85:T$110,$D$85:$D$110,$D113,$G$85:$G$110,$G113,$F$85:$F$110,$F113)*'INPUT Reg'!T$12</f>
        <v>13325284.150645157</v>
      </c>
      <c r="U113" s="187">
        <f>SUMIFS(U$85:U$110,$D$85:$D$110,$D113,$G$85:$G$110,$G113,$F$85:$F$110,$F113)*'INPUT Reg'!U$12</f>
        <v>19272713.936910115</v>
      </c>
      <c r="V113" s="187">
        <f>SUMIFS(V$85:V$110,$D$85:$D$110,$D113,$G$85:$G$110,$G113,$F$85:$F$110,$F113)*'INPUT Reg'!V$12</f>
        <v>14530608.641700553</v>
      </c>
      <c r="W113" s="187">
        <f>SUMIFS(W$85:W$110,$D$85:$D$110,$D113,$G$85:$G$110,$G113,$F$85:$F$110,$F113)*'INPUT Reg'!W$12</f>
        <v>16789952.292000003</v>
      </c>
      <c r="X113" s="187">
        <f>SUMIFS(X$85:X$110,$D$85:$D$110,$D113,$G$85:$G$110,$G113,$F$85:$F$110,$F113)*'INPUT Reg'!X$12</f>
        <v>19923057.95722913</v>
      </c>
      <c r="Y113" s="187">
        <f>SUMIFS(Y$85:Y$110,$D$85:$D$110,$D113,$G$85:$G$110,$G113,$F$85:$F$110,$F113)*'INPUT Reg'!Y$12</f>
        <v>25991360.198177028</v>
      </c>
      <c r="Z113" s="210">
        <f>SUMIFS(Z$85:Z$110,$D$85:$D$110,$D113,$G$85:$G$110,$G113,$F$85:$F$110,$F113)*'INPUT Reg'!Z$12</f>
        <v>17557607.372109778</v>
      </c>
      <c r="AA113" s="211">
        <f>SUMIFS(AA$85:AA$110,$D$85:$D$110,$D113,$G$85:$G$110,$G113)*'INPUT Reg'!AA$12*SUMIFS('INPUT Growth'!AA$64:AA$115,'INPUT Growth'!$F$64:$F$115,'INPUT Capex'!$F113,'INPUT Growth'!$D$64:$D$115,'INPUT Capex'!$D113)/SUMIFS('INPUT Growth'!AA$64:AA$115,'INPUT Growth'!$D$64:$D$115,'INPUT Capex'!$D113)+AA$100*'INPUT Reg'!AA$12*SUMIFS('INPUT Growth'!AA$64:AA$115,'INPUT Growth'!$F$64:$F$115,'INPUT Capex'!$F113,'INPUT Growth'!$D$64:$D$115,'INPUT Capex'!$D113)/SUM('INPUT Growth'!AA$64:AA$115)</f>
        <v>21076211.801945575</v>
      </c>
      <c r="AB113" s="187">
        <f>SUMIFS(AB$85:AB$110,$D$85:$D$110,$D113,$G$85:$G$110,$G113)*SUMIFS('INPUT Growth'!AB$64:AB$115,'INPUT Growth'!$F$64:$F$115,'INPUT Capex'!$F113,'INPUT Growth'!$D$64:$D$115,'INPUT Capex'!$D113)/SUMIFS('INPUT Growth'!AB$64:AB$115,'INPUT Growth'!$D$64:$D$115,'INPUT Capex'!$D113)+AB$100*SUMIFS('INPUT Growth'!AB$64:AB$115,'INPUT Growth'!$F$64:$F$115,'INPUT Capex'!$F113,'INPUT Growth'!$D$64:$D$115,'INPUT Capex'!$D113)/SUM('INPUT Growth'!AB$64:AB$115)</f>
        <v>40671297.189628407</v>
      </c>
      <c r="AC113" s="150"/>
      <c r="AD113" s="150"/>
    </row>
    <row r="114" spans="2:30" outlineLevel="1" x14ac:dyDescent="0.2">
      <c r="B114" s="150"/>
      <c r="C114" s="150"/>
      <c r="D114" s="150" t="s">
        <v>303</v>
      </c>
      <c r="E114" s="150"/>
      <c r="F114" s="150" t="s">
        <v>262</v>
      </c>
      <c r="G114" s="150" t="s">
        <v>596</v>
      </c>
      <c r="H114" s="150"/>
      <c r="I114" s="150"/>
      <c r="J114" s="199"/>
      <c r="K114" s="199"/>
      <c r="L114" s="150"/>
      <c r="M114" s="150"/>
      <c r="N114" s="150"/>
      <c r="O114" s="150"/>
      <c r="P114" s="150"/>
      <c r="Q114" s="150"/>
      <c r="R114" s="150"/>
      <c r="S114" s="187">
        <f>SUMIFS(S$85:S$110,$D$85:$D$110,$D114,$G$85:$G$110,$G114,$F$85:$F$110,$F114)*'INPUT Reg'!S$12</f>
        <v>7598503.303828124</v>
      </c>
      <c r="T114" s="187">
        <f>SUMIFS(T$85:T$110,$D$85:$D$110,$D114,$G$85:$G$110,$G114,$F$85:$F$110,$F114)*'INPUT Reg'!T$12</f>
        <v>3655191.0870967745</v>
      </c>
      <c r="U114" s="187">
        <f>SUMIFS(U$85:U$110,$D$85:$D$110,$D114,$G$85:$G$110,$G114,$F$85:$F$110,$F114)*'INPUT Reg'!U$12</f>
        <v>19347417.970955055</v>
      </c>
      <c r="V114" s="187">
        <f>SUMIFS(V$85:V$110,$D$85:$D$110,$D114,$G$85:$G$110,$G114,$F$85:$F$110,$F114)*'INPUT Reg'!V$12</f>
        <v>17084227.113382626</v>
      </c>
      <c r="W114" s="187">
        <f>SUMIFS(W$85:W$110,$D$85:$D$110,$D114,$G$85:$G$110,$G114,$F$85:$F$110,$F114)*'INPUT Reg'!W$12</f>
        <v>31746644.399999999</v>
      </c>
      <c r="X114" s="187">
        <f>SUMIFS(X$85:X$110,$D$85:$D$110,$D114,$G$85:$G$110,$G114,$F$85:$F$110,$F114)*'INPUT Reg'!X$12</f>
        <v>40882317.589928947</v>
      </c>
      <c r="Y114" s="187">
        <f>SUMIFS(Y$85:Y$110,$D$85:$D$110,$D114,$G$85:$G$110,$G114,$F$85:$F$110,$F114)*'INPUT Reg'!Y$12</f>
        <v>56390714.026117444</v>
      </c>
      <c r="Z114" s="210">
        <f>SUMIFS(Z$85:Z$110,$D$85:$D$110,$D114,$G$85:$G$110,$G114,$F$85:$F$110,$F114)*'INPUT Reg'!Z$12</f>
        <v>43259614.791612349</v>
      </c>
      <c r="AA114" s="211">
        <f>SUMIFS(AA$85:AA$110,$D$85:$D$110,$D114,$G$85:$G$110,$G114)*'INPUT Reg'!AA$12*SUMIFS('INPUT Growth'!AA$64:AA$115,'INPUT Growth'!$F$64:$F$115,'INPUT Capex'!$F114,'INPUT Growth'!$D$64:$D$115,'INPUT Capex'!$D114)/SUMIFS('INPUT Growth'!AA$64:AA$115,'INPUT Growth'!$D$64:$D$115,'INPUT Capex'!$D114)+AA$100*'INPUT Reg'!AA$12*SUMIFS('INPUT Growth'!AA$64:AA$115,'INPUT Growth'!$F$64:$F$115,'INPUT Capex'!$F114,'INPUT Growth'!$D$64:$D$115,'INPUT Capex'!$D114)/SUM('INPUT Growth'!AA$64:AA$115)</f>
        <v>35556778.039239414</v>
      </c>
      <c r="AB114" s="187">
        <f>SUMIFS(AB$85:AB$110,$D$85:$D$110,$D114,$G$85:$G$110,$G114)*SUMIFS('INPUT Growth'!AB$64:AB$115,'INPUT Growth'!$F$64:$F$115,'INPUT Capex'!$F114,'INPUT Growth'!$D$64:$D$115,'INPUT Capex'!$D114)/SUMIFS('INPUT Growth'!AB$64:AB$115,'INPUT Growth'!$D$64:$D$115,'INPUT Capex'!$D114)+AB$100*SUMIFS('INPUT Growth'!AB$64:AB$115,'INPUT Growth'!$F$64:$F$115,'INPUT Capex'!$F114,'INPUT Growth'!$D$64:$D$115,'INPUT Capex'!$D114)/SUM('INPUT Growth'!AB$64:AB$115)</f>
        <v>54111753.627810858</v>
      </c>
      <c r="AC114" s="150"/>
      <c r="AD114" s="150"/>
    </row>
    <row r="115" spans="2:30" outlineLevel="1" x14ac:dyDescent="0.2">
      <c r="B115" s="150"/>
      <c r="C115" s="150"/>
      <c r="D115" s="150" t="s">
        <v>310</v>
      </c>
      <c r="E115" s="150"/>
      <c r="F115" s="150" t="s">
        <v>262</v>
      </c>
      <c r="G115" s="150" t="s">
        <v>596</v>
      </c>
      <c r="H115" s="150"/>
      <c r="I115" s="150"/>
      <c r="J115" s="199"/>
      <c r="K115" s="199"/>
      <c r="L115" s="150"/>
      <c r="M115" s="150"/>
      <c r="N115" s="150"/>
      <c r="O115" s="150"/>
      <c r="P115" s="150"/>
      <c r="Q115" s="150"/>
      <c r="R115" s="150"/>
      <c r="S115" s="191">
        <f>SUMIFS(S$85:S$110,$D$85:$D$110,$D115,$G$85:$G$110,$G115,$F$85:$F$110,$F115)*'INPUT Reg'!S$12</f>
        <v>16190887.29832031</v>
      </c>
      <c r="T115" s="191">
        <f>SUMIFS(T$85:T$110,$D$85:$D$110,$D115,$G$85:$G$110,$G115,$F$85:$F$110,$F115)*'INPUT Reg'!T$12</f>
        <v>12747057.859354848</v>
      </c>
      <c r="U115" s="191">
        <f>SUMIFS(U$85:U$110,$D$85:$D$110,$D115,$G$85:$G$110,$G115,$F$85:$F$110,$F115)*'INPUT Reg'!U$12</f>
        <v>21440539.637808993</v>
      </c>
      <c r="V115" s="191">
        <f>SUMIFS(V$85:V$110,$D$85:$D$110,$D115,$G$85:$G$110,$G115,$F$85:$F$110,$F115)*'INPUT Reg'!V$12</f>
        <v>25670517.622347504</v>
      </c>
      <c r="W115" s="191">
        <f>SUMIFS(W$85:W$110,$D$85:$D$110,$D115,$G$85:$G$110,$G115,$F$85:$F$110,$F115)*'INPUT Reg'!W$12</f>
        <v>26556618.335999999</v>
      </c>
      <c r="X115" s="191">
        <f>SUMIFS(X$85:X$110,$D$85:$D$110,$D115,$G$85:$G$110,$G115,$F$85:$F$110,$F115)*'INPUT Reg'!X$12</f>
        <v>15607584.468543518</v>
      </c>
      <c r="Y115" s="191">
        <f>SUMIFS(Y$85:Y$110,$D$85:$D$110,$D115,$G$85:$G$110,$G115,$F$85:$F$110,$F115)*'INPUT Reg'!Y$12</f>
        <v>11806104.487624889</v>
      </c>
      <c r="Z115" s="212">
        <f>SUMIFS(Z$85:Z$110,$D$85:$D$110,$D115,$G$85:$G$110,$G115,$F$85:$F$110,$F115)*'INPUT Reg'!Z$12</f>
        <v>5197191.0070497412</v>
      </c>
      <c r="AA115" s="213">
        <f>SUMIFS(AA$85:AA$110,$D$85:$D$110,$D115,$G$85:$G$110,$G115)*'INPUT Reg'!AA$12*SUMIFS('INPUT Growth'!AA$64:AA$115,'INPUT Growth'!$F$64:$F$115,'INPUT Capex'!$F115,'INPUT Growth'!$D$64:$D$115,'INPUT Capex'!$D115)/SUMIFS('INPUT Growth'!AA$64:AA$115,'INPUT Growth'!$D$64:$D$115,'INPUT Capex'!$D115)+AA$100*'INPUT Reg'!AA$12*SUMIFS('INPUT Growth'!AA$64:AA$115,'INPUT Growth'!$F$64:$F$115,'INPUT Capex'!$F115,'INPUT Growth'!$D$64:$D$115,'INPUT Capex'!$D115)/SUM('INPUT Growth'!AA$64:AA$115)</f>
        <v>27547371.653638817</v>
      </c>
      <c r="AB115" s="187">
        <f>SUMIFS(AB$85:AB$110,$D$85:$D$110,$D115,$G$85:$G$110,$G115)*SUMIFS('INPUT Growth'!AB$64:AB$115,'INPUT Growth'!$F$64:$F$115,'INPUT Capex'!$F115,'INPUT Growth'!$D$64:$D$115,'INPUT Capex'!$D115)/SUMIFS('INPUT Growth'!AB$64:AB$115,'INPUT Growth'!$D$64:$D$115,'INPUT Capex'!$D115)+AB$100*SUMIFS('INPUT Growth'!AB$64:AB$115,'INPUT Growth'!$F$64:$F$115,'INPUT Capex'!$F115,'INPUT Growth'!$D$64:$D$115,'INPUT Capex'!$D115)/SUM('INPUT Growth'!AB$64:AB$115)</f>
        <v>59034816.514050581</v>
      </c>
      <c r="AC115" s="150"/>
      <c r="AD115" s="150"/>
    </row>
    <row r="116" spans="2:30" outlineLevel="1" x14ac:dyDescent="0.2">
      <c r="B116" s="150"/>
      <c r="C116" s="150"/>
      <c r="D116" s="150" t="s">
        <v>310</v>
      </c>
      <c r="E116" s="150"/>
      <c r="F116" s="150" t="s">
        <v>265</v>
      </c>
      <c r="G116" s="150" t="s">
        <v>596</v>
      </c>
      <c r="H116" s="150"/>
      <c r="I116" s="150"/>
      <c r="J116" s="199"/>
      <c r="K116" s="199"/>
      <c r="L116" s="150"/>
      <c r="M116" s="150"/>
      <c r="N116" s="150"/>
      <c r="O116" s="150"/>
      <c r="P116" s="150"/>
      <c r="Q116" s="150"/>
      <c r="R116" s="150"/>
      <c r="S116" s="192">
        <f>SUMIFS(S$85:S$110,$D$85:$D$110,$D116,$G$85:$G$110,$G116,$F$85:$F$110,$F116)*'INPUT Reg'!S$12+IF(S$109=0,0,S$109*'INPUT Reg'!S$12*SUMIFS(S$105:S$107,$D$105:$D$107,$D116,$G$105:$G$107,$G116)/SUM(S$105:S$107))+IF($F116="Western",(S$108+S$110)*'INPUT Reg'!S$12*SUMIFS('INPUT Growth'!S$64:S$111,'INPUT Growth'!$F$64:$F$111,'INPUT Capex'!$F116,'INPUT Growth'!$D$64:$D$111,'INPUT Capex'!$D116)/SUMIFS('INPUT Growth'!S$64:S$111,'INPUT Growth'!$F$64:$F$111,'INPUT Capex'!$F116),0)</f>
        <v>1460466.6100578359</v>
      </c>
      <c r="T116" s="192">
        <f>SUMIFS(T$85:T$110,$D$85:$D$110,$D116,$G$85:$G$110,$G116,$F$85:$F$110,$F116)*'INPUT Reg'!T$12+IF(T$109=0,0,T$109*'INPUT Reg'!T$12*SUMIFS(T$105:T$107,$D$105:$D$107,$D116,$G$105:$G$107,$G116)/SUM(T$105:T$107))+IF($F116="Western",(T$108+T$110)*'INPUT Reg'!T$12*SUMIFS('INPUT Growth'!T$64:T$111,'INPUT Growth'!$F$64:$F$111,'INPUT Capex'!$F116,'INPUT Growth'!$D$64:$D$111,'INPUT Capex'!$D116)/SUMIFS('INPUT Growth'!T$64:T$111,'INPUT Growth'!$F$64:$F$111,'INPUT Capex'!$F116),0)</f>
        <v>1782124.8371528531</v>
      </c>
      <c r="U116" s="192">
        <f>SUMIFS(U$85:U$110,$D$85:$D$110,$D116,$G$85:$G$110,$G116,$F$85:$F$110,$F116)*'INPUT Reg'!U$12+IF(U$109=0,0,U$109*'INPUT Reg'!U$12*SUMIFS(U$105:U$107,$D$105:$D$107,$D116,$G$105:$G$107,$G116)/SUM(U$105:U$107))+IF($F116="Western",(U$108+U$110)*'INPUT Reg'!U$12*SUMIFS('INPUT Growth'!U$64:U$111,'INPUT Growth'!$F$64:$F$111,'INPUT Capex'!$F116,'INPUT Growth'!$D$64:$D$111,'INPUT Capex'!$D116)/SUMIFS('INPUT Growth'!U$64:U$111,'INPUT Growth'!$F$64:$F$111,'INPUT Capex'!$F116),0)</f>
        <v>3626247.8157731676</v>
      </c>
      <c r="V116" s="192">
        <f>SUMIFS(V$85:V$110,$D$85:$D$110,$D116,$G$85:$G$110,$G116,$F$85:$F$110,$F116)*'INPUT Reg'!V$12+IF(V$109=0,0,V$109*'INPUT Reg'!V$12*SUMIFS(V$105:V$107,$D$105:$D$107,$D116,$G$105:$G$107,$G116)/SUM(V$105:V$107))+IF($F116="Western",(V$108+V$110)*'INPUT Reg'!V$12*SUMIFS('INPUT Growth'!V$64:V$111,'INPUT Growth'!$F$64:$F$111,'INPUT Capex'!$F116,'INPUT Growth'!$D$64:$D$111,'INPUT Capex'!$D116)/SUMIFS('INPUT Growth'!V$64:V$111,'INPUT Growth'!$F$64:$F$111,'INPUT Capex'!$F116),0)</f>
        <v>1018412.8417692506</v>
      </c>
      <c r="W116" s="192">
        <f>SUMIFS(W$85:W$110,$D$85:$D$110,$D116,$G$85:$G$110,$G116,$F$85:$F$110,$F116)*'INPUT Reg'!W$12+IF(W$109=0,0,W$109*'INPUT Reg'!W$12*SUMIFS(W$105:W$107,$D$105:$D$107,$D116,$G$105:$G$107,$G116)/SUM(W$105:W$107))+IF($F116="Western",(W$108+W$110)*'INPUT Reg'!W$12*SUMIFS('INPUT Growth'!W$64:W$111,'INPUT Growth'!$F$64:$F$111,'INPUT Capex'!$F116,'INPUT Growth'!$D$64:$D$111,'INPUT Capex'!$D116)/SUMIFS('INPUT Growth'!W$64:W$111,'INPUT Growth'!$F$64:$F$111,'INPUT Capex'!$F116),0)</f>
        <v>3245908.1678886246</v>
      </c>
      <c r="X116" s="192">
        <f>SUMIFS(X$85:X$110,$D$85:$D$110,$D116,$G$85:$G$110,$G116,$F$85:$F$110,$F116)*'INPUT Reg'!X$12+IF(X$109=0,0,X$109*'INPUT Reg'!X$12*SUMIFS(X$105:X$107,$D$105:$D$107,$D116,$G$105:$G$107,$G116)/SUM(X$105:X$107))+IF($F116="Western",(X$108+X$110)*'INPUT Reg'!X$12*SUMIFS('INPUT Growth'!X$64:X$111,'INPUT Growth'!$F$64:$F$111,'INPUT Capex'!$F116,'INPUT Growth'!$D$64:$D$111,'INPUT Capex'!$D116)/SUMIFS('INPUT Growth'!X$64:X$111,'INPUT Growth'!$F$64:$F$111,'INPUT Capex'!$F116),0)</f>
        <v>7343517.5074141519</v>
      </c>
      <c r="Y116" s="192">
        <f>SUMIFS(Y$85:Y$110,$D$85:$D$110,$D116,$G$85:$G$110,$G116,$F$85:$F$110,$F116)*'INPUT Reg'!Y$12+IF(Y$109=0,0,Y$109*'INPUT Reg'!Y$12*SUMIFS(Y$105:Y$107,$D$105:$D$107,$D116,$G$105:$G$107,$G116)/SUM(Y$105:Y$107))+IF($F116="Western",(Y$108+Y$110)*'INPUT Reg'!Y$12*SUMIFS('INPUT Growth'!Y$64:Y$111,'INPUT Growth'!$F$64:$F$111,'INPUT Capex'!$F116,'INPUT Growth'!$D$64:$D$111,'INPUT Capex'!$D116)/SUMIFS('INPUT Growth'!Y$64:Y$111,'INPUT Growth'!$F$64:$F$111,'INPUT Capex'!$F116),0)</f>
        <v>9716112.1604420952</v>
      </c>
      <c r="Z116" s="214">
        <f>SUMIFS(Z$85:Z$110,$D$85:$D$110,$D116,$G$85:$G$110,$G116,$F$85:$F$110,$F116)*'INPUT Reg'!Z$12+IF(Z$109=0,0,Z$109*'INPUT Reg'!Z$12*SUMIFS(Z$105:Z$107,$D$105:$D$107,$D116,$G$105:$G$107,$G116)/SUM(Z$105:Z$107))+IF($F116="Western",(Z$108+Z$110)*'INPUT Reg'!Z$12*SUMIFS('INPUT Growth'!Z$64:Z$111,'INPUT Growth'!$F$64:$F$111,'INPUT Capex'!$F116,'INPUT Growth'!$D$64:$D$111,'INPUT Capex'!$D116)/SUMIFS('INPUT Growth'!Z$64:Z$111,'INPUT Growth'!$F$64:$F$111,'INPUT Capex'!$F116),0)</f>
        <v>20578625.159316115</v>
      </c>
      <c r="AA116" s="215">
        <f>SUMIFS(AA$85:AA$110,$D$85:$D$110,$D116,$G$85:$G$110,$G116)*'INPUT Reg'!AA$12*SUMIFS('INPUT Growth'!AA$64:AA$115,'INPUT Growth'!$F$64:$F$115,'INPUT Capex'!$F116,'INPUT Growth'!$D$64:$D$115,'INPUT Capex'!$D116)/SUMIFS('INPUT Growth'!AA$64:AA$115,'INPUT Growth'!$D$64:$D$115,'INPUT Capex'!$D116)+AA$100*'INPUT Reg'!AA$12*SUMIFS('INPUT Growth'!AA$64:AA$115,'INPUT Growth'!$F$64:$F$115,'INPUT Capex'!$F116,'INPUT Growth'!$D$64:$D$115,'INPUT Capex'!$D116)/SUM('INPUT Growth'!AA$64:AA$115)+IF($F116="Western",(AA$108+AA$110)*'INPUT Reg'!AA$12*SUMIFS('INPUT Growth'!AA$64:AA$115,'INPUT Growth'!$F$64:$F$115,'INPUT Capex'!$F116,'INPUT Growth'!$D$64:$D$115,'INPUT Capex'!$D116)/SUMIFS('INPUT Growth'!AA$64:AA$115,'INPUT Growth'!$F$64:$F$115,'INPUT Capex'!$F116),0)</f>
        <v>7579064.101331275</v>
      </c>
      <c r="AB116" s="187">
        <f>SUMIFS(AB$85:AB$110,$D$85:$D$110,$D116,$G$85:$G$110,$G116)*SUMIFS('INPUT Growth'!AB$64:AB$115,'INPUT Growth'!$F$64:$F$115,'INPUT Capex'!$F116,'INPUT Growth'!$D$64:$D$115,'INPUT Capex'!$D116)/SUMIFS('INPUT Growth'!AB$64:AB$115,'INPUT Growth'!$D$64:$D$115,'INPUT Capex'!$D116)+AB$100*SUMIFS('INPUT Growth'!AB$64:AB$115,'INPUT Growth'!$F$64:$F$115,'INPUT Capex'!$F116,'INPUT Growth'!$D$64:$D$115,'INPUT Capex'!$D116)/SUM('INPUT Growth'!AB$64:AB$115)</f>
        <v>3523435.3061410105</v>
      </c>
      <c r="AC116" s="150"/>
      <c r="AD116" s="150"/>
    </row>
    <row r="117" spans="2:30" outlineLevel="1" x14ac:dyDescent="0.2">
      <c r="B117" s="150"/>
      <c r="C117" s="150"/>
      <c r="D117" s="150" t="s">
        <v>303</v>
      </c>
      <c r="E117" s="150"/>
      <c r="F117" s="150" t="s">
        <v>265</v>
      </c>
      <c r="G117" s="150" t="s">
        <v>596</v>
      </c>
      <c r="H117" s="150"/>
      <c r="I117" s="150"/>
      <c r="J117" s="199"/>
      <c r="K117" s="199"/>
      <c r="L117" s="150"/>
      <c r="M117" s="150"/>
      <c r="N117" s="150"/>
      <c r="O117" s="150"/>
      <c r="P117" s="150"/>
      <c r="Q117" s="150"/>
      <c r="R117" s="150"/>
      <c r="S117" s="187">
        <f>SUMIFS(S$85:S$110,$D$85:$D$110,$D117,$G$85:$G$110,$G117,$F$85:$F$110,$F117)*'INPUT Reg'!S$12+IF(S$109=0,0,S$109*'INPUT Reg'!S$12*SUMIFS(S$105:S$107,$D$105:$D$107,$D117,$G$105:$G$107,$G117)/SUM(S$105:S$107))+IF($F117="Western",(S$108+S$110)*'INPUT Reg'!S$12*SUMIFS('INPUT Growth'!S$64:S$111,'INPUT Growth'!$F$64:$F$111,'INPUT Capex'!$F117,'INPUT Growth'!$D$64:$D$111,'INPUT Capex'!$D117)/SUMIFS('INPUT Growth'!S$64:S$111,'INPUT Growth'!$F$64:$F$111,'INPUT Capex'!$F117),0)</f>
        <v>3663478.2158322288</v>
      </c>
      <c r="T117" s="187">
        <f>SUMIFS(T$85:T$110,$D$85:$D$110,$D117,$G$85:$G$110,$G117,$F$85:$F$110,$F117)*'INPUT Reg'!T$12+IF(T$109=0,0,T$109*'INPUT Reg'!T$12*SUMIFS(T$105:T$107,$D$105:$D$107,$D117,$G$105:$G$107,$G117)/SUM(T$105:T$107))+IF($F117="Western",(T$108+T$110)*'INPUT Reg'!T$12*SUMIFS('INPUT Growth'!T$64:T$111,'INPUT Growth'!$F$64:$F$111,'INPUT Capex'!$F117,'INPUT Growth'!$D$64:$D$111,'INPUT Capex'!$D117)/SUMIFS('INPUT Growth'!T$64:T$111,'INPUT Growth'!$F$64:$F$111,'INPUT Capex'!$F117),0)</f>
        <v>5851757.2217953531</v>
      </c>
      <c r="U117" s="187">
        <f>SUMIFS(U$85:U$110,$D$85:$D$110,$D117,$G$85:$G$110,$G117,$F$85:$F$110,$F117)*'INPUT Reg'!U$12+IF(U$109=0,0,U$109*'INPUT Reg'!U$12*SUMIFS(U$105:U$107,$D$105:$D$107,$D117,$G$105:$G$107,$G117)/SUM(U$105:U$107))+IF($F117="Western",(U$108+U$110)*'INPUT Reg'!U$12*SUMIFS('INPUT Growth'!U$64:U$111,'INPUT Growth'!$F$64:$F$111,'INPUT Capex'!$F117,'INPUT Growth'!$D$64:$D$111,'INPUT Capex'!$D117)/SUMIFS('INPUT Growth'!U$64:U$111,'INPUT Growth'!$F$64:$F$111,'INPUT Capex'!$F117),0)</f>
        <v>41347804.559089802</v>
      </c>
      <c r="V117" s="187">
        <f>SUMIFS(V$85:V$110,$D$85:$D$110,$D117,$G$85:$G$110,$G117,$F$85:$F$110,$F117)*'INPUT Reg'!V$12+IF(V$109=0,0,V$109*'INPUT Reg'!V$12*SUMIFS(V$105:V$107,$D$105:$D$107,$D117,$G$105:$G$107,$G117)/SUM(V$105:V$107))+IF($F117="Western",(V$108+V$110)*'INPUT Reg'!V$12*SUMIFS('INPUT Growth'!V$64:V$111,'INPUT Growth'!$F$64:$F$111,'INPUT Capex'!$F117,'INPUT Growth'!$D$64:$D$111,'INPUT Capex'!$D117)/SUMIFS('INPUT Growth'!V$64:V$111,'INPUT Growth'!$F$64:$F$111,'INPUT Capex'!$F117),0)</f>
        <v>15213962.298552135</v>
      </c>
      <c r="W117" s="187">
        <f>SUMIFS(W$85:W$110,$D$85:$D$110,$D117,$G$85:$G$110,$G117,$F$85:$F$110,$F117)*'INPUT Reg'!W$12+IF(W$109=0,0,W$109*'INPUT Reg'!W$12*SUMIFS(W$105:W$107,$D$105:$D$107,$D117,$G$105:$G$107,$G117)/SUM(W$105:W$107))+IF($F117="Western",(W$108+W$110)*'INPUT Reg'!W$12*SUMIFS('INPUT Growth'!W$64:W$111,'INPUT Growth'!$F$64:$F$111,'INPUT Capex'!$F117,'INPUT Growth'!$D$64:$D$111,'INPUT Capex'!$D117)/SUMIFS('INPUT Growth'!W$64:W$111,'INPUT Growth'!$F$64:$F$111,'INPUT Capex'!$F117),0)</f>
        <v>40244540.280987449</v>
      </c>
      <c r="X117" s="187">
        <f>SUMIFS(X$85:X$110,$D$85:$D$110,$D117,$G$85:$G$110,$G117,$F$85:$F$110,$F117)*'INPUT Reg'!X$12+IF(X$109=0,0,X$109*'INPUT Reg'!X$12*SUMIFS(X$105:X$107,$D$105:$D$107,$D117,$G$105:$G$107,$G117)/SUM(X$105:X$107))+IF($F117="Western",(X$108+X$110)*'INPUT Reg'!X$12*SUMIFS('INPUT Growth'!X$64:X$111,'INPUT Growth'!$F$64:$F$111,'INPUT Capex'!$F117,'INPUT Growth'!$D$64:$D$111,'INPUT Capex'!$D117)/SUMIFS('INPUT Growth'!X$64:X$111,'INPUT Growth'!$F$64:$F$111,'INPUT Capex'!$F117),0)</f>
        <v>32824584.731914185</v>
      </c>
      <c r="Y117" s="187">
        <f>SUMIFS(Y$85:Y$110,$D$85:$D$110,$D117,$G$85:$G$110,$G117,$F$85:$F$110,$F117)*'INPUT Reg'!Y$12+IF(Y$109=0,0,Y$109*'INPUT Reg'!Y$12*SUMIFS(Y$105:Y$107,$D$105:$D$107,$D117,$G$105:$G$107,$G117)/SUM(Y$105:Y$107))+IF($F117="Western",(Y$108+Y$110)*'INPUT Reg'!Y$12*SUMIFS('INPUT Growth'!Y$64:Y$111,'INPUT Growth'!$F$64:$F$111,'INPUT Capex'!$F117,'INPUT Growth'!$D$64:$D$111,'INPUT Capex'!$D117)/SUMIFS('INPUT Growth'!Y$64:Y$111,'INPUT Growth'!$F$64:$F$111,'INPUT Capex'!$F117),0)</f>
        <v>41296442.089490704</v>
      </c>
      <c r="Z117" s="210">
        <f>SUMIFS(Z$85:Z$110,$D$85:$D$110,$D117,$G$85:$G$110,$G117,$F$85:$F$110,$F117)*'INPUT Reg'!Z$12+IF(Z$109=0,0,Z$109*'INPUT Reg'!Z$12*SUMIFS(Z$105:Z$107,$D$105:$D$107,$D117,$G$105:$G$107,$G117)/SUM(Z$105:Z$107))+IF($F117="Western",(Z$108+Z$110)*'INPUT Reg'!Z$12*SUMIFS('INPUT Growth'!Z$64:Z$111,'INPUT Growth'!$F$64:$F$111,'INPUT Capex'!$F117,'INPUT Growth'!$D$64:$D$111,'INPUT Capex'!$D117)/SUMIFS('INPUT Growth'!Z$64:Z$111,'INPUT Growth'!$F$64:$F$111,'INPUT Capex'!$F117),0)</f>
        <v>39976012.73453293</v>
      </c>
      <c r="AA117" s="211">
        <f>SUMIFS(AA$85:AA$110,$D$85:$D$110,$D117,$G$85:$G$110,$G117)*'INPUT Reg'!AA$12*SUMIFS('INPUT Growth'!AA$64:AA$115,'INPUT Growth'!$F$64:$F$115,'INPUT Capex'!$F117,'INPUT Growth'!$D$64:$D$115,'INPUT Capex'!$D117)/SUMIFS('INPUT Growth'!AA$64:AA$115,'INPUT Growth'!$D$64:$D$115,'INPUT Capex'!$D117)+AA$100*'INPUT Reg'!AA$12*SUMIFS('INPUT Growth'!AA$64:AA$115,'INPUT Growth'!$F$64:$F$115,'INPUT Capex'!$F117,'INPUT Growth'!$D$64:$D$115,'INPUT Capex'!$D117)/SUM('INPUT Growth'!AA$64:AA$115)+IF($F117="Western",(AA$108+AA$110)*'INPUT Reg'!AA$12*SUMIFS('INPUT Growth'!AA$64:AA$115,'INPUT Growth'!$F$64:$F$115,'INPUT Capex'!$F117,'INPUT Growth'!$D$64:$D$115,'INPUT Capex'!$D117)/SUMIFS('INPUT Growth'!AA$64:AA$115,'INPUT Growth'!$F$64:$F$115,'INPUT Capex'!$F117),0)</f>
        <v>23424709.837250032</v>
      </c>
      <c r="AB117" s="187">
        <f>SUMIFS(AB$85:AB$110,$D$85:$D$110,$D117,$G$85:$G$110,$G117)*SUMIFS('INPUT Growth'!AB$64:AB$115,'INPUT Growth'!$F$64:$F$115,'INPUT Capex'!$F117,'INPUT Growth'!$D$64:$D$115,'INPUT Capex'!$D117)/SUMIFS('INPUT Growth'!AB$64:AB$115,'INPUT Growth'!$D$64:$D$115,'INPUT Capex'!$D117)+AB$100*SUMIFS('INPUT Growth'!AB$64:AB$115,'INPUT Growth'!$F$64:$F$115,'INPUT Capex'!$F117,'INPUT Growth'!$D$64:$D$115,'INPUT Capex'!$D117)/SUM('INPUT Growth'!AB$64:AB$115)</f>
        <v>20364675.681769487</v>
      </c>
      <c r="AC117" s="150"/>
      <c r="AD117" s="150"/>
    </row>
    <row r="118" spans="2:30" outlineLevel="1" x14ac:dyDescent="0.2">
      <c r="B118" s="150"/>
      <c r="C118" s="150"/>
      <c r="D118" s="150" t="s">
        <v>301</v>
      </c>
      <c r="E118" s="150"/>
      <c r="F118" s="150" t="s">
        <v>265</v>
      </c>
      <c r="G118" s="150" t="s">
        <v>596</v>
      </c>
      <c r="H118" s="150"/>
      <c r="I118" s="150"/>
      <c r="J118" s="199"/>
      <c r="K118" s="199"/>
      <c r="L118" s="150"/>
      <c r="M118" s="150"/>
      <c r="N118" s="150"/>
      <c r="O118" s="150"/>
      <c r="P118" s="150"/>
      <c r="Q118" s="150"/>
      <c r="R118" s="150"/>
      <c r="S118" s="187">
        <f>SUMIFS(S$85:S$110,$D$85:$D$110,$D118,$G$85:$G$110,$G118,$F$85:$F$110,$F118)*'INPUT Reg'!S$12+IF(S$109=0,0,S$109*'INPUT Reg'!S$12*SUMIFS(S$105:S$107,$D$105:$D$107,$D118,$G$105:$G$107,$G118)/SUM(S$105:S$107))+IF($F118="Western",(S$108+S$110)*'INPUT Reg'!S$12*SUMIFS('INPUT Growth'!S$64:S$111,'INPUT Growth'!$F$64:$F$111,'INPUT Capex'!$F118,'INPUT Growth'!$D$64:$D$111,'INPUT Capex'!$D118)/SUMIFS('INPUT Growth'!S$64:S$111,'INPUT Growth'!$F$64:$F$111,'INPUT Capex'!$F118),0)</f>
        <v>437156.56436384039</v>
      </c>
      <c r="T118" s="187">
        <f>SUMIFS(T$85:T$110,$D$85:$D$110,$D118,$G$85:$G$110,$G118,$F$85:$F$110,$F118)*'INPUT Reg'!T$12+IF(T$109=0,0,T$109*'INPUT Reg'!T$12*SUMIFS(T$105:T$107,$D$105:$D$107,$D118,$G$105:$G$107,$G118)/SUM(T$105:T$107))+IF($F118="Western",(T$108+T$110)*'INPUT Reg'!T$12*SUMIFS('INPUT Growth'!T$64:T$111,'INPUT Growth'!$F$64:$F$111,'INPUT Capex'!$F118,'INPUT Growth'!$D$64:$D$111,'INPUT Capex'!$D118)/SUMIFS('INPUT Growth'!T$64:T$111,'INPUT Growth'!$F$64:$F$111,'INPUT Capex'!$F118),0)</f>
        <v>1184669.4423421167</v>
      </c>
      <c r="U118" s="187">
        <f>SUMIFS(U$85:U$110,$D$85:$D$110,$D118,$G$85:$G$110,$G118,$F$85:$F$110,$F118)*'INPUT Reg'!U$12+IF(U$109=0,0,U$109*'INPUT Reg'!U$12*SUMIFS(U$105:U$107,$D$105:$D$107,$D118,$G$105:$G$107,$G118)/SUM(U$105:U$107))+IF($F118="Western",(U$108+U$110)*'INPUT Reg'!U$12*SUMIFS('INPUT Growth'!U$64:U$111,'INPUT Growth'!$F$64:$F$111,'INPUT Capex'!$F118,'INPUT Growth'!$D$64:$D$111,'INPUT Capex'!$D118)/SUMIFS('INPUT Growth'!U$64:U$111,'INPUT Growth'!$F$64:$F$111,'INPUT Capex'!$F118),0)</f>
        <v>9849961.8314291742</v>
      </c>
      <c r="V118" s="187">
        <f>SUMIFS(V$85:V$110,$D$85:$D$110,$D118,$G$85:$G$110,$G118,$F$85:$F$110,$F118)*'INPUT Reg'!V$12+IF(V$109=0,0,V$109*'INPUT Reg'!V$12*SUMIFS(V$105:V$107,$D$105:$D$107,$D118,$G$105:$G$107,$G118)/SUM(V$105:V$107))+IF($F118="Western",(V$108+V$110)*'INPUT Reg'!V$12*SUMIFS('INPUT Growth'!V$64:V$111,'INPUT Growth'!$F$64:$F$111,'INPUT Capex'!$F118,'INPUT Growth'!$D$64:$D$111,'INPUT Capex'!$D118)/SUMIFS('INPUT Growth'!V$64:V$111,'INPUT Growth'!$F$64:$F$111,'INPUT Capex'!$F118),0)</f>
        <v>4876522.7367211292</v>
      </c>
      <c r="W118" s="187">
        <f>SUMIFS(W$85:W$110,$D$85:$D$110,$D118,$G$85:$G$110,$G118,$F$85:$F$110,$F118)*'INPUT Reg'!W$12+IF(W$109=0,0,W$109*'INPUT Reg'!W$12*SUMIFS(W$105:W$107,$D$105:$D$107,$D118,$G$105:$G$107,$G118)/SUM(W$105:W$107))+IF($F118="Western",(W$108+W$110)*'INPUT Reg'!W$12*SUMIFS('INPUT Growth'!W$64:W$111,'INPUT Growth'!$F$64:$F$111,'INPUT Capex'!$F118,'INPUT Growth'!$D$64:$D$111,'INPUT Capex'!$D118)/SUMIFS('INPUT Growth'!W$64:W$111,'INPUT Growth'!$F$64:$F$111,'INPUT Capex'!$F118),0)</f>
        <v>9770096.3951239213</v>
      </c>
      <c r="X118" s="187">
        <f>SUMIFS(X$85:X$110,$D$85:$D$110,$D118,$G$85:$G$110,$G118,$F$85:$F$110,$F118)*'INPUT Reg'!X$12+IF(X$109=0,0,X$109*'INPUT Reg'!X$12*SUMIFS(X$105:X$107,$D$105:$D$107,$D118,$G$105:$G$107,$G118)/SUM(X$105:X$107))+IF($F118="Western",(X$108+X$110)*'INPUT Reg'!X$12*SUMIFS('INPUT Growth'!X$64:X$111,'INPUT Growth'!$F$64:$F$111,'INPUT Capex'!$F118,'INPUT Growth'!$D$64:$D$111,'INPUT Capex'!$D118)/SUMIFS('INPUT Growth'!X$64:X$111,'INPUT Growth'!$F$64:$F$111,'INPUT Capex'!$F118),0)</f>
        <v>18270705.641932763</v>
      </c>
      <c r="Y118" s="187">
        <f>SUMIFS(Y$85:Y$110,$D$85:$D$110,$D118,$G$85:$G$110,$G118,$F$85:$F$110,$F118)*'INPUT Reg'!Y$12+IF(Y$109=0,0,Y$109*'INPUT Reg'!Y$12*SUMIFS(Y$105:Y$107,$D$105:$D$107,$D118,$G$105:$G$107,$G118)/SUM(Y$105:Y$107))+IF($F118="Western",(Y$108+Y$110)*'INPUT Reg'!Y$12*SUMIFS('INPUT Growth'!Y$64:Y$111,'INPUT Growth'!$F$64:$F$111,'INPUT Capex'!$F118,'INPUT Growth'!$D$64:$D$111,'INPUT Capex'!$D118)/SUMIFS('INPUT Growth'!Y$64:Y$111,'INPUT Growth'!$F$64:$F$111,'INPUT Capex'!$F118),0)</f>
        <v>14569752.166473862</v>
      </c>
      <c r="Z118" s="210">
        <f>SUMIFS(Z$85:Z$110,$D$85:$D$110,$D118,$G$85:$G$110,$G118,$F$85:$F$110,$F118)*'INPUT Reg'!Z$12+IF(Z$109=0,0,Z$109*'INPUT Reg'!Z$12*SUMIFS(Z$105:Z$107,$D$105:$D$107,$D118,$G$105:$G$107,$G118)/SUM(Z$105:Z$107))+IF($F118="Western",(Z$108+Z$110)*'INPUT Reg'!Z$12*SUMIFS('INPUT Growth'!Z$64:Z$111,'INPUT Growth'!$F$64:$F$111,'INPUT Capex'!$F118,'INPUT Growth'!$D$64:$D$111,'INPUT Capex'!$D118)/SUMIFS('INPUT Growth'!Z$64:Z$111,'INPUT Growth'!$F$64:$F$111,'INPUT Capex'!$F118),0)</f>
        <v>20069939.079547163</v>
      </c>
      <c r="AA118" s="211">
        <f>SUMIFS(AA$85:AA$110,$D$85:$D$110,$D118,$G$85:$G$110,$G118)*'INPUT Reg'!AA$12*SUMIFS('INPUT Growth'!AA$64:AA$115,'INPUT Growth'!$F$64:$F$115,'INPUT Capex'!$F118,'INPUT Growth'!$D$64:$D$115,'INPUT Capex'!$D118)/SUMIFS('INPUT Growth'!AA$64:AA$115,'INPUT Growth'!$D$64:$D$115,'INPUT Capex'!$D118)+AA$100*'INPUT Reg'!AA$12*SUMIFS('INPUT Growth'!AA$64:AA$115,'INPUT Growth'!$F$64:$F$115,'INPUT Capex'!$F118,'INPUT Growth'!$D$64:$D$115,'INPUT Capex'!$D118)/SUM('INPUT Growth'!AA$64:AA$115)+IF($F118="Western",(AA$108+AA$110)*'INPUT Reg'!AA$12*SUMIFS('INPUT Growth'!AA$64:AA$115,'INPUT Growth'!$F$64:$F$115,'INPUT Capex'!$F118,'INPUT Growth'!$D$64:$D$115,'INPUT Capex'!$D118)/SUMIFS('INPUT Growth'!AA$64:AA$115,'INPUT Growth'!$F$64:$F$115,'INPUT Capex'!$F118),0)</f>
        <v>14014415.203694128</v>
      </c>
      <c r="AB118" s="187">
        <f>SUMIFS(AB$85:AB$110,$D$85:$D$110,$D118,$G$85:$G$110,$G118)*SUMIFS('INPUT Growth'!AB$64:AB$115,'INPUT Growth'!$F$64:$F$115,'INPUT Capex'!$F118,'INPUT Growth'!$D$64:$D$115,'INPUT Capex'!$D118)/SUMIFS('INPUT Growth'!AB$64:AB$115,'INPUT Growth'!$D$64:$D$115,'INPUT Capex'!$D118)+AB$100*SUMIFS('INPUT Growth'!AB$64:AB$115,'INPUT Growth'!$F$64:$F$115,'INPUT Capex'!$F118,'INPUT Growth'!$D$64:$D$115,'INPUT Capex'!$D118)/SUM('INPUT Growth'!AB$64:AB$115)</f>
        <v>16946012.287255324</v>
      </c>
      <c r="AC118" s="150"/>
      <c r="AD118" s="150"/>
    </row>
    <row r="119" spans="2:30" outlineLevel="1" x14ac:dyDescent="0.2">
      <c r="B119" s="150"/>
      <c r="C119" s="83" t="s">
        <v>523</v>
      </c>
      <c r="D119" s="150"/>
      <c r="E119" s="150"/>
      <c r="F119" s="150"/>
      <c r="G119" s="150"/>
      <c r="H119" s="150"/>
      <c r="I119" s="150"/>
      <c r="J119" s="86"/>
      <c r="K119" s="150"/>
      <c r="L119" s="150"/>
      <c r="M119" s="150"/>
      <c r="N119" s="150"/>
      <c r="O119" s="150"/>
      <c r="P119" s="150"/>
      <c r="Q119" s="150"/>
      <c r="R119" s="150"/>
      <c r="S119" s="85">
        <f>SUMIFS(S$85:S$110,$G$85:$G$110,"Growth")*'INPUT Reg'!S$12-SUM(S113:S118)</f>
        <v>0</v>
      </c>
      <c r="T119" s="85">
        <f>SUMIFS(T$85:T$110,$G$85:$G$110,"Growth")*'INPUT Reg'!T$12-SUM(T113:T118)</f>
        <v>0</v>
      </c>
      <c r="U119" s="85">
        <f>SUMIFS(U$85:U$110,$G$85:$G$110,"Growth")*'INPUT Reg'!U$12-SUM(U113:U118)</f>
        <v>0</v>
      </c>
      <c r="V119" s="85">
        <f>SUMIFS(V$85:V$110,$G$85:$G$110,"Growth")*'INPUT Reg'!V$12-SUM(V113:V118)</f>
        <v>0</v>
      </c>
      <c r="W119" s="85">
        <f>SUMIFS(W$85:W$110,$G$85:$G$110,"Growth")*'INPUT Reg'!W$12-SUM(W113:W118)</f>
        <v>0</v>
      </c>
      <c r="X119" s="85">
        <f>SUMIFS(X$85:X$110,$G$85:$G$110,"Growth")*'INPUT Reg'!X$12-SUM(X113:X118)</f>
        <v>0</v>
      </c>
      <c r="Y119" s="85">
        <f>SUMIFS(Y$85:Y$110,$G$85:$G$110,"Growth")*'INPUT Reg'!Y$12-SUM(Y113:Y118)</f>
        <v>0</v>
      </c>
      <c r="Z119" s="85">
        <f>SUMIFS(Z$85:Z$110,$G$85:$G$110,"Growth")*'INPUT Reg'!Z$12-SUM(Z113:Z118)</f>
        <v>0</v>
      </c>
      <c r="AA119" s="85">
        <f>SUMIFS(AA$85:AA$110,$G$85:$G$110,"Growth")*'INPUT Reg'!AA$12-SUM(AA113:AA118)</f>
        <v>0</v>
      </c>
      <c r="AB119" s="85">
        <f>SUMIFS(AB$85:AB$110,$G$85:$G$110,"Growth")-SUM(AB113:AB118)</f>
        <v>0</v>
      </c>
      <c r="AC119" s="150"/>
      <c r="AD119" s="150"/>
    </row>
    <row r="120" spans="2:30" outlineLevel="1" x14ac:dyDescent="0.2">
      <c r="B120" s="64"/>
      <c r="C120" s="150" t="s">
        <v>460</v>
      </c>
      <c r="D120" s="64" t="s">
        <v>506</v>
      </c>
      <c r="E120" s="150"/>
      <c r="F120" s="64" t="s">
        <v>589</v>
      </c>
      <c r="G120" s="64" t="s">
        <v>590</v>
      </c>
      <c r="H120" s="150"/>
      <c r="I120" s="150"/>
      <c r="J120" s="150"/>
      <c r="K120" s="150"/>
      <c r="L120" s="150"/>
      <c r="M120" s="150"/>
      <c r="N120" s="150"/>
      <c r="O120" s="150"/>
      <c r="P120" s="150"/>
      <c r="Q120" s="150"/>
      <c r="R120" s="150"/>
      <c r="S120" s="150"/>
      <c r="T120" s="150"/>
      <c r="U120" s="150"/>
      <c r="V120" s="150"/>
      <c r="W120" s="150"/>
      <c r="X120" s="83" t="s">
        <v>591</v>
      </c>
      <c r="Y120" s="150"/>
      <c r="Z120" s="150"/>
      <c r="AA120" s="83" t="s">
        <v>592</v>
      </c>
      <c r="AB120" s="77"/>
      <c r="AC120" s="77"/>
      <c r="AD120" s="77"/>
    </row>
    <row r="121" spans="2:30" outlineLevel="1" x14ac:dyDescent="0.2">
      <c r="B121" s="64"/>
      <c r="C121" s="150"/>
      <c r="D121" s="150" t="s">
        <v>301</v>
      </c>
      <c r="E121" s="150"/>
      <c r="F121" s="150" t="s">
        <v>262</v>
      </c>
      <c r="G121" s="150" t="s">
        <v>594</v>
      </c>
      <c r="H121" s="150"/>
      <c r="I121" s="150"/>
      <c r="J121" s="150"/>
      <c r="K121" s="150"/>
      <c r="L121" s="150"/>
      <c r="M121" s="150"/>
      <c r="N121" s="150"/>
      <c r="O121" s="150"/>
      <c r="P121" s="150"/>
      <c r="Q121" s="150"/>
      <c r="R121" s="150"/>
      <c r="S121" s="187">
        <f>IF($G121="Growth",S85*'INPUT Reg'!S$12,0)</f>
        <v>0</v>
      </c>
      <c r="T121" s="187">
        <f>IF($G121="Growth",T85*'INPUT Reg'!T$12,0)</f>
        <v>0</v>
      </c>
      <c r="U121" s="187">
        <f>IF($G121="Growth",U85*'INPUT Reg'!U$12,0)</f>
        <v>0</v>
      </c>
      <c r="V121" s="187">
        <f>IF($G121="Growth",V85*'INPUT Reg'!V$12,0)</f>
        <v>0</v>
      </c>
      <c r="W121" s="187">
        <f>IF($G121="Growth",W85*'INPUT Reg'!W$12,0)</f>
        <v>0</v>
      </c>
      <c r="X121" s="187">
        <f>IF($G121="Growth",X85*'INPUT Reg'!X$12,0)</f>
        <v>0</v>
      </c>
      <c r="Y121" s="187">
        <f>IF($G121="Growth",Y85*'INPUT Reg'!Y$12,0)</f>
        <v>0</v>
      </c>
      <c r="Z121" s="187">
        <f>IF($G121="Growth",Z85*'INPUT Reg'!Z$12,0)</f>
        <v>0</v>
      </c>
      <c r="AA121" s="187">
        <f>IF($G121="Growth",AA85*'INPUT Reg'!AA$12,0)</f>
        <v>0</v>
      </c>
      <c r="AB121" s="187">
        <f>IF($G121="Growth",AB85*'INPUT Reg'!AB$12,0)</f>
        <v>0</v>
      </c>
      <c r="AC121" s="77"/>
      <c r="AD121" s="77"/>
    </row>
    <row r="122" spans="2:30" outlineLevel="1" x14ac:dyDescent="0.2">
      <c r="B122" s="150"/>
      <c r="C122" s="150"/>
      <c r="D122" s="150" t="s">
        <v>301</v>
      </c>
      <c r="E122" s="150"/>
      <c r="F122" s="150" t="s">
        <v>262</v>
      </c>
      <c r="G122" s="150" t="s">
        <v>595</v>
      </c>
      <c r="H122" s="150"/>
      <c r="I122" s="150"/>
      <c r="J122" s="150"/>
      <c r="K122" s="150"/>
      <c r="L122" s="150"/>
      <c r="M122" s="150"/>
      <c r="N122" s="150"/>
      <c r="O122" s="150"/>
      <c r="P122" s="150"/>
      <c r="Q122" s="150"/>
      <c r="R122" s="150"/>
      <c r="S122" s="187">
        <f>IF($G122="Growth",S86*'INPUT Reg'!S$12,0)</f>
        <v>0</v>
      </c>
      <c r="T122" s="187">
        <f>IF($G122="Growth",T86*'INPUT Reg'!T$12,0)</f>
        <v>0</v>
      </c>
      <c r="U122" s="187">
        <f>IF($G122="Growth",U86*'INPUT Reg'!U$12,0)</f>
        <v>0</v>
      </c>
      <c r="V122" s="187">
        <f>IF($G122="Growth",V86*'INPUT Reg'!V$12,0)</f>
        <v>0</v>
      </c>
      <c r="W122" s="187">
        <f>IF($G122="Growth",W86*'INPUT Reg'!W$12,0)</f>
        <v>0</v>
      </c>
      <c r="X122" s="187">
        <f>IF($G122="Growth",X86*'INPUT Reg'!X$12,0)</f>
        <v>0</v>
      </c>
      <c r="Y122" s="187">
        <f>IF($G122="Growth",Y86*'INPUT Reg'!Y$12,0)</f>
        <v>0</v>
      </c>
      <c r="Z122" s="187">
        <f>IF($G122="Growth",Z86*'INPUT Reg'!Z$12,0)</f>
        <v>0</v>
      </c>
      <c r="AA122" s="187">
        <f>IF($G122="Growth",AA86*'INPUT Reg'!AA$12,0)</f>
        <v>0</v>
      </c>
      <c r="AB122" s="187">
        <f>IF($G122="Growth",AB86*'INPUT Reg'!AB$12,0)</f>
        <v>0</v>
      </c>
      <c r="AC122" s="77"/>
      <c r="AD122" s="77"/>
    </row>
    <row r="123" spans="2:30" outlineLevel="1" x14ac:dyDescent="0.2">
      <c r="B123" s="150"/>
      <c r="C123" s="150"/>
      <c r="D123" s="150" t="s">
        <v>301</v>
      </c>
      <c r="E123" s="150"/>
      <c r="F123" s="150" t="s">
        <v>262</v>
      </c>
      <c r="G123" s="150" t="s">
        <v>596</v>
      </c>
      <c r="H123" s="150"/>
      <c r="I123" s="150"/>
      <c r="J123" s="150"/>
      <c r="K123" s="150"/>
      <c r="L123" s="150"/>
      <c r="M123" s="150"/>
      <c r="N123" s="150"/>
      <c r="O123" s="150"/>
      <c r="P123" s="150"/>
      <c r="Q123" s="150"/>
      <c r="R123" s="150"/>
      <c r="S123" s="187">
        <f>IF($G123="Growth",S87*'INPUT Reg'!S$12,0)</f>
        <v>21854363.023593746</v>
      </c>
      <c r="T123" s="187">
        <f>IF($G123="Growth",T87*'INPUT Reg'!T$12,0)</f>
        <v>13325284.150645157</v>
      </c>
      <c r="U123" s="187">
        <f>IF($G123="Growth",U87*'INPUT Reg'!U$12,0)</f>
        <v>19272713.936910115</v>
      </c>
      <c r="V123" s="187">
        <f>IF($G123="Growth",V87*'INPUT Reg'!V$12,0)</f>
        <v>14530608.641700553</v>
      </c>
      <c r="W123" s="187">
        <f>IF($G123="Growth",W87*'INPUT Reg'!W$12,0)</f>
        <v>16789952.292000003</v>
      </c>
      <c r="X123" s="187">
        <f>IF($G123="Growth",X87*'INPUT Reg'!X$12,0)</f>
        <v>19923057.95722913</v>
      </c>
      <c r="Y123" s="187">
        <f>IF($G123="Growth",Y87*'INPUT Reg'!Y$12,0)</f>
        <v>25991360.198177028</v>
      </c>
      <c r="Z123" s="187">
        <f>IF($G123="Growth",Z87*'INPUT Reg'!Z$12,0)</f>
        <v>17557607.372109778</v>
      </c>
      <c r="AA123" s="187">
        <f>IF($G123="Growth",AA87*'INPUT Reg'!AA$12,0)</f>
        <v>34110091.525903307</v>
      </c>
      <c r="AB123" s="187">
        <f>IF($G123="Growth",AB87*'INPUT Reg'!AB$12,0)</f>
        <v>61663076.970417932</v>
      </c>
      <c r="AC123" s="88"/>
      <c r="AD123" s="77"/>
    </row>
    <row r="124" spans="2:30" outlineLevel="1" x14ac:dyDescent="0.2">
      <c r="B124" s="150"/>
      <c r="C124" s="150"/>
      <c r="D124" s="150" t="s">
        <v>301</v>
      </c>
      <c r="E124" s="150"/>
      <c r="F124" s="150" t="s">
        <v>262</v>
      </c>
      <c r="G124" s="150" t="s">
        <v>597</v>
      </c>
      <c r="H124" s="150"/>
      <c r="I124" s="150"/>
      <c r="J124" s="150"/>
      <c r="K124" s="150"/>
      <c r="L124" s="150"/>
      <c r="M124" s="150"/>
      <c r="N124" s="150"/>
      <c r="O124" s="150"/>
      <c r="P124" s="150"/>
      <c r="Q124" s="150"/>
      <c r="R124" s="150"/>
      <c r="S124" s="187">
        <f>IF($G124="Growth",S88*'INPUT Reg'!S$12,0)</f>
        <v>0</v>
      </c>
      <c r="T124" s="187">
        <f>IF($G124="Growth",T88*'INPUT Reg'!T$12,0)</f>
        <v>0</v>
      </c>
      <c r="U124" s="187">
        <f>IF($G124="Growth",U88*'INPUT Reg'!U$12,0)</f>
        <v>0</v>
      </c>
      <c r="V124" s="187">
        <f>IF($G124="Growth",V88*'INPUT Reg'!V$12,0)</f>
        <v>0</v>
      </c>
      <c r="W124" s="187">
        <f>IF($G124="Growth",W88*'INPUT Reg'!W$12,0)</f>
        <v>0</v>
      </c>
      <c r="X124" s="187">
        <f>IF($G124="Growth",X88*'INPUT Reg'!X$12,0)</f>
        <v>0</v>
      </c>
      <c r="Y124" s="187">
        <f>IF($G124="Growth",Y88*'INPUT Reg'!Y$12,0)</f>
        <v>0</v>
      </c>
      <c r="Z124" s="187">
        <f>IF($G124="Growth",Z88*'INPUT Reg'!Z$12,0)</f>
        <v>0</v>
      </c>
      <c r="AA124" s="187">
        <f>IF($G124="Growth",AA88*'INPUT Reg'!AA$12,0)</f>
        <v>0</v>
      </c>
      <c r="AB124" s="187">
        <f>IF($G124="Growth",AB88*'INPUT Reg'!AB$12,0)</f>
        <v>0</v>
      </c>
      <c r="AC124" s="88"/>
      <c r="AD124" s="77"/>
    </row>
    <row r="125" spans="2:30" outlineLevel="1" x14ac:dyDescent="0.2">
      <c r="B125" s="150"/>
      <c r="C125" s="150"/>
      <c r="D125" s="150" t="s">
        <v>301</v>
      </c>
      <c r="E125" s="150"/>
      <c r="F125" s="150" t="s">
        <v>262</v>
      </c>
      <c r="G125" s="150" t="s">
        <v>598</v>
      </c>
      <c r="H125" s="150"/>
      <c r="I125" s="150"/>
      <c r="J125" s="150"/>
      <c r="K125" s="150"/>
      <c r="L125" s="150"/>
      <c r="M125" s="150"/>
      <c r="N125" s="150"/>
      <c r="O125" s="150"/>
      <c r="P125" s="150"/>
      <c r="Q125" s="150"/>
      <c r="R125" s="150"/>
      <c r="S125" s="187">
        <f>IF($G125="Growth",S89*'INPUT Reg'!S$12,0)</f>
        <v>0</v>
      </c>
      <c r="T125" s="187">
        <f>IF($G125="Growth",T89*'INPUT Reg'!T$12,0)</f>
        <v>0</v>
      </c>
      <c r="U125" s="187">
        <f>IF($G125="Growth",U89*'INPUT Reg'!U$12,0)</f>
        <v>0</v>
      </c>
      <c r="V125" s="187">
        <f>IF($G125="Growth",V89*'INPUT Reg'!V$12,0)</f>
        <v>0</v>
      </c>
      <c r="W125" s="187">
        <f>IF($G125="Growth",W89*'INPUT Reg'!W$12,0)</f>
        <v>0</v>
      </c>
      <c r="X125" s="187">
        <f>IF($G125="Growth",X89*'INPUT Reg'!X$12,0)</f>
        <v>0</v>
      </c>
      <c r="Y125" s="187">
        <f>IF($G125="Growth",Y89*'INPUT Reg'!Y$12,0)</f>
        <v>0</v>
      </c>
      <c r="Z125" s="187">
        <f>IF($G125="Growth",Z89*'INPUT Reg'!Z$12,0)</f>
        <v>0</v>
      </c>
      <c r="AA125" s="187">
        <f>IF($G125="Growth",AA89*'INPUT Reg'!AA$12,0)</f>
        <v>0</v>
      </c>
      <c r="AB125" s="187">
        <f>IF($G125="Growth",AB89*'INPUT Reg'!AB$12,0)</f>
        <v>0</v>
      </c>
      <c r="AC125" s="88"/>
      <c r="AD125" s="77"/>
    </row>
    <row r="126" spans="2:30" outlineLevel="1" x14ac:dyDescent="0.2">
      <c r="B126" s="150"/>
      <c r="C126" s="150"/>
      <c r="D126" s="150" t="s">
        <v>303</v>
      </c>
      <c r="E126" s="150"/>
      <c r="F126" s="150" t="s">
        <v>262</v>
      </c>
      <c r="G126" s="150" t="s">
        <v>594</v>
      </c>
      <c r="H126" s="150"/>
      <c r="I126" s="150"/>
      <c r="J126" s="150"/>
      <c r="K126" s="150"/>
      <c r="L126" s="150"/>
      <c r="M126" s="150"/>
      <c r="N126" s="150"/>
      <c r="O126" s="150"/>
      <c r="P126" s="150"/>
      <c r="Q126" s="150"/>
      <c r="R126" s="150"/>
      <c r="S126" s="187">
        <f>IF($G126="Growth",S90*'INPUT Reg'!S$12,0)</f>
        <v>0</v>
      </c>
      <c r="T126" s="187">
        <f>IF($G126="Growth",T90*'INPUT Reg'!T$12,0)</f>
        <v>0</v>
      </c>
      <c r="U126" s="187">
        <f>IF($G126="Growth",U90*'INPUT Reg'!U$12,0)</f>
        <v>0</v>
      </c>
      <c r="V126" s="187">
        <f>IF($G126="Growth",V90*'INPUT Reg'!V$12,0)</f>
        <v>0</v>
      </c>
      <c r="W126" s="187">
        <f>IF($G126="Growth",W90*'INPUT Reg'!W$12,0)</f>
        <v>0</v>
      </c>
      <c r="X126" s="187">
        <f>IF($G126="Growth",X90*'INPUT Reg'!X$12,0)</f>
        <v>0</v>
      </c>
      <c r="Y126" s="187">
        <f>IF($G126="Growth",Y90*'INPUT Reg'!Y$12,0)</f>
        <v>0</v>
      </c>
      <c r="Z126" s="187">
        <f>IF($G126="Growth",Z90*'INPUT Reg'!Z$12,0)</f>
        <v>0</v>
      </c>
      <c r="AA126" s="187">
        <f>IF($G126="Growth",AA90*'INPUT Reg'!AA$12,0)</f>
        <v>0</v>
      </c>
      <c r="AB126" s="187">
        <f>IF($G126="Growth",AB90*'INPUT Reg'!AB$12,0)</f>
        <v>0</v>
      </c>
      <c r="AC126" s="88"/>
      <c r="AD126" s="77"/>
    </row>
    <row r="127" spans="2:30" outlineLevel="1" x14ac:dyDescent="0.2">
      <c r="B127" s="150"/>
      <c r="C127" s="150"/>
      <c r="D127" s="150" t="s">
        <v>303</v>
      </c>
      <c r="E127" s="150"/>
      <c r="F127" s="150" t="s">
        <v>262</v>
      </c>
      <c r="G127" s="150" t="s">
        <v>595</v>
      </c>
      <c r="H127" s="150"/>
      <c r="I127" s="150"/>
      <c r="J127" s="150"/>
      <c r="K127" s="150"/>
      <c r="L127" s="150"/>
      <c r="M127" s="150"/>
      <c r="N127" s="150"/>
      <c r="O127" s="150"/>
      <c r="P127" s="150"/>
      <c r="Q127" s="150"/>
      <c r="R127" s="150"/>
      <c r="S127" s="187">
        <f>IF($G127="Growth",S91*'INPUT Reg'!S$12,0)</f>
        <v>0</v>
      </c>
      <c r="T127" s="187">
        <f>IF($G127="Growth",T91*'INPUT Reg'!T$12,0)</f>
        <v>0</v>
      </c>
      <c r="U127" s="187">
        <f>IF($G127="Growth",U91*'INPUT Reg'!U$12,0)</f>
        <v>0</v>
      </c>
      <c r="V127" s="187">
        <f>IF($G127="Growth",V91*'INPUT Reg'!V$12,0)</f>
        <v>0</v>
      </c>
      <c r="W127" s="187">
        <f>IF($G127="Growth",W91*'INPUT Reg'!W$12,0)</f>
        <v>0</v>
      </c>
      <c r="X127" s="187">
        <f>IF($G127="Growth",X91*'INPUT Reg'!X$12,0)</f>
        <v>0</v>
      </c>
      <c r="Y127" s="187">
        <f>IF($G127="Growth",Y91*'INPUT Reg'!Y$12,0)</f>
        <v>0</v>
      </c>
      <c r="Z127" s="187">
        <f>IF($G127="Growth",Z91*'INPUT Reg'!Z$12,0)</f>
        <v>0</v>
      </c>
      <c r="AA127" s="187">
        <f>IF($G127="Growth",AA91*'INPUT Reg'!AA$12,0)</f>
        <v>0</v>
      </c>
      <c r="AB127" s="187">
        <f>IF($G127="Growth",AB91*'INPUT Reg'!AB$12,0)</f>
        <v>0</v>
      </c>
      <c r="AC127" s="88"/>
      <c r="AD127" s="77"/>
    </row>
    <row r="128" spans="2:30" outlineLevel="1" x14ac:dyDescent="0.2">
      <c r="B128" s="150"/>
      <c r="C128" s="150"/>
      <c r="D128" s="150" t="s">
        <v>303</v>
      </c>
      <c r="E128" s="150"/>
      <c r="F128" s="150" t="s">
        <v>262</v>
      </c>
      <c r="G128" s="150" t="s">
        <v>596</v>
      </c>
      <c r="H128" s="150"/>
      <c r="I128" s="150"/>
      <c r="J128" s="150"/>
      <c r="K128" s="150"/>
      <c r="L128" s="150"/>
      <c r="M128" s="150"/>
      <c r="N128" s="150"/>
      <c r="O128" s="150"/>
      <c r="P128" s="150"/>
      <c r="Q128" s="150"/>
      <c r="R128" s="150"/>
      <c r="S128" s="187">
        <f>IF($G128="Growth",S92*'INPUT Reg'!S$12,0)</f>
        <v>7598503.303828124</v>
      </c>
      <c r="T128" s="187">
        <f>IF($G128="Growth",T92*'INPUT Reg'!T$12,0)</f>
        <v>3655191.0870967745</v>
      </c>
      <c r="U128" s="187">
        <f>IF($G128="Growth",U92*'INPUT Reg'!U$12,0)</f>
        <v>19347417.970955055</v>
      </c>
      <c r="V128" s="187">
        <f>IF($G128="Growth",V92*'INPUT Reg'!V$12,0)</f>
        <v>17084227.113382626</v>
      </c>
      <c r="W128" s="187">
        <f>IF($G128="Growth",W92*'INPUT Reg'!W$12,0)</f>
        <v>31746644.399999999</v>
      </c>
      <c r="X128" s="187">
        <f>IF($G128="Growth",X92*'INPUT Reg'!X$12,0)</f>
        <v>40882317.589928947</v>
      </c>
      <c r="Y128" s="187">
        <f>IF($G128="Growth",Y92*'INPUT Reg'!Y$12,0)</f>
        <v>56390714.026117444</v>
      </c>
      <c r="Z128" s="187">
        <f>IF($G128="Growth",Z92*'INPUT Reg'!Z$12,0)</f>
        <v>43259614.791612349</v>
      </c>
      <c r="AA128" s="187">
        <f>IF($G128="Growth",AA92*'INPUT Reg'!AA$12,0)</f>
        <v>58008516.061679386</v>
      </c>
      <c r="AB128" s="187">
        <f>IF($G128="Growth",AB92*'INPUT Reg'!AB$12,0)</f>
        <v>79706009.091608971</v>
      </c>
      <c r="AC128" s="88"/>
      <c r="AD128" s="77"/>
    </row>
    <row r="129" spans="4:30" outlineLevel="1" x14ac:dyDescent="0.2">
      <c r="D129" s="150" t="s">
        <v>303</v>
      </c>
      <c r="E129" s="150"/>
      <c r="F129" s="150" t="s">
        <v>262</v>
      </c>
      <c r="G129" s="150" t="s">
        <v>597</v>
      </c>
      <c r="H129" s="150"/>
      <c r="I129" s="150"/>
      <c r="J129" s="150"/>
      <c r="K129" s="150"/>
      <c r="L129" s="150"/>
      <c r="M129" s="150"/>
      <c r="N129" s="150"/>
      <c r="O129" s="150"/>
      <c r="P129" s="150"/>
      <c r="Q129" s="150"/>
      <c r="R129" s="150"/>
      <c r="S129" s="187">
        <f>IF($G129="Growth",S93*'INPUT Reg'!S$12,0)</f>
        <v>0</v>
      </c>
      <c r="T129" s="187">
        <f>IF($G129="Growth",T93*'INPUT Reg'!T$12,0)</f>
        <v>0</v>
      </c>
      <c r="U129" s="187">
        <f>IF($G129="Growth",U93*'INPUT Reg'!U$12,0)</f>
        <v>0</v>
      </c>
      <c r="V129" s="187">
        <f>IF($G129="Growth",V93*'INPUT Reg'!V$12,0)</f>
        <v>0</v>
      </c>
      <c r="W129" s="187">
        <f>IF($G129="Growth",W93*'INPUT Reg'!W$12,0)</f>
        <v>0</v>
      </c>
      <c r="X129" s="187">
        <f>IF($G129="Growth",X93*'INPUT Reg'!X$12,0)</f>
        <v>0</v>
      </c>
      <c r="Y129" s="187">
        <f>IF($G129="Growth",Y93*'INPUT Reg'!Y$12,0)</f>
        <v>0</v>
      </c>
      <c r="Z129" s="187">
        <f>IF($G129="Growth",Z93*'INPUT Reg'!Z$12,0)</f>
        <v>0</v>
      </c>
      <c r="AA129" s="187">
        <f>IF($G129="Growth",AA93*'INPUT Reg'!AA$12,0)</f>
        <v>0</v>
      </c>
      <c r="AB129" s="187">
        <f>IF($G129="Growth",AB93*'INPUT Reg'!AB$12,0)</f>
        <v>0</v>
      </c>
      <c r="AC129" s="88"/>
      <c r="AD129" s="77"/>
    </row>
    <row r="130" spans="4:30" outlineLevel="1" x14ac:dyDescent="0.2">
      <c r="D130" s="150" t="s">
        <v>310</v>
      </c>
      <c r="E130" s="150"/>
      <c r="F130" s="150" t="s">
        <v>262</v>
      </c>
      <c r="G130" s="150" t="s">
        <v>594</v>
      </c>
      <c r="H130" s="150"/>
      <c r="I130" s="150"/>
      <c r="J130" s="150"/>
      <c r="K130" s="150"/>
      <c r="L130" s="150"/>
      <c r="M130" s="150"/>
      <c r="N130" s="150"/>
      <c r="O130" s="150"/>
      <c r="P130" s="150"/>
      <c r="Q130" s="150"/>
      <c r="R130" s="150"/>
      <c r="S130" s="187">
        <f>IF($G130="Growth",S94*'INPUT Reg'!S$12,0)</f>
        <v>0</v>
      </c>
      <c r="T130" s="187">
        <f>IF($G130="Growth",T94*'INPUT Reg'!T$12,0)</f>
        <v>0</v>
      </c>
      <c r="U130" s="187">
        <f>IF($G130="Growth",U94*'INPUT Reg'!U$12,0)</f>
        <v>0</v>
      </c>
      <c r="V130" s="187">
        <f>IF($G130="Growth",V94*'INPUT Reg'!V$12,0)</f>
        <v>0</v>
      </c>
      <c r="W130" s="187">
        <f>IF($G130="Growth",W94*'INPUT Reg'!W$12,0)</f>
        <v>0</v>
      </c>
      <c r="X130" s="187">
        <f>IF($G130="Growth",X94*'INPUT Reg'!X$12,0)</f>
        <v>0</v>
      </c>
      <c r="Y130" s="187">
        <f>IF($G130="Growth",Y94*'INPUT Reg'!Y$12,0)</f>
        <v>0</v>
      </c>
      <c r="Z130" s="187">
        <f>IF($G130="Growth",Z94*'INPUT Reg'!Z$12,0)</f>
        <v>0</v>
      </c>
      <c r="AA130" s="187">
        <f>IF($G130="Growth",AA94*'INPUT Reg'!AA$12,0)</f>
        <v>0</v>
      </c>
      <c r="AB130" s="187">
        <f>IF($G130="Growth",AB94*'INPUT Reg'!AB$12,0)</f>
        <v>0</v>
      </c>
      <c r="AC130" s="88"/>
      <c r="AD130" s="77"/>
    </row>
    <row r="131" spans="4:30" outlineLevel="1" x14ac:dyDescent="0.2">
      <c r="D131" s="150" t="s">
        <v>310</v>
      </c>
      <c r="E131" s="150"/>
      <c r="F131" s="150" t="s">
        <v>262</v>
      </c>
      <c r="G131" s="150" t="s">
        <v>595</v>
      </c>
      <c r="H131" s="150"/>
      <c r="I131" s="150"/>
      <c r="J131" s="150"/>
      <c r="K131" s="150"/>
      <c r="L131" s="150"/>
      <c r="M131" s="150"/>
      <c r="N131" s="150"/>
      <c r="O131" s="150"/>
      <c r="P131" s="150"/>
      <c r="Q131" s="150"/>
      <c r="R131" s="150"/>
      <c r="S131" s="187">
        <f>IF($G131="Growth",S95*'INPUT Reg'!S$12,0)</f>
        <v>0</v>
      </c>
      <c r="T131" s="187">
        <f>IF($G131="Growth",T95*'INPUT Reg'!T$12,0)</f>
        <v>0</v>
      </c>
      <c r="U131" s="187">
        <f>IF($G131="Growth",U95*'INPUT Reg'!U$12,0)</f>
        <v>0</v>
      </c>
      <c r="V131" s="187">
        <f>IF($G131="Growth",V95*'INPUT Reg'!V$12,0)</f>
        <v>0</v>
      </c>
      <c r="W131" s="187">
        <f>IF($G131="Growth",W95*'INPUT Reg'!W$12,0)</f>
        <v>0</v>
      </c>
      <c r="X131" s="187">
        <f>IF($G131="Growth",X95*'INPUT Reg'!X$12,0)</f>
        <v>0</v>
      </c>
      <c r="Y131" s="187">
        <f>IF($G131="Growth",Y95*'INPUT Reg'!Y$12,0)</f>
        <v>0</v>
      </c>
      <c r="Z131" s="187">
        <f>IF($G131="Growth",Z95*'INPUT Reg'!Z$12,0)</f>
        <v>0</v>
      </c>
      <c r="AA131" s="187">
        <f>IF($G131="Growth",AA95*'INPUT Reg'!AA$12,0)</f>
        <v>0</v>
      </c>
      <c r="AB131" s="187">
        <f>IF($G131="Growth",AB95*'INPUT Reg'!AB$12,0)</f>
        <v>0</v>
      </c>
      <c r="AC131" s="88"/>
      <c r="AD131" s="77"/>
    </row>
    <row r="132" spans="4:30" outlineLevel="1" x14ac:dyDescent="0.2">
      <c r="D132" s="150" t="s">
        <v>310</v>
      </c>
      <c r="E132" s="150"/>
      <c r="F132" s="150" t="s">
        <v>262</v>
      </c>
      <c r="G132" s="150" t="s">
        <v>596</v>
      </c>
      <c r="H132" s="150"/>
      <c r="I132" s="150"/>
      <c r="J132" s="150"/>
      <c r="K132" s="150"/>
      <c r="L132" s="150"/>
      <c r="M132" s="150"/>
      <c r="N132" s="150"/>
      <c r="O132" s="150"/>
      <c r="P132" s="150"/>
      <c r="Q132" s="150"/>
      <c r="R132" s="150"/>
      <c r="S132" s="187">
        <f>IF($G132="Growth",S96*'INPUT Reg'!S$12,0)</f>
        <v>16190887.29832031</v>
      </c>
      <c r="T132" s="187">
        <f>IF($G132="Growth",T96*'INPUT Reg'!T$12,0)</f>
        <v>12747057.859354848</v>
      </c>
      <c r="U132" s="187">
        <f>IF($G132="Growth",U96*'INPUT Reg'!U$12,0)</f>
        <v>21440539.637808993</v>
      </c>
      <c r="V132" s="187">
        <f>IF($G132="Growth",V96*'INPUT Reg'!V$12,0)</f>
        <v>25670517.622347504</v>
      </c>
      <c r="W132" s="187">
        <f>IF($G132="Growth",W96*'INPUT Reg'!W$12,0)</f>
        <v>26556618.335999999</v>
      </c>
      <c r="X132" s="187">
        <f>IF($G132="Growth",X96*'INPUT Reg'!X$12,0)</f>
        <v>15607584.468543518</v>
      </c>
      <c r="Y132" s="187">
        <f>IF($G132="Growth",Y96*'INPUT Reg'!Y$12,0)</f>
        <v>11806104.487624889</v>
      </c>
      <c r="Z132" s="187">
        <f>IF($G132="Growth",Z96*'INPUT Reg'!Z$12,0)</f>
        <v>5197191.0070497412</v>
      </c>
      <c r="AA132" s="187">
        <f>IF($G132="Growth",AA96*'INPUT Reg'!AA$12,0)</f>
        <v>34914408.395725191</v>
      </c>
      <c r="AB132" s="187">
        <f>IF($G132="Growth",AB96*'INPUT Reg'!AB$12,0)</f>
        <v>66950961.996427797</v>
      </c>
      <c r="AC132" s="88"/>
      <c r="AD132" s="77"/>
    </row>
    <row r="133" spans="4:30" outlineLevel="1" x14ac:dyDescent="0.2">
      <c r="D133" s="150" t="s">
        <v>310</v>
      </c>
      <c r="E133" s="150"/>
      <c r="F133" s="150" t="s">
        <v>262</v>
      </c>
      <c r="G133" s="150" t="s">
        <v>597</v>
      </c>
      <c r="H133" s="150"/>
      <c r="I133" s="150"/>
      <c r="J133" s="150"/>
      <c r="K133" s="150"/>
      <c r="L133" s="150"/>
      <c r="M133" s="150"/>
      <c r="N133" s="150"/>
      <c r="O133" s="150"/>
      <c r="P133" s="150"/>
      <c r="Q133" s="150"/>
      <c r="R133" s="150"/>
      <c r="S133" s="187">
        <f>IF($G133="Growth",S97*'INPUT Reg'!S$12,0)</f>
        <v>0</v>
      </c>
      <c r="T133" s="187">
        <f>IF($G133="Growth",T97*'INPUT Reg'!T$12,0)</f>
        <v>0</v>
      </c>
      <c r="U133" s="187">
        <f>IF($G133="Growth",U97*'INPUT Reg'!U$12,0)</f>
        <v>0</v>
      </c>
      <c r="V133" s="187">
        <f>IF($G133="Growth",V97*'INPUT Reg'!V$12,0)</f>
        <v>0</v>
      </c>
      <c r="W133" s="187">
        <f>IF($G133="Growth",W97*'INPUT Reg'!W$12,0)</f>
        <v>0</v>
      </c>
      <c r="X133" s="187">
        <f>IF($G133="Growth",X97*'INPUT Reg'!X$12,0)</f>
        <v>0</v>
      </c>
      <c r="Y133" s="187">
        <f>IF($G133="Growth",Y97*'INPUT Reg'!Y$12,0)</f>
        <v>0</v>
      </c>
      <c r="Z133" s="187">
        <f>IF($G133="Growth",Z97*'INPUT Reg'!Z$12,0)</f>
        <v>0</v>
      </c>
      <c r="AA133" s="187">
        <f>IF($G133="Growth",AA97*'INPUT Reg'!AA$12,0)</f>
        <v>0</v>
      </c>
      <c r="AB133" s="187">
        <f>IF($G133="Growth",AB97*'INPUT Reg'!AB$12,0)</f>
        <v>0</v>
      </c>
      <c r="AC133" s="88"/>
      <c r="AD133" s="77"/>
    </row>
    <row r="134" spans="4:30" outlineLevel="1" x14ac:dyDescent="0.2">
      <c r="D134" s="150" t="s">
        <v>310</v>
      </c>
      <c r="E134" s="150"/>
      <c r="F134" s="150" t="s">
        <v>262</v>
      </c>
      <c r="G134" s="150" t="s">
        <v>599</v>
      </c>
      <c r="H134" s="150"/>
      <c r="I134" s="150"/>
      <c r="J134" s="150"/>
      <c r="K134" s="150"/>
      <c r="L134" s="150"/>
      <c r="M134" s="150"/>
      <c r="N134" s="150"/>
      <c r="O134" s="150"/>
      <c r="P134" s="150"/>
      <c r="Q134" s="150"/>
      <c r="R134" s="150"/>
      <c r="S134" s="187">
        <f>IF($G134="Growth",S98*'INPUT Reg'!S$12,0)</f>
        <v>0</v>
      </c>
      <c r="T134" s="187">
        <f>IF($G134="Growth",T98*'INPUT Reg'!T$12,0)</f>
        <v>0</v>
      </c>
      <c r="U134" s="187">
        <f>IF($G134="Growth",U98*'INPUT Reg'!U$12,0)</f>
        <v>0</v>
      </c>
      <c r="V134" s="187">
        <f>IF($G134="Growth",V98*'INPUT Reg'!V$12,0)</f>
        <v>0</v>
      </c>
      <c r="W134" s="187">
        <f>IF($G134="Growth",W98*'INPUT Reg'!W$12,0)</f>
        <v>0</v>
      </c>
      <c r="X134" s="187">
        <f>IF($G134="Growth",X98*'INPUT Reg'!X$12,0)</f>
        <v>0</v>
      </c>
      <c r="Y134" s="187">
        <f>IF($G134="Growth",Y98*'INPUT Reg'!Y$12,0)</f>
        <v>0</v>
      </c>
      <c r="Z134" s="187">
        <f>IF($G134="Growth",Z98*'INPUT Reg'!Z$12,0)</f>
        <v>0</v>
      </c>
      <c r="AA134" s="187">
        <f>IF($G134="Growth",AA98*'INPUT Reg'!AA$12,0)</f>
        <v>0</v>
      </c>
      <c r="AB134" s="187">
        <f>IF($G134="Growth",AB98*'INPUT Reg'!AB$12,0)</f>
        <v>0</v>
      </c>
      <c r="AC134" s="88"/>
      <c r="AD134" s="77"/>
    </row>
    <row r="135" spans="4:30" outlineLevel="1" x14ac:dyDescent="0.2">
      <c r="D135" s="150" t="s">
        <v>600</v>
      </c>
      <c r="E135" s="150"/>
      <c r="F135" s="150" t="s">
        <v>262</v>
      </c>
      <c r="G135" s="150" t="s">
        <v>594</v>
      </c>
      <c r="H135" s="150"/>
      <c r="I135" s="150"/>
      <c r="J135" s="150"/>
      <c r="K135" s="150"/>
      <c r="L135" s="150"/>
      <c r="M135" s="150"/>
      <c r="N135" s="150"/>
      <c r="O135" s="150"/>
      <c r="P135" s="150"/>
      <c r="Q135" s="150"/>
      <c r="R135" s="150"/>
      <c r="S135" s="187">
        <f>IF($G135="Growth",S99*'INPUT Reg'!S$12,0)</f>
        <v>0</v>
      </c>
      <c r="T135" s="187">
        <f>IF($G135="Growth",T99*'INPUT Reg'!T$12,0)</f>
        <v>0</v>
      </c>
      <c r="U135" s="187">
        <f>IF($G135="Growth",U99*'INPUT Reg'!U$12,0)</f>
        <v>0</v>
      </c>
      <c r="V135" s="187">
        <f>IF($G135="Growth",V99*'INPUT Reg'!V$12,0)</f>
        <v>0</v>
      </c>
      <c r="W135" s="187">
        <f>IF($G135="Growth",W99*'INPUT Reg'!W$12,0)</f>
        <v>0</v>
      </c>
      <c r="X135" s="187">
        <f>IF($G135="Growth",X99*'INPUT Reg'!X$12,0)</f>
        <v>0</v>
      </c>
      <c r="Y135" s="187">
        <f>IF($G135="Growth",Y99*'INPUT Reg'!Y$12,0)</f>
        <v>0</v>
      </c>
      <c r="Z135" s="187">
        <f>IF($G135="Growth",Z99*'INPUT Reg'!Z$12,0)</f>
        <v>0</v>
      </c>
      <c r="AA135" s="187">
        <f>IF($G135="Growth",AA99*'INPUT Reg'!AA$12,0)</f>
        <v>0</v>
      </c>
      <c r="AB135" s="187">
        <f>IF($G135="Growth",AB99*'INPUT Reg'!AB$12,0)</f>
        <v>0</v>
      </c>
      <c r="AC135" s="88"/>
      <c r="AD135" s="77"/>
    </row>
    <row r="136" spans="4:30" outlineLevel="1" x14ac:dyDescent="0.2">
      <c r="D136" s="89" t="s">
        <v>600</v>
      </c>
      <c r="E136" s="89"/>
      <c r="F136" s="89" t="s">
        <v>262</v>
      </c>
      <c r="G136" s="89" t="s">
        <v>596</v>
      </c>
      <c r="H136" s="83" t="s">
        <v>607</v>
      </c>
      <c r="I136" s="150"/>
      <c r="J136" s="150"/>
      <c r="K136" s="150"/>
      <c r="L136" s="150"/>
      <c r="M136" s="150"/>
      <c r="N136" s="150"/>
      <c r="O136" s="150"/>
      <c r="P136" s="150"/>
      <c r="Q136" s="150"/>
      <c r="R136" s="150"/>
      <c r="S136" s="187">
        <f>IF($G136="Growth",S100*'INPUT Reg'!S$12,0)</f>
        <v>0</v>
      </c>
      <c r="T136" s="187">
        <f>IF($G136="Growth",T100*'INPUT Reg'!T$12,0)</f>
        <v>0</v>
      </c>
      <c r="U136" s="187">
        <f>IF($G136="Growth",U100*'INPUT Reg'!U$12,0)</f>
        <v>0</v>
      </c>
      <c r="V136" s="187">
        <f>IF($G136="Growth",V100*'INPUT Reg'!V$12,0)</f>
        <v>0</v>
      </c>
      <c r="W136" s="187">
        <f>IF($G136="Growth",W100*'INPUT Reg'!W$12,0)</f>
        <v>0</v>
      </c>
      <c r="X136" s="187">
        <f>IF($G136="Growth",X100*'INPUT Reg'!X$12,0)</f>
        <v>0</v>
      </c>
      <c r="Y136" s="187">
        <f>IF($G136="Growth",Y100*'INPUT Reg'!Y$12,0)</f>
        <v>0</v>
      </c>
      <c r="Z136" s="187">
        <f>IF($G136="Growth",Z100*'INPUT Reg'!Z$12,0)</f>
        <v>0</v>
      </c>
      <c r="AA136" s="187">
        <f>IF($G136="Growth",AA100*'INPUT Reg'!AA$12,0)</f>
        <v>2165534.6537913484</v>
      </c>
      <c r="AB136" s="187">
        <f>IF($G136="Growth",AB100*'INPUT Reg'!AB$12,0)</f>
        <v>0</v>
      </c>
      <c r="AC136" s="88"/>
      <c r="AD136" s="77"/>
    </row>
    <row r="137" spans="4:30" outlineLevel="1" x14ac:dyDescent="0.2">
      <c r="D137" s="150" t="s">
        <v>600</v>
      </c>
      <c r="E137" s="150"/>
      <c r="F137" s="150" t="s">
        <v>262</v>
      </c>
      <c r="G137" s="150" t="s">
        <v>597</v>
      </c>
      <c r="H137" s="150"/>
      <c r="I137" s="150"/>
      <c r="J137" s="150"/>
      <c r="K137" s="150"/>
      <c r="L137" s="150"/>
      <c r="M137" s="150"/>
      <c r="N137" s="150"/>
      <c r="O137" s="150"/>
      <c r="P137" s="150"/>
      <c r="Q137" s="150"/>
      <c r="R137" s="150"/>
      <c r="S137" s="187">
        <f>IF($G137="Growth",S101*'INPUT Reg'!S$12,0)</f>
        <v>0</v>
      </c>
      <c r="T137" s="187">
        <f>IF($G137="Growth",T101*'INPUT Reg'!T$12,0)</f>
        <v>0</v>
      </c>
      <c r="U137" s="187">
        <f>IF($G137="Growth",U101*'INPUT Reg'!U$12,0)</f>
        <v>0</v>
      </c>
      <c r="V137" s="187">
        <f>IF($G137="Growth",V101*'INPUT Reg'!V$12,0)</f>
        <v>0</v>
      </c>
      <c r="W137" s="187">
        <f>IF($G137="Growth",W101*'INPUT Reg'!W$12,0)</f>
        <v>0</v>
      </c>
      <c r="X137" s="187">
        <f>IF($G137="Growth",X101*'INPUT Reg'!X$12,0)</f>
        <v>0</v>
      </c>
      <c r="Y137" s="187">
        <f>IF($G137="Growth",Y101*'INPUT Reg'!Y$12,0)</f>
        <v>0</v>
      </c>
      <c r="Z137" s="187">
        <f>IF($G137="Growth",Z101*'INPUT Reg'!Z$12,0)</f>
        <v>0</v>
      </c>
      <c r="AA137" s="187">
        <f>IF($G137="Growth",AA101*'INPUT Reg'!AA$12,0)</f>
        <v>0</v>
      </c>
      <c r="AB137" s="187">
        <f>IF($G137="Growth",AB101*'INPUT Reg'!AB$12,0)</f>
        <v>0</v>
      </c>
      <c r="AC137" s="88"/>
      <c r="AD137" s="77"/>
    </row>
    <row r="138" spans="4:30" outlineLevel="1" x14ac:dyDescent="0.2">
      <c r="D138" s="150" t="s">
        <v>600</v>
      </c>
      <c r="E138" s="150"/>
      <c r="F138" s="150" t="s">
        <v>262</v>
      </c>
      <c r="G138" s="150" t="s">
        <v>601</v>
      </c>
      <c r="H138" s="150"/>
      <c r="I138" s="150"/>
      <c r="J138" s="150"/>
      <c r="K138" s="150"/>
      <c r="L138" s="150"/>
      <c r="M138" s="150"/>
      <c r="N138" s="150"/>
      <c r="O138" s="150"/>
      <c r="P138" s="150"/>
      <c r="Q138" s="150"/>
      <c r="R138" s="150"/>
      <c r="S138" s="187">
        <f>IF($G138="Growth",S102*'INPUT Reg'!S$12,0)</f>
        <v>0</v>
      </c>
      <c r="T138" s="187">
        <f>IF($G138="Growth",T102*'INPUT Reg'!T$12,0)</f>
        <v>0</v>
      </c>
      <c r="U138" s="187">
        <f>IF($G138="Growth",U102*'INPUT Reg'!U$12,0)</f>
        <v>0</v>
      </c>
      <c r="V138" s="187">
        <f>IF($G138="Growth",V102*'INPUT Reg'!V$12,0)</f>
        <v>0</v>
      </c>
      <c r="W138" s="187">
        <f>IF($G138="Growth",W102*'INPUT Reg'!W$12,0)</f>
        <v>0</v>
      </c>
      <c r="X138" s="187">
        <f>IF($G138="Growth",X102*'INPUT Reg'!X$12,0)</f>
        <v>0</v>
      </c>
      <c r="Y138" s="187">
        <f>IF($G138="Growth",Y102*'INPUT Reg'!Y$12,0)</f>
        <v>0</v>
      </c>
      <c r="Z138" s="187">
        <f>IF($G138="Growth",Z102*'INPUT Reg'!Z$12,0)</f>
        <v>0</v>
      </c>
      <c r="AA138" s="187">
        <f>IF($G138="Growth",AA102*'INPUT Reg'!AA$12,0)</f>
        <v>0</v>
      </c>
      <c r="AB138" s="187">
        <f>IF($G138="Growth",AB102*'INPUT Reg'!AB$12,0)</f>
        <v>0</v>
      </c>
      <c r="AC138" s="88"/>
      <c r="AD138" s="77"/>
    </row>
    <row r="139" spans="4:30" outlineLevel="1" x14ac:dyDescent="0.2">
      <c r="D139" s="150" t="s">
        <v>600</v>
      </c>
      <c r="E139" s="150"/>
      <c r="F139" s="150" t="s">
        <v>262</v>
      </c>
      <c r="G139" s="150" t="s">
        <v>602</v>
      </c>
      <c r="H139" s="150"/>
      <c r="I139" s="150"/>
      <c r="J139" s="150"/>
      <c r="K139" s="150"/>
      <c r="L139" s="150"/>
      <c r="M139" s="150"/>
      <c r="N139" s="150"/>
      <c r="O139" s="150"/>
      <c r="P139" s="150"/>
      <c r="Q139" s="150"/>
      <c r="R139" s="150"/>
      <c r="S139" s="187">
        <f>IF($G139="Growth",S103*'INPUT Reg'!S$12,0)</f>
        <v>0</v>
      </c>
      <c r="T139" s="187">
        <f>IF($G139="Growth",T103*'INPUT Reg'!T$12,0)</f>
        <v>0</v>
      </c>
      <c r="U139" s="187">
        <f>IF($G139="Growth",U103*'INPUT Reg'!U$12,0)</f>
        <v>0</v>
      </c>
      <c r="V139" s="187">
        <f>IF($G139="Growth",V103*'INPUT Reg'!V$12,0)</f>
        <v>0</v>
      </c>
      <c r="W139" s="187">
        <f>IF($G139="Growth",W103*'INPUT Reg'!W$12,0)</f>
        <v>0</v>
      </c>
      <c r="X139" s="187">
        <f>IF($G139="Growth",X103*'INPUT Reg'!X$12,0)</f>
        <v>0</v>
      </c>
      <c r="Y139" s="187">
        <f>IF($G139="Growth",Y103*'INPUT Reg'!Y$12,0)</f>
        <v>0</v>
      </c>
      <c r="Z139" s="187">
        <f>IF($G139="Growth",Z103*'INPUT Reg'!Z$12,0)</f>
        <v>0</v>
      </c>
      <c r="AA139" s="187">
        <f>IF($G139="Growth",AA103*'INPUT Reg'!AA$12,0)</f>
        <v>0</v>
      </c>
      <c r="AB139" s="187">
        <f>IF($G139="Growth",AB103*'INPUT Reg'!AB$12,0)</f>
        <v>0</v>
      </c>
      <c r="AC139" s="88"/>
      <c r="AD139" s="77"/>
    </row>
    <row r="140" spans="4:30" outlineLevel="1" x14ac:dyDescent="0.2">
      <c r="D140" s="150" t="s">
        <v>600</v>
      </c>
      <c r="E140" s="150"/>
      <c r="F140" s="150" t="s">
        <v>262</v>
      </c>
      <c r="G140" s="150" t="s">
        <v>603</v>
      </c>
      <c r="H140" s="150"/>
      <c r="I140" s="150"/>
      <c r="J140" s="150"/>
      <c r="K140" s="150"/>
      <c r="L140" s="150"/>
      <c r="M140" s="150"/>
      <c r="N140" s="150"/>
      <c r="O140" s="150"/>
      <c r="P140" s="150"/>
      <c r="Q140" s="150"/>
      <c r="R140" s="150"/>
      <c r="S140" s="187">
        <f>IF($G140="Growth",S104*'INPUT Reg'!S$12,0)</f>
        <v>0</v>
      </c>
      <c r="T140" s="187">
        <f>IF($G140="Growth",T104*'INPUT Reg'!T$12,0)</f>
        <v>0</v>
      </c>
      <c r="U140" s="187">
        <f>IF($G140="Growth",U104*'INPUT Reg'!U$12,0)</f>
        <v>0</v>
      </c>
      <c r="V140" s="187">
        <f>IF($G140="Growth",V104*'INPUT Reg'!V$12,0)</f>
        <v>0</v>
      </c>
      <c r="W140" s="187">
        <f>IF($G140="Growth",W104*'INPUT Reg'!W$12,0)</f>
        <v>0</v>
      </c>
      <c r="X140" s="187">
        <f>IF($G140="Growth",X104*'INPUT Reg'!X$12,0)</f>
        <v>0</v>
      </c>
      <c r="Y140" s="187">
        <f>IF($G140="Growth",Y104*'INPUT Reg'!Y$12,0)</f>
        <v>0</v>
      </c>
      <c r="Z140" s="187">
        <f>IF($G140="Growth",Z104*'INPUT Reg'!Z$12,0)</f>
        <v>0</v>
      </c>
      <c r="AA140" s="187">
        <f>IF($G140="Growth",AA104*'INPUT Reg'!AA$12,0)</f>
        <v>0</v>
      </c>
      <c r="AB140" s="187">
        <f>IF($G140="Growth",AB104*'INPUT Reg'!AB$12,0)</f>
        <v>0</v>
      </c>
      <c r="AC140" s="88"/>
      <c r="AD140" s="77"/>
    </row>
    <row r="141" spans="4:30" outlineLevel="1" x14ac:dyDescent="0.2">
      <c r="D141" s="150" t="s">
        <v>310</v>
      </c>
      <c r="E141" s="150"/>
      <c r="F141" s="150" t="s">
        <v>265</v>
      </c>
      <c r="G141" s="150" t="s">
        <v>596</v>
      </c>
      <c r="H141" s="150"/>
      <c r="I141" s="150"/>
      <c r="J141" s="150"/>
      <c r="K141" s="150"/>
      <c r="L141" s="150"/>
      <c r="M141" s="150"/>
      <c r="N141" s="150"/>
      <c r="O141" s="150"/>
      <c r="P141" s="150"/>
      <c r="Q141" s="150"/>
      <c r="R141" s="150"/>
      <c r="S141" s="187">
        <f>IF($G141="Growth",S105*'INPUT Reg'!S$12,0)</f>
        <v>1347250.315429687</v>
      </c>
      <c r="T141" s="187">
        <f>IF($G141="Growth",T105*'INPUT Reg'!T$12,0)</f>
        <v>1681728.8883870966</v>
      </c>
      <c r="U141" s="187">
        <f>IF($G141="Growth",U105*'INPUT Reg'!U$12,0)</f>
        <v>3546348.5857303371</v>
      </c>
      <c r="V141" s="187">
        <f>IF($G141="Growth",V105*'INPUT Reg'!V$12,0)</f>
        <v>972178.88561922393</v>
      </c>
      <c r="W141" s="187">
        <f>IF($G141="Growth",W105*'INPUT Reg'!W$12,0)</f>
        <v>2819555.2439999999</v>
      </c>
      <c r="X141" s="187">
        <f>IF($G141="Growth",X105*'INPUT Reg'!X$12,0)</f>
        <v>6610862.1811545286</v>
      </c>
      <c r="Y141" s="187">
        <f>IF($G141="Growth",Y105*'INPUT Reg'!Y$12,0)</f>
        <v>8653028.2512883451</v>
      </c>
      <c r="Z141" s="187">
        <f>IF($G141="Growth",Z105*'INPUT Reg'!Z$12,0)</f>
        <v>20040361.56530017</v>
      </c>
      <c r="AA141" s="187">
        <f>IF($G141="Growth",AA105*'INPUT Reg'!AA$12,0)</f>
        <v>0</v>
      </c>
      <c r="AB141" s="187">
        <f>IF($G141="Growth",AB105*'INPUT Reg'!AB$12,0)</f>
        <v>0</v>
      </c>
      <c r="AC141" s="88"/>
      <c r="AD141" s="77"/>
    </row>
    <row r="142" spans="4:30" outlineLevel="1" x14ac:dyDescent="0.2">
      <c r="D142" s="150" t="s">
        <v>303</v>
      </c>
      <c r="E142" s="150"/>
      <c r="F142" s="150" t="s">
        <v>265</v>
      </c>
      <c r="G142" s="150" t="s">
        <v>596</v>
      </c>
      <c r="H142" s="150"/>
      <c r="I142" s="150"/>
      <c r="J142" s="150"/>
      <c r="K142" s="150"/>
      <c r="L142" s="150"/>
      <c r="M142" s="150"/>
      <c r="N142" s="150"/>
      <c r="O142" s="150"/>
      <c r="P142" s="150"/>
      <c r="Q142" s="150"/>
      <c r="R142" s="150"/>
      <c r="S142" s="187">
        <f>IF($G142="Growth",S106*'INPUT Reg'!S$12,0)</f>
        <v>3379483.0692187492</v>
      </c>
      <c r="T142" s="187">
        <f>IF($G142="Growth",T106*'INPUT Reg'!T$12,0)</f>
        <v>5522098.655806453</v>
      </c>
      <c r="U142" s="187">
        <f>IF($G142="Growth",U106*'INPUT Reg'!U$12,0)</f>
        <v>40444610.059494391</v>
      </c>
      <c r="V142" s="187">
        <f>IF($G142="Growth",V106*'INPUT Reg'!V$12,0)</f>
        <v>14572521.1364695</v>
      </c>
      <c r="W142" s="187">
        <f>IF($G142="Growth",W106*'INPUT Reg'!W$12,0)</f>
        <v>37745940.767999992</v>
      </c>
      <c r="X142" s="187">
        <f>IF($G142="Growth",X106*'INPUT Reg'!X$12,0)</f>
        <v>30392087.304458261</v>
      </c>
      <c r="Y142" s="187">
        <f>IF($G142="Growth",Y106*'INPUT Reg'!Y$12,0)</f>
        <v>37896598.096038565</v>
      </c>
      <c r="Z142" s="187">
        <f>IF($G142="Growth",Z106*'INPUT Reg'!Z$12,0)</f>
        <v>38679407.922710106</v>
      </c>
      <c r="AA142" s="187">
        <f>IF($G142="Growth",AA106*'INPUT Reg'!AA$12,0)</f>
        <v>0</v>
      </c>
      <c r="AB142" s="187">
        <f>IF($G142="Growth",AB106*'INPUT Reg'!AB$12,0)</f>
        <v>0</v>
      </c>
      <c r="AC142" s="88"/>
      <c r="AD142" s="150"/>
    </row>
    <row r="143" spans="4:30" outlineLevel="1" x14ac:dyDescent="0.2">
      <c r="D143" s="150" t="s">
        <v>301</v>
      </c>
      <c r="E143" s="150"/>
      <c r="F143" s="150" t="s">
        <v>265</v>
      </c>
      <c r="G143" s="150" t="s">
        <v>596</v>
      </c>
      <c r="H143" s="150"/>
      <c r="I143" s="150"/>
      <c r="J143" s="150"/>
      <c r="K143" s="150"/>
      <c r="L143" s="150"/>
      <c r="M143" s="150"/>
      <c r="N143" s="150"/>
      <c r="O143" s="150"/>
      <c r="P143" s="150"/>
      <c r="Q143" s="150"/>
      <c r="R143" s="150"/>
      <c r="S143" s="187">
        <f>IF($G143="Growth",S107*'INPUT Reg'!S$12,0)</f>
        <v>403267.91121093754</v>
      </c>
      <c r="T143" s="187">
        <f>IF($G143="Growth",T107*'INPUT Reg'!T$12,0)</f>
        <v>1117931.1251612899</v>
      </c>
      <c r="U143" s="187">
        <f>IF($G143="Growth",U107*'INPUT Reg'!U$12,0)</f>
        <v>9544942.3856741562</v>
      </c>
      <c r="V143" s="187">
        <f>IF($G143="Growth",V107*'INPUT Reg'!V$12,0)</f>
        <v>4658272.8166913129</v>
      </c>
      <c r="W143" s="187">
        <f>IF($G143="Growth",W107*'INPUT Reg'!W$12,0)</f>
        <v>8672231.8199999984</v>
      </c>
      <c r="X143" s="187">
        <f>IF($G143="Growth",X107*'INPUT Reg'!X$12,0)</f>
        <v>16397392.757264651</v>
      </c>
      <c r="Y143" s="187">
        <f>IF($G143="Growth",Y107*'INPUT Reg'!Y$12,0)</f>
        <v>11891355.665679228</v>
      </c>
      <c r="Z143" s="187">
        <f>IF($G143="Growth",Z107*'INPUT Reg'!Z$12,0)</f>
        <v>19215610.035283014</v>
      </c>
      <c r="AA143" s="187">
        <f>IF($G143="Growth",AA107*'INPUT Reg'!AA$12,0)</f>
        <v>0</v>
      </c>
      <c r="AB143" s="187">
        <f>IF($G143="Growth",AB107*'INPUT Reg'!AB$12,0)</f>
        <v>0</v>
      </c>
      <c r="AC143" s="88"/>
      <c r="AD143" s="150"/>
    </row>
    <row r="144" spans="4:30" outlineLevel="1" x14ac:dyDescent="0.2">
      <c r="D144" s="150" t="s">
        <v>600</v>
      </c>
      <c r="E144" s="150"/>
      <c r="F144" s="150" t="s">
        <v>265</v>
      </c>
      <c r="G144" s="150" t="s">
        <v>596</v>
      </c>
      <c r="H144" s="83" t="s">
        <v>608</v>
      </c>
      <c r="I144" s="150"/>
      <c r="J144" s="150"/>
      <c r="K144" s="150"/>
      <c r="L144" s="150"/>
      <c r="M144" s="150"/>
      <c r="N144" s="150"/>
      <c r="O144" s="150"/>
      <c r="P144" s="150"/>
      <c r="Q144" s="150"/>
      <c r="R144" s="150"/>
      <c r="S144" s="187">
        <f>IF($G144="Growth",S108*'INPUT Reg'!S$12,0)</f>
        <v>0</v>
      </c>
      <c r="T144" s="187">
        <f>IF($G144="Growth",T108*'INPUT Reg'!T$12,0)</f>
        <v>0</v>
      </c>
      <c r="U144" s="187">
        <f>IF($G144="Growth",U108*'INPUT Reg'!U$12,0)</f>
        <v>237072.5229775281</v>
      </c>
      <c r="V144" s="187">
        <f>IF($G144="Growth",V108*'INPUT Reg'!V$12,0)</f>
        <v>38557.175545286504</v>
      </c>
      <c r="W144" s="187">
        <f>IF($G144="Growth",W108*'INPUT Reg'!W$12,0)</f>
        <v>1201572.852</v>
      </c>
      <c r="X144" s="187">
        <f>IF($G144="Growth",X108*'INPUT Reg'!X$12,0)</f>
        <v>-172263.49806394317</v>
      </c>
      <c r="Y144" s="187">
        <f>IF($G144="Growth",Y108*'INPUT Reg'!Y$12,0)</f>
        <v>896785.61894829094</v>
      </c>
      <c r="Z144" s="187">
        <f>IF($G144="Growth",Z108*'INPUT Reg'!Z$12,0)</f>
        <v>739174.94716981135</v>
      </c>
      <c r="AA144" s="187">
        <f>IF($G144="Growth",AA108*'INPUT Reg'!AA$12,0)</f>
        <v>0</v>
      </c>
      <c r="AB144" s="187">
        <f>IF($G144="Growth",AB108*'INPUT Reg'!AB$12,0)</f>
        <v>0</v>
      </c>
      <c r="AC144" s="88"/>
      <c r="AD144" s="150"/>
    </row>
    <row r="145" spans="1:29" outlineLevel="1" x14ac:dyDescent="0.2">
      <c r="A145" s="150"/>
      <c r="B145" s="150"/>
      <c r="C145" s="150"/>
      <c r="D145" s="150" t="s">
        <v>604</v>
      </c>
      <c r="E145" s="150"/>
      <c r="F145" s="150" t="s">
        <v>265</v>
      </c>
      <c r="G145" s="150" t="s">
        <v>596</v>
      </c>
      <c r="H145" s="83" t="s">
        <v>609</v>
      </c>
      <c r="I145" s="150"/>
      <c r="J145" s="150"/>
      <c r="K145" s="150"/>
      <c r="L145" s="150"/>
      <c r="M145" s="150"/>
      <c r="N145" s="150"/>
      <c r="O145" s="150"/>
      <c r="P145" s="150"/>
      <c r="Q145" s="150"/>
      <c r="R145" s="150"/>
      <c r="S145" s="187">
        <f>IF($G145="Growth",S109*'INPUT Reg'!S$12,0)</f>
        <v>431100.09439453122</v>
      </c>
      <c r="T145" s="187">
        <f>IF($G145="Growth",T109*'INPUT Reg'!T$12,0)</f>
        <v>496792.8319354839</v>
      </c>
      <c r="U145" s="187">
        <f>IF($G145="Growth",U109*'INPUT Reg'!U$12,0)</f>
        <v>1051040.6524157303</v>
      </c>
      <c r="V145" s="187">
        <f>IF($G145="Growth",V109*'INPUT Reg'!V$12,0)</f>
        <v>867367.86271719076</v>
      </c>
      <c r="W145" s="187">
        <f>IF($G145="Growth",W109*'INPUT Reg'!W$12,0)</f>
        <v>2291739.3600000022</v>
      </c>
      <c r="X145" s="187">
        <f>IF($G145="Growth",X109*'INPUT Reg'!X$12,0)</f>
        <v>2187447.8292895211</v>
      </c>
      <c r="Y145" s="187">
        <f>IF($G145="Growth",Y109*'INPUT Reg'!Y$12,0)</f>
        <v>1865407.3169500437</v>
      </c>
      <c r="Z145" s="187">
        <f>IF($G145="Growth",Z109*'INPUT Reg'!Z$12,0)</f>
        <v>1795981.765265865</v>
      </c>
      <c r="AA145" s="187">
        <f>IF($G145="Growth",AA109*'INPUT Reg'!AA$12,0)</f>
        <v>0</v>
      </c>
      <c r="AB145" s="187">
        <f>IF($G145="Growth",AB109*'INPUT Reg'!AB$12,0)</f>
        <v>0</v>
      </c>
      <c r="AC145" s="88"/>
    </row>
    <row r="146" spans="1:29" outlineLevel="1" x14ac:dyDescent="0.2">
      <c r="A146" s="150"/>
      <c r="B146" s="150"/>
      <c r="C146" s="150"/>
      <c r="D146" s="150" t="s">
        <v>605</v>
      </c>
      <c r="E146" s="150"/>
      <c r="F146" s="150" t="s">
        <v>265</v>
      </c>
      <c r="G146" s="150" t="s">
        <v>596</v>
      </c>
      <c r="H146" s="83" t="s">
        <v>608</v>
      </c>
      <c r="I146" s="150"/>
      <c r="J146" s="150"/>
      <c r="K146" s="150"/>
      <c r="L146" s="150"/>
      <c r="M146" s="150"/>
      <c r="N146" s="150"/>
      <c r="O146" s="150"/>
      <c r="P146" s="150"/>
      <c r="Q146" s="150"/>
      <c r="R146" s="150"/>
      <c r="S146" s="187">
        <f>IF($G146="Growth",S110*'INPUT Reg'!S$12,0)</f>
        <v>0</v>
      </c>
      <c r="T146" s="187">
        <f>IF($G146="Growth",T110*'INPUT Reg'!T$12,0)</f>
        <v>0</v>
      </c>
      <c r="U146" s="187">
        <f>IF($G146="Growth",U110*'INPUT Reg'!U$12,0)</f>
        <v>0</v>
      </c>
      <c r="V146" s="187">
        <f>IF($G146="Growth",V110*'INPUT Reg'!V$12,0)</f>
        <v>0</v>
      </c>
      <c r="W146" s="187">
        <f>IF($G146="Growth",W110*'INPUT Reg'!W$12,0)</f>
        <v>529504.79999999993</v>
      </c>
      <c r="X146" s="187">
        <f>IF($G146="Growth",X110*'INPUT Reg'!X$12,0)</f>
        <v>3023281.3071580818</v>
      </c>
      <c r="Y146" s="187">
        <f>IF($G146="Growth",Y110*'INPUT Reg'!Y$12,0)</f>
        <v>4379131.4675021907</v>
      </c>
      <c r="Z146" s="187">
        <f>IF($G146="Growth",Z110*'INPUT Reg'!Z$12,0)</f>
        <v>154040.7376672384</v>
      </c>
      <c r="AA146" s="187">
        <f>IF($G146="Growth",AA110*'INPUT Reg'!AA$12,0)</f>
        <v>0</v>
      </c>
      <c r="AB146" s="187">
        <f>IF($G146="Growth",AB110*'INPUT Reg'!AB$12,0)</f>
        <v>0</v>
      </c>
      <c r="AC146" s="88"/>
    </row>
    <row r="147" spans="1:29" outlineLevel="1" x14ac:dyDescent="0.2">
      <c r="A147" s="150"/>
      <c r="B147" s="150"/>
      <c r="C147" s="150"/>
      <c r="D147" s="150"/>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c r="AA147" s="150"/>
      <c r="AB147" s="150"/>
      <c r="AC147" s="150"/>
    </row>
    <row r="148" spans="1:29" outlineLevel="1" x14ac:dyDescent="0.2">
      <c r="A148" s="150"/>
      <c r="B148" s="150"/>
      <c r="C148" s="64" t="s">
        <v>610</v>
      </c>
      <c r="D148" s="150"/>
      <c r="E148" s="150"/>
      <c r="F148" s="150"/>
      <c r="G148" s="150"/>
      <c r="H148" s="150"/>
      <c r="I148" s="150"/>
      <c r="J148" s="64"/>
      <c r="K148" s="64" t="s">
        <v>581</v>
      </c>
      <c r="L148" s="150"/>
      <c r="M148" s="150"/>
      <c r="N148" s="150"/>
      <c r="O148" s="150"/>
      <c r="P148" s="150"/>
      <c r="Q148" s="150"/>
      <c r="R148" s="150"/>
      <c r="S148" s="150"/>
      <c r="T148" s="150"/>
      <c r="U148" s="150"/>
      <c r="V148" s="150"/>
      <c r="W148" s="150"/>
      <c r="X148" s="150"/>
      <c r="Y148" s="150"/>
      <c r="Z148" s="150"/>
      <c r="AA148" s="150" t="s">
        <v>611</v>
      </c>
      <c r="AB148" s="150"/>
      <c r="AC148" s="150"/>
    </row>
    <row r="149" spans="1:29" outlineLevel="1" x14ac:dyDescent="0.2">
      <c r="A149" s="51"/>
      <c r="B149" s="51"/>
      <c r="C149" s="150" t="s">
        <v>287</v>
      </c>
      <c r="D149" s="150" t="s">
        <v>301</v>
      </c>
      <c r="E149" s="150"/>
      <c r="F149" s="150" t="s">
        <v>262</v>
      </c>
      <c r="G149" s="150"/>
      <c r="H149" s="150"/>
      <c r="I149" s="150"/>
      <c r="J149" s="199"/>
      <c r="K149" s="199">
        <f>SUM(S149:AB149)</f>
        <v>210992456.56393951</v>
      </c>
      <c r="L149" s="150"/>
      <c r="M149" s="150"/>
      <c r="N149" s="150"/>
      <c r="O149" s="150"/>
      <c r="P149" s="150"/>
      <c r="Q149" s="150"/>
      <c r="R149" s="150"/>
      <c r="S149" s="187">
        <f>SUMIFS(S$113:S$118,$D$113:$D$118,$D149,$F$113:$F$118,$F149)*SUMIFS('INPUT Growth'!$X$64:$X$115,'INPUT Growth'!$C$64:$C$115,'INPUT Capex'!$C149,'INPUT Growth'!$D$64:$D$115,'INPUT Capex'!$D149,'INPUT Growth'!$F$64:$F$115,'INPUT Capex'!$F149)/SUMIFS('INPUT Growth'!$X$64:$X$115,'INPUT Growth'!$D$64:$D$115,'INPUT Capex'!$D149,'INPUT Growth'!$F$64:$F$115,'INPUT Capex'!$F149)</f>
        <v>21854363.023593746</v>
      </c>
      <c r="T149" s="187">
        <f>SUMIFS(T$113:T$118,$D$113:$D$118,$D149,$F$113:$F$118,$F149)*SUMIFS('INPUT Growth'!$X$64:$X$115,'INPUT Growth'!$C$64:$C$115,'INPUT Capex'!$C149,'INPUT Growth'!$D$64:$D$115,'INPUT Capex'!$D149,'INPUT Growth'!$F$64:$F$115,'INPUT Capex'!$F149)/SUMIFS('INPUT Growth'!$X$64:$X$115,'INPUT Growth'!$D$64:$D$115,'INPUT Capex'!$D149,'INPUT Growth'!$F$64:$F$115,'INPUT Capex'!$F149)</f>
        <v>13325284.150645157</v>
      </c>
      <c r="U149" s="187">
        <f>SUMIFS(U$113:U$118,$D$113:$D$118,$D149,$F$113:$F$118,$F149)*SUMIFS('INPUT Growth'!$X$64:$X$115,'INPUT Growth'!$C$64:$C$115,'INPUT Capex'!$C149,'INPUT Growth'!$D$64:$D$115,'INPUT Capex'!$D149,'INPUT Growth'!$F$64:$F$115,'INPUT Capex'!$F149)/SUMIFS('INPUT Growth'!$X$64:$X$115,'INPUT Growth'!$D$64:$D$115,'INPUT Capex'!$D149,'INPUT Growth'!$F$64:$F$115,'INPUT Capex'!$F149)</f>
        <v>19272713.936910115</v>
      </c>
      <c r="V149" s="187">
        <f>SUMIFS(V$113:V$118,$D$113:$D$118,$D149,$F$113:$F$118,$F149)*SUMIFS('INPUT Growth'!$X$64:$X$115,'INPUT Growth'!$C$64:$C$115,'INPUT Capex'!$C149,'INPUT Growth'!$D$64:$D$115,'INPUT Capex'!$D149,'INPUT Growth'!$F$64:$F$115,'INPUT Capex'!$F149)/SUMIFS('INPUT Growth'!$X$64:$X$115,'INPUT Growth'!$D$64:$D$115,'INPUT Capex'!$D149,'INPUT Growth'!$F$64:$F$115,'INPUT Capex'!$F149)</f>
        <v>14530608.641700553</v>
      </c>
      <c r="W149" s="187">
        <f>SUMIFS(W$113:W$118,$D$113:$D$118,$D149,$F$113:$F$118,$F149)*SUMIFS('INPUT Growth'!$X$64:$X$115,'INPUT Growth'!$C$64:$C$115,'INPUT Capex'!$C149,'INPUT Growth'!$D$64:$D$115,'INPUT Capex'!$D149,'INPUT Growth'!$F$64:$F$115,'INPUT Capex'!$F149)/SUMIFS('INPUT Growth'!$X$64:$X$115,'INPUT Growth'!$D$64:$D$115,'INPUT Capex'!$D149,'INPUT Growth'!$F$64:$F$115,'INPUT Capex'!$F149)</f>
        <v>16789952.292000003</v>
      </c>
      <c r="X149" s="187">
        <f>SUMIFS(X$113:X$118,$D$113:$D$118,$D149,$F$113:$F$118,$F149)*SUMIFS('INPUT Growth'!$X$64:$X$115,'INPUT Growth'!$C$64:$C$115,'INPUT Capex'!$C149,'INPUT Growth'!$D$64:$D$115,'INPUT Capex'!$D149,'INPUT Growth'!$F$64:$F$115,'INPUT Capex'!$F149)/SUMIFS('INPUT Growth'!$X$64:$X$115,'INPUT Growth'!$D$64:$D$115,'INPUT Capex'!$D149,'INPUT Growth'!$F$64:$F$115,'INPUT Capex'!$F149)</f>
        <v>19923057.95722913</v>
      </c>
      <c r="Y149" s="187">
        <f>SUMIFS(Y$113:Y$118,$D$113:$D$118,$D149,$F$113:$F$118,$F149)*SUMIFS('INPUT Growth'!$X$64:$X$115,'INPUT Growth'!$C$64:$C$115,'INPUT Capex'!$C149,'INPUT Growth'!$D$64:$D$115,'INPUT Capex'!$D149,'INPUT Growth'!$F$64:$F$115,'INPUT Capex'!$F149)/SUMIFS('INPUT Growth'!$X$64:$X$115,'INPUT Growth'!$D$64:$D$115,'INPUT Capex'!$D149,'INPUT Growth'!$F$64:$F$115,'INPUT Capex'!$F149)</f>
        <v>25991360.198177032</v>
      </c>
      <c r="Z149" s="210">
        <f>SUMIFS(Z$113:Z$118,$D$113:$D$118,$D149,$F$113:$F$118,$F149)*SUMIFS('INPUT Growth'!$X$64:$X$115,'INPUT Growth'!$C$64:$C$115,'INPUT Capex'!$C149,'INPUT Growth'!$D$64:$D$115,'INPUT Capex'!$D149,'INPUT Growth'!$F$64:$F$115,'INPUT Capex'!$F149)/SUMIFS('INPUT Growth'!$X$64:$X$115,'INPUT Growth'!$D$64:$D$115,'INPUT Capex'!$D149,'INPUT Growth'!$F$64:$F$115,'INPUT Capex'!$F149)</f>
        <v>17557607.372109778</v>
      </c>
      <c r="AA149" s="211">
        <f>SUMIFS(AA$113:AA$118,$D$113:$D$118,$D149,$F$113:$F$118,$F149)*SUMIFS('INPUT Growth'!$X$64:$X$115,'INPUT Growth'!$C$64:$C$115,'INPUT Capex'!$C149,'INPUT Growth'!$D$64:$D$115,'INPUT Capex'!$D149,'INPUT Growth'!$F$64:$F$115,'INPUT Capex'!$F149)/SUMIFS('INPUT Growth'!$X$64:$X$115,'INPUT Growth'!$D$64:$D$115,'INPUT Capex'!$D149,'INPUT Growth'!$F$64:$F$115,'INPUT Capex'!$F149)</f>
        <v>21076211.801945575</v>
      </c>
      <c r="AB149" s="187">
        <f>SUMIFS(AB$113:AB$118,$D$113:$D$118,$D149,$F$113:$F$118,$F149)*SUMIFS('INPUT Growth'!$X$64:$X$115,'INPUT Growth'!$C$64:$C$115,'INPUT Capex'!$C149,'INPUT Growth'!$D$64:$D$115,'INPUT Capex'!$D149,'INPUT Growth'!$F$64:$F$115,'INPUT Capex'!$F149)/SUMIFS('INPUT Growth'!$X$64:$X$115,'INPUT Growth'!$D$64:$D$115,'INPUT Capex'!$D149,'INPUT Growth'!$F$64:$F$115,'INPUT Capex'!$F149)</f>
        <v>40671297.189628407</v>
      </c>
      <c r="AC149" s="150"/>
    </row>
    <row r="150" spans="1:29" outlineLevel="1" x14ac:dyDescent="0.2">
      <c r="A150" s="51"/>
      <c r="B150" s="51"/>
      <c r="C150" s="150" t="s">
        <v>287</v>
      </c>
      <c r="D150" s="150" t="s">
        <v>301</v>
      </c>
      <c r="E150" s="150"/>
      <c r="F150" s="150" t="s">
        <v>265</v>
      </c>
      <c r="G150" s="150"/>
      <c r="H150" s="150"/>
      <c r="I150" s="150"/>
      <c r="J150" s="199"/>
      <c r="K150" s="199">
        <f t="shared" ref="K150:K158" si="17">SUM(S150:AB150)</f>
        <v>45326822.677380085</v>
      </c>
      <c r="L150" s="150"/>
      <c r="M150" s="150"/>
      <c r="N150" s="150"/>
      <c r="O150" s="150"/>
      <c r="P150" s="150"/>
      <c r="Q150" s="150"/>
      <c r="R150" s="150"/>
      <c r="S150" s="187">
        <f>SUMIFS(S$113:S$118,$D$113:$D$118,$D150,$F$113:$F$118,$F150)*SUMIFS('INPUT Growth'!$X$64:$X$115,'INPUT Growth'!$C$64:$C$115,'INPUT Capex'!$C150,'INPUT Growth'!$D$64:$D$115,'INPUT Capex'!$D150,'INPUT Growth'!$F$64:$F$115,'INPUT Capex'!$F150)/SUMIFS('INPUT Growth'!$X$64:$X$115,'INPUT Growth'!$D$64:$D$115,'INPUT Capex'!$D150,'INPUT Growth'!$F$64:$F$115,'INPUT Capex'!$F150)</f>
        <v>180153.25529751182</v>
      </c>
      <c r="T150" s="187">
        <f>SUMIFS(T$113:T$118,$D$113:$D$118,$D150,$F$113:$F$118,$F150)*SUMIFS('INPUT Growth'!$X$64:$X$115,'INPUT Growth'!$C$64:$C$115,'INPUT Capex'!$C150,'INPUT Growth'!$D$64:$D$115,'INPUT Capex'!$D150,'INPUT Growth'!$F$64:$F$115,'INPUT Capex'!$F150)/SUMIFS('INPUT Growth'!$X$64:$X$115,'INPUT Growth'!$D$64:$D$115,'INPUT Capex'!$D150,'INPUT Growth'!$F$64:$F$115,'INPUT Capex'!$F150)</f>
        <v>488205.0823141514</v>
      </c>
      <c r="U150" s="187">
        <f>SUMIFS(U$113:U$118,$D$113:$D$118,$D150,$F$113:$F$118,$F150)*SUMIFS('INPUT Growth'!$X$64:$X$115,'INPUT Growth'!$C$64:$C$115,'INPUT Capex'!$C150,'INPUT Growth'!$D$64:$D$115,'INPUT Capex'!$D150,'INPUT Growth'!$F$64:$F$115,'INPUT Capex'!$F150)/SUMIFS('INPUT Growth'!$X$64:$X$115,'INPUT Growth'!$D$64:$D$115,'INPUT Capex'!$D150,'INPUT Growth'!$F$64:$F$115,'INPUT Capex'!$F150)</f>
        <v>4059192.5940092006</v>
      </c>
      <c r="V150" s="187">
        <f>SUMIFS(V$113:V$118,$D$113:$D$118,$D150,$F$113:$F$118,$F150)*SUMIFS('INPUT Growth'!$X$64:$X$115,'INPUT Growth'!$C$64:$C$115,'INPUT Capex'!$C150,'INPUT Growth'!$D$64:$D$115,'INPUT Capex'!$D150,'INPUT Growth'!$F$64:$F$115,'INPUT Capex'!$F150)/SUMIFS('INPUT Growth'!$X$64:$X$115,'INPUT Growth'!$D$64:$D$115,'INPUT Capex'!$D150,'INPUT Growth'!$F$64:$F$115,'INPUT Capex'!$F150)</f>
        <v>2009626.566699475</v>
      </c>
      <c r="W150" s="187">
        <f>SUMIFS(W$113:W$118,$D$113:$D$118,$D150,$F$113:$F$118,$F150)*SUMIFS('INPUT Growth'!$X$64:$X$115,'INPUT Growth'!$C$64:$C$115,'INPUT Capex'!$C150,'INPUT Growth'!$D$64:$D$115,'INPUT Capex'!$D150,'INPUT Growth'!$F$64:$F$115,'INPUT Capex'!$F150)/SUMIFS('INPUT Growth'!$X$64:$X$115,'INPUT Growth'!$D$64:$D$115,'INPUT Capex'!$D150,'INPUT Growth'!$F$64:$F$115,'INPUT Capex'!$F150)</f>
        <v>4026279.858598067</v>
      </c>
      <c r="X150" s="187">
        <f>SUMIFS(X$113:X$118,$D$113:$D$118,$D150,$F$113:$F$118,$F150)*SUMIFS('INPUT Growth'!$X$64:$X$115,'INPUT Growth'!$C$64:$C$115,'INPUT Capex'!$C150,'INPUT Growth'!$D$64:$D$115,'INPUT Capex'!$D150,'INPUT Growth'!$F$64:$F$115,'INPUT Capex'!$F150)/SUMIFS('INPUT Growth'!$X$64:$X$115,'INPUT Growth'!$D$64:$D$115,'INPUT Capex'!$D150,'INPUT Growth'!$F$64:$F$115,'INPUT Capex'!$F150)</f>
        <v>7529401.0574145308</v>
      </c>
      <c r="Y150" s="187">
        <f>SUMIFS(Y$113:Y$118,$D$113:$D$118,$D150,$F$113:$F$118,$F150)*SUMIFS('INPUT Growth'!$X$64:$X$115,'INPUT Growth'!$C$64:$C$115,'INPUT Capex'!$C150,'INPUT Growth'!$D$64:$D$115,'INPUT Capex'!$D150,'INPUT Growth'!$F$64:$F$115,'INPUT Capex'!$F150)/SUMIFS('INPUT Growth'!$X$64:$X$115,'INPUT Growth'!$D$64:$D$115,'INPUT Capex'!$D150,'INPUT Growth'!$F$64:$F$115,'INPUT Capex'!$F150)</f>
        <v>6004229.3668582793</v>
      </c>
      <c r="Z150" s="210">
        <f>SUMIFS(Z$113:Z$118,$D$113:$D$118,$D150,$F$113:$F$118,$F150)*SUMIFS('INPUT Growth'!$X$64:$X$115,'INPUT Growth'!$C$64:$C$115,'INPUT Capex'!$C150,'INPUT Growth'!$D$64:$D$115,'INPUT Capex'!$D150,'INPUT Growth'!$F$64:$F$115,'INPUT Capex'!$F150)/SUMIFS('INPUT Growth'!$X$64:$X$115,'INPUT Growth'!$D$64:$D$115,'INPUT Capex'!$D150,'INPUT Growth'!$F$64:$F$115,'INPUT Capex'!$F150)</f>
        <v>8270869.4173785606</v>
      </c>
      <c r="AA150" s="211">
        <f>SUMIFS(AA$113:AA$118,$D$113:$D$118,$D150,$F$113:$F$118,$F150)*SUMIFS('INPUT Growth'!$X$64:$X$115,'INPUT Growth'!$C$64:$C$115,'INPUT Capex'!$C150,'INPUT Growth'!$D$64:$D$115,'INPUT Capex'!$D150,'INPUT Growth'!$F$64:$F$115,'INPUT Capex'!$F150)/SUMIFS('INPUT Growth'!$X$64:$X$115,'INPUT Growth'!$D$64:$D$115,'INPUT Capex'!$D150,'INPUT Growth'!$F$64:$F$115,'INPUT Capex'!$F150)</f>
        <v>5775373.6895395797</v>
      </c>
      <c r="AB150" s="187">
        <f>SUMIFS(AB$113:AB$118,$D$113:$D$118,$D150,$F$113:$F$118,$F150)*SUMIFS('INPUT Growth'!$X$64:$X$115,'INPUT Growth'!$C$64:$C$115,'INPUT Capex'!$C150,'INPUT Growth'!$D$64:$D$115,'INPUT Capex'!$D150,'INPUT Growth'!$F$64:$F$115,'INPUT Capex'!$F150)/SUMIFS('INPUT Growth'!$X$64:$X$115,'INPUT Growth'!$D$64:$D$115,'INPUT Capex'!$D150,'INPUT Growth'!$F$64:$F$115,'INPUT Capex'!$F150)</f>
        <v>6983491.7892707307</v>
      </c>
      <c r="AC150" s="150"/>
    </row>
    <row r="151" spans="1:29" outlineLevel="1" x14ac:dyDescent="0.2">
      <c r="A151" s="51"/>
      <c r="B151" s="51"/>
      <c r="C151" s="150" t="s">
        <v>290</v>
      </c>
      <c r="D151" s="150" t="s">
        <v>301</v>
      </c>
      <c r="E151" s="150"/>
      <c r="F151" s="150" t="s">
        <v>265</v>
      </c>
      <c r="G151" s="150"/>
      <c r="H151" s="150"/>
      <c r="I151" s="150"/>
      <c r="J151" s="199"/>
      <c r="K151" s="199">
        <f t="shared" si="17"/>
        <v>64662408.671503335</v>
      </c>
      <c r="L151" s="150"/>
      <c r="M151" s="150"/>
      <c r="N151" s="150"/>
      <c r="O151" s="150"/>
      <c r="P151" s="150"/>
      <c r="Q151" s="150"/>
      <c r="R151" s="150"/>
      <c r="S151" s="187">
        <f>SUMIFS(S$113:S$118,$D$113:$D$118,$D151,$F$113:$F$118,$F151)*SUMIFS('INPUT Growth'!$X$64:$X$115,'INPUT Growth'!$C$64:$C$115,'INPUT Capex'!$C151,'INPUT Growth'!$D$64:$D$115,'INPUT Capex'!$D151,'INPUT Growth'!$F$64:$F$115,'INPUT Capex'!$F151)/SUMIFS('INPUT Growth'!$X$64:$X$115,'INPUT Growth'!$D$64:$D$115,'INPUT Capex'!$D151,'INPUT Growth'!$F$64:$F$115,'INPUT Capex'!$F151)</f>
        <v>257003.30906632854</v>
      </c>
      <c r="T151" s="187">
        <f>SUMIFS(T$113:T$118,$D$113:$D$118,$D151,$F$113:$F$118,$F151)*SUMIFS('INPUT Growth'!$X$64:$X$115,'INPUT Growth'!$C$64:$C$115,'INPUT Capex'!$C151,'INPUT Growth'!$D$64:$D$115,'INPUT Capex'!$D151,'INPUT Growth'!$F$64:$F$115,'INPUT Capex'!$F151)/SUMIFS('INPUT Growth'!$X$64:$X$115,'INPUT Growth'!$D$64:$D$115,'INPUT Capex'!$D151,'INPUT Growth'!$F$64:$F$115,'INPUT Capex'!$F151)</f>
        <v>696464.36002796527</v>
      </c>
      <c r="U151" s="187">
        <f>SUMIFS(U$113:U$118,$D$113:$D$118,$D151,$F$113:$F$118,$F151)*SUMIFS('INPUT Growth'!$X$64:$X$115,'INPUT Growth'!$C$64:$C$115,'INPUT Capex'!$C151,'INPUT Growth'!$D$64:$D$115,'INPUT Capex'!$D151,'INPUT Growth'!$F$64:$F$115,'INPUT Capex'!$F151)/SUMIFS('INPUT Growth'!$X$64:$X$115,'INPUT Growth'!$D$64:$D$115,'INPUT Capex'!$D151,'INPUT Growth'!$F$64:$F$115,'INPUT Capex'!$F151)</f>
        <v>5790769.2374199731</v>
      </c>
      <c r="V151" s="187">
        <f>SUMIFS(V$113:V$118,$D$113:$D$118,$D151,$F$113:$F$118,$F151)*SUMIFS('INPUT Growth'!$X$64:$X$115,'INPUT Growth'!$C$64:$C$115,'INPUT Capex'!$C151,'INPUT Growth'!$D$64:$D$115,'INPUT Capex'!$D151,'INPUT Growth'!$F$64:$F$115,'INPUT Capex'!$F151)/SUMIFS('INPUT Growth'!$X$64:$X$115,'INPUT Growth'!$D$64:$D$115,'INPUT Capex'!$D151,'INPUT Growth'!$F$64:$F$115,'INPUT Capex'!$F151)</f>
        <v>2866896.1700216536</v>
      </c>
      <c r="W151" s="187">
        <f>SUMIFS(W$113:W$118,$D$113:$D$118,$D151,$F$113:$F$118,$F151)*SUMIFS('INPUT Growth'!$X$64:$X$115,'INPUT Growth'!$C$64:$C$115,'INPUT Capex'!$C151,'INPUT Growth'!$D$64:$D$115,'INPUT Capex'!$D151,'INPUT Growth'!$F$64:$F$115,'INPUT Capex'!$F151)/SUMIFS('INPUT Growth'!$X$64:$X$115,'INPUT Growth'!$D$64:$D$115,'INPUT Capex'!$D151,'INPUT Growth'!$F$64:$F$115,'INPUT Capex'!$F151)</f>
        <v>5743816.5365258548</v>
      </c>
      <c r="X151" s="187">
        <f>SUMIFS(X$113:X$118,$D$113:$D$118,$D151,$F$113:$F$118,$F151)*SUMIFS('INPUT Growth'!$X$64:$X$115,'INPUT Growth'!$C$64:$C$115,'INPUT Capex'!$C151,'INPUT Growth'!$D$64:$D$115,'INPUT Capex'!$D151,'INPUT Growth'!$F$64:$F$115,'INPUT Capex'!$F151)/SUMIFS('INPUT Growth'!$X$64:$X$115,'INPUT Growth'!$D$64:$D$115,'INPUT Capex'!$D151,'INPUT Growth'!$F$64:$F$115,'INPUT Capex'!$F151)</f>
        <v>10741304.584518233</v>
      </c>
      <c r="Y151" s="187">
        <f>SUMIFS(Y$113:Y$118,$D$113:$D$118,$D151,$F$113:$F$118,$F151)*SUMIFS('INPUT Growth'!$X$64:$X$115,'INPUT Growth'!$C$64:$C$115,'INPUT Capex'!$C151,'INPUT Growth'!$D$64:$D$115,'INPUT Capex'!$D151,'INPUT Growth'!$F$64:$F$115,'INPUT Capex'!$F151)/SUMIFS('INPUT Growth'!$X$64:$X$115,'INPUT Growth'!$D$64:$D$115,'INPUT Capex'!$D151,'INPUT Growth'!$F$64:$F$115,'INPUT Capex'!$F151)</f>
        <v>8565522.7996155825</v>
      </c>
      <c r="Z151" s="210">
        <f>SUMIFS(Z$113:Z$118,$D$113:$D$118,$D151,$F$113:$F$118,$F151)*SUMIFS('INPUT Growth'!$X$64:$X$115,'INPUT Growth'!$C$64:$C$115,'INPUT Capex'!$C151,'INPUT Growth'!$D$64:$D$115,'INPUT Capex'!$D151,'INPUT Growth'!$F$64:$F$115,'INPUT Capex'!$F151)/SUMIFS('INPUT Growth'!$X$64:$X$115,'INPUT Growth'!$D$64:$D$115,'INPUT Capex'!$D151,'INPUT Growth'!$F$64:$F$115,'INPUT Capex'!$F151)</f>
        <v>11799069.662168602</v>
      </c>
      <c r="AA151" s="211">
        <f>SUMIFS(AA$113:AA$118,$D$113:$D$118,$D151,$F$113:$F$118,$F151)*SUMIFS('INPUT Growth'!$X$64:$X$115,'INPUT Growth'!$C$64:$C$115,'INPUT Capex'!$C151,'INPUT Growth'!$D$64:$D$115,'INPUT Capex'!$D151,'INPUT Growth'!$F$64:$F$115,'INPUT Capex'!$F151)/SUMIFS('INPUT Growth'!$X$64:$X$115,'INPUT Growth'!$D$64:$D$115,'INPUT Capex'!$D151,'INPUT Growth'!$F$64:$F$115,'INPUT Capex'!$F151)</f>
        <v>8239041.5141545488</v>
      </c>
      <c r="AB151" s="187">
        <f>SUMIFS(AB$113:AB$118,$D$113:$D$118,$D151,$F$113:$F$118,$F151)*SUMIFS('INPUT Growth'!$X$64:$X$115,'INPUT Growth'!$C$64:$C$115,'INPUT Capex'!$C151,'INPUT Growth'!$D$64:$D$115,'INPUT Capex'!$D151,'INPUT Growth'!$F$64:$F$115,'INPUT Capex'!$F151)/SUMIFS('INPUT Growth'!$X$64:$X$115,'INPUT Growth'!$D$64:$D$115,'INPUT Capex'!$D151,'INPUT Growth'!$F$64:$F$115,'INPUT Capex'!$F151)</f>
        <v>9962520.4979845937</v>
      </c>
      <c r="AC151" s="150"/>
    </row>
    <row r="152" spans="1:29" outlineLevel="1" x14ac:dyDescent="0.2">
      <c r="A152" s="51"/>
      <c r="B152" s="51"/>
      <c r="C152" s="150" t="s">
        <v>287</v>
      </c>
      <c r="D152" s="150" t="s">
        <v>303</v>
      </c>
      <c r="E152" s="150"/>
      <c r="F152" s="150" t="s">
        <v>262</v>
      </c>
      <c r="G152" s="150"/>
      <c r="H152" s="150"/>
      <c r="I152" s="150"/>
      <c r="J152" s="199"/>
      <c r="K152" s="199">
        <f t="shared" si="17"/>
        <v>309633161.94997162</v>
      </c>
      <c r="L152" s="150"/>
      <c r="M152" s="150"/>
      <c r="N152" s="150"/>
      <c r="O152" s="150"/>
      <c r="P152" s="150"/>
      <c r="Q152" s="150"/>
      <c r="R152" s="150"/>
      <c r="S152" s="187">
        <f>SUMIFS(S$113:S$118,$D$113:$D$118,$D152,$F$113:$F$118,$F152)*SUMIFS('INPUT Growth'!$X$64:$X$115,'INPUT Growth'!$C$64:$C$115,'INPUT Capex'!$C152,'INPUT Growth'!$D$64:$D$115,'INPUT Capex'!$D152,'INPUT Growth'!$F$64:$F$115,'INPUT Capex'!$F152)/SUMIFS('INPUT Growth'!$X$64:$X$115,'INPUT Growth'!$D$64:$D$115,'INPUT Capex'!$D152,'INPUT Growth'!$F$64:$F$115,'INPUT Capex'!$F152)</f>
        <v>7598503.3038281249</v>
      </c>
      <c r="T152" s="187">
        <f>SUMIFS(T$113:T$118,$D$113:$D$118,$D152,$F$113:$F$118,$F152)*SUMIFS('INPUT Growth'!$X$64:$X$115,'INPUT Growth'!$C$64:$C$115,'INPUT Capex'!$C152,'INPUT Growth'!$D$64:$D$115,'INPUT Capex'!$D152,'INPUT Growth'!$F$64:$F$115,'INPUT Capex'!$F152)/SUMIFS('INPUT Growth'!$X$64:$X$115,'INPUT Growth'!$D$64:$D$115,'INPUT Capex'!$D152,'INPUT Growth'!$F$64:$F$115,'INPUT Capex'!$F152)</f>
        <v>3655191.0870967745</v>
      </c>
      <c r="U152" s="187">
        <f>SUMIFS(U$113:U$118,$D$113:$D$118,$D152,$F$113:$F$118,$F152)*SUMIFS('INPUT Growth'!$X$64:$X$115,'INPUT Growth'!$C$64:$C$115,'INPUT Capex'!$C152,'INPUT Growth'!$D$64:$D$115,'INPUT Capex'!$D152,'INPUT Growth'!$F$64:$F$115,'INPUT Capex'!$F152)/SUMIFS('INPUT Growth'!$X$64:$X$115,'INPUT Growth'!$D$64:$D$115,'INPUT Capex'!$D152,'INPUT Growth'!$F$64:$F$115,'INPUT Capex'!$F152)</f>
        <v>19347417.970955055</v>
      </c>
      <c r="V152" s="187">
        <f>SUMIFS(V$113:V$118,$D$113:$D$118,$D152,$F$113:$F$118,$F152)*SUMIFS('INPUT Growth'!$X$64:$X$115,'INPUT Growth'!$C$64:$C$115,'INPUT Capex'!$C152,'INPUT Growth'!$D$64:$D$115,'INPUT Capex'!$D152,'INPUT Growth'!$F$64:$F$115,'INPUT Capex'!$F152)/SUMIFS('INPUT Growth'!$X$64:$X$115,'INPUT Growth'!$D$64:$D$115,'INPUT Capex'!$D152,'INPUT Growth'!$F$64:$F$115,'INPUT Capex'!$F152)</f>
        <v>17084227.113382626</v>
      </c>
      <c r="W152" s="187">
        <f>SUMIFS(W$113:W$118,$D$113:$D$118,$D152,$F$113:$F$118,$F152)*SUMIFS('INPUT Growth'!$X$64:$X$115,'INPUT Growth'!$C$64:$C$115,'INPUT Capex'!$C152,'INPUT Growth'!$D$64:$D$115,'INPUT Capex'!$D152,'INPUT Growth'!$F$64:$F$115,'INPUT Capex'!$F152)/SUMIFS('INPUT Growth'!$X$64:$X$115,'INPUT Growth'!$D$64:$D$115,'INPUT Capex'!$D152,'INPUT Growth'!$F$64:$F$115,'INPUT Capex'!$F152)</f>
        <v>31746644.399999999</v>
      </c>
      <c r="X152" s="187">
        <f>SUMIFS(X$113:X$118,$D$113:$D$118,$D152,$F$113:$F$118,$F152)*SUMIFS('INPUT Growth'!$X$64:$X$115,'INPUT Growth'!$C$64:$C$115,'INPUT Capex'!$C152,'INPUT Growth'!$D$64:$D$115,'INPUT Capex'!$D152,'INPUT Growth'!$F$64:$F$115,'INPUT Capex'!$F152)/SUMIFS('INPUT Growth'!$X$64:$X$115,'INPUT Growth'!$D$64:$D$115,'INPUT Capex'!$D152,'INPUT Growth'!$F$64:$F$115,'INPUT Capex'!$F152)</f>
        <v>40882317.589928947</v>
      </c>
      <c r="Y152" s="187">
        <f>SUMIFS(Y$113:Y$118,$D$113:$D$118,$D152,$F$113:$F$118,$F152)*SUMIFS('INPUT Growth'!$X$64:$X$115,'INPUT Growth'!$C$64:$C$115,'INPUT Capex'!$C152,'INPUT Growth'!$D$64:$D$115,'INPUT Capex'!$D152,'INPUT Growth'!$F$64:$F$115,'INPUT Capex'!$F152)/SUMIFS('INPUT Growth'!$X$64:$X$115,'INPUT Growth'!$D$64:$D$115,'INPUT Capex'!$D152,'INPUT Growth'!$F$64:$F$115,'INPUT Capex'!$F152)</f>
        <v>56390714.026117444</v>
      </c>
      <c r="Z152" s="210">
        <f>SUMIFS(Z$113:Z$118,$D$113:$D$118,$D152,$F$113:$F$118,$F152)*SUMIFS('INPUT Growth'!$X$64:$X$115,'INPUT Growth'!$C$64:$C$115,'INPUT Capex'!$C152,'INPUT Growth'!$D$64:$D$115,'INPUT Capex'!$D152,'INPUT Growth'!$F$64:$F$115,'INPUT Capex'!$F152)/SUMIFS('INPUT Growth'!$X$64:$X$115,'INPUT Growth'!$D$64:$D$115,'INPUT Capex'!$D152,'INPUT Growth'!$F$64:$F$115,'INPUT Capex'!$F152)</f>
        <v>43259614.791612349</v>
      </c>
      <c r="AA152" s="211">
        <f>SUMIFS(AA$113:AA$118,$D$113:$D$118,$D152,$F$113:$F$118,$F152)*SUMIFS('INPUT Growth'!$X$64:$X$115,'INPUT Growth'!$C$64:$C$115,'INPUT Capex'!$C152,'INPUT Growth'!$D$64:$D$115,'INPUT Capex'!$D152,'INPUT Growth'!$F$64:$F$115,'INPUT Capex'!$F152)/SUMIFS('INPUT Growth'!$X$64:$X$115,'INPUT Growth'!$D$64:$D$115,'INPUT Capex'!$D152,'INPUT Growth'!$F$64:$F$115,'INPUT Capex'!$F152)</f>
        <v>35556778.039239414</v>
      </c>
      <c r="AB152" s="187">
        <f>SUMIFS(AB$113:AB$118,$D$113:$D$118,$D152,$F$113:$F$118,$F152)*SUMIFS('INPUT Growth'!$X$64:$X$115,'INPUT Growth'!$C$64:$C$115,'INPUT Capex'!$C152,'INPUT Growth'!$D$64:$D$115,'INPUT Capex'!$D152,'INPUT Growth'!$F$64:$F$115,'INPUT Capex'!$F152)/SUMIFS('INPUT Growth'!$X$64:$X$115,'INPUT Growth'!$D$64:$D$115,'INPUT Capex'!$D152,'INPUT Growth'!$F$64:$F$115,'INPUT Capex'!$F152)</f>
        <v>54111753.627810858</v>
      </c>
      <c r="AC152" s="150"/>
    </row>
    <row r="153" spans="1:29" outlineLevel="1" x14ac:dyDescent="0.2">
      <c r="A153" s="51"/>
      <c r="B153" s="51"/>
      <c r="C153" s="150" t="s">
        <v>287</v>
      </c>
      <c r="D153" s="150" t="s">
        <v>303</v>
      </c>
      <c r="E153" s="150"/>
      <c r="F153" s="150" t="s">
        <v>265</v>
      </c>
      <c r="G153" s="150"/>
      <c r="H153" s="150"/>
      <c r="I153" s="150"/>
      <c r="J153" s="199"/>
      <c r="K153" s="199">
        <f t="shared" si="17"/>
        <v>120850207.85595234</v>
      </c>
      <c r="L153" s="150"/>
      <c r="M153" s="150"/>
      <c r="N153" s="150"/>
      <c r="O153" s="150"/>
      <c r="P153" s="150"/>
      <c r="Q153" s="150"/>
      <c r="R153" s="150"/>
      <c r="S153" s="187">
        <f>SUMIFS(S$113:S$118,$D$113:$D$118,$D153,$F$113:$F$118,$F153)*SUMIFS('INPUT Growth'!$X$64:$X$115,'INPUT Growth'!$C$64:$C$115,'INPUT Capex'!$C153,'INPUT Growth'!$D$64:$D$115,'INPUT Capex'!$D153,'INPUT Growth'!$F$64:$F$115,'INPUT Capex'!$F153)/SUMIFS('INPUT Growth'!$X$64:$X$115,'INPUT Growth'!$D$64:$D$115,'INPUT Capex'!$D153,'INPUT Growth'!$F$64:$F$115,'INPUT Capex'!$F153)</f>
        <v>1675695.505305642</v>
      </c>
      <c r="T153" s="187">
        <f>SUMIFS(T$113:T$118,$D$113:$D$118,$D153,$F$113:$F$118,$F153)*SUMIFS('INPUT Growth'!$X$64:$X$115,'INPUT Growth'!$C$64:$C$115,'INPUT Capex'!$C153,'INPUT Growth'!$D$64:$D$115,'INPUT Capex'!$D153,'INPUT Growth'!$F$64:$F$115,'INPUT Capex'!$F153)/SUMIFS('INPUT Growth'!$X$64:$X$115,'INPUT Growth'!$D$64:$D$115,'INPUT Capex'!$D153,'INPUT Growth'!$F$64:$F$115,'INPUT Capex'!$F153)</f>
        <v>2676626.6091948738</v>
      </c>
      <c r="U153" s="187">
        <f>SUMIFS(U$113:U$118,$D$113:$D$118,$D153,$F$113:$F$118,$F153)*SUMIFS('INPUT Growth'!$X$64:$X$115,'INPUT Growth'!$C$64:$C$115,'INPUT Capex'!$C153,'INPUT Growth'!$D$64:$D$115,'INPUT Capex'!$D153,'INPUT Growth'!$F$64:$F$115,'INPUT Capex'!$F153)/SUMIFS('INPUT Growth'!$X$64:$X$115,'INPUT Growth'!$D$64:$D$115,'INPUT Capex'!$D153,'INPUT Growth'!$F$64:$F$115,'INPUT Capex'!$F153)</f>
        <v>18912717.961442336</v>
      </c>
      <c r="V153" s="187">
        <f>SUMIFS(V$113:V$118,$D$113:$D$118,$D153,$F$113:$F$118,$F153)*SUMIFS('INPUT Growth'!$X$64:$X$115,'INPUT Growth'!$C$64:$C$115,'INPUT Capex'!$C153,'INPUT Growth'!$D$64:$D$115,'INPUT Capex'!$D153,'INPUT Growth'!$F$64:$F$115,'INPUT Capex'!$F153)/SUMIFS('INPUT Growth'!$X$64:$X$115,'INPUT Growth'!$D$64:$D$115,'INPUT Capex'!$D153,'INPUT Growth'!$F$64:$F$115,'INPUT Capex'!$F153)</f>
        <v>6958951.77741131</v>
      </c>
      <c r="W153" s="187">
        <f>SUMIFS(W$113:W$118,$D$113:$D$118,$D153,$F$113:$F$118,$F153)*SUMIFS('INPUT Growth'!$X$64:$X$115,'INPUT Growth'!$C$64:$C$115,'INPUT Capex'!$C153,'INPUT Growth'!$D$64:$D$115,'INPUT Capex'!$D153,'INPUT Growth'!$F$64:$F$115,'INPUT Capex'!$F153)/SUMIFS('INPUT Growth'!$X$64:$X$115,'INPUT Growth'!$D$64:$D$115,'INPUT Capex'!$D153,'INPUT Growth'!$F$64:$F$115,'INPUT Capex'!$F153)</f>
        <v>18408078.686124463</v>
      </c>
      <c r="X153" s="187">
        <f>SUMIFS(X$113:X$118,$D$113:$D$118,$D153,$F$113:$F$118,$F153)*SUMIFS('INPUT Growth'!$X$64:$X$115,'INPUT Growth'!$C$64:$C$115,'INPUT Capex'!$C153,'INPUT Growth'!$D$64:$D$115,'INPUT Capex'!$D153,'INPUT Growth'!$F$64:$F$115,'INPUT Capex'!$F153)/SUMIFS('INPUT Growth'!$X$64:$X$115,'INPUT Growth'!$D$64:$D$115,'INPUT Capex'!$D153,'INPUT Growth'!$F$64:$F$115,'INPUT Capex'!$F153)</f>
        <v>15014149.357046904</v>
      </c>
      <c r="Y153" s="187">
        <f>SUMIFS(Y$113:Y$118,$D$113:$D$118,$D153,$F$113:$F$118,$F153)*SUMIFS('INPUT Growth'!$X$64:$X$115,'INPUT Growth'!$C$64:$C$115,'INPUT Capex'!$C153,'INPUT Growth'!$D$64:$D$115,'INPUT Capex'!$D153,'INPUT Growth'!$F$64:$F$115,'INPUT Capex'!$F153)/SUMIFS('INPUT Growth'!$X$64:$X$115,'INPUT Growth'!$D$64:$D$115,'INPUT Capex'!$D153,'INPUT Growth'!$F$64:$F$115,'INPUT Capex'!$F153)</f>
        <v>18889224.47946211</v>
      </c>
      <c r="Z153" s="210">
        <f>SUMIFS(Z$113:Z$118,$D$113:$D$118,$D153,$F$113:$F$118,$F153)*SUMIFS('INPUT Growth'!$X$64:$X$115,'INPUT Growth'!$C$64:$C$115,'INPUT Capex'!$C153,'INPUT Growth'!$D$64:$D$115,'INPUT Capex'!$D153,'INPUT Growth'!$F$64:$F$115,'INPUT Capex'!$F153)/SUMIFS('INPUT Growth'!$X$64:$X$115,'INPUT Growth'!$D$64:$D$115,'INPUT Capex'!$D153,'INPUT Growth'!$F$64:$F$115,'INPUT Capex'!$F153)</f>
        <v>18285252.678670678</v>
      </c>
      <c r="AA153" s="211">
        <f>SUMIFS(AA$113:AA$118,$D$113:$D$118,$D153,$F$113:$F$118,$F153)*SUMIFS('INPUT Growth'!$X$64:$X$115,'INPUT Growth'!$C$64:$C$115,'INPUT Capex'!$C153,'INPUT Growth'!$D$64:$D$115,'INPUT Capex'!$D153,'INPUT Growth'!$F$64:$F$115,'INPUT Capex'!$F153)/SUMIFS('INPUT Growth'!$X$64:$X$115,'INPUT Growth'!$D$64:$D$115,'INPUT Capex'!$D153,'INPUT Growth'!$F$64:$F$115,'INPUT Capex'!$F153)</f>
        <v>10714593.802614365</v>
      </c>
      <c r="AB153" s="187">
        <f>SUMIFS(AB$113:AB$118,$D$113:$D$118,$D153,$F$113:$F$118,$F153)*SUMIFS('INPUT Growth'!$X$64:$X$115,'INPUT Growth'!$C$64:$C$115,'INPUT Capex'!$C153,'INPUT Growth'!$D$64:$D$115,'INPUT Capex'!$D153,'INPUT Growth'!$F$64:$F$115,'INPUT Capex'!$F153)/SUMIFS('INPUT Growth'!$X$64:$X$115,'INPUT Growth'!$D$64:$D$115,'INPUT Capex'!$D153,'INPUT Growth'!$F$64:$F$115,'INPUT Capex'!$F153)</f>
        <v>9314916.9986796528</v>
      </c>
      <c r="AC153" s="150"/>
    </row>
    <row r="154" spans="1:29" outlineLevel="1" x14ac:dyDescent="0.2">
      <c r="A154" s="51"/>
      <c r="B154" s="51"/>
      <c r="C154" s="150" t="s">
        <v>290</v>
      </c>
      <c r="D154" s="150" t="s">
        <v>303</v>
      </c>
      <c r="E154" s="150"/>
      <c r="F154" s="150" t="s">
        <v>265</v>
      </c>
      <c r="G154" s="150"/>
      <c r="H154" s="150"/>
      <c r="I154" s="150"/>
      <c r="J154" s="199"/>
      <c r="K154" s="199">
        <f t="shared" si="17"/>
        <v>143357759.79526195</v>
      </c>
      <c r="L154" s="150"/>
      <c r="M154" s="150"/>
      <c r="N154" s="150"/>
      <c r="O154" s="150"/>
      <c r="P154" s="150"/>
      <c r="Q154" s="150"/>
      <c r="R154" s="150"/>
      <c r="S154" s="187">
        <f>SUMIFS(S$113:S$118,$D$113:$D$118,$D154,$F$113:$F$118,$F154)*SUMIFS('INPUT Growth'!$X$64:$X$115,'INPUT Growth'!$C$64:$C$115,'INPUT Capex'!$C154,'INPUT Growth'!$D$64:$D$115,'INPUT Capex'!$D154,'INPUT Growth'!$F$64:$F$115,'INPUT Capex'!$F154)/SUMIFS('INPUT Growth'!$X$64:$X$115,'INPUT Growth'!$D$64:$D$115,'INPUT Capex'!$D154,'INPUT Growth'!$F$64:$F$115,'INPUT Capex'!$F154)</f>
        <v>1987782.7105265867</v>
      </c>
      <c r="T154" s="187">
        <f>SUMIFS(T$113:T$118,$D$113:$D$118,$D154,$F$113:$F$118,$F154)*SUMIFS('INPUT Growth'!$X$64:$X$115,'INPUT Growth'!$C$64:$C$115,'INPUT Capex'!$C154,'INPUT Growth'!$D$64:$D$115,'INPUT Capex'!$D154,'INPUT Growth'!$F$64:$F$115,'INPUT Capex'!$F154)/SUMIFS('INPUT Growth'!$X$64:$X$115,'INPUT Growth'!$D$64:$D$115,'INPUT Capex'!$D154,'INPUT Growth'!$F$64:$F$115,'INPUT Capex'!$F154)</f>
        <v>3175130.6126004797</v>
      </c>
      <c r="U154" s="187">
        <f>SUMIFS(U$113:U$118,$D$113:$D$118,$D154,$F$113:$F$118,$F154)*SUMIFS('INPUT Growth'!$X$64:$X$115,'INPUT Growth'!$C$64:$C$115,'INPUT Capex'!$C154,'INPUT Growth'!$D$64:$D$115,'INPUT Capex'!$D154,'INPUT Growth'!$F$64:$F$115,'INPUT Capex'!$F154)/SUMIFS('INPUT Growth'!$X$64:$X$115,'INPUT Growth'!$D$64:$D$115,'INPUT Capex'!$D154,'INPUT Growth'!$F$64:$F$115,'INPUT Capex'!$F154)</f>
        <v>22435086.597647469</v>
      </c>
      <c r="V154" s="187">
        <f>SUMIFS(V$113:V$118,$D$113:$D$118,$D154,$F$113:$F$118,$F154)*SUMIFS('INPUT Growth'!$X$64:$X$115,'INPUT Growth'!$C$64:$C$115,'INPUT Capex'!$C154,'INPUT Growth'!$D$64:$D$115,'INPUT Capex'!$D154,'INPUT Growth'!$F$64:$F$115,'INPUT Capex'!$F154)/SUMIFS('INPUT Growth'!$X$64:$X$115,'INPUT Growth'!$D$64:$D$115,'INPUT Capex'!$D154,'INPUT Growth'!$F$64:$F$115,'INPUT Capex'!$F154)</f>
        <v>8255010.5211408241</v>
      </c>
      <c r="W154" s="187">
        <f>SUMIFS(W$113:W$118,$D$113:$D$118,$D154,$F$113:$F$118,$F154)*SUMIFS('INPUT Growth'!$X$64:$X$115,'INPUT Growth'!$C$64:$C$115,'INPUT Capex'!$C154,'INPUT Growth'!$D$64:$D$115,'INPUT Capex'!$D154,'INPUT Growth'!$F$64:$F$115,'INPUT Capex'!$F154)/SUMIFS('INPUT Growth'!$X$64:$X$115,'INPUT Growth'!$D$64:$D$115,'INPUT Capex'!$D154,'INPUT Growth'!$F$64:$F$115,'INPUT Capex'!$F154)</f>
        <v>21836461.594862986</v>
      </c>
      <c r="X154" s="187">
        <f>SUMIFS(X$113:X$118,$D$113:$D$118,$D154,$F$113:$F$118,$F154)*SUMIFS('INPUT Growth'!$X$64:$X$115,'INPUT Growth'!$C$64:$C$115,'INPUT Capex'!$C154,'INPUT Growth'!$D$64:$D$115,'INPUT Capex'!$D154,'INPUT Growth'!$F$64:$F$115,'INPUT Capex'!$F154)/SUMIFS('INPUT Growth'!$X$64:$X$115,'INPUT Growth'!$D$64:$D$115,'INPUT Capex'!$D154,'INPUT Growth'!$F$64:$F$115,'INPUT Capex'!$F154)</f>
        <v>17810435.374867279</v>
      </c>
      <c r="Y154" s="187">
        <f>SUMIFS(Y$113:Y$118,$D$113:$D$118,$D154,$F$113:$F$118,$F154)*SUMIFS('INPUT Growth'!$X$64:$X$115,'INPUT Growth'!$C$64:$C$115,'INPUT Capex'!$C154,'INPUT Growth'!$D$64:$D$115,'INPUT Capex'!$D154,'INPUT Growth'!$F$64:$F$115,'INPUT Capex'!$F154)/SUMIFS('INPUT Growth'!$X$64:$X$115,'INPUT Growth'!$D$64:$D$115,'INPUT Capex'!$D154,'INPUT Growth'!$F$64:$F$115,'INPUT Capex'!$F154)</f>
        <v>22407217.610028595</v>
      </c>
      <c r="Z154" s="210">
        <f>SUMIFS(Z$113:Z$118,$D$113:$D$118,$D154,$F$113:$F$118,$F154)*SUMIFS('INPUT Growth'!$X$64:$X$115,'INPUT Growth'!$C$64:$C$115,'INPUT Capex'!$C154,'INPUT Growth'!$D$64:$D$115,'INPUT Capex'!$D154,'INPUT Growth'!$F$64:$F$115,'INPUT Capex'!$F154)/SUMIFS('INPUT Growth'!$X$64:$X$115,'INPUT Growth'!$D$64:$D$115,'INPUT Capex'!$D154,'INPUT Growth'!$F$64:$F$115,'INPUT Capex'!$F154)</f>
        <v>21690760.055862252</v>
      </c>
      <c r="AA154" s="211">
        <f>SUMIFS(AA$113:AA$118,$D$113:$D$118,$D154,$F$113:$F$118,$F154)*SUMIFS('INPUT Growth'!$X$64:$X$115,'INPUT Growth'!$C$64:$C$115,'INPUT Capex'!$C154,'INPUT Growth'!$D$64:$D$115,'INPUT Capex'!$D154,'INPUT Growth'!$F$64:$F$115,'INPUT Capex'!$F154)/SUMIFS('INPUT Growth'!$X$64:$X$115,'INPUT Growth'!$D$64:$D$115,'INPUT Capex'!$D154,'INPUT Growth'!$F$64:$F$115,'INPUT Capex'!$F154)</f>
        <v>12710116.034635665</v>
      </c>
      <c r="AB154" s="187">
        <f>SUMIFS(AB$113:AB$118,$D$113:$D$118,$D154,$F$113:$F$118,$F154)*SUMIFS('INPUT Growth'!$X$64:$X$115,'INPUT Growth'!$C$64:$C$115,'INPUT Capex'!$C154,'INPUT Growth'!$D$64:$D$115,'INPUT Capex'!$D154,'INPUT Growth'!$F$64:$F$115,'INPUT Capex'!$F154)/SUMIFS('INPUT Growth'!$X$64:$X$115,'INPUT Growth'!$D$64:$D$115,'INPUT Capex'!$D154,'INPUT Growth'!$F$64:$F$115,'INPUT Capex'!$F154)</f>
        <v>11049758.683089834</v>
      </c>
      <c r="AC154" s="150"/>
    </row>
    <row r="155" spans="1:29" outlineLevel="1" x14ac:dyDescent="0.2">
      <c r="A155" s="51"/>
      <c r="B155" s="51"/>
      <c r="C155" s="150" t="s">
        <v>283</v>
      </c>
      <c r="D155" s="150" t="s">
        <v>310</v>
      </c>
      <c r="E155" s="150"/>
      <c r="F155" s="150" t="s">
        <v>262</v>
      </c>
      <c r="G155" s="150"/>
      <c r="H155" s="150"/>
      <c r="I155" s="150"/>
      <c r="J155" s="199"/>
      <c r="K155" s="199">
        <f t="shared" si="17"/>
        <v>221798688.88473919</v>
      </c>
      <c r="L155" s="150"/>
      <c r="M155" s="150"/>
      <c r="N155" s="150"/>
      <c r="O155" s="150"/>
      <c r="P155" s="150"/>
      <c r="Q155" s="150"/>
      <c r="R155" s="150"/>
      <c r="S155" s="187">
        <f>SUMIFS(S$113:S$118,$D$113:$D$118,$D155,$F$113:$F$118,$F155)*SUMIFS('INPUT Growth'!$X$64:$X$115,'INPUT Growth'!$C$64:$C$115,'INPUT Capex'!$C155,'INPUT Growth'!$D$64:$D$115,'INPUT Capex'!$D155,'INPUT Growth'!$F$64:$F$115,'INPUT Capex'!$F155)/SUMIFS('INPUT Growth'!$X$64:$X$115,'INPUT Growth'!$D$64:$D$115,'INPUT Capex'!$D155,'INPUT Growth'!$F$64:$F$115,'INPUT Capex'!$F155)</f>
        <v>16190887.29832031</v>
      </c>
      <c r="T155" s="187">
        <f>SUMIFS(T$113:T$118,$D$113:$D$118,$D155,$F$113:$F$118,$F155)*SUMIFS('INPUT Growth'!$X$64:$X$115,'INPUT Growth'!$C$64:$C$115,'INPUT Capex'!$C155,'INPUT Growth'!$D$64:$D$115,'INPUT Capex'!$D155,'INPUT Growth'!$F$64:$F$115,'INPUT Capex'!$F155)/SUMIFS('INPUT Growth'!$X$64:$X$115,'INPUT Growth'!$D$64:$D$115,'INPUT Capex'!$D155,'INPUT Growth'!$F$64:$F$115,'INPUT Capex'!$F155)</f>
        <v>12747057.85935485</v>
      </c>
      <c r="U155" s="187">
        <f>SUMIFS(U$113:U$118,$D$113:$D$118,$D155,$F$113:$F$118,$F155)*SUMIFS('INPUT Growth'!$X$64:$X$115,'INPUT Growth'!$C$64:$C$115,'INPUT Capex'!$C155,'INPUT Growth'!$D$64:$D$115,'INPUT Capex'!$D155,'INPUT Growth'!$F$64:$F$115,'INPUT Capex'!$F155)/SUMIFS('INPUT Growth'!$X$64:$X$115,'INPUT Growth'!$D$64:$D$115,'INPUT Capex'!$D155,'INPUT Growth'!$F$64:$F$115,'INPUT Capex'!$F155)</f>
        <v>21440539.637808993</v>
      </c>
      <c r="V155" s="187">
        <f>SUMIFS(V$113:V$118,$D$113:$D$118,$D155,$F$113:$F$118,$F155)*SUMIFS('INPUT Growth'!$X$64:$X$115,'INPUT Growth'!$C$64:$C$115,'INPUT Capex'!$C155,'INPUT Growth'!$D$64:$D$115,'INPUT Capex'!$D155,'INPUT Growth'!$F$64:$F$115,'INPUT Capex'!$F155)/SUMIFS('INPUT Growth'!$X$64:$X$115,'INPUT Growth'!$D$64:$D$115,'INPUT Capex'!$D155,'INPUT Growth'!$F$64:$F$115,'INPUT Capex'!$F155)</f>
        <v>25670517.622347504</v>
      </c>
      <c r="W155" s="187">
        <f>SUMIFS(W$113:W$118,$D$113:$D$118,$D155,$F$113:$F$118,$F155)*SUMIFS('INPUT Growth'!$X$64:$X$115,'INPUT Growth'!$C$64:$C$115,'INPUT Capex'!$C155,'INPUT Growth'!$D$64:$D$115,'INPUT Capex'!$D155,'INPUT Growth'!$F$64:$F$115,'INPUT Capex'!$F155)/SUMIFS('INPUT Growth'!$X$64:$X$115,'INPUT Growth'!$D$64:$D$115,'INPUT Capex'!$D155,'INPUT Growth'!$F$64:$F$115,'INPUT Capex'!$F155)</f>
        <v>26556618.335999999</v>
      </c>
      <c r="X155" s="187">
        <f>SUMIFS(X$113:X$118,$D$113:$D$118,$D155,$F$113:$F$118,$F155)*SUMIFS('INPUT Growth'!$X$64:$X$115,'INPUT Growth'!$C$64:$C$115,'INPUT Capex'!$C155,'INPUT Growth'!$D$64:$D$115,'INPUT Capex'!$D155,'INPUT Growth'!$F$64:$F$115,'INPUT Capex'!$F155)/SUMIFS('INPUT Growth'!$X$64:$X$115,'INPUT Growth'!$D$64:$D$115,'INPUT Capex'!$D155,'INPUT Growth'!$F$64:$F$115,'INPUT Capex'!$F155)</f>
        <v>15607584.468543518</v>
      </c>
      <c r="Y155" s="187">
        <f>SUMIFS(Y$113:Y$118,$D$113:$D$118,$D155,$F$113:$F$118,$F155)*SUMIFS('INPUT Growth'!$X$64:$X$115,'INPUT Growth'!$C$64:$C$115,'INPUT Capex'!$C155,'INPUT Growth'!$D$64:$D$115,'INPUT Capex'!$D155,'INPUT Growth'!$F$64:$F$115,'INPUT Capex'!$F155)/SUMIFS('INPUT Growth'!$X$64:$X$115,'INPUT Growth'!$D$64:$D$115,'INPUT Capex'!$D155,'INPUT Growth'!$F$64:$F$115,'INPUT Capex'!$F155)</f>
        <v>11806104.487624889</v>
      </c>
      <c r="Z155" s="210">
        <f>SUMIFS(Z$113:Z$118,$D$113:$D$118,$D155,$F$113:$F$118,$F155)*SUMIFS('INPUT Growth'!$X$64:$X$115,'INPUT Growth'!$C$64:$C$115,'INPUT Capex'!$C155,'INPUT Growth'!$D$64:$D$115,'INPUT Capex'!$D155,'INPUT Growth'!$F$64:$F$115,'INPUT Capex'!$F155)/SUMIFS('INPUT Growth'!$X$64:$X$115,'INPUT Growth'!$D$64:$D$115,'INPUT Capex'!$D155,'INPUT Growth'!$F$64:$F$115,'INPUT Capex'!$F155)</f>
        <v>5197191.0070497412</v>
      </c>
      <c r="AA155" s="211">
        <f>SUMIFS(AA$113:AA$118,$D$113:$D$118,$D155,$F$113:$F$118,$F155)*SUMIFS('INPUT Growth'!$X$64:$X$115,'INPUT Growth'!$C$64:$C$115,'INPUT Capex'!$C155,'INPUT Growth'!$D$64:$D$115,'INPUT Capex'!$D155,'INPUT Growth'!$F$64:$F$115,'INPUT Capex'!$F155)/SUMIFS('INPUT Growth'!$X$64:$X$115,'INPUT Growth'!$D$64:$D$115,'INPUT Capex'!$D155,'INPUT Growth'!$F$64:$F$115,'INPUT Capex'!$F155)</f>
        <v>27547371.653638817</v>
      </c>
      <c r="AB155" s="187">
        <f>SUMIFS(AB$113:AB$118,$D$113:$D$118,$D155,$F$113:$F$118,$F155)*SUMIFS('INPUT Growth'!$X$64:$X$115,'INPUT Growth'!$C$64:$C$115,'INPUT Capex'!$C155,'INPUT Growth'!$D$64:$D$115,'INPUT Capex'!$D155,'INPUT Growth'!$F$64:$F$115,'INPUT Capex'!$F155)/SUMIFS('INPUT Growth'!$X$64:$X$115,'INPUT Growth'!$D$64:$D$115,'INPUT Capex'!$D155,'INPUT Growth'!$F$64:$F$115,'INPUT Capex'!$F155)</f>
        <v>59034816.514050581</v>
      </c>
      <c r="AC155" s="150"/>
    </row>
    <row r="156" spans="1:29" outlineLevel="1" x14ac:dyDescent="0.2">
      <c r="A156" s="51"/>
      <c r="B156" s="51"/>
      <c r="C156" s="150" t="s">
        <v>312</v>
      </c>
      <c r="D156" s="150" t="s">
        <v>310</v>
      </c>
      <c r="E156" s="150"/>
      <c r="F156" s="150" t="s">
        <v>262</v>
      </c>
      <c r="G156" s="150"/>
      <c r="H156" s="150"/>
      <c r="I156" s="150"/>
      <c r="J156" s="199"/>
      <c r="K156" s="199">
        <f t="shared" si="17"/>
        <v>0</v>
      </c>
      <c r="L156" s="150"/>
      <c r="M156" s="150"/>
      <c r="N156" s="150"/>
      <c r="O156" s="150"/>
      <c r="P156" s="150"/>
      <c r="Q156" s="150"/>
      <c r="R156" s="150"/>
      <c r="S156" s="187">
        <f>SUMIFS(S$113:S$118,$D$113:$D$118,$D156,$F$113:$F$118,$F156)*SUMIFS('INPUT Growth'!$X$64:$X$115,'INPUT Growth'!$C$64:$C$115,'INPUT Capex'!$C156,'INPUT Growth'!$D$64:$D$115,'INPUT Capex'!$D156,'INPUT Growth'!$F$64:$F$115,'INPUT Capex'!$F156)/SUMIFS('INPUT Growth'!$X$64:$X$115,'INPUT Growth'!$D$64:$D$115,'INPUT Capex'!$D156,'INPUT Growth'!$F$64:$F$115,'INPUT Capex'!$F156)</f>
        <v>0</v>
      </c>
      <c r="T156" s="187">
        <f>SUMIFS(T$113:T$118,$D$113:$D$118,$D156,$F$113:$F$118,$F156)*SUMIFS('INPUT Growth'!$X$64:$X$115,'INPUT Growth'!$C$64:$C$115,'INPUT Capex'!$C156,'INPUT Growth'!$D$64:$D$115,'INPUT Capex'!$D156,'INPUT Growth'!$F$64:$F$115,'INPUT Capex'!$F156)/SUMIFS('INPUT Growth'!$X$64:$X$115,'INPUT Growth'!$D$64:$D$115,'INPUT Capex'!$D156,'INPUT Growth'!$F$64:$F$115,'INPUT Capex'!$F156)</f>
        <v>0</v>
      </c>
      <c r="U156" s="187">
        <f>SUMIFS(U$113:U$118,$D$113:$D$118,$D156,$F$113:$F$118,$F156)*SUMIFS('INPUT Growth'!$X$64:$X$115,'INPUT Growth'!$C$64:$C$115,'INPUT Capex'!$C156,'INPUT Growth'!$D$64:$D$115,'INPUT Capex'!$D156,'INPUT Growth'!$F$64:$F$115,'INPUT Capex'!$F156)/SUMIFS('INPUT Growth'!$X$64:$X$115,'INPUT Growth'!$D$64:$D$115,'INPUT Capex'!$D156,'INPUT Growth'!$F$64:$F$115,'INPUT Capex'!$F156)</f>
        <v>0</v>
      </c>
      <c r="V156" s="187">
        <f>SUMIFS(V$113:V$118,$D$113:$D$118,$D156,$F$113:$F$118,$F156)*SUMIFS('INPUT Growth'!$X$64:$X$115,'INPUT Growth'!$C$64:$C$115,'INPUT Capex'!$C156,'INPUT Growth'!$D$64:$D$115,'INPUT Capex'!$D156,'INPUT Growth'!$F$64:$F$115,'INPUT Capex'!$F156)/SUMIFS('INPUT Growth'!$X$64:$X$115,'INPUT Growth'!$D$64:$D$115,'INPUT Capex'!$D156,'INPUT Growth'!$F$64:$F$115,'INPUT Capex'!$F156)</f>
        <v>0</v>
      </c>
      <c r="W156" s="187">
        <f>SUMIFS(W$113:W$118,$D$113:$D$118,$D156,$F$113:$F$118,$F156)*SUMIFS('INPUT Growth'!$X$64:$X$115,'INPUT Growth'!$C$64:$C$115,'INPUT Capex'!$C156,'INPUT Growth'!$D$64:$D$115,'INPUT Capex'!$D156,'INPUT Growth'!$F$64:$F$115,'INPUT Capex'!$F156)/SUMIFS('INPUT Growth'!$X$64:$X$115,'INPUT Growth'!$D$64:$D$115,'INPUT Capex'!$D156,'INPUT Growth'!$F$64:$F$115,'INPUT Capex'!$F156)</f>
        <v>0</v>
      </c>
      <c r="X156" s="187">
        <f>SUMIFS(X$113:X$118,$D$113:$D$118,$D156,$F$113:$F$118,$F156)*SUMIFS('INPUT Growth'!$X$64:$X$115,'INPUT Growth'!$C$64:$C$115,'INPUT Capex'!$C156,'INPUT Growth'!$D$64:$D$115,'INPUT Capex'!$D156,'INPUT Growth'!$F$64:$F$115,'INPUT Capex'!$F156)/SUMIFS('INPUT Growth'!$X$64:$X$115,'INPUT Growth'!$D$64:$D$115,'INPUT Capex'!$D156,'INPUT Growth'!$F$64:$F$115,'INPUT Capex'!$F156)</f>
        <v>0</v>
      </c>
      <c r="Y156" s="187">
        <f>SUMIFS(Y$113:Y$118,$D$113:$D$118,$D156,$F$113:$F$118,$F156)*SUMIFS('INPUT Growth'!$X$64:$X$115,'INPUT Growth'!$C$64:$C$115,'INPUT Capex'!$C156,'INPUT Growth'!$D$64:$D$115,'INPUT Capex'!$D156,'INPUT Growth'!$F$64:$F$115,'INPUT Capex'!$F156)/SUMIFS('INPUT Growth'!$X$64:$X$115,'INPUT Growth'!$D$64:$D$115,'INPUT Capex'!$D156,'INPUT Growth'!$F$64:$F$115,'INPUT Capex'!$F156)</f>
        <v>0</v>
      </c>
      <c r="Z156" s="210">
        <f>SUMIFS(Z$113:Z$118,$D$113:$D$118,$D156,$F$113:$F$118,$F156)*SUMIFS('INPUT Growth'!$X$64:$X$115,'INPUT Growth'!$C$64:$C$115,'INPUT Capex'!$C156,'INPUT Growth'!$D$64:$D$115,'INPUT Capex'!$D156,'INPUT Growth'!$F$64:$F$115,'INPUT Capex'!$F156)/SUMIFS('INPUT Growth'!$X$64:$X$115,'INPUT Growth'!$D$64:$D$115,'INPUT Capex'!$D156,'INPUT Growth'!$F$64:$F$115,'INPUT Capex'!$F156)</f>
        <v>0</v>
      </c>
      <c r="AA156" s="211">
        <f>SUMIFS(AA$113:AA$118,$D$113:$D$118,$D156,$F$113:$F$118,$F156)*SUMIFS('INPUT Growth'!$X$64:$X$115,'INPUT Growth'!$C$64:$C$115,'INPUT Capex'!$C156,'INPUT Growth'!$D$64:$D$115,'INPUT Capex'!$D156,'INPUT Growth'!$F$64:$F$115,'INPUT Capex'!$F156)/SUMIFS('INPUT Growth'!$X$64:$X$115,'INPUT Growth'!$D$64:$D$115,'INPUT Capex'!$D156,'INPUT Growth'!$F$64:$F$115,'INPUT Capex'!$F156)</f>
        <v>0</v>
      </c>
      <c r="AB156" s="187">
        <f>SUMIFS(AB$113:AB$118,$D$113:$D$118,$D156,$F$113:$F$118,$F156)*SUMIFS('INPUT Growth'!$X$64:$X$115,'INPUT Growth'!$C$64:$C$115,'INPUT Capex'!$C156,'INPUT Growth'!$D$64:$D$115,'INPUT Capex'!$D156,'INPUT Growth'!$F$64:$F$115,'INPUT Capex'!$F156)/SUMIFS('INPUT Growth'!$X$64:$X$115,'INPUT Growth'!$D$64:$D$115,'INPUT Capex'!$D156,'INPUT Growth'!$F$64:$F$115,'INPUT Capex'!$F156)</f>
        <v>0</v>
      </c>
      <c r="AC156" s="150"/>
    </row>
    <row r="157" spans="1:29" outlineLevel="1" x14ac:dyDescent="0.2">
      <c r="A157" s="51"/>
      <c r="B157" s="51"/>
      <c r="C157" s="150" t="s">
        <v>283</v>
      </c>
      <c r="D157" s="150" t="s">
        <v>310</v>
      </c>
      <c r="E157" s="150"/>
      <c r="F157" s="150" t="s">
        <v>265</v>
      </c>
      <c r="G157" s="150"/>
      <c r="H157" s="150"/>
      <c r="I157" s="150"/>
      <c r="J157" s="199"/>
      <c r="K157" s="199">
        <f t="shared" si="17"/>
        <v>0</v>
      </c>
      <c r="L157" s="150"/>
      <c r="M157" s="150"/>
      <c r="N157" s="150"/>
      <c r="O157" s="150"/>
      <c r="P157" s="150"/>
      <c r="Q157" s="150"/>
      <c r="R157" s="150"/>
      <c r="S157" s="187">
        <f>SUMIFS(S$113:S$118,$D$113:$D$118,$D157,$F$113:$F$118,$F157)*SUMIFS('INPUT Growth'!$X$64:$X$115,'INPUT Growth'!$C$64:$C$115,'INPUT Capex'!$C157,'INPUT Growth'!$D$64:$D$115,'INPUT Capex'!$D157,'INPUT Growth'!$F$64:$F$115,'INPUT Capex'!$F157)/SUMIFS('INPUT Growth'!$X$64:$X$115,'INPUT Growth'!$D$64:$D$115,'INPUT Capex'!$D157,'INPUT Growth'!$F$64:$F$115,'INPUT Capex'!$F157)</f>
        <v>0</v>
      </c>
      <c r="T157" s="187">
        <f>SUMIFS(T$113:T$118,$D$113:$D$118,$D157,$F$113:$F$118,$F157)*SUMIFS('INPUT Growth'!$X$64:$X$115,'INPUT Growth'!$C$64:$C$115,'INPUT Capex'!$C157,'INPUT Growth'!$D$64:$D$115,'INPUT Capex'!$D157,'INPUT Growth'!$F$64:$F$115,'INPUT Capex'!$F157)/SUMIFS('INPUT Growth'!$X$64:$X$115,'INPUT Growth'!$D$64:$D$115,'INPUT Capex'!$D157,'INPUT Growth'!$F$64:$F$115,'INPUT Capex'!$F157)</f>
        <v>0</v>
      </c>
      <c r="U157" s="187">
        <f>SUMIFS(U$113:U$118,$D$113:$D$118,$D157,$F$113:$F$118,$F157)*SUMIFS('INPUT Growth'!$X$64:$X$115,'INPUT Growth'!$C$64:$C$115,'INPUT Capex'!$C157,'INPUT Growth'!$D$64:$D$115,'INPUT Capex'!$D157,'INPUT Growth'!$F$64:$F$115,'INPUT Capex'!$F157)/SUMIFS('INPUT Growth'!$X$64:$X$115,'INPUT Growth'!$D$64:$D$115,'INPUT Capex'!$D157,'INPUT Growth'!$F$64:$F$115,'INPUT Capex'!$F157)</f>
        <v>0</v>
      </c>
      <c r="V157" s="187">
        <f>SUMIFS(V$113:V$118,$D$113:$D$118,$D157,$F$113:$F$118,$F157)*SUMIFS('INPUT Growth'!$X$64:$X$115,'INPUT Growth'!$C$64:$C$115,'INPUT Capex'!$C157,'INPUT Growth'!$D$64:$D$115,'INPUT Capex'!$D157,'INPUT Growth'!$F$64:$F$115,'INPUT Capex'!$F157)/SUMIFS('INPUT Growth'!$X$64:$X$115,'INPUT Growth'!$D$64:$D$115,'INPUT Capex'!$D157,'INPUT Growth'!$F$64:$F$115,'INPUT Capex'!$F157)</f>
        <v>0</v>
      </c>
      <c r="W157" s="187">
        <f>SUMIFS(W$113:W$118,$D$113:$D$118,$D157,$F$113:$F$118,$F157)*SUMIFS('INPUT Growth'!$X$64:$X$115,'INPUT Growth'!$C$64:$C$115,'INPUT Capex'!$C157,'INPUT Growth'!$D$64:$D$115,'INPUT Capex'!$D157,'INPUT Growth'!$F$64:$F$115,'INPUT Capex'!$F157)/SUMIFS('INPUT Growth'!$X$64:$X$115,'INPUT Growth'!$D$64:$D$115,'INPUT Capex'!$D157,'INPUT Growth'!$F$64:$F$115,'INPUT Capex'!$F157)</f>
        <v>0</v>
      </c>
      <c r="X157" s="187">
        <f>SUMIFS(X$113:X$118,$D$113:$D$118,$D157,$F$113:$F$118,$F157)*SUMIFS('INPUT Growth'!$X$64:$X$115,'INPUT Growth'!$C$64:$C$115,'INPUT Capex'!$C157,'INPUT Growth'!$D$64:$D$115,'INPUT Capex'!$D157,'INPUT Growth'!$F$64:$F$115,'INPUT Capex'!$F157)/SUMIFS('INPUT Growth'!$X$64:$X$115,'INPUT Growth'!$D$64:$D$115,'INPUT Capex'!$D157,'INPUT Growth'!$F$64:$F$115,'INPUT Capex'!$F157)</f>
        <v>0</v>
      </c>
      <c r="Y157" s="187">
        <f>SUMIFS(Y$113:Y$118,$D$113:$D$118,$D157,$F$113:$F$118,$F157)*SUMIFS('INPUT Growth'!$X$64:$X$115,'INPUT Growth'!$C$64:$C$115,'INPUT Capex'!$C157,'INPUT Growth'!$D$64:$D$115,'INPUT Capex'!$D157,'INPUT Growth'!$F$64:$F$115,'INPUT Capex'!$F157)/SUMIFS('INPUT Growth'!$X$64:$X$115,'INPUT Growth'!$D$64:$D$115,'INPUT Capex'!$D157,'INPUT Growth'!$F$64:$F$115,'INPUT Capex'!$F157)</f>
        <v>0</v>
      </c>
      <c r="Z157" s="210">
        <f>SUMIFS(Z$113:Z$118,$D$113:$D$118,$D157,$F$113:$F$118,$F157)*SUMIFS('INPUT Growth'!$X$64:$X$115,'INPUT Growth'!$C$64:$C$115,'INPUT Capex'!$C157,'INPUT Growth'!$D$64:$D$115,'INPUT Capex'!$D157,'INPUT Growth'!$F$64:$F$115,'INPUT Capex'!$F157)/SUMIFS('INPUT Growth'!$X$64:$X$115,'INPUT Growth'!$D$64:$D$115,'INPUT Capex'!$D157,'INPUT Growth'!$F$64:$F$115,'INPUT Capex'!$F157)</f>
        <v>0</v>
      </c>
      <c r="AA157" s="211">
        <f>SUMIFS(AA$113:AA$118,$D$113:$D$118,$D157,$F$113:$F$118,$F157)*SUMIFS('INPUT Growth'!$X$64:$X$115,'INPUT Growth'!$C$64:$C$115,'INPUT Capex'!$C157,'INPUT Growth'!$D$64:$D$115,'INPUT Capex'!$D157,'INPUT Growth'!$F$64:$F$115,'INPUT Capex'!$F157)/SUMIFS('INPUT Growth'!$X$64:$X$115,'INPUT Growth'!$D$64:$D$115,'INPUT Capex'!$D157,'INPUT Growth'!$F$64:$F$115,'INPUT Capex'!$F157)</f>
        <v>0</v>
      </c>
      <c r="AB157" s="187">
        <f>SUMIFS(AB$113:AB$118,$D$113:$D$118,$D157,$F$113:$F$118,$F157)*SUMIFS('INPUT Growth'!$X$64:$X$115,'INPUT Growth'!$C$64:$C$115,'INPUT Capex'!$C157,'INPUT Growth'!$D$64:$D$115,'INPUT Capex'!$D157,'INPUT Growth'!$F$64:$F$115,'INPUT Capex'!$F157)/SUMIFS('INPUT Growth'!$X$64:$X$115,'INPUT Growth'!$D$64:$D$115,'INPUT Capex'!$D157,'INPUT Growth'!$F$64:$F$115,'INPUT Capex'!$F157)</f>
        <v>0</v>
      </c>
      <c r="AC157" s="150"/>
    </row>
    <row r="158" spans="1:29" outlineLevel="1" x14ac:dyDescent="0.2">
      <c r="A158" s="51"/>
      <c r="B158" s="51"/>
      <c r="C158" s="150" t="s">
        <v>312</v>
      </c>
      <c r="D158" s="150" t="s">
        <v>310</v>
      </c>
      <c r="E158" s="150"/>
      <c r="F158" s="150" t="s">
        <v>265</v>
      </c>
      <c r="G158" s="150"/>
      <c r="H158" s="150"/>
      <c r="I158" s="150"/>
      <c r="J158" s="199"/>
      <c r="K158" s="199">
        <f t="shared" si="17"/>
        <v>59873914.507286377</v>
      </c>
      <c r="L158" s="150"/>
      <c r="M158" s="150"/>
      <c r="N158" s="150"/>
      <c r="O158" s="150"/>
      <c r="P158" s="150"/>
      <c r="Q158" s="150"/>
      <c r="R158" s="150"/>
      <c r="S158" s="187">
        <f>SUMIFS(S$113:S$118,$D$113:$D$118,$D158,$F$113:$F$118,$F158)*SUMIFS('INPUT Growth'!$X$64:$X$115,'INPUT Growth'!$C$64:$C$115,'INPUT Capex'!$C158,'INPUT Growth'!$D$64:$D$115,'INPUT Capex'!$D158,'INPUT Growth'!$F$64:$F$115,'INPUT Capex'!$F158)/SUMIFS('INPUT Growth'!$X$64:$X$115,'INPUT Growth'!$D$64:$D$115,'INPUT Capex'!$D158,'INPUT Growth'!$F$64:$F$115,'INPUT Capex'!$F158)</f>
        <v>1460466.6100578359</v>
      </c>
      <c r="T158" s="187">
        <f>SUMIFS(T$113:T$118,$D$113:$D$118,$D158,$F$113:$F$118,$F158)*SUMIFS('INPUT Growth'!$X$64:$X$115,'INPUT Growth'!$C$64:$C$115,'INPUT Capex'!$C158,'INPUT Growth'!$D$64:$D$115,'INPUT Capex'!$D158,'INPUT Growth'!$F$64:$F$115,'INPUT Capex'!$F158)/SUMIFS('INPUT Growth'!$X$64:$X$115,'INPUT Growth'!$D$64:$D$115,'INPUT Capex'!$D158,'INPUT Growth'!$F$64:$F$115,'INPUT Capex'!$F158)</f>
        <v>1782124.8371528531</v>
      </c>
      <c r="U158" s="187">
        <f>SUMIFS(U$113:U$118,$D$113:$D$118,$D158,$F$113:$F$118,$F158)*SUMIFS('INPUT Growth'!$X$64:$X$115,'INPUT Growth'!$C$64:$C$115,'INPUT Capex'!$C158,'INPUT Growth'!$D$64:$D$115,'INPUT Capex'!$D158,'INPUT Growth'!$F$64:$F$115,'INPUT Capex'!$F158)/SUMIFS('INPUT Growth'!$X$64:$X$115,'INPUT Growth'!$D$64:$D$115,'INPUT Capex'!$D158,'INPUT Growth'!$F$64:$F$115,'INPUT Capex'!$F158)</f>
        <v>3626247.8157731676</v>
      </c>
      <c r="V158" s="187">
        <f>SUMIFS(V$113:V$118,$D$113:$D$118,$D158,$F$113:$F$118,$F158)*SUMIFS('INPUT Growth'!$X$64:$X$115,'INPUT Growth'!$C$64:$C$115,'INPUT Capex'!$C158,'INPUT Growth'!$D$64:$D$115,'INPUT Capex'!$D158,'INPUT Growth'!$F$64:$F$115,'INPUT Capex'!$F158)/SUMIFS('INPUT Growth'!$X$64:$X$115,'INPUT Growth'!$D$64:$D$115,'INPUT Capex'!$D158,'INPUT Growth'!$F$64:$F$115,'INPUT Capex'!$F158)</f>
        <v>1018412.8417692507</v>
      </c>
      <c r="W158" s="187">
        <f>SUMIFS(W$113:W$118,$D$113:$D$118,$D158,$F$113:$F$118,$F158)*SUMIFS('INPUT Growth'!$X$64:$X$115,'INPUT Growth'!$C$64:$C$115,'INPUT Capex'!$C158,'INPUT Growth'!$D$64:$D$115,'INPUT Capex'!$D158,'INPUT Growth'!$F$64:$F$115,'INPUT Capex'!$F158)/SUMIFS('INPUT Growth'!$X$64:$X$115,'INPUT Growth'!$D$64:$D$115,'INPUT Capex'!$D158,'INPUT Growth'!$F$64:$F$115,'INPUT Capex'!$F158)</f>
        <v>3245908.1678886246</v>
      </c>
      <c r="X158" s="187">
        <f>SUMIFS(X$113:X$118,$D$113:$D$118,$D158,$F$113:$F$118,$F158)*SUMIFS('INPUT Growth'!$X$64:$X$115,'INPUT Growth'!$C$64:$C$115,'INPUT Capex'!$C158,'INPUT Growth'!$D$64:$D$115,'INPUT Capex'!$D158,'INPUT Growth'!$F$64:$F$115,'INPUT Capex'!$F158)/SUMIFS('INPUT Growth'!$X$64:$X$115,'INPUT Growth'!$D$64:$D$115,'INPUT Capex'!$D158,'INPUT Growth'!$F$64:$F$115,'INPUT Capex'!$F158)</f>
        <v>7343517.507414151</v>
      </c>
      <c r="Y158" s="187">
        <f>SUMIFS(Y$113:Y$118,$D$113:$D$118,$D158,$F$113:$F$118,$F158)*SUMIFS('INPUT Growth'!$X$64:$X$115,'INPUT Growth'!$C$64:$C$115,'INPUT Capex'!$C158,'INPUT Growth'!$D$64:$D$115,'INPUT Capex'!$D158,'INPUT Growth'!$F$64:$F$115,'INPUT Capex'!$F158)/SUMIFS('INPUT Growth'!$X$64:$X$115,'INPUT Growth'!$D$64:$D$115,'INPUT Capex'!$D158,'INPUT Growth'!$F$64:$F$115,'INPUT Capex'!$F158)</f>
        <v>9716112.1604420952</v>
      </c>
      <c r="Z158" s="210">
        <f>SUMIFS(Z$113:Z$118,$D$113:$D$118,$D158,$F$113:$F$118,$F158)*SUMIFS('INPUT Growth'!$X$64:$X$115,'INPUT Growth'!$C$64:$C$115,'INPUT Capex'!$C158,'INPUT Growth'!$D$64:$D$115,'INPUT Capex'!$D158,'INPUT Growth'!$F$64:$F$115,'INPUT Capex'!$F158)/SUMIFS('INPUT Growth'!$X$64:$X$115,'INPUT Growth'!$D$64:$D$115,'INPUT Capex'!$D158,'INPUT Growth'!$F$64:$F$115,'INPUT Capex'!$F158)</f>
        <v>20578625.159316115</v>
      </c>
      <c r="AA158" s="211">
        <f>SUMIFS(AA$113:AA$118,$D$113:$D$118,$D158,$F$113:$F$118,$F158)*SUMIFS('INPUT Growth'!$X$64:$X$115,'INPUT Growth'!$C$64:$C$115,'INPUT Capex'!$C158,'INPUT Growth'!$D$64:$D$115,'INPUT Capex'!$D158,'INPUT Growth'!$F$64:$F$115,'INPUT Capex'!$F158)/SUMIFS('INPUT Growth'!$X$64:$X$115,'INPUT Growth'!$D$64:$D$115,'INPUT Capex'!$D158,'INPUT Growth'!$F$64:$F$115,'INPUT Capex'!$F158)</f>
        <v>7579064.101331275</v>
      </c>
      <c r="AB158" s="187">
        <f>SUMIFS(AB$113:AB$118,$D$113:$D$118,$D158,$F$113:$F$118,$F158)*SUMIFS('INPUT Growth'!$X$64:$X$115,'INPUT Growth'!$C$64:$C$115,'INPUT Capex'!$C158,'INPUT Growth'!$D$64:$D$115,'INPUT Capex'!$D158,'INPUT Growth'!$F$64:$F$115,'INPUT Capex'!$F158)/SUMIFS('INPUT Growth'!$X$64:$X$115,'INPUT Growth'!$D$64:$D$115,'INPUT Capex'!$D158,'INPUT Growth'!$F$64:$F$115,'INPUT Capex'!$F158)</f>
        <v>3523435.3061410105</v>
      </c>
      <c r="AC158" s="150"/>
    </row>
    <row r="159" spans="1:29" outlineLevel="1" x14ac:dyDescent="0.2">
      <c r="A159" s="51"/>
      <c r="B159" s="51"/>
      <c r="C159" s="83" t="s">
        <v>523</v>
      </c>
      <c r="D159" s="150"/>
      <c r="E159" s="150"/>
      <c r="F159" s="150"/>
      <c r="G159" s="150"/>
      <c r="H159" s="150"/>
      <c r="I159" s="150"/>
      <c r="J159" s="150"/>
      <c r="K159" s="150"/>
      <c r="L159" s="150"/>
      <c r="M159" s="150"/>
      <c r="N159" s="150"/>
      <c r="O159" s="150"/>
      <c r="P159" s="150"/>
      <c r="Q159" s="150"/>
      <c r="R159" s="150"/>
      <c r="S159" s="85">
        <f>SUM(S149:S158)-SUM(S113:S118)</f>
        <v>0</v>
      </c>
      <c r="T159" s="85">
        <f t="shared" ref="T159:AB159" si="18">SUM(T149:T158)-SUM(T113:T118)</f>
        <v>0</v>
      </c>
      <c r="U159" s="85">
        <f t="shared" si="18"/>
        <v>0</v>
      </c>
      <c r="V159" s="85">
        <f t="shared" si="18"/>
        <v>0</v>
      </c>
      <c r="W159" s="85">
        <f t="shared" si="18"/>
        <v>0</v>
      </c>
      <c r="X159" s="85">
        <f t="shared" si="18"/>
        <v>0</v>
      </c>
      <c r="Y159" s="85">
        <f t="shared" si="18"/>
        <v>0</v>
      </c>
      <c r="Z159" s="85">
        <f t="shared" si="18"/>
        <v>0</v>
      </c>
      <c r="AA159" s="85">
        <f t="shared" si="18"/>
        <v>0</v>
      </c>
      <c r="AB159" s="85">
        <f t="shared" si="18"/>
        <v>0</v>
      </c>
      <c r="AC159" s="150"/>
    </row>
    <row r="160" spans="1:29" outlineLevel="1" x14ac:dyDescent="0.2">
      <c r="A160" s="51"/>
      <c r="B160" s="51"/>
      <c r="C160" s="64" t="s">
        <v>612</v>
      </c>
      <c r="D160" s="150"/>
      <c r="E160" s="150"/>
      <c r="F160" s="150"/>
      <c r="G160" s="150"/>
      <c r="H160" s="150"/>
      <c r="I160" s="150"/>
      <c r="J160" s="86"/>
      <c r="K160" s="150"/>
      <c r="L160" s="150"/>
      <c r="M160" s="150"/>
      <c r="N160" s="150"/>
      <c r="O160" s="150"/>
      <c r="P160" s="150"/>
      <c r="Q160" s="150"/>
      <c r="R160" s="150"/>
      <c r="S160" s="150"/>
      <c r="T160" s="150"/>
      <c r="U160" s="150"/>
      <c r="V160" s="150"/>
      <c r="W160" s="150"/>
      <c r="X160" s="85"/>
      <c r="Y160" s="85"/>
      <c r="Z160" s="85"/>
      <c r="AA160" s="85"/>
      <c r="AB160" s="85"/>
      <c r="AC160" s="150"/>
    </row>
    <row r="161" spans="2:30" outlineLevel="1" x14ac:dyDescent="0.2">
      <c r="B161" s="64"/>
      <c r="C161" s="150"/>
      <c r="D161" s="64" t="s">
        <v>506</v>
      </c>
      <c r="E161" s="150"/>
      <c r="F161" s="64" t="s">
        <v>589</v>
      </c>
      <c r="G161" s="64" t="s">
        <v>590</v>
      </c>
      <c r="H161" s="150"/>
      <c r="I161" s="64" t="s">
        <v>136</v>
      </c>
      <c r="J161" s="64"/>
      <c r="K161" s="150"/>
      <c r="L161" s="150"/>
      <c r="M161" s="150"/>
      <c r="N161" s="150"/>
      <c r="O161" s="150"/>
      <c r="P161" s="150"/>
      <c r="Q161" s="150"/>
      <c r="R161" s="150"/>
      <c r="S161" s="150"/>
      <c r="T161" s="150"/>
      <c r="U161" s="150"/>
      <c r="V161" s="150"/>
      <c r="W161" s="150"/>
      <c r="X161" s="83" t="s">
        <v>591</v>
      </c>
      <c r="Y161" s="150"/>
      <c r="Z161" s="150"/>
      <c r="AA161" s="83" t="s">
        <v>592</v>
      </c>
      <c r="AB161" s="77"/>
      <c r="AC161" s="77"/>
      <c r="AD161" s="77"/>
    </row>
    <row r="162" spans="2:30" outlineLevel="1" x14ac:dyDescent="0.2">
      <c r="B162" s="64"/>
      <c r="C162" s="150"/>
      <c r="D162" s="150" t="s">
        <v>301</v>
      </c>
      <c r="E162" s="150"/>
      <c r="F162" s="150" t="s">
        <v>262</v>
      </c>
      <c r="G162" s="150" t="s">
        <v>594</v>
      </c>
      <c r="H162" s="150"/>
      <c r="I162" s="201">
        <v>90</v>
      </c>
      <c r="J162" s="150"/>
      <c r="K162" s="150"/>
      <c r="L162" s="150"/>
      <c r="M162" s="150"/>
      <c r="N162" s="150"/>
      <c r="O162" s="150"/>
      <c r="P162" s="150"/>
      <c r="Q162" s="150"/>
      <c r="R162" s="150"/>
      <c r="S162" s="187">
        <f>SUM(S121:$S121)/$I162</f>
        <v>0</v>
      </c>
      <c r="T162" s="187">
        <f>SUM($S121:T121)/$I162</f>
        <v>0</v>
      </c>
      <c r="U162" s="187">
        <f>SUM($S121:U121)/$I162</f>
        <v>0</v>
      </c>
      <c r="V162" s="187">
        <f>SUM($S121:V121)/$I162</f>
        <v>0</v>
      </c>
      <c r="W162" s="187">
        <f>SUM($S121:W121)/$I162</f>
        <v>0</v>
      </c>
      <c r="X162" s="187">
        <f>SUM($S121:X121)/$I162</f>
        <v>0</v>
      </c>
      <c r="Y162" s="187">
        <f>SUM($S121:Y121)/$I162</f>
        <v>0</v>
      </c>
      <c r="Z162" s="187">
        <f>SUM($S121:Z121)/$I162</f>
        <v>0</v>
      </c>
      <c r="AA162" s="187">
        <f>SUM($S121:AA121)/$I162</f>
        <v>0</v>
      </c>
      <c r="AB162" s="187">
        <f>SUM($S121:AB121)/$I162</f>
        <v>0</v>
      </c>
      <c r="AC162" s="77"/>
      <c r="AD162" s="77"/>
    </row>
    <row r="163" spans="2:30" outlineLevel="1" x14ac:dyDescent="0.2">
      <c r="B163" s="150"/>
      <c r="C163" s="150"/>
      <c r="D163" s="150" t="s">
        <v>301</v>
      </c>
      <c r="E163" s="150"/>
      <c r="F163" s="150" t="s">
        <v>262</v>
      </c>
      <c r="G163" s="150" t="s">
        <v>595</v>
      </c>
      <c r="H163" s="150"/>
      <c r="I163" s="201">
        <v>80</v>
      </c>
      <c r="J163" s="150"/>
      <c r="K163" s="150"/>
      <c r="L163" s="150"/>
      <c r="M163" s="150"/>
      <c r="N163" s="150"/>
      <c r="O163" s="150"/>
      <c r="P163" s="150"/>
      <c r="Q163" s="150"/>
      <c r="R163" s="150"/>
      <c r="S163" s="187">
        <f>SUM(S122:$S122)/$I163</f>
        <v>0</v>
      </c>
      <c r="T163" s="187">
        <f>SUM($S122:T122)/$I163</f>
        <v>0</v>
      </c>
      <c r="U163" s="187">
        <f>SUM($S122:U122)/$I163</f>
        <v>0</v>
      </c>
      <c r="V163" s="187">
        <f>SUM($S122:V122)/$I163</f>
        <v>0</v>
      </c>
      <c r="W163" s="187">
        <f>SUM($S122:W122)/$I163</f>
        <v>0</v>
      </c>
      <c r="X163" s="187">
        <f>SUM($S122:X122)/$I163</f>
        <v>0</v>
      </c>
      <c r="Y163" s="187">
        <f>SUM($S122:Y122)/$I163</f>
        <v>0</v>
      </c>
      <c r="Z163" s="187">
        <f>SUM($S122:Z122)/$I163</f>
        <v>0</v>
      </c>
      <c r="AA163" s="187">
        <f>SUM($S122:AA122)/$I163</f>
        <v>0</v>
      </c>
      <c r="AB163" s="187">
        <f>SUM($S122:AB122)/$I163</f>
        <v>0</v>
      </c>
      <c r="AC163" s="77"/>
      <c r="AD163" s="77"/>
    </row>
    <row r="164" spans="2:30" outlineLevel="1" x14ac:dyDescent="0.2">
      <c r="B164" s="150"/>
      <c r="C164" s="150"/>
      <c r="D164" s="150" t="s">
        <v>301</v>
      </c>
      <c r="E164" s="150"/>
      <c r="F164" s="150" t="s">
        <v>262</v>
      </c>
      <c r="G164" s="150" t="s">
        <v>596</v>
      </c>
      <c r="H164" s="150"/>
      <c r="I164" s="201">
        <v>90</v>
      </c>
      <c r="J164" s="150"/>
      <c r="K164" s="150"/>
      <c r="L164" s="150"/>
      <c r="M164" s="150"/>
      <c r="N164" s="150"/>
      <c r="O164" s="150"/>
      <c r="P164" s="150"/>
      <c r="Q164" s="150"/>
      <c r="R164" s="150"/>
      <c r="S164" s="187">
        <f>SUM(S123:$S123)/$I164</f>
        <v>242826.2558177083</v>
      </c>
      <c r="T164" s="187">
        <f>SUM($S123:T123)/$I164</f>
        <v>390884.96860265452</v>
      </c>
      <c r="U164" s="187">
        <f>SUM($S123:U123)/$I164</f>
        <v>605026.23456832243</v>
      </c>
      <c r="V164" s="187">
        <f>SUM($S123:V123)/$I164</f>
        <v>766477.44169832871</v>
      </c>
      <c r="W164" s="187">
        <f>SUM($S123:W123)/$I164</f>
        <v>953032.46716499527</v>
      </c>
      <c r="X164" s="187">
        <f>SUM($S123:X123)/$I164</f>
        <v>1174399.7778008746</v>
      </c>
      <c r="Y164" s="187">
        <f>SUM($S123:Y123)/$I164</f>
        <v>1463192.6688917305</v>
      </c>
      <c r="Z164" s="187">
        <f>SUM($S123:Z123)/$I164</f>
        <v>1658277.1952485058</v>
      </c>
      <c r="AA164" s="187">
        <f>SUM($S123:AA123)/$I164</f>
        <v>2037278.2122029872</v>
      </c>
      <c r="AB164" s="187">
        <f>SUM($S123:AB123)/$I164</f>
        <v>2722423.5118742976</v>
      </c>
      <c r="AC164" s="88"/>
      <c r="AD164" s="77"/>
    </row>
    <row r="165" spans="2:30" outlineLevel="1" x14ac:dyDescent="0.2">
      <c r="B165" s="150"/>
      <c r="C165" s="150"/>
      <c r="D165" s="150" t="s">
        <v>301</v>
      </c>
      <c r="E165" s="150"/>
      <c r="F165" s="150" t="s">
        <v>262</v>
      </c>
      <c r="G165" s="150" t="s">
        <v>597</v>
      </c>
      <c r="H165" s="150"/>
      <c r="I165" s="201">
        <v>90</v>
      </c>
      <c r="J165" s="150"/>
      <c r="K165" s="150"/>
      <c r="L165" s="150"/>
      <c r="M165" s="150"/>
      <c r="N165" s="150"/>
      <c r="O165" s="150"/>
      <c r="P165" s="150"/>
      <c r="Q165" s="150"/>
      <c r="R165" s="150"/>
      <c r="S165" s="187">
        <f>SUM(S124:$S124)/$I165</f>
        <v>0</v>
      </c>
      <c r="T165" s="187">
        <f>SUM($S124:T124)/$I165</f>
        <v>0</v>
      </c>
      <c r="U165" s="187">
        <f>SUM($S124:U124)/$I165</f>
        <v>0</v>
      </c>
      <c r="V165" s="187">
        <f>SUM($S124:V124)/$I165</f>
        <v>0</v>
      </c>
      <c r="W165" s="187">
        <f>SUM($S124:W124)/$I165</f>
        <v>0</v>
      </c>
      <c r="X165" s="187">
        <f>SUM($S124:X124)/$I165</f>
        <v>0</v>
      </c>
      <c r="Y165" s="187">
        <f>SUM($S124:Y124)/$I165</f>
        <v>0</v>
      </c>
      <c r="Z165" s="187">
        <f>SUM($S124:Z124)/$I165</f>
        <v>0</v>
      </c>
      <c r="AA165" s="187">
        <f>SUM($S124:AA124)/$I165</f>
        <v>0</v>
      </c>
      <c r="AB165" s="187">
        <f>SUM($S124:AB124)/$I165</f>
        <v>0</v>
      </c>
      <c r="AC165" s="88"/>
      <c r="AD165" s="77"/>
    </row>
    <row r="166" spans="2:30" outlineLevel="1" x14ac:dyDescent="0.2">
      <c r="B166" s="150"/>
      <c r="C166" s="150"/>
      <c r="D166" s="150" t="s">
        <v>301</v>
      </c>
      <c r="E166" s="150"/>
      <c r="F166" s="150" t="s">
        <v>262</v>
      </c>
      <c r="G166" s="150" t="s">
        <v>598</v>
      </c>
      <c r="H166" s="150"/>
      <c r="I166" s="201">
        <v>30</v>
      </c>
      <c r="J166" s="150"/>
      <c r="K166" s="150"/>
      <c r="L166" s="150"/>
      <c r="M166" s="150"/>
      <c r="N166" s="150"/>
      <c r="O166" s="150"/>
      <c r="P166" s="150"/>
      <c r="Q166" s="150"/>
      <c r="R166" s="150"/>
      <c r="S166" s="187">
        <f>SUM(S125:$S125)/$I166</f>
        <v>0</v>
      </c>
      <c r="T166" s="187">
        <f>SUM($S125:T125)/$I166</f>
        <v>0</v>
      </c>
      <c r="U166" s="187">
        <f>SUM($S125:U125)/$I166</f>
        <v>0</v>
      </c>
      <c r="V166" s="187">
        <f>SUM($S125:V125)/$I166</f>
        <v>0</v>
      </c>
      <c r="W166" s="187">
        <f>SUM($S125:W125)/$I166</f>
        <v>0</v>
      </c>
      <c r="X166" s="187">
        <f>SUM($S125:X125)/$I166</f>
        <v>0</v>
      </c>
      <c r="Y166" s="187">
        <f>SUM($S125:Y125)/$I166</f>
        <v>0</v>
      </c>
      <c r="Z166" s="187">
        <f>SUM($S125:Z125)/$I166</f>
        <v>0</v>
      </c>
      <c r="AA166" s="187">
        <f>SUM($S125:AA125)/$I166</f>
        <v>0</v>
      </c>
      <c r="AB166" s="187">
        <f>SUM($S125:AB125)/$I166</f>
        <v>0</v>
      </c>
      <c r="AC166" s="88"/>
      <c r="AD166" s="77"/>
    </row>
    <row r="167" spans="2:30" outlineLevel="1" x14ac:dyDescent="0.2">
      <c r="B167" s="150"/>
      <c r="C167" s="150"/>
      <c r="D167" s="150" t="s">
        <v>303</v>
      </c>
      <c r="E167" s="150"/>
      <c r="F167" s="150" t="s">
        <v>262</v>
      </c>
      <c r="G167" s="150" t="s">
        <v>594</v>
      </c>
      <c r="H167" s="150"/>
      <c r="I167" s="201">
        <v>90</v>
      </c>
      <c r="J167" s="150"/>
      <c r="K167" s="150"/>
      <c r="L167" s="150"/>
      <c r="M167" s="150"/>
      <c r="N167" s="150"/>
      <c r="O167" s="150"/>
      <c r="P167" s="150"/>
      <c r="Q167" s="150"/>
      <c r="R167" s="150"/>
      <c r="S167" s="187">
        <f>SUM(S126:$S126)/$I167</f>
        <v>0</v>
      </c>
      <c r="T167" s="187">
        <f>SUM($S126:T126)/$I167</f>
        <v>0</v>
      </c>
      <c r="U167" s="187">
        <f>SUM($S126:U126)/$I167</f>
        <v>0</v>
      </c>
      <c r="V167" s="187">
        <f>SUM($S126:V126)/$I167</f>
        <v>0</v>
      </c>
      <c r="W167" s="187">
        <f>SUM($S126:W126)/$I167</f>
        <v>0</v>
      </c>
      <c r="X167" s="187">
        <f>SUM($S126:X126)/$I167</f>
        <v>0</v>
      </c>
      <c r="Y167" s="187">
        <f>SUM($S126:Y126)/$I167</f>
        <v>0</v>
      </c>
      <c r="Z167" s="187">
        <f>SUM($S126:Z126)/$I167</f>
        <v>0</v>
      </c>
      <c r="AA167" s="187">
        <f>SUM($S126:AA126)/$I167</f>
        <v>0</v>
      </c>
      <c r="AB167" s="187">
        <f>SUM($S126:AB126)/$I167</f>
        <v>0</v>
      </c>
      <c r="AC167" s="88"/>
      <c r="AD167" s="77"/>
    </row>
    <row r="168" spans="2:30" outlineLevel="1" x14ac:dyDescent="0.2">
      <c r="B168" s="150"/>
      <c r="C168" s="150"/>
      <c r="D168" s="150" t="s">
        <v>303</v>
      </c>
      <c r="E168" s="150"/>
      <c r="F168" s="150" t="s">
        <v>262</v>
      </c>
      <c r="G168" s="150" t="s">
        <v>595</v>
      </c>
      <c r="H168" s="150"/>
      <c r="I168" s="201">
        <v>80</v>
      </c>
      <c r="J168" s="150"/>
      <c r="K168" s="150"/>
      <c r="L168" s="150"/>
      <c r="M168" s="150"/>
      <c r="N168" s="150"/>
      <c r="O168" s="150"/>
      <c r="P168" s="150"/>
      <c r="Q168" s="150"/>
      <c r="R168" s="150"/>
      <c r="S168" s="187">
        <f>SUM(S127:$S127)/$I168</f>
        <v>0</v>
      </c>
      <c r="T168" s="187">
        <f>SUM($S127:T127)/$I168</f>
        <v>0</v>
      </c>
      <c r="U168" s="187">
        <f>SUM($S127:U127)/$I168</f>
        <v>0</v>
      </c>
      <c r="V168" s="187">
        <f>SUM($S127:V127)/$I168</f>
        <v>0</v>
      </c>
      <c r="W168" s="187">
        <f>SUM($S127:W127)/$I168</f>
        <v>0</v>
      </c>
      <c r="X168" s="187">
        <f>SUM($S127:X127)/$I168</f>
        <v>0</v>
      </c>
      <c r="Y168" s="187">
        <f>SUM($S127:Y127)/$I168</f>
        <v>0</v>
      </c>
      <c r="Z168" s="187">
        <f>SUM($S127:Z127)/$I168</f>
        <v>0</v>
      </c>
      <c r="AA168" s="187">
        <f>SUM($S127:AA127)/$I168</f>
        <v>0</v>
      </c>
      <c r="AB168" s="187">
        <f>SUM($S127:AB127)/$I168</f>
        <v>0</v>
      </c>
      <c r="AC168" s="88"/>
      <c r="AD168" s="77"/>
    </row>
    <row r="169" spans="2:30" outlineLevel="1" x14ac:dyDescent="0.2">
      <c r="B169" s="150"/>
      <c r="C169" s="150"/>
      <c r="D169" s="150" t="s">
        <v>303</v>
      </c>
      <c r="E169" s="150"/>
      <c r="F169" s="150" t="s">
        <v>262</v>
      </c>
      <c r="G169" s="150" t="s">
        <v>596</v>
      </c>
      <c r="H169" s="150"/>
      <c r="I169" s="201">
        <v>90</v>
      </c>
      <c r="J169" s="150"/>
      <c r="K169" s="150"/>
      <c r="L169" s="150"/>
      <c r="M169" s="150"/>
      <c r="N169" s="150"/>
      <c r="O169" s="150"/>
      <c r="P169" s="150"/>
      <c r="Q169" s="150"/>
      <c r="R169" s="150"/>
      <c r="S169" s="187">
        <f>SUM(S128:$S128)/$I169</f>
        <v>84427.814486979158</v>
      </c>
      <c r="T169" s="187">
        <f>SUM($S128:T128)/$I169</f>
        <v>125041.04878805444</v>
      </c>
      <c r="U169" s="187">
        <f>SUM($S128:U128)/$I169</f>
        <v>340012.35957644391</v>
      </c>
      <c r="V169" s="187">
        <f>SUM($S128:V128)/$I169</f>
        <v>529837.10528069537</v>
      </c>
      <c r="W169" s="187">
        <f>SUM($S128:W128)/$I169</f>
        <v>882577.59861402877</v>
      </c>
      <c r="X169" s="187">
        <f>SUM($S128:X128)/$I169</f>
        <v>1336825.5718354615</v>
      </c>
      <c r="Y169" s="187">
        <f>SUM($S128:Y128)/$I169</f>
        <v>1963389.0610145442</v>
      </c>
      <c r="Z169" s="187">
        <f>SUM($S128:Z128)/$I169</f>
        <v>2444051.4475880149</v>
      </c>
      <c r="AA169" s="187">
        <f>SUM($S128:AA128)/$I169</f>
        <v>3088590.5149400081</v>
      </c>
      <c r="AB169" s="187">
        <f>SUM($S128:AB128)/$I169</f>
        <v>3974212.8381801075</v>
      </c>
      <c r="AC169" s="88"/>
      <c r="AD169" s="77"/>
    </row>
    <row r="170" spans="2:30" outlineLevel="1" x14ac:dyDescent="0.2">
      <c r="B170" s="150"/>
      <c r="C170" s="150"/>
      <c r="D170" s="150" t="s">
        <v>303</v>
      </c>
      <c r="E170" s="150"/>
      <c r="F170" s="150" t="s">
        <v>262</v>
      </c>
      <c r="G170" s="150" t="s">
        <v>597</v>
      </c>
      <c r="H170" s="150"/>
      <c r="I170" s="201">
        <v>90</v>
      </c>
      <c r="J170" s="150"/>
      <c r="K170" s="150"/>
      <c r="L170" s="150"/>
      <c r="M170" s="150"/>
      <c r="N170" s="150"/>
      <c r="O170" s="150"/>
      <c r="P170" s="150"/>
      <c r="Q170" s="150"/>
      <c r="R170" s="150"/>
      <c r="S170" s="187">
        <f>SUM(S129:$S129)/$I170</f>
        <v>0</v>
      </c>
      <c r="T170" s="187">
        <f>SUM($S129:T129)/$I170</f>
        <v>0</v>
      </c>
      <c r="U170" s="187">
        <f>SUM($S129:U129)/$I170</f>
        <v>0</v>
      </c>
      <c r="V170" s="187">
        <f>SUM($S129:V129)/$I170</f>
        <v>0</v>
      </c>
      <c r="W170" s="187">
        <f>SUM($S129:W129)/$I170</f>
        <v>0</v>
      </c>
      <c r="X170" s="187">
        <f>SUM($S129:X129)/$I170</f>
        <v>0</v>
      </c>
      <c r="Y170" s="187">
        <f>SUM($S129:Y129)/$I170</f>
        <v>0</v>
      </c>
      <c r="Z170" s="187">
        <f>SUM($S129:Z129)/$I170</f>
        <v>0</v>
      </c>
      <c r="AA170" s="187">
        <f>SUM($S129:AA129)/$I170</f>
        <v>0</v>
      </c>
      <c r="AB170" s="187">
        <f>SUM($S129:AB129)/$I170</f>
        <v>0</v>
      </c>
      <c r="AC170" s="88"/>
      <c r="AD170" s="77"/>
    </row>
    <row r="171" spans="2:30" outlineLevel="1" x14ac:dyDescent="0.2">
      <c r="B171" s="150"/>
      <c r="C171" s="150"/>
      <c r="D171" s="150" t="s">
        <v>310</v>
      </c>
      <c r="E171" s="150"/>
      <c r="F171" s="150" t="s">
        <v>262</v>
      </c>
      <c r="G171" s="150" t="s">
        <v>594</v>
      </c>
      <c r="H171" s="150"/>
      <c r="I171" s="201">
        <v>90</v>
      </c>
      <c r="J171" s="150"/>
      <c r="K171" s="150"/>
      <c r="L171" s="150"/>
      <c r="M171" s="150"/>
      <c r="N171" s="150"/>
      <c r="O171" s="150"/>
      <c r="P171" s="150"/>
      <c r="Q171" s="150"/>
      <c r="R171" s="150"/>
      <c r="S171" s="187">
        <f>SUM(S130:$S130)/$I171</f>
        <v>0</v>
      </c>
      <c r="T171" s="187">
        <f>SUM($S130:T130)/$I171</f>
        <v>0</v>
      </c>
      <c r="U171" s="187">
        <f>SUM($S130:U130)/$I171</f>
        <v>0</v>
      </c>
      <c r="V171" s="187">
        <f>SUM($S130:V130)/$I171</f>
        <v>0</v>
      </c>
      <c r="W171" s="187">
        <f>SUM($S130:W130)/$I171</f>
        <v>0</v>
      </c>
      <c r="X171" s="187">
        <f>SUM($S130:X130)/$I171</f>
        <v>0</v>
      </c>
      <c r="Y171" s="187">
        <f>SUM($S130:Y130)/$I171</f>
        <v>0</v>
      </c>
      <c r="Z171" s="187">
        <f>SUM($S130:Z130)/$I171</f>
        <v>0</v>
      </c>
      <c r="AA171" s="187">
        <f>SUM($S130:AA130)/$I171</f>
        <v>0</v>
      </c>
      <c r="AB171" s="187">
        <f>SUM($S130:AB130)/$I171</f>
        <v>0</v>
      </c>
      <c r="AC171" s="88"/>
      <c r="AD171" s="77"/>
    </row>
    <row r="172" spans="2:30" outlineLevel="1" x14ac:dyDescent="0.2">
      <c r="B172" s="150"/>
      <c r="C172" s="150"/>
      <c r="D172" s="150" t="s">
        <v>310</v>
      </c>
      <c r="E172" s="150"/>
      <c r="F172" s="150" t="s">
        <v>262</v>
      </c>
      <c r="G172" s="150" t="s">
        <v>595</v>
      </c>
      <c r="H172" s="150"/>
      <c r="I172" s="201">
        <v>80</v>
      </c>
      <c r="J172" s="150"/>
      <c r="K172" s="150"/>
      <c r="L172" s="150"/>
      <c r="M172" s="150"/>
      <c r="N172" s="150"/>
      <c r="O172" s="150"/>
      <c r="P172" s="150"/>
      <c r="Q172" s="150"/>
      <c r="R172" s="150"/>
      <c r="S172" s="187">
        <f>SUM(S131:$S131)/$I172</f>
        <v>0</v>
      </c>
      <c r="T172" s="187">
        <f>SUM($S131:T131)/$I172</f>
        <v>0</v>
      </c>
      <c r="U172" s="187">
        <f>SUM($S131:U131)/$I172</f>
        <v>0</v>
      </c>
      <c r="V172" s="187">
        <f>SUM($S131:V131)/$I172</f>
        <v>0</v>
      </c>
      <c r="W172" s="187">
        <f>SUM($S131:W131)/$I172</f>
        <v>0</v>
      </c>
      <c r="X172" s="187">
        <f>SUM($S131:X131)/$I172</f>
        <v>0</v>
      </c>
      <c r="Y172" s="187">
        <f>SUM($S131:Y131)/$I172</f>
        <v>0</v>
      </c>
      <c r="Z172" s="187">
        <f>SUM($S131:Z131)/$I172</f>
        <v>0</v>
      </c>
      <c r="AA172" s="187">
        <f>SUM($S131:AA131)/$I172</f>
        <v>0</v>
      </c>
      <c r="AB172" s="187">
        <f>SUM($S131:AB131)/$I172</f>
        <v>0</v>
      </c>
      <c r="AC172" s="88"/>
      <c r="AD172" s="77"/>
    </row>
    <row r="173" spans="2:30" outlineLevel="1" x14ac:dyDescent="0.2">
      <c r="B173" s="150"/>
      <c r="C173" s="150"/>
      <c r="D173" s="150" t="s">
        <v>310</v>
      </c>
      <c r="E173" s="150"/>
      <c r="F173" s="150" t="s">
        <v>262</v>
      </c>
      <c r="G173" s="150" t="s">
        <v>596</v>
      </c>
      <c r="H173" s="150"/>
      <c r="I173" s="201">
        <v>90</v>
      </c>
      <c r="J173" s="150"/>
      <c r="K173" s="150"/>
      <c r="L173" s="150"/>
      <c r="M173" s="150"/>
      <c r="N173" s="150"/>
      <c r="O173" s="150"/>
      <c r="P173" s="150"/>
      <c r="Q173" s="150"/>
      <c r="R173" s="150"/>
      <c r="S173" s="187">
        <f>SUM(S132:$S132)/$I173</f>
        <v>179898.74775911454</v>
      </c>
      <c r="T173" s="187">
        <f>SUM($S132:T132)/$I173</f>
        <v>321532.72397416842</v>
      </c>
      <c r="U173" s="187">
        <f>SUM($S132:U132)/$I173</f>
        <v>559760.94217204617</v>
      </c>
      <c r="V173" s="187">
        <f>SUM($S132:V132)/$I173</f>
        <v>844988.91575368505</v>
      </c>
      <c r="W173" s="187">
        <f>SUM($S132:W132)/$I173</f>
        <v>1140062.4528203518</v>
      </c>
      <c r="X173" s="187">
        <f>SUM($S132:X132)/$I173</f>
        <v>1313480.0580263908</v>
      </c>
      <c r="Y173" s="187">
        <f>SUM($S132:Y132)/$I173</f>
        <v>1444658.9967777783</v>
      </c>
      <c r="Z173" s="187">
        <f>SUM($S132:Z132)/$I173</f>
        <v>1502405.5635227757</v>
      </c>
      <c r="AA173" s="187">
        <f>SUM($S132:AA132)/$I173</f>
        <v>1890343.4345863888</v>
      </c>
      <c r="AB173" s="187">
        <f>SUM($S132:AB132)/$I173</f>
        <v>2634243.0123244757</v>
      </c>
      <c r="AC173" s="88"/>
      <c r="AD173" s="77"/>
    </row>
    <row r="174" spans="2:30" outlineLevel="1" x14ac:dyDescent="0.2">
      <c r="B174" s="150"/>
      <c r="C174" s="150"/>
      <c r="D174" s="150" t="s">
        <v>310</v>
      </c>
      <c r="E174" s="150"/>
      <c r="F174" s="150" t="s">
        <v>262</v>
      </c>
      <c r="G174" s="150" t="s">
        <v>597</v>
      </c>
      <c r="H174" s="150"/>
      <c r="I174" s="201">
        <v>90</v>
      </c>
      <c r="J174" s="150"/>
      <c r="K174" s="150"/>
      <c r="L174" s="150"/>
      <c r="M174" s="150"/>
      <c r="N174" s="150"/>
      <c r="O174" s="150"/>
      <c r="P174" s="150"/>
      <c r="Q174" s="150"/>
      <c r="R174" s="150"/>
      <c r="S174" s="187">
        <f>SUM(S133:$S133)/$I174</f>
        <v>0</v>
      </c>
      <c r="T174" s="187">
        <f>SUM($S133:T133)/$I174</f>
        <v>0</v>
      </c>
      <c r="U174" s="187">
        <f>SUM($S133:U133)/$I174</f>
        <v>0</v>
      </c>
      <c r="V174" s="187">
        <f>SUM($S133:V133)/$I174</f>
        <v>0</v>
      </c>
      <c r="W174" s="187">
        <f>SUM($S133:W133)/$I174</f>
        <v>0</v>
      </c>
      <c r="X174" s="187">
        <f>SUM($S133:X133)/$I174</f>
        <v>0</v>
      </c>
      <c r="Y174" s="187">
        <f>SUM($S133:Y133)/$I174</f>
        <v>0</v>
      </c>
      <c r="Z174" s="187">
        <f>SUM($S133:Z133)/$I174</f>
        <v>0</v>
      </c>
      <c r="AA174" s="187">
        <f>SUM($S133:AA133)/$I174</f>
        <v>0</v>
      </c>
      <c r="AB174" s="187">
        <f>SUM($S133:AB133)/$I174</f>
        <v>0</v>
      </c>
      <c r="AC174" s="88"/>
      <c r="AD174" s="77"/>
    </row>
    <row r="175" spans="2:30" outlineLevel="1" x14ac:dyDescent="0.2">
      <c r="B175" s="150"/>
      <c r="C175" s="150"/>
      <c r="D175" s="150" t="s">
        <v>310</v>
      </c>
      <c r="E175" s="150"/>
      <c r="F175" s="150" t="s">
        <v>262</v>
      </c>
      <c r="G175" s="150" t="s">
        <v>599</v>
      </c>
      <c r="H175" s="150"/>
      <c r="I175" s="201">
        <v>90</v>
      </c>
      <c r="J175" s="150"/>
      <c r="K175" s="150"/>
      <c r="L175" s="150"/>
      <c r="M175" s="150"/>
      <c r="N175" s="150"/>
      <c r="O175" s="150"/>
      <c r="P175" s="150"/>
      <c r="Q175" s="150"/>
      <c r="R175" s="150"/>
      <c r="S175" s="187">
        <f>SUM(S134:$S134)/$I175</f>
        <v>0</v>
      </c>
      <c r="T175" s="187">
        <f>SUM($S134:T134)/$I175</f>
        <v>0</v>
      </c>
      <c r="U175" s="187">
        <f>SUM($S134:U134)/$I175</f>
        <v>0</v>
      </c>
      <c r="V175" s="187">
        <f>SUM($S134:V134)/$I175</f>
        <v>0</v>
      </c>
      <c r="W175" s="187">
        <f>SUM($S134:W134)/$I175</f>
        <v>0</v>
      </c>
      <c r="X175" s="187">
        <f>SUM($S134:X134)/$I175</f>
        <v>0</v>
      </c>
      <c r="Y175" s="187">
        <f>SUM($S134:Y134)/$I175</f>
        <v>0</v>
      </c>
      <c r="Z175" s="187">
        <f>SUM($S134:Z134)/$I175</f>
        <v>0</v>
      </c>
      <c r="AA175" s="187">
        <f>SUM($S134:AA134)/$I175</f>
        <v>0</v>
      </c>
      <c r="AB175" s="187">
        <f>SUM($S134:AB134)/$I175</f>
        <v>0</v>
      </c>
      <c r="AC175" s="88"/>
      <c r="AD175" s="77"/>
    </row>
    <row r="176" spans="2:30" outlineLevel="1" x14ac:dyDescent="0.2">
      <c r="B176" s="150"/>
      <c r="C176" s="150"/>
      <c r="D176" s="90" t="s">
        <v>600</v>
      </c>
      <c r="E176" s="90"/>
      <c r="F176" s="90" t="s">
        <v>262</v>
      </c>
      <c r="G176" s="90" t="s">
        <v>594</v>
      </c>
      <c r="H176" s="150"/>
      <c r="I176" s="201">
        <v>90</v>
      </c>
      <c r="J176" s="150"/>
      <c r="K176" s="150"/>
      <c r="L176" s="150"/>
      <c r="M176" s="150"/>
      <c r="N176" s="150"/>
      <c r="O176" s="150"/>
      <c r="P176" s="150"/>
      <c r="Q176" s="150"/>
      <c r="R176" s="150"/>
      <c r="S176" s="187">
        <f>SUM(S135:$S135)/$I176</f>
        <v>0</v>
      </c>
      <c r="T176" s="187">
        <f>SUM($S135:T135)/$I176</f>
        <v>0</v>
      </c>
      <c r="U176" s="187">
        <f>SUM($S135:U135)/$I176</f>
        <v>0</v>
      </c>
      <c r="V176" s="187">
        <f>SUM($S135:V135)/$I176</f>
        <v>0</v>
      </c>
      <c r="W176" s="187">
        <f>SUM($S135:W135)/$I176</f>
        <v>0</v>
      </c>
      <c r="X176" s="187">
        <f>SUM($S135:X135)/$I176</f>
        <v>0</v>
      </c>
      <c r="Y176" s="187">
        <f>SUM($S135:Y135)/$I176</f>
        <v>0</v>
      </c>
      <c r="Z176" s="187">
        <f>SUM($S135:Z135)/$I176</f>
        <v>0</v>
      </c>
      <c r="AA176" s="187">
        <f>SUM($S135:AA135)/$I176</f>
        <v>0</v>
      </c>
      <c r="AB176" s="187">
        <f>SUM($S135:AB135)/$I176</f>
        <v>0</v>
      </c>
      <c r="AC176" s="150"/>
      <c r="AD176" s="77"/>
    </row>
    <row r="177" spans="3:30" outlineLevel="1" x14ac:dyDescent="0.2">
      <c r="C177" s="150"/>
      <c r="D177" s="90" t="s">
        <v>600</v>
      </c>
      <c r="E177" s="90"/>
      <c r="F177" s="90" t="s">
        <v>262</v>
      </c>
      <c r="G177" s="90" t="s">
        <v>596</v>
      </c>
      <c r="H177" s="83"/>
      <c r="I177" s="201">
        <v>15</v>
      </c>
      <c r="J177" s="150"/>
      <c r="K177" s="150"/>
      <c r="L177" s="150"/>
      <c r="M177" s="150"/>
      <c r="N177" s="150"/>
      <c r="O177" s="150"/>
      <c r="P177" s="150"/>
      <c r="Q177" s="150"/>
      <c r="R177" s="150"/>
      <c r="S177" s="187">
        <f>SUM(S136:$S136)/$I177</f>
        <v>0</v>
      </c>
      <c r="T177" s="187">
        <f>SUM($S136:T136)/$I177</f>
        <v>0</v>
      </c>
      <c r="U177" s="187">
        <f>SUM($S136:U136)/$I177</f>
        <v>0</v>
      </c>
      <c r="V177" s="187">
        <f>SUM($S136:V136)/$I177</f>
        <v>0</v>
      </c>
      <c r="W177" s="187">
        <f>SUM($S136:W136)/$I177</f>
        <v>0</v>
      </c>
      <c r="X177" s="187">
        <f>SUM($S136:X136)/$I177</f>
        <v>0</v>
      </c>
      <c r="Y177" s="187">
        <f>SUM($S136:Y136)/$I177</f>
        <v>0</v>
      </c>
      <c r="Z177" s="187">
        <f>SUM($S136:Z136)/$I177</f>
        <v>0</v>
      </c>
      <c r="AA177" s="187">
        <f>SUM($S136:AA136)/$I177</f>
        <v>144368.97691942324</v>
      </c>
      <c r="AB177" s="187">
        <f>SUM($S136:AB136)/$I177</f>
        <v>144368.97691942324</v>
      </c>
      <c r="AC177" s="150"/>
      <c r="AD177" s="77"/>
    </row>
    <row r="178" spans="3:30" outlineLevel="1" x14ac:dyDescent="0.2">
      <c r="C178" s="150"/>
      <c r="D178" s="90" t="s">
        <v>600</v>
      </c>
      <c r="E178" s="90"/>
      <c r="F178" s="90" t="s">
        <v>262</v>
      </c>
      <c r="G178" s="90" t="s">
        <v>597</v>
      </c>
      <c r="H178" s="150"/>
      <c r="I178" s="201">
        <v>15</v>
      </c>
      <c r="J178" s="150"/>
      <c r="K178" s="150"/>
      <c r="L178" s="150"/>
      <c r="M178" s="150"/>
      <c r="N178" s="150"/>
      <c r="O178" s="150"/>
      <c r="P178" s="150"/>
      <c r="Q178" s="150"/>
      <c r="R178" s="150"/>
      <c r="S178" s="187">
        <f>SUM(S137:$S137)/$I178</f>
        <v>0</v>
      </c>
      <c r="T178" s="187">
        <f>SUM($S137:T137)/$I178</f>
        <v>0</v>
      </c>
      <c r="U178" s="187">
        <f>SUM($S137:U137)/$I178</f>
        <v>0</v>
      </c>
      <c r="V178" s="187">
        <f>SUM($S137:V137)/$I178</f>
        <v>0</v>
      </c>
      <c r="W178" s="187">
        <f>SUM($S137:W137)/$I178</f>
        <v>0</v>
      </c>
      <c r="X178" s="187">
        <f>SUM($S137:X137)/$I178</f>
        <v>0</v>
      </c>
      <c r="Y178" s="187">
        <f>SUM($S137:Y137)/$I178</f>
        <v>0</v>
      </c>
      <c r="Z178" s="187">
        <f>SUM($S137:Z137)/$I178</f>
        <v>0</v>
      </c>
      <c r="AA178" s="187">
        <f>SUM($S137:AA137)/$I178</f>
        <v>0</v>
      </c>
      <c r="AB178" s="187">
        <f>SUM($S137:AB137)/$I178</f>
        <v>0</v>
      </c>
      <c r="AC178" s="150"/>
      <c r="AD178" s="77"/>
    </row>
    <row r="179" spans="3:30" outlineLevel="1" x14ac:dyDescent="0.2">
      <c r="C179" s="150"/>
      <c r="D179" s="90" t="s">
        <v>600</v>
      </c>
      <c r="E179" s="90"/>
      <c r="F179" s="90" t="s">
        <v>262</v>
      </c>
      <c r="G179" s="90" t="s">
        <v>601</v>
      </c>
      <c r="H179" s="150"/>
      <c r="I179" s="201">
        <v>15</v>
      </c>
      <c r="J179" s="150"/>
      <c r="K179" s="150"/>
      <c r="L179" s="150"/>
      <c r="M179" s="150"/>
      <c r="N179" s="150"/>
      <c r="O179" s="150"/>
      <c r="P179" s="150"/>
      <c r="Q179" s="150"/>
      <c r="R179" s="150"/>
      <c r="S179" s="187">
        <f>SUM(S138:$S138)/$I179</f>
        <v>0</v>
      </c>
      <c r="T179" s="187">
        <f>SUM($S138:T138)/$I179</f>
        <v>0</v>
      </c>
      <c r="U179" s="187">
        <f>SUM($S138:U138)/$I179</f>
        <v>0</v>
      </c>
      <c r="V179" s="187">
        <f>SUM($S138:V138)/$I179</f>
        <v>0</v>
      </c>
      <c r="W179" s="187">
        <f>SUM($S138:W138)/$I179</f>
        <v>0</v>
      </c>
      <c r="X179" s="187">
        <f>SUM($S138:X138)/$I179</f>
        <v>0</v>
      </c>
      <c r="Y179" s="187">
        <f>SUM($S138:Y138)/$I179</f>
        <v>0</v>
      </c>
      <c r="Z179" s="187">
        <f>SUM($S138:Z138)/$I179</f>
        <v>0</v>
      </c>
      <c r="AA179" s="187">
        <f>SUM($S138:AA138)/$I179</f>
        <v>0</v>
      </c>
      <c r="AB179" s="187">
        <f>SUM($S138:AB138)/$I179</f>
        <v>0</v>
      </c>
      <c r="AC179" s="150"/>
      <c r="AD179" s="77"/>
    </row>
    <row r="180" spans="3:30" outlineLevel="1" x14ac:dyDescent="0.2">
      <c r="C180" s="150"/>
      <c r="D180" s="150" t="s">
        <v>600</v>
      </c>
      <c r="E180" s="150"/>
      <c r="F180" s="150" t="s">
        <v>262</v>
      </c>
      <c r="G180" s="150" t="s">
        <v>602</v>
      </c>
      <c r="H180" s="150"/>
      <c r="I180" s="201">
        <v>15</v>
      </c>
      <c r="J180" s="150"/>
      <c r="K180" s="150"/>
      <c r="L180" s="150"/>
      <c r="M180" s="150"/>
      <c r="N180" s="150"/>
      <c r="O180" s="150"/>
      <c r="P180" s="150"/>
      <c r="Q180" s="150"/>
      <c r="R180" s="150"/>
      <c r="S180" s="187">
        <f>SUM(S139:$S139)/$I180</f>
        <v>0</v>
      </c>
      <c r="T180" s="187">
        <f>SUM($S139:T139)/$I180</f>
        <v>0</v>
      </c>
      <c r="U180" s="187">
        <f>SUM($S139:U139)/$I180</f>
        <v>0</v>
      </c>
      <c r="V180" s="187">
        <f>SUM($S139:V139)/$I180</f>
        <v>0</v>
      </c>
      <c r="W180" s="187">
        <f>SUM($S139:W139)/$I180</f>
        <v>0</v>
      </c>
      <c r="X180" s="187">
        <f>SUM($S139:X139)/$I180</f>
        <v>0</v>
      </c>
      <c r="Y180" s="187">
        <f>SUM($S139:Y139)/$I180</f>
        <v>0</v>
      </c>
      <c r="Z180" s="187">
        <f>SUM($S139:Z139)/$I180</f>
        <v>0</v>
      </c>
      <c r="AA180" s="187">
        <f>SUM($S139:AA139)/$I180</f>
        <v>0</v>
      </c>
      <c r="AB180" s="187">
        <f>SUM($S139:AB139)/$I180</f>
        <v>0</v>
      </c>
      <c r="AC180" s="88"/>
      <c r="AD180" s="77"/>
    </row>
    <row r="181" spans="3:30" outlineLevel="1" x14ac:dyDescent="0.2">
      <c r="C181" s="150"/>
      <c r="D181" s="150" t="s">
        <v>600</v>
      </c>
      <c r="E181" s="150"/>
      <c r="F181" s="150" t="s">
        <v>262</v>
      </c>
      <c r="G181" s="150" t="s">
        <v>603</v>
      </c>
      <c r="H181" s="150"/>
      <c r="I181" s="201">
        <v>15</v>
      </c>
      <c r="J181" s="150"/>
      <c r="K181" s="150"/>
      <c r="L181" s="150"/>
      <c r="M181" s="150"/>
      <c r="N181" s="150"/>
      <c r="O181" s="150"/>
      <c r="P181" s="150"/>
      <c r="Q181" s="150"/>
      <c r="R181" s="150"/>
      <c r="S181" s="187">
        <f>SUM(S140:$S140)/$I181</f>
        <v>0</v>
      </c>
      <c r="T181" s="187">
        <f>SUM($S140:T140)/$I181</f>
        <v>0</v>
      </c>
      <c r="U181" s="187">
        <f>SUM($S140:U140)/$I181</f>
        <v>0</v>
      </c>
      <c r="V181" s="187">
        <f>SUM($S140:V140)/$I181</f>
        <v>0</v>
      </c>
      <c r="W181" s="187">
        <f>SUM($S140:W140)/$I181</f>
        <v>0</v>
      </c>
      <c r="X181" s="187">
        <f>SUM($S140:X140)/$I181</f>
        <v>0</v>
      </c>
      <c r="Y181" s="187">
        <f>SUM($S140:Y140)/$I181</f>
        <v>0</v>
      </c>
      <c r="Z181" s="187">
        <f>SUM($S140:Z140)/$I181</f>
        <v>0</v>
      </c>
      <c r="AA181" s="187">
        <f>SUM($S140:AA140)/$I181</f>
        <v>0</v>
      </c>
      <c r="AB181" s="187">
        <f>SUM($S140:AB140)/$I181</f>
        <v>0</v>
      </c>
      <c r="AC181" s="88"/>
      <c r="AD181" s="77"/>
    </row>
    <row r="182" spans="3:30" outlineLevel="1" x14ac:dyDescent="0.2">
      <c r="C182" s="150"/>
      <c r="D182" s="150" t="s">
        <v>310</v>
      </c>
      <c r="E182" s="150"/>
      <c r="F182" s="150" t="s">
        <v>265</v>
      </c>
      <c r="G182" s="150" t="s">
        <v>596</v>
      </c>
      <c r="H182" s="150"/>
      <c r="I182" s="201">
        <v>90</v>
      </c>
      <c r="J182" s="150"/>
      <c r="K182" s="150"/>
      <c r="L182" s="150"/>
      <c r="M182" s="150"/>
      <c r="N182" s="150"/>
      <c r="O182" s="150"/>
      <c r="P182" s="150"/>
      <c r="Q182" s="150"/>
      <c r="R182" s="150"/>
      <c r="S182" s="187">
        <f>SUM(S141:$S141)/$I182</f>
        <v>14969.447949218746</v>
      </c>
      <c r="T182" s="187">
        <f>SUM($S141:T141)/$I182</f>
        <v>33655.324486853155</v>
      </c>
      <c r="U182" s="187">
        <f>SUM($S141:U141)/$I182</f>
        <v>73059.19766163468</v>
      </c>
      <c r="V182" s="187">
        <f>SUM($S141:V141)/$I182</f>
        <v>83861.185279626065</v>
      </c>
      <c r="W182" s="187">
        <f>SUM($S141:W141)/$I182</f>
        <v>115189.57687962605</v>
      </c>
      <c r="X182" s="187">
        <f>SUM($S141:X141)/$I182</f>
        <v>188643.60111467639</v>
      </c>
      <c r="Y182" s="187">
        <f>SUM($S141:Y141)/$I182</f>
        <v>284788.3594623247</v>
      </c>
      <c r="Z182" s="187">
        <f>SUM($S141:Z141)/$I182</f>
        <v>507459.0435212155</v>
      </c>
      <c r="AA182" s="187">
        <f>SUM($S141:AA141)/$I182</f>
        <v>507459.0435212155</v>
      </c>
      <c r="AB182" s="187">
        <f>SUM($S141:AB141)/$I182</f>
        <v>507459.0435212155</v>
      </c>
      <c r="AC182" s="88"/>
      <c r="AD182" s="77"/>
    </row>
    <row r="183" spans="3:30" outlineLevel="1" x14ac:dyDescent="0.2">
      <c r="C183" s="150"/>
      <c r="D183" s="150" t="s">
        <v>303</v>
      </c>
      <c r="E183" s="150"/>
      <c r="F183" s="150" t="s">
        <v>265</v>
      </c>
      <c r="G183" s="150" t="s">
        <v>596</v>
      </c>
      <c r="H183" s="150"/>
      <c r="I183" s="201">
        <v>90</v>
      </c>
      <c r="J183" s="150"/>
      <c r="K183" s="150"/>
      <c r="L183" s="150"/>
      <c r="M183" s="150"/>
      <c r="N183" s="150"/>
      <c r="O183" s="150"/>
      <c r="P183" s="150"/>
      <c r="Q183" s="150"/>
      <c r="R183" s="150"/>
      <c r="S183" s="187">
        <f>SUM(S142:$S142)/$I183</f>
        <v>37549.811880208326</v>
      </c>
      <c r="T183" s="187">
        <f>SUM($S142:T142)/$I183</f>
        <v>98906.46361139114</v>
      </c>
      <c r="U183" s="187">
        <f>SUM($S142:U142)/$I183</f>
        <v>548291.01982799557</v>
      </c>
      <c r="V183" s="187">
        <f>SUM($S142:V142)/$I183</f>
        <v>710207.92134432332</v>
      </c>
      <c r="W183" s="187">
        <f>SUM($S142:W142)/$I183</f>
        <v>1129607.2632109898</v>
      </c>
      <c r="X183" s="187">
        <f>SUM($S142:X142)/$I183</f>
        <v>1467297.1221494151</v>
      </c>
      <c r="Y183" s="187">
        <f>SUM($S142:Y142)/$I183</f>
        <v>1888370.4343276212</v>
      </c>
      <c r="Z183" s="187">
        <f>SUM($S142:Z142)/$I183</f>
        <v>2318141.6334688445</v>
      </c>
      <c r="AA183" s="187">
        <f>SUM($S142:AA142)/$I183</f>
        <v>2318141.6334688445</v>
      </c>
      <c r="AB183" s="187">
        <f>SUM($S142:AB142)/$I183</f>
        <v>2318141.6334688445</v>
      </c>
      <c r="AC183" s="88"/>
      <c r="AD183" s="150"/>
    </row>
    <row r="184" spans="3:30" outlineLevel="1" x14ac:dyDescent="0.2">
      <c r="C184" s="150"/>
      <c r="D184" s="150" t="s">
        <v>301</v>
      </c>
      <c r="E184" s="150"/>
      <c r="F184" s="150" t="s">
        <v>265</v>
      </c>
      <c r="G184" s="150" t="s">
        <v>596</v>
      </c>
      <c r="H184" s="150"/>
      <c r="I184" s="201">
        <v>90</v>
      </c>
      <c r="J184" s="150"/>
      <c r="K184" s="150"/>
      <c r="L184" s="150"/>
      <c r="M184" s="150"/>
      <c r="N184" s="150"/>
      <c r="O184" s="150"/>
      <c r="P184" s="150"/>
      <c r="Q184" s="150"/>
      <c r="R184" s="150"/>
      <c r="S184" s="187">
        <f>SUM(S143:$S143)/$I184</f>
        <v>4480.7545690104171</v>
      </c>
      <c r="T184" s="187">
        <f>SUM($S143:T143)/$I184</f>
        <v>16902.211515246974</v>
      </c>
      <c r="U184" s="187">
        <f>SUM($S143:U143)/$I184</f>
        <v>122957.12691162649</v>
      </c>
      <c r="V184" s="187">
        <f>SUM($S143:V143)/$I184</f>
        <v>174715.7137637522</v>
      </c>
      <c r="W184" s="187">
        <f>SUM($S143:W143)/$I184</f>
        <v>271073.84509708552</v>
      </c>
      <c r="X184" s="187">
        <f>SUM($S143:X143)/$I184</f>
        <v>453267.09795558162</v>
      </c>
      <c r="Y184" s="187">
        <f>SUM($S143:Y143)/$I184</f>
        <v>585393.27201868407</v>
      </c>
      <c r="Z184" s="187">
        <f>SUM($S143:Z143)/$I184</f>
        <v>798900.05018849543</v>
      </c>
      <c r="AA184" s="187">
        <f>SUM($S143:AA143)/$I184</f>
        <v>798900.05018849543</v>
      </c>
      <c r="AB184" s="187">
        <f>SUM($S143:AB143)/$I184</f>
        <v>798900.05018849543</v>
      </c>
      <c r="AC184" s="88"/>
      <c r="AD184" s="150"/>
    </row>
    <row r="185" spans="3:30" ht="14.45" customHeight="1" outlineLevel="1" x14ac:dyDescent="0.2">
      <c r="C185" s="150"/>
      <c r="D185" s="150" t="s">
        <v>600</v>
      </c>
      <c r="E185" s="150"/>
      <c r="F185" s="150" t="s">
        <v>265</v>
      </c>
      <c r="G185" s="150" t="s">
        <v>596</v>
      </c>
      <c r="H185" s="150"/>
      <c r="I185" s="216">
        <v>15</v>
      </c>
      <c r="J185" s="150"/>
      <c r="K185" s="150"/>
      <c r="L185" s="150"/>
      <c r="M185" s="150"/>
      <c r="N185" s="150"/>
      <c r="O185" s="150"/>
      <c r="P185" s="150"/>
      <c r="Q185" s="150"/>
      <c r="R185" s="150"/>
      <c r="S185" s="194">
        <f>SUM(S144:$S144)/$I185</f>
        <v>0</v>
      </c>
      <c r="T185" s="187">
        <f>SUM($S144:T144)/$I185</f>
        <v>0</v>
      </c>
      <c r="U185" s="187">
        <f>SUM($S144:U144)/$I185</f>
        <v>15804.834865168541</v>
      </c>
      <c r="V185" s="187">
        <f>SUM($S144:V144)/$I185</f>
        <v>18375.313234854308</v>
      </c>
      <c r="W185" s="187">
        <f>SUM($S144:W144)/$I185</f>
        <v>98480.170034854294</v>
      </c>
      <c r="X185" s="187">
        <f>SUM($S144:X144)/$I185</f>
        <v>86995.936830591425</v>
      </c>
      <c r="Y185" s="187">
        <f>SUM($S144:Y144)/$I185</f>
        <v>146781.64476047747</v>
      </c>
      <c r="Z185" s="187">
        <f>SUM($S144:Z144)/$I185</f>
        <v>196059.97457179826</v>
      </c>
      <c r="AA185" s="187">
        <f>SUM($S144:AA144)/$I185</f>
        <v>196059.97457179826</v>
      </c>
      <c r="AB185" s="187">
        <f>SUM($S144:AB144)/$I185</f>
        <v>196059.97457179826</v>
      </c>
      <c r="AC185" s="88"/>
      <c r="AD185" s="150"/>
    </row>
    <row r="186" spans="3:30" outlineLevel="1" x14ac:dyDescent="0.2">
      <c r="C186" s="150"/>
      <c r="D186" s="150" t="s">
        <v>604</v>
      </c>
      <c r="E186" s="150"/>
      <c r="F186" s="150" t="s">
        <v>265</v>
      </c>
      <c r="G186" s="150" t="s">
        <v>596</v>
      </c>
      <c r="H186" s="83"/>
      <c r="I186" s="201">
        <v>90</v>
      </c>
      <c r="J186" s="150"/>
      <c r="K186" s="150"/>
      <c r="L186" s="150"/>
      <c r="M186" s="150"/>
      <c r="N186" s="150"/>
      <c r="O186" s="150"/>
      <c r="P186" s="150"/>
      <c r="Q186" s="150"/>
      <c r="R186" s="150"/>
      <c r="S186" s="194">
        <f>SUM(S145:$S145)/$I186</f>
        <v>4790.001048828125</v>
      </c>
      <c r="T186" s="187">
        <f>SUM($S145:T145)/$I186</f>
        <v>10309.921403666835</v>
      </c>
      <c r="U186" s="187">
        <f>SUM($S145:U145)/$I186</f>
        <v>21988.150874952727</v>
      </c>
      <c r="V186" s="187">
        <f>SUM($S145:V145)/$I186</f>
        <v>31625.5715718104</v>
      </c>
      <c r="W186" s="187">
        <f>SUM($S145:W145)/$I186</f>
        <v>57089.342238477089</v>
      </c>
      <c r="X186" s="187">
        <f>SUM($S145:X145)/$I186</f>
        <v>81394.318119471762</v>
      </c>
      <c r="Y186" s="187">
        <f>SUM($S145:Y145)/$I186</f>
        <v>102121.06608558337</v>
      </c>
      <c r="Z186" s="187">
        <f>SUM($S145:Z145)/$I186</f>
        <v>122076.41903298187</v>
      </c>
      <c r="AA186" s="187">
        <f>SUM($S145:AA145)/$I186</f>
        <v>122076.41903298187</v>
      </c>
      <c r="AB186" s="187">
        <f>SUM($S145:AB145)/$I186</f>
        <v>122076.41903298187</v>
      </c>
      <c r="AC186" s="88"/>
      <c r="AD186" s="150"/>
    </row>
    <row r="187" spans="3:30" outlineLevel="1" x14ac:dyDescent="0.2">
      <c r="C187" s="150"/>
      <c r="D187" s="150" t="s">
        <v>605</v>
      </c>
      <c r="E187" s="150"/>
      <c r="F187" s="150" t="s">
        <v>265</v>
      </c>
      <c r="G187" s="150" t="s">
        <v>596</v>
      </c>
      <c r="H187" s="150"/>
      <c r="I187" s="216">
        <v>15</v>
      </c>
      <c r="J187" s="150"/>
      <c r="K187" s="150"/>
      <c r="L187" s="150"/>
      <c r="M187" s="150"/>
      <c r="N187" s="150"/>
      <c r="O187" s="150"/>
      <c r="P187" s="150"/>
      <c r="Q187" s="150"/>
      <c r="R187" s="150"/>
      <c r="S187" s="187">
        <f>SUM(S146:$S146)/$I187</f>
        <v>0</v>
      </c>
      <c r="T187" s="187">
        <f>SUM($S146:T146)/$I187</f>
        <v>0</v>
      </c>
      <c r="U187" s="187">
        <f>SUM($S146:U146)/$I187</f>
        <v>0</v>
      </c>
      <c r="V187" s="187">
        <f>SUM($S146:V146)/$I187</f>
        <v>0</v>
      </c>
      <c r="W187" s="187">
        <f>SUM($S146:W146)/$I187</f>
        <v>35300.319999999992</v>
      </c>
      <c r="X187" s="187">
        <f>SUM($S146:X146)/$I187</f>
        <v>236852.40714387211</v>
      </c>
      <c r="Y187" s="187">
        <f>SUM($S146:Y146)/$I187</f>
        <v>528794.50497735152</v>
      </c>
      <c r="Z187" s="187">
        <f>SUM($S146:Z146)/$I187</f>
        <v>539063.88748850068</v>
      </c>
      <c r="AA187" s="187">
        <f>SUM($S146:AA146)/$I187</f>
        <v>539063.88748850068</v>
      </c>
      <c r="AB187" s="187">
        <f>SUM($S146:AB146)/$I187</f>
        <v>539063.88748850068</v>
      </c>
      <c r="AC187" s="88"/>
      <c r="AD187" s="150"/>
    </row>
    <row r="188" spans="3:30" outlineLevel="1" x14ac:dyDescent="0.2">
      <c r="C188" s="150"/>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c r="AA188" s="150"/>
      <c r="AB188" s="150"/>
      <c r="AC188" s="150"/>
      <c r="AD188" s="150"/>
    </row>
    <row r="189" spans="3:30" outlineLevel="1" x14ac:dyDescent="0.2">
      <c r="C189" s="150" t="s">
        <v>460</v>
      </c>
      <c r="D189" s="150"/>
      <c r="E189" s="150"/>
      <c r="F189" s="150"/>
      <c r="G189" s="150"/>
      <c r="H189" s="150"/>
      <c r="I189" s="150"/>
      <c r="J189" s="64"/>
      <c r="K189" s="150"/>
      <c r="L189" s="150"/>
      <c r="M189" s="150"/>
      <c r="N189" s="150"/>
      <c r="O189" s="150"/>
      <c r="P189" s="150"/>
      <c r="Q189" s="150"/>
      <c r="R189" s="150"/>
      <c r="S189" s="150"/>
      <c r="T189" s="150"/>
      <c r="U189" s="150"/>
      <c r="V189" s="150"/>
      <c r="W189" s="150"/>
      <c r="X189" s="150"/>
      <c r="Y189" s="150"/>
      <c r="Z189" s="150"/>
      <c r="AA189" s="150"/>
      <c r="AB189" s="150"/>
      <c r="AC189" s="150"/>
      <c r="AD189" s="150"/>
    </row>
    <row r="190" spans="3:30" outlineLevel="1" x14ac:dyDescent="0.2">
      <c r="C190" s="150"/>
      <c r="D190" s="150" t="s">
        <v>301</v>
      </c>
      <c r="E190" s="150"/>
      <c r="F190" s="150" t="s">
        <v>262</v>
      </c>
      <c r="G190" s="150" t="s">
        <v>596</v>
      </c>
      <c r="H190" s="150"/>
      <c r="I190" s="150"/>
      <c r="J190" s="199"/>
      <c r="K190" s="150"/>
      <c r="L190" s="150"/>
      <c r="M190" s="150"/>
      <c r="N190" s="150"/>
      <c r="O190" s="150"/>
      <c r="P190" s="150"/>
      <c r="Q190" s="150"/>
      <c r="R190" s="150"/>
      <c r="S190" s="187">
        <f>SUMIFS(S$162:S$187,$D$162:$D$187,$D190,$G$162:$G$187,$G190,$F$162:$F$187,$F190)+IF($F190="Western",SUM(S$185:S$187)*SUMIFS('INPUT Growth'!S$64:S$115,'INPUT Growth'!$F$64:$F$115,"Western",'INPUT Growth'!$D$64:$D$115,'INPUT Capex'!$D190)/SUMIFS('INPUT Growth'!S$64:S$115,'INPUT Growth'!$F$64:$F$115,"Western"),0)+S$177*SUMIFS('INPUT Growth'!S$64:S$115,'INPUT Growth'!$F$64:$F$115,'INPUT Capex'!$F190,'INPUT Growth'!$D$64:$D$115,'INPUT Capex'!$D190)/SUM('INPUT Growth'!S$64:S$115)</f>
        <v>242826.2558177083</v>
      </c>
      <c r="T190" s="187">
        <f>SUMIFS(T$162:T$187,$D$162:$D$187,$D190,$G$162:$G$187,$G190,$F$162:$F$187,$F190)+IF($F190="Western",SUM(T$185:T$187)*SUMIFS('INPUT Growth'!T$64:T$115,'INPUT Growth'!$F$64:$F$115,"Western",'INPUT Growth'!$D$64:$D$115,'INPUT Capex'!$D190)/SUMIFS('INPUT Growth'!T$64:T$115,'INPUT Growth'!$F$64:$F$115,"Western"),0)+T$177*SUMIFS('INPUT Growth'!T$64:T$115,'INPUT Growth'!$F$64:$F$115,'INPUT Capex'!$F190,'INPUT Growth'!$D$64:$D$115,'INPUT Capex'!$D190)/SUM('INPUT Growth'!T$64:T$115)</f>
        <v>390884.96860265452</v>
      </c>
      <c r="U190" s="187">
        <f>SUMIFS(U$162:U$187,$D$162:$D$187,$D190,$G$162:$G$187,$G190,$F$162:$F$187,$F190)+IF($F190="Western",SUM(U$185:U$187)*SUMIFS('INPUT Growth'!U$64:U$115,'INPUT Growth'!$F$64:$F$115,"Western",'INPUT Growth'!$D$64:$D$115,'INPUT Capex'!$D190)/SUMIFS('INPUT Growth'!U$64:U$115,'INPUT Growth'!$F$64:$F$115,"Western"),0)+U$177*SUMIFS('INPUT Growth'!U$64:U$115,'INPUT Growth'!$F$64:$F$115,'INPUT Capex'!$F190,'INPUT Growth'!$D$64:$D$115,'INPUT Capex'!$D190)/SUM('INPUT Growth'!U$64:U$115)</f>
        <v>605026.23456832243</v>
      </c>
      <c r="V190" s="187">
        <f>SUMIFS(V$162:V$187,$D$162:$D$187,$D190,$G$162:$G$187,$G190,$F$162:$F$187,$F190)+IF($F190="Western",SUM(V$185:V$187)*SUMIFS('INPUT Growth'!V$64:V$115,'INPUT Growth'!$F$64:$F$115,"Western",'INPUT Growth'!$D$64:$D$115,'INPUT Capex'!$D190)/SUMIFS('INPUT Growth'!V$64:V$115,'INPUT Growth'!$F$64:$F$115,"Western"),0)+V$177*SUMIFS('INPUT Growth'!V$64:V$115,'INPUT Growth'!$F$64:$F$115,'INPUT Capex'!$F190,'INPUT Growth'!$D$64:$D$115,'INPUT Capex'!$D190)/SUM('INPUT Growth'!V$64:V$115)</f>
        <v>766477.44169832871</v>
      </c>
      <c r="W190" s="187">
        <f>SUMIFS(W$162:W$187,$D$162:$D$187,$D190,$G$162:$G$187,$G190,$F$162:$F$187,$F190)+IF($F190="Western",SUM(W$185:W$187)*SUMIFS('INPUT Growth'!W$64:W$115,'INPUT Growth'!$F$64:$F$115,"Western",'INPUT Growth'!$D$64:$D$115,'INPUT Capex'!$D190)/SUMIFS('INPUT Growth'!W$64:W$115,'INPUT Growth'!$F$64:$F$115,"Western"),0)+W$177*SUMIFS('INPUT Growth'!W$64:W$115,'INPUT Growth'!$F$64:$F$115,'INPUT Capex'!$F190,'INPUT Growth'!$D$64:$D$115,'INPUT Capex'!$D190)/SUM('INPUT Growth'!W$64:W$115)</f>
        <v>953032.46716499527</v>
      </c>
      <c r="X190" s="187">
        <f>SUMIFS(X$162:X$187,$D$162:$D$187,$D190,$G$162:$G$187,$G190,$F$162:$F$187,$F190)+IF($F190="Western",SUM(X$185:X$187)*SUMIFS('INPUT Growth'!X$64:X$115,'INPUT Growth'!$F$64:$F$115,"Western",'INPUT Growth'!$D$64:$D$115,'INPUT Capex'!$D190)/SUMIFS('INPUT Growth'!X$64:X$115,'INPUT Growth'!$F$64:$F$115,"Western"),0)+X$177*SUMIFS('INPUT Growth'!X$64:X$115,'INPUT Growth'!$F$64:$F$115,'INPUT Capex'!$F190,'INPUT Growth'!$D$64:$D$115,'INPUT Capex'!$D190)/SUM('INPUT Growth'!X$64:X$115)</f>
        <v>1174399.7778008746</v>
      </c>
      <c r="Y190" s="187">
        <f>SUMIFS(Y$162:Y$187,$D$162:$D$187,$D190,$G$162:$G$187,$G190,$F$162:$F$187,$F190)+IF($F190="Western",SUM(Y$185:Y$187)*SUMIFS('INPUT Growth'!Y$64:Y$115,'INPUT Growth'!$F$64:$F$115,"Western",'INPUT Growth'!$D$64:$D$115,'INPUT Capex'!$D190)/SUMIFS('INPUT Growth'!Y$64:Y$115,'INPUT Growth'!$F$64:$F$115,"Western"),0)+Y$177*SUMIFS('INPUT Growth'!Y$64:Y$115,'INPUT Growth'!$F$64:$F$115,'INPUT Capex'!$F190,'INPUT Growth'!$D$64:$D$115,'INPUT Capex'!$D190)/SUM('INPUT Growth'!Y$64:Y$115)</f>
        <v>1463192.6688917305</v>
      </c>
      <c r="Z190" s="187">
        <f>SUMIFS(Z$162:Z$187,$D$162:$D$187,$D190,$G$162:$G$187,$G190,$F$162:$F$187,$F190)+IF($F190="Western",SUM(Z$185:Z$187)*SUMIFS('INPUT Growth'!Z$64:Z$115,'INPUT Growth'!$F$64:$F$115,"Western",'INPUT Growth'!$D$64:$D$115,'INPUT Capex'!$D190)/SUMIFS('INPUT Growth'!Z$64:Z$115,'INPUT Growth'!$F$64:$F$115,"Western"),0)+Z$177*SUMIFS('INPUT Growth'!Z$64:Z$115,'INPUT Growth'!$F$64:$F$115,'INPUT Capex'!$F190,'INPUT Growth'!$D$64:$D$115,'INPUT Capex'!$D190)/SUM('INPUT Growth'!Z$64:Z$115)</f>
        <v>1658277.1952485058</v>
      </c>
      <c r="AA190" s="187">
        <f>SUMIFS(AA$162:AA$187,$D$162:$D$187,$D190,$G$162:$G$187,$G190,$F$162:$F$187,$F190)+IF($F190="Western",SUM(AA$185:AA$187)*SUMIFS('INPUT Growth'!AA$64:AA$115,'INPUT Growth'!$F$64:$F$115,"Western",'INPUT Growth'!$D$64:$D$115,'INPUT Capex'!$D190)/SUMIFS('INPUT Growth'!AA$64:AA$115,'INPUT Growth'!$F$64:$F$115,"Western"),0)+AA$177*SUMIFS('INPUT Growth'!AA$64:AA$115,'INPUT Growth'!$F$64:$F$115,'INPUT Capex'!$F190,'INPUT Growth'!$D$64:$D$115,'INPUT Capex'!$D190)/SUM('INPUT Growth'!AA$64:AA$115)</f>
        <v>2076540.3081218873</v>
      </c>
      <c r="AB190" s="187">
        <f>SUMIFS(AB$162:AB$187,$D$162:$D$187,$D190,$G$162:$G$187,$G190,$F$162:$F$187,$F190)+IF($F190="Western",SUM(AB$185:AB$187)*SUMIFS('INPUT Growth'!AB$64:AB$115,'INPUT Growth'!$F$64:$F$115,"Western",'INPUT Growth'!$D$64:$D$115,'INPUT Capex'!$D190)/SUMIFS('INPUT Growth'!AB$64:AB$115,'INPUT Growth'!$F$64:$F$115,"Western"),0)+AB$177*SUMIFS('INPUT Growth'!AB$64:AB$115,'INPUT Growth'!$F$64:$F$115,'INPUT Capex'!$F190,'INPUT Growth'!$D$64:$D$115,'INPUT Capex'!$D190)/SUM('INPUT Growth'!AB$64:AB$115)</f>
        <v>2769255.0211851075</v>
      </c>
      <c r="AC190" s="150"/>
      <c r="AD190" s="150"/>
    </row>
    <row r="191" spans="3:30" outlineLevel="1" x14ac:dyDescent="0.2">
      <c r="C191" s="150"/>
      <c r="D191" s="150" t="s">
        <v>303</v>
      </c>
      <c r="E191" s="150"/>
      <c r="F191" s="150" t="s">
        <v>262</v>
      </c>
      <c r="G191" s="150" t="s">
        <v>596</v>
      </c>
      <c r="H191" s="150"/>
      <c r="I191" s="150"/>
      <c r="J191" s="199"/>
      <c r="K191" s="199"/>
      <c r="L191" s="150"/>
      <c r="M191" s="150"/>
      <c r="N191" s="150"/>
      <c r="O191" s="150"/>
      <c r="P191" s="150"/>
      <c r="Q191" s="150"/>
      <c r="R191" s="150"/>
      <c r="S191" s="187">
        <f>SUMIFS(S$162:S$187,$D$162:$D$187,$D191,$G$162:$G$187,$G191,$F$162:$F$187,$F191)+IF($F191="Western",SUM(S$185:S$187)*SUMIFS('INPUT Growth'!S$64:S$115,'INPUT Growth'!$F$64:$F$115,"Western",'INPUT Growth'!$D$64:$D$115,'INPUT Capex'!$D191)/SUMIFS('INPUT Growth'!S$64:S$115,'INPUT Growth'!$F$64:$F$115,"Western"),0)+S$177*SUMIFS('INPUT Growth'!S$64:S$115,'INPUT Growth'!$F$64:$F$115,'INPUT Capex'!$F191,'INPUT Growth'!$D$64:$D$115,'INPUT Capex'!$D191)/SUM('INPUT Growth'!S$64:S$115)</f>
        <v>84427.814486979158</v>
      </c>
      <c r="T191" s="187">
        <f>SUMIFS(T$162:T$187,$D$162:$D$187,$D191,$G$162:$G$187,$G191,$F$162:$F$187,$F191)+IF($F191="Western",SUM(T$185:T$187)*SUMIFS('INPUT Growth'!T$64:T$115,'INPUT Growth'!$F$64:$F$115,"Western",'INPUT Growth'!$D$64:$D$115,'INPUT Capex'!$D191)/SUMIFS('INPUT Growth'!T$64:T$115,'INPUT Growth'!$F$64:$F$115,"Western"),0)+T$177*SUMIFS('INPUT Growth'!T$64:T$115,'INPUT Growth'!$F$64:$F$115,'INPUT Capex'!$F191,'INPUT Growth'!$D$64:$D$115,'INPUT Capex'!$D191)/SUM('INPUT Growth'!T$64:T$115)</f>
        <v>125041.04878805444</v>
      </c>
      <c r="U191" s="187">
        <f>SUMIFS(U$162:U$187,$D$162:$D$187,$D191,$G$162:$G$187,$G191,$F$162:$F$187,$F191)+IF($F191="Western",SUM(U$185:U$187)*SUMIFS('INPUT Growth'!U$64:U$115,'INPUT Growth'!$F$64:$F$115,"Western",'INPUT Growth'!$D$64:$D$115,'INPUT Capex'!$D191)/SUMIFS('INPUT Growth'!U$64:U$115,'INPUT Growth'!$F$64:$F$115,"Western"),0)+U$177*SUMIFS('INPUT Growth'!U$64:U$115,'INPUT Growth'!$F$64:$F$115,'INPUT Capex'!$F191,'INPUT Growth'!$D$64:$D$115,'INPUT Capex'!$D191)/SUM('INPUT Growth'!U$64:U$115)</f>
        <v>340012.35957644391</v>
      </c>
      <c r="V191" s="187">
        <f>SUMIFS(V$162:V$187,$D$162:$D$187,$D191,$G$162:$G$187,$G191,$F$162:$F$187,$F191)+IF($F191="Western",SUM(V$185:V$187)*SUMIFS('INPUT Growth'!V$64:V$115,'INPUT Growth'!$F$64:$F$115,"Western",'INPUT Growth'!$D$64:$D$115,'INPUT Capex'!$D191)/SUMIFS('INPUT Growth'!V$64:V$115,'INPUT Growth'!$F$64:$F$115,"Western"),0)+V$177*SUMIFS('INPUT Growth'!V$64:V$115,'INPUT Growth'!$F$64:$F$115,'INPUT Capex'!$F191,'INPUT Growth'!$D$64:$D$115,'INPUT Capex'!$D191)/SUM('INPUT Growth'!V$64:V$115)</f>
        <v>529837.10528069537</v>
      </c>
      <c r="W191" s="187">
        <f>SUMIFS(W$162:W$187,$D$162:$D$187,$D191,$G$162:$G$187,$G191,$F$162:$F$187,$F191)+IF($F191="Western",SUM(W$185:W$187)*SUMIFS('INPUT Growth'!W$64:W$115,'INPUT Growth'!$F$64:$F$115,"Western",'INPUT Growth'!$D$64:$D$115,'INPUT Capex'!$D191)/SUMIFS('INPUT Growth'!W$64:W$115,'INPUT Growth'!$F$64:$F$115,"Western"),0)+W$177*SUMIFS('INPUT Growth'!W$64:W$115,'INPUT Growth'!$F$64:$F$115,'INPUT Capex'!$F191,'INPUT Growth'!$D$64:$D$115,'INPUT Capex'!$D191)/SUM('INPUT Growth'!W$64:W$115)</f>
        <v>882577.59861402877</v>
      </c>
      <c r="X191" s="187">
        <f>SUMIFS(X$162:X$187,$D$162:$D$187,$D191,$G$162:$G$187,$G191,$F$162:$F$187,$F191)+IF($F191="Western",SUM(X$185:X$187)*SUMIFS('INPUT Growth'!X$64:X$115,'INPUT Growth'!$F$64:$F$115,"Western",'INPUT Growth'!$D$64:$D$115,'INPUT Capex'!$D191)/SUMIFS('INPUT Growth'!X$64:X$115,'INPUT Growth'!$F$64:$F$115,"Western"),0)+X$177*SUMIFS('INPUT Growth'!X$64:X$115,'INPUT Growth'!$F$64:$F$115,'INPUT Capex'!$F191,'INPUT Growth'!$D$64:$D$115,'INPUT Capex'!$D191)/SUM('INPUT Growth'!X$64:X$115)</f>
        <v>1336825.5718354615</v>
      </c>
      <c r="Y191" s="187">
        <f>SUMIFS(Y$162:Y$187,$D$162:$D$187,$D191,$G$162:$G$187,$G191,$F$162:$F$187,$F191)+IF($F191="Western",SUM(Y$185:Y$187)*SUMIFS('INPUT Growth'!Y$64:Y$115,'INPUT Growth'!$F$64:$F$115,"Western",'INPUT Growth'!$D$64:$D$115,'INPUT Capex'!$D191)/SUMIFS('INPUT Growth'!Y$64:Y$115,'INPUT Growth'!$F$64:$F$115,"Western"),0)+Y$177*SUMIFS('INPUT Growth'!Y$64:Y$115,'INPUT Growth'!$F$64:$F$115,'INPUT Capex'!$F191,'INPUT Growth'!$D$64:$D$115,'INPUT Capex'!$D191)/SUM('INPUT Growth'!Y$64:Y$115)</f>
        <v>1963389.0610145442</v>
      </c>
      <c r="Z191" s="187">
        <f>SUMIFS(Z$162:Z$187,$D$162:$D$187,$D191,$G$162:$G$187,$G191,$F$162:$F$187,$F191)+IF($F191="Western",SUM(Z$185:Z$187)*SUMIFS('INPUT Growth'!Z$64:Z$115,'INPUT Growth'!$F$64:$F$115,"Western",'INPUT Growth'!$D$64:$D$115,'INPUT Capex'!$D191)/SUMIFS('INPUT Growth'!Z$64:Z$115,'INPUT Growth'!$F$64:$F$115,"Western"),0)+Z$177*SUMIFS('INPUT Growth'!Z$64:Z$115,'INPUT Growth'!$F$64:$F$115,'INPUT Capex'!$F191,'INPUT Growth'!$D$64:$D$115,'INPUT Capex'!$D191)/SUM('INPUT Growth'!Z$64:Z$115)</f>
        <v>2444051.4475880149</v>
      </c>
      <c r="AA191" s="187">
        <f>SUMIFS(AA$162:AA$187,$D$162:$D$187,$D191,$G$162:$G$187,$G191,$F$162:$F$187,$F191)+IF($F191="Western",SUM(AA$185:AA$187)*SUMIFS('INPUT Growth'!AA$64:AA$115,'INPUT Growth'!$F$64:$F$115,"Western",'INPUT Growth'!$D$64:$D$115,'INPUT Capex'!$D191)/SUMIFS('INPUT Growth'!AA$64:AA$115,'INPUT Growth'!$F$64:$F$115,"Western"),0)+AA$177*SUMIFS('INPUT Growth'!AA$64:AA$115,'INPUT Growth'!$F$64:$F$115,'INPUT Capex'!$F191,'INPUT Growth'!$D$64:$D$115,'INPUT Capex'!$D191)/SUM('INPUT Growth'!AA$64:AA$115)</f>
        <v>3127694.0191107658</v>
      </c>
      <c r="AB191" s="187">
        <f>SUMIFS(AB$162:AB$187,$D$162:$D$187,$D191,$G$162:$G$187,$G191,$F$162:$F$187,$F191)+IF($F191="Western",SUM(AB$185:AB$187)*SUMIFS('INPUT Growth'!AB$64:AB$115,'INPUT Growth'!$F$64:$F$115,"Western",'INPUT Growth'!$D$64:$D$115,'INPUT Capex'!$D191)/SUMIFS('INPUT Growth'!AB$64:AB$115,'INPUT Growth'!$F$64:$F$115,"Western"),0)+AB$177*SUMIFS('INPUT Growth'!AB$64:AB$115,'INPUT Growth'!$F$64:$F$115,'INPUT Capex'!$F191,'INPUT Growth'!$D$64:$D$115,'INPUT Capex'!$D191)/SUM('INPUT Growth'!AB$64:AB$115)</f>
        <v>4021002.95732059</v>
      </c>
      <c r="AC191" s="150"/>
      <c r="AD191" s="150"/>
    </row>
    <row r="192" spans="3:30" outlineLevel="1" x14ac:dyDescent="0.2">
      <c r="C192" s="150"/>
      <c r="D192" s="150" t="s">
        <v>310</v>
      </c>
      <c r="E192" s="150"/>
      <c r="F192" s="150" t="s">
        <v>262</v>
      </c>
      <c r="G192" s="150" t="s">
        <v>596</v>
      </c>
      <c r="H192" s="150"/>
      <c r="I192" s="150"/>
      <c r="J192" s="199"/>
      <c r="K192" s="199"/>
      <c r="L192" s="150"/>
      <c r="M192" s="150"/>
      <c r="N192" s="150"/>
      <c r="O192" s="150"/>
      <c r="P192" s="150"/>
      <c r="Q192" s="150"/>
      <c r="R192" s="150"/>
      <c r="S192" s="191">
        <f>SUMIFS(S$162:S$187,$D$162:$D$187,$D192,$G$162:$G$187,$G192,$F$162:$F$187,$F192)+IF($F192="Western",SUM(S$185:S$187)*SUMIFS('INPUT Growth'!S$64:S$115,'INPUT Growth'!$F$64:$F$115,"Western",'INPUT Growth'!$D$64:$D$115,'INPUT Capex'!$D192)/SUMIFS('INPUT Growth'!S$64:S$115,'INPUT Growth'!$F$64:$F$115,"Western"),0)+S$177*SUMIFS('INPUT Growth'!S$64:S$115,'INPUT Growth'!$F$64:$F$115,'INPUT Capex'!$F192,'INPUT Growth'!$D$64:$D$115,'INPUT Capex'!$D192)/SUM('INPUT Growth'!S$64:S$115)</f>
        <v>179898.74775911454</v>
      </c>
      <c r="T192" s="191">
        <f>SUMIFS(T$162:T$187,$D$162:$D$187,$D192,$G$162:$G$187,$G192,$F$162:$F$187,$F192)+IF($F192="Western",SUM(T$185:T$187)*SUMIFS('INPUT Growth'!T$64:T$115,'INPUT Growth'!$F$64:$F$115,"Western",'INPUT Growth'!$D$64:$D$115,'INPUT Capex'!$D192)/SUMIFS('INPUT Growth'!T$64:T$115,'INPUT Growth'!$F$64:$F$115,"Western"),0)+T$177*SUMIFS('INPUT Growth'!T$64:T$115,'INPUT Growth'!$F$64:$F$115,'INPUT Capex'!$F192,'INPUT Growth'!$D$64:$D$115,'INPUT Capex'!$D192)/SUM('INPUT Growth'!T$64:T$115)</f>
        <v>321532.72397416842</v>
      </c>
      <c r="U192" s="191">
        <f>SUMIFS(U$162:U$187,$D$162:$D$187,$D192,$G$162:$G$187,$G192,$F$162:$F$187,$F192)+IF($F192="Western",SUM(U$185:U$187)*SUMIFS('INPUT Growth'!U$64:U$115,'INPUT Growth'!$F$64:$F$115,"Western",'INPUT Growth'!$D$64:$D$115,'INPUT Capex'!$D192)/SUMIFS('INPUT Growth'!U$64:U$115,'INPUT Growth'!$F$64:$F$115,"Western"),0)+U$177*SUMIFS('INPUT Growth'!U$64:U$115,'INPUT Growth'!$F$64:$F$115,'INPUT Capex'!$F192,'INPUT Growth'!$D$64:$D$115,'INPUT Capex'!$D192)/SUM('INPUT Growth'!U$64:U$115)</f>
        <v>559760.94217204617</v>
      </c>
      <c r="V192" s="191">
        <f>SUMIFS(V$162:V$187,$D$162:$D$187,$D192,$G$162:$G$187,$G192,$F$162:$F$187,$F192)+IF($F192="Western",SUM(V$185:V$187)*SUMIFS('INPUT Growth'!V$64:V$115,'INPUT Growth'!$F$64:$F$115,"Western",'INPUT Growth'!$D$64:$D$115,'INPUT Capex'!$D192)/SUMIFS('INPUT Growth'!V$64:V$115,'INPUT Growth'!$F$64:$F$115,"Western"),0)+V$177*SUMIFS('INPUT Growth'!V$64:V$115,'INPUT Growth'!$F$64:$F$115,'INPUT Capex'!$F192,'INPUT Growth'!$D$64:$D$115,'INPUT Capex'!$D192)/SUM('INPUT Growth'!V$64:V$115)</f>
        <v>844988.91575368505</v>
      </c>
      <c r="W192" s="191">
        <f>SUMIFS(W$162:W$187,$D$162:$D$187,$D192,$G$162:$G$187,$G192,$F$162:$F$187,$F192)+IF($F192="Western",SUM(W$185:W$187)*SUMIFS('INPUT Growth'!W$64:W$115,'INPUT Growth'!$F$64:$F$115,"Western",'INPUT Growth'!$D$64:$D$115,'INPUT Capex'!$D192)/SUMIFS('INPUT Growth'!W$64:W$115,'INPUT Growth'!$F$64:$F$115,"Western"),0)+W$177*SUMIFS('INPUT Growth'!W$64:W$115,'INPUT Growth'!$F$64:$F$115,'INPUT Capex'!$F192,'INPUT Growth'!$D$64:$D$115,'INPUT Capex'!$D192)/SUM('INPUT Growth'!W$64:W$115)</f>
        <v>1140062.4528203518</v>
      </c>
      <c r="X192" s="191">
        <f>SUMIFS(X$162:X$187,$D$162:$D$187,$D192,$G$162:$G$187,$G192,$F$162:$F$187,$F192)+IF($F192="Western",SUM(X$185:X$187)*SUMIFS('INPUT Growth'!X$64:X$115,'INPUT Growth'!$F$64:$F$115,"Western",'INPUT Growth'!$D$64:$D$115,'INPUT Capex'!$D192)/SUMIFS('INPUT Growth'!X$64:X$115,'INPUT Growth'!$F$64:$F$115,"Western"),0)+X$177*SUMIFS('INPUT Growth'!X$64:X$115,'INPUT Growth'!$F$64:$F$115,'INPUT Capex'!$F192,'INPUT Growth'!$D$64:$D$115,'INPUT Capex'!$D192)/SUM('INPUT Growth'!X$64:X$115)</f>
        <v>1313480.0580263908</v>
      </c>
      <c r="Y192" s="191">
        <f>SUMIFS(Y$162:Y$187,$D$162:$D$187,$D192,$G$162:$G$187,$G192,$F$162:$F$187,$F192)+IF($F192="Western",SUM(Y$185:Y$187)*SUMIFS('INPUT Growth'!Y$64:Y$115,'INPUT Growth'!$F$64:$F$115,"Western",'INPUT Growth'!$D$64:$D$115,'INPUT Capex'!$D192)/SUMIFS('INPUT Growth'!Y$64:Y$115,'INPUT Growth'!$F$64:$F$115,"Western"),0)+Y$177*SUMIFS('INPUT Growth'!Y$64:Y$115,'INPUT Growth'!$F$64:$F$115,'INPUT Capex'!$F192,'INPUT Growth'!$D$64:$D$115,'INPUT Capex'!$D192)/SUM('INPUT Growth'!Y$64:Y$115)</f>
        <v>1444658.9967777783</v>
      </c>
      <c r="Z192" s="191">
        <f>SUMIFS(Z$162:Z$187,$D$162:$D$187,$D192,$G$162:$G$187,$G192,$F$162:$F$187,$F192)+IF($F192="Western",SUM(Z$185:Z$187)*SUMIFS('INPUT Growth'!Z$64:Z$115,'INPUT Growth'!$F$64:$F$115,"Western",'INPUT Growth'!$D$64:$D$115,'INPUT Capex'!$D192)/SUMIFS('INPUT Growth'!Z$64:Z$115,'INPUT Growth'!$F$64:$F$115,"Western"),0)+Z$177*SUMIFS('INPUT Growth'!Z$64:Z$115,'INPUT Growth'!$F$64:$F$115,'INPUT Capex'!$F192,'INPUT Growth'!$D$64:$D$115,'INPUT Capex'!$D192)/SUM('INPUT Growth'!Z$64:Z$115)</f>
        <v>1502405.5635227757</v>
      </c>
      <c r="AA192" s="191">
        <f>SUMIFS(AA$162:AA$187,$D$162:$D$187,$D192,$G$162:$G$187,$G192,$F$162:$F$187,$F192)+IF($F192="Western",SUM(AA$185:AA$187)*SUMIFS('INPUT Growth'!AA$64:AA$115,'INPUT Growth'!$F$64:$F$115,"Western",'INPUT Growth'!$D$64:$D$115,'INPUT Capex'!$D192)/SUMIFS('INPUT Growth'!AA$64:AA$115,'INPUT Growth'!$F$64:$F$115,"Western"),0)+AA$177*SUMIFS('INPUT Growth'!AA$64:AA$115,'INPUT Growth'!$F$64:$F$115,'INPUT Capex'!$F192,'INPUT Growth'!$D$64:$D$115,'INPUT Capex'!$D192)/SUM('INPUT Growth'!AA$64:AA$115)</f>
        <v>1901428.7161610262</v>
      </c>
      <c r="AB192" s="191">
        <f>SUMIFS(AB$162:AB$187,$D$162:$D$187,$D192,$G$162:$G$187,$G192,$F$162:$F$187,$F192)+IF($F192="Western",SUM(AB$185:AB$187)*SUMIFS('INPUT Growth'!AB$64:AB$115,'INPUT Growth'!$F$64:$F$115,"Western",'INPUT Growth'!$D$64:$D$115,'INPUT Capex'!$D192)/SUMIFS('INPUT Growth'!AB$64:AB$115,'INPUT Growth'!$F$64:$F$115,"Western"),0)+AB$177*SUMIFS('INPUT Growth'!AB$64:AB$115,'INPUT Growth'!$F$64:$F$115,'INPUT Capex'!$F192,'INPUT Growth'!$D$64:$D$115,'INPUT Capex'!$D192)/SUM('INPUT Growth'!AB$64:AB$115)</f>
        <v>2647101.0141414236</v>
      </c>
      <c r="AC192" s="150"/>
      <c r="AD192" s="150"/>
    </row>
    <row r="193" spans="3:29" outlineLevel="1" x14ac:dyDescent="0.2">
      <c r="C193" s="150"/>
      <c r="D193" s="150" t="s">
        <v>310</v>
      </c>
      <c r="E193" s="150"/>
      <c r="F193" s="150" t="s">
        <v>265</v>
      </c>
      <c r="G193" s="150" t="s">
        <v>596</v>
      </c>
      <c r="H193" s="150"/>
      <c r="I193" s="150"/>
      <c r="J193" s="199"/>
      <c r="K193" s="199"/>
      <c r="L193" s="150"/>
      <c r="M193" s="150"/>
      <c r="N193" s="150"/>
      <c r="O193" s="150"/>
      <c r="P193" s="150"/>
      <c r="Q193" s="150"/>
      <c r="R193" s="150"/>
      <c r="S193" s="192">
        <f>SUMIFS(S$162:S$187,$D$162:$D$187,$D193,$G$162:$G$187,$G193,$F$162:$F$187,$F193)+IF($F193="Western",SUM(S$185:S$187)*SUMIFS('INPUT Growth'!S$64:S$115,'INPUT Growth'!$F$64:$F$115,"Western",'INPUT Growth'!$D$64:$D$115,'INPUT Capex'!$D193)/SUMIFS('INPUT Growth'!S$64:S$115,'INPUT Growth'!$F$64:$F$115,"Western"),0)+S$177*SUMIFS('INPUT Growth'!S$64:S$115,'INPUT Growth'!$F$64:$F$115,'INPUT Capex'!$F193,'INPUT Growth'!$D$64:$D$115,'INPUT Capex'!$D193)/SUM('INPUT Growth'!S$64:S$115)</f>
        <v>15069.569565022417</v>
      </c>
      <c r="T193" s="192">
        <f>SUMIFS(T$162:T$187,$D$162:$D$187,$D193,$G$162:$G$187,$G193,$F$162:$F$187,$F193)+IF($F193="Western",SUM(T$185:T$187)*SUMIFS('INPUT Growth'!T$64:T$115,'INPUT Growth'!$F$64:$F$115,"Western",'INPUT Growth'!$D$64:$D$115,'INPUT Capex'!$D193)/SUMIFS('INPUT Growth'!T$64:T$115,'INPUT Growth'!$F$64:$F$115,"Western"),0)+T$177*SUMIFS('INPUT Growth'!T$64:T$115,'INPUT Growth'!$F$64:$F$115,'INPUT Capex'!$F193,'INPUT Growth'!$D$64:$D$115,'INPUT Capex'!$D193)/SUM('INPUT Growth'!T$64:T$115)</f>
        <v>33885.533224529398</v>
      </c>
      <c r="U193" s="192">
        <f>SUMIFS(U$162:U$187,$D$162:$D$187,$D193,$G$162:$G$187,$G193,$F$162:$F$187,$F193)+IF($F193="Western",SUM(U$185:U$187)*SUMIFS('INPUT Growth'!U$64:U$115,'INPUT Growth'!$F$64:$F$115,"Western",'INPUT Growth'!$D$64:$D$115,'INPUT Capex'!$D193)/SUMIFS('INPUT Growth'!U$64:U$115,'INPUT Growth'!$F$64:$F$115,"Western"),0)+U$177*SUMIFS('INPUT Growth'!U$64:U$115,'INPUT Growth'!$F$64:$F$115,'INPUT Capex'!$F193,'INPUT Growth'!$D$64:$D$115,'INPUT Capex'!$D193)/SUM('INPUT Growth'!U$64:U$115)</f>
        <v>74697.306994838073</v>
      </c>
      <c r="V193" s="192">
        <f>SUMIFS(V$162:V$187,$D$162:$D$187,$D193,$G$162:$G$187,$G193,$F$162:$F$187,$F193)+IF($F193="Western",SUM(V$185:V$187)*SUMIFS('INPUT Growth'!V$64:V$115,'INPUT Growth'!$F$64:$F$115,"Western",'INPUT Growth'!$D$64:$D$115,'INPUT Capex'!$D193)/SUMIFS('INPUT Growth'!V$64:V$115,'INPUT Growth'!$F$64:$F$115,"Western"),0)+V$177*SUMIFS('INPUT Growth'!V$64:V$115,'INPUT Growth'!$F$64:$F$115,'INPUT Capex'!$F193,'INPUT Growth'!$D$64:$D$115,'INPUT Capex'!$D193)/SUM('INPUT Growth'!V$64:V$115)</f>
        <v>89691.210538345855</v>
      </c>
      <c r="W193" s="192">
        <f>SUMIFS(W$162:W$187,$D$162:$D$187,$D193,$G$162:$G$187,$G193,$F$162:$F$187,$F193)+IF($F193="Western",SUM(W$185:W$187)*SUMIFS('INPUT Growth'!W$64:W$115,'INPUT Growth'!$F$64:$F$115,"Western",'INPUT Growth'!$D$64:$D$115,'INPUT Capex'!$D193)/SUMIFS('INPUT Growth'!W$64:W$115,'INPUT Growth'!$F$64:$F$115,"Western"),0)+W$177*SUMIFS('INPUT Growth'!W$64:W$115,'INPUT Growth'!$F$64:$F$115,'INPUT Capex'!$F193,'INPUT Growth'!$D$64:$D$115,'INPUT Capex'!$D193)/SUM('INPUT Growth'!W$64:W$115)</f>
        <v>147729.54705424001</v>
      </c>
      <c r="X193" s="192">
        <f>SUMIFS(X$162:X$187,$D$162:$D$187,$D193,$G$162:$G$187,$G193,$F$162:$F$187,$F193)+IF($F193="Western",SUM(X$185:X$187)*SUMIFS('INPUT Growth'!X$64:X$115,'INPUT Growth'!$F$64:$F$115,"Western",'INPUT Growth'!$D$64:$D$115,'INPUT Capex'!$D193)/SUMIFS('INPUT Growth'!X$64:X$115,'INPUT Growth'!$F$64:$F$115,"Western"),0)+X$177*SUMIFS('INPUT Growth'!X$64:X$115,'INPUT Growth'!$F$64:$F$115,'INPUT Capex'!$F193,'INPUT Growth'!$D$64:$D$115,'INPUT Capex'!$D193)/SUM('INPUT Growth'!X$64:X$115)</f>
        <v>254291.27833090158</v>
      </c>
      <c r="Y193" s="192">
        <f>SUMIFS(Y$162:Y$187,$D$162:$D$187,$D193,$G$162:$G$187,$G193,$F$162:$F$187,$F193)+IF($F193="Western",SUM(Y$185:Y$187)*SUMIFS('INPUT Growth'!Y$64:Y$115,'INPUT Growth'!$F$64:$F$115,"Western",'INPUT Growth'!$D$64:$D$115,'INPUT Capex'!$D193)/SUMIFS('INPUT Growth'!Y$64:Y$115,'INPUT Growth'!$F$64:$F$115,"Western"),0)+Y$177*SUMIFS('INPUT Growth'!Y$64:Y$115,'INPUT Growth'!$F$64:$F$115,'INPUT Capex'!$F193,'INPUT Growth'!$D$64:$D$115,'INPUT Capex'!$D193)/SUM('INPUT Growth'!Y$64:Y$115)</f>
        <v>400779.02221737331</v>
      </c>
      <c r="Z193" s="192">
        <f>SUMIFS(Z$162:Z$187,$D$162:$D$187,$D193,$G$162:$G$187,$G193,$F$162:$F$187,$F193)+IF($F193="Western",SUM(Z$185:Z$187)*SUMIFS('INPUT Growth'!Z$64:Z$115,'INPUT Growth'!$F$64:$F$115,"Western",'INPUT Growth'!$D$64:$D$115,'INPUT Capex'!$D193)/SUMIFS('INPUT Growth'!Z$64:Z$115,'INPUT Growth'!$F$64:$F$115,"Western"),0)+Z$177*SUMIFS('INPUT Growth'!Z$64:Z$115,'INPUT Growth'!$F$64:$F$115,'INPUT Capex'!$F193,'INPUT Growth'!$D$64:$D$115,'INPUT Capex'!$D193)/SUM('INPUT Growth'!Z$64:Z$115)</f>
        <v>580820.26493473968</v>
      </c>
      <c r="AA193" s="192">
        <f>SUMIFS(AA$162:AA$187,$D$162:$D$187,$D193,$G$162:$G$187,$G193,$F$162:$F$187,$F193)+IF($F193="Western",SUM(AA$185:AA$187)*SUMIFS('INPUT Growth'!AA$64:AA$115,'INPUT Growth'!$F$64:$F$115,"Western",'INPUT Growth'!$D$64:$D$115,'INPUT Capex'!$D193)/SUMIFS('INPUT Growth'!AA$64:AA$115,'INPUT Growth'!$F$64:$F$115,"Western"),0)+AA$177*SUMIFS('INPUT Growth'!AA$64:AA$115,'INPUT Growth'!$F$64:$F$115,'INPUT Capex'!$F193,'INPUT Growth'!$D$64:$D$115,'INPUT Capex'!$D193)/SUM('INPUT Growth'!AA$64:AA$115)</f>
        <v>558113.5257323453</v>
      </c>
      <c r="AB193" s="192">
        <f>SUMIFS(AB$162:AB$187,$D$162:$D$187,$D193,$G$162:$G$187,$G193,$F$162:$F$187,$F193)+IF($F193="Western",SUM(AB$185:AB$187)*SUMIFS('INPUT Growth'!AB$64:AB$115,'INPUT Growth'!$F$64:$F$115,"Western",'INPUT Growth'!$D$64:$D$115,'INPUT Capex'!$D193)/SUMIFS('INPUT Growth'!AB$64:AB$115,'INPUT Growth'!$F$64:$F$115,"Western"),0)+AB$177*SUMIFS('INPUT Growth'!AB$64:AB$115,'INPUT Growth'!$F$64:$F$115,'INPUT Capex'!$F193,'INPUT Growth'!$D$64:$D$115,'INPUT Capex'!$D193)/SUM('INPUT Growth'!AB$64:AB$115)</f>
        <v>525588.34098545974</v>
      </c>
      <c r="AC193" s="150"/>
    </row>
    <row r="194" spans="3:29" outlineLevel="1" x14ac:dyDescent="0.2">
      <c r="C194" s="150"/>
      <c r="D194" s="150" t="s">
        <v>303</v>
      </c>
      <c r="E194" s="150"/>
      <c r="F194" s="150" t="s">
        <v>265</v>
      </c>
      <c r="G194" s="150" t="s">
        <v>596</v>
      </c>
      <c r="H194" s="150"/>
      <c r="I194" s="150"/>
      <c r="J194" s="199"/>
      <c r="K194" s="199"/>
      <c r="L194" s="150"/>
      <c r="M194" s="150"/>
      <c r="N194" s="150"/>
      <c r="O194" s="150"/>
      <c r="P194" s="150"/>
      <c r="Q194" s="150"/>
      <c r="R194" s="150"/>
      <c r="S194" s="187">
        <f>SUMIFS(S$162:S$187,$D$162:$D$187,$D194,$G$162:$G$187,$G194,$F$162:$F$187,$F194)+IF($F194="Western",SUM(S$185:S$187)*SUMIFS('INPUT Growth'!S$64:S$115,'INPUT Growth'!$F$64:$F$115,"Western",'INPUT Growth'!$D$64:$D$115,'INPUT Capex'!$D194)/SUMIFS('INPUT Growth'!S$64:S$115,'INPUT Growth'!$F$64:$F$115,"Western"),0)+S$177*SUMIFS('INPUT Growth'!S$64:S$115,'INPUT Growth'!$F$64:$F$115,'INPUT Capex'!$F194,'INPUT Growth'!$D$64:$D$115,'INPUT Capex'!$D194)/SUM('INPUT Growth'!S$64:S$115)</f>
        <v>39735.700923502642</v>
      </c>
      <c r="T194" s="187">
        <f>SUMIFS(T$162:T$187,$D$162:$D$187,$D194,$G$162:$G$187,$G194,$F$162:$F$187,$F194)+IF($F194="Western",SUM(T$185:T$187)*SUMIFS('INPUT Growth'!T$64:T$115,'INPUT Growth'!$F$64:$F$115,"Western",'INPUT Growth'!$D$64:$D$115,'INPUT Capex'!$D194)/SUMIFS('INPUT Growth'!T$64:T$115,'INPUT Growth'!$F$64:$F$115,"Western"),0)+T$177*SUMIFS('INPUT Growth'!T$64:T$115,'INPUT Growth'!$F$64:$F$115,'INPUT Capex'!$F194,'INPUT Growth'!$D$64:$D$115,'INPUT Capex'!$D194)/SUM('INPUT Growth'!T$64:T$115)</f>
        <v>103621.45517846795</v>
      </c>
      <c r="U194" s="187">
        <f>SUMIFS(U$162:U$187,$D$162:$D$187,$D194,$G$162:$G$187,$G194,$F$162:$F$187,$F194)+IF($F194="Western",SUM(U$185:U$187)*SUMIFS('INPUT Growth'!U$64:U$115,'INPUT Growth'!$F$64:$F$115,"Western",'INPUT Growth'!$D$64:$D$115,'INPUT Capex'!$D194)/SUMIFS('INPUT Growth'!U$64:U$115,'INPUT Growth'!$F$64:$F$115,"Western"),0)+U$177*SUMIFS('INPUT Growth'!U$64:U$115,'INPUT Growth'!$F$64:$F$115,'INPUT Capex'!$F194,'INPUT Growth'!$D$64:$D$115,'INPUT Capex'!$D194)/SUM('INPUT Growth'!U$64:U$115)</f>
        <v>565694.05292753247</v>
      </c>
      <c r="V194" s="187">
        <f>SUMIFS(V$162:V$187,$D$162:$D$187,$D194,$G$162:$G$187,$G194,$F$162:$F$187,$F194)+IF($F194="Western",SUM(V$185:V$187)*SUMIFS('INPUT Growth'!V$64:V$115,'INPUT Growth'!$F$64:$F$115,"Western",'INPUT Growth'!$D$64:$D$115,'INPUT Capex'!$D194)/SUMIFS('INPUT Growth'!V$64:V$115,'INPUT Growth'!$F$64:$F$115,"Western"),0)+V$177*SUMIFS('INPUT Growth'!V$64:V$115,'INPUT Growth'!$F$64:$F$115,'INPUT Capex'!$F194,'INPUT Growth'!$D$64:$D$115,'INPUT Capex'!$D194)/SUM('INPUT Growth'!V$64:V$115)</f>
        <v>730702.1437713519</v>
      </c>
      <c r="W194" s="187">
        <f>SUMIFS(W$162:W$187,$D$162:$D$187,$D194,$G$162:$G$187,$G194,$F$162:$F$187,$F194)+IF($F194="Western",SUM(W$185:W$187)*SUMIFS('INPUT Growth'!W$64:W$115,'INPUT Growth'!$F$64:$F$115,"Western",'INPUT Growth'!$D$64:$D$115,'INPUT Capex'!$D194)/SUMIFS('INPUT Growth'!W$64:W$115,'INPUT Growth'!$F$64:$F$115,"Western"),0)+W$177*SUMIFS('INPUT Growth'!W$64:W$115,'INPUT Growth'!$F$64:$F$115,'INPUT Capex'!$F194,'INPUT Growth'!$D$64:$D$115,'INPUT Capex'!$D194)/SUM('INPUT Growth'!W$64:W$115)</f>
        <v>1211391.8380686296</v>
      </c>
      <c r="X194" s="187">
        <f>SUMIFS(X$162:X$187,$D$162:$D$187,$D194,$G$162:$G$187,$G194,$F$162:$F$187,$F194)+IF($F194="Western",SUM(X$185:X$187)*SUMIFS('INPUT Growth'!X$64:X$115,'INPUT Growth'!$F$64:$F$115,"Western",'INPUT Growth'!$D$64:$D$115,'INPUT Capex'!$D194)/SUMIFS('INPUT Growth'!X$64:X$115,'INPUT Growth'!$F$64:$F$115,"Western"),0)+X$177*SUMIFS('INPUT Growth'!X$64:X$115,'INPUT Growth'!$F$64:$F$115,'INPUT Capex'!$F194,'INPUT Growth'!$D$64:$D$115,'INPUT Capex'!$D194)/SUM('INPUT Growth'!X$64:X$115)</f>
        <v>1636093.7632554777</v>
      </c>
      <c r="Y194" s="187">
        <f>SUMIFS(Y$162:Y$187,$D$162:$D$187,$D194,$G$162:$G$187,$G194,$F$162:$F$187,$F194)+IF($F194="Western",SUM(Y$185:Y$187)*SUMIFS('INPUT Growth'!Y$64:Y$115,'INPUT Growth'!$F$64:$F$115,"Western",'INPUT Growth'!$D$64:$D$115,'INPUT Capex'!$D194)/SUMIFS('INPUT Growth'!Y$64:Y$115,'INPUT Growth'!$F$64:$F$115,"Western"),0)+Y$177*SUMIFS('INPUT Growth'!Y$64:Y$115,'INPUT Growth'!$F$64:$F$115,'INPUT Capex'!$F194,'INPUT Growth'!$D$64:$D$115,'INPUT Capex'!$D194)/SUM('INPUT Growth'!Y$64:Y$115)</f>
        <v>2211217.6213450404</v>
      </c>
      <c r="Z194" s="187">
        <f>SUMIFS(Z$162:Z$187,$D$162:$D$187,$D194,$G$162:$G$187,$G194,$F$162:$F$187,$F194)+IF($F194="Western",SUM(Z$185:Z$187)*SUMIFS('INPUT Growth'!Z$64:Z$115,'INPUT Growth'!$F$64:$F$115,"Western",'INPUT Growth'!$D$64:$D$115,'INPUT Capex'!$D194)/SUMIFS('INPUT Growth'!Z$64:Z$115,'INPUT Growth'!$F$64:$F$115,"Western"),0)+Z$177*SUMIFS('INPUT Growth'!Z$64:Z$115,'INPUT Growth'!$F$64:$F$115,'INPUT Capex'!$F194,'INPUT Growth'!$D$64:$D$115,'INPUT Capex'!$D194)/SUM('INPUT Growth'!Z$64:Z$115)</f>
        <v>2707058.4714555182</v>
      </c>
      <c r="AA194" s="187">
        <f>SUMIFS(AA$162:AA$187,$D$162:$D$187,$D194,$G$162:$G$187,$G194,$F$162:$F$187,$F194)+IF($F194="Western",SUM(AA$185:AA$187)*SUMIFS('INPUT Growth'!AA$64:AA$115,'INPUT Growth'!$F$64:$F$115,"Western",'INPUT Growth'!$D$64:$D$115,'INPUT Capex'!$D194)/SUMIFS('INPUT Growth'!AA$64:AA$115,'INPUT Growth'!$F$64:$F$115,"Western"),0)+AA$177*SUMIFS('INPUT Growth'!AA$64:AA$115,'INPUT Growth'!$F$64:$F$115,'INPUT Capex'!$F194,'INPUT Growth'!$D$64:$D$115,'INPUT Capex'!$D194)/SUM('INPUT Growth'!AA$64:AA$115)</f>
        <v>2746003.1598788532</v>
      </c>
      <c r="AB194" s="187">
        <f>SUMIFS(AB$162:AB$187,$D$162:$D$187,$D194,$G$162:$G$187,$G194,$F$162:$F$187,$F194)+IF($F194="Western",SUM(AB$185:AB$187)*SUMIFS('INPUT Growth'!AB$64:AB$115,'INPUT Growth'!$F$64:$F$115,"Western",'INPUT Growth'!$D$64:$D$115,'INPUT Capex'!$D194)/SUMIFS('INPUT Growth'!AB$64:AB$115,'INPUT Growth'!$F$64:$F$115,"Western"),0)+AB$177*SUMIFS('INPUT Growth'!AB$64:AB$115,'INPUT Growth'!$F$64:$F$115,'INPUT Capex'!$F194,'INPUT Growth'!$D$64:$D$115,'INPUT Capex'!$D194)/SUM('INPUT Growth'!AB$64:AB$115)</f>
        <v>2734137.9149890742</v>
      </c>
      <c r="AC194" s="150"/>
    </row>
    <row r="195" spans="3:29" outlineLevel="1" x14ac:dyDescent="0.2">
      <c r="C195" s="150"/>
      <c r="D195" s="150" t="s">
        <v>301</v>
      </c>
      <c r="E195" s="150"/>
      <c r="F195" s="150" t="s">
        <v>265</v>
      </c>
      <c r="G195" s="150" t="s">
        <v>596</v>
      </c>
      <c r="H195" s="150"/>
      <c r="I195" s="150"/>
      <c r="J195" s="199"/>
      <c r="K195" s="199"/>
      <c r="L195" s="150"/>
      <c r="M195" s="150"/>
      <c r="N195" s="150"/>
      <c r="O195" s="150"/>
      <c r="P195" s="150"/>
      <c r="Q195" s="150"/>
      <c r="R195" s="150"/>
      <c r="S195" s="187">
        <f>SUMIFS(S$162:S$187,$D$162:$D$187,$D195,$G$162:$G$187,$G195,$F$162:$F$187,$F195)+IF($F195="Western",SUM(S$185:S$187)*SUMIFS('INPUT Growth'!S$64:S$115,'INPUT Growth'!$F$64:$F$115,"Western",'INPUT Growth'!$D$64:$D$115,'INPUT Capex'!$D195)/SUMIFS('INPUT Growth'!S$64:S$115,'INPUT Growth'!$F$64:$F$115,"Western"),0)+S$177*SUMIFS('INPUT Growth'!S$64:S$115,'INPUT Growth'!$F$64:$F$115,'INPUT Capex'!$F195,'INPUT Growth'!$D$64:$D$115,'INPUT Capex'!$D195)/SUM('INPUT Growth'!S$64:S$115)</f>
        <v>6984.7449587405536</v>
      </c>
      <c r="T195" s="187">
        <f>SUMIFS(T$162:T$187,$D$162:$D$187,$D195,$G$162:$G$187,$G195,$F$162:$F$187,$F195)+IF($F195="Western",SUM(T$185:T$187)*SUMIFS('INPUT Growth'!T$64:T$115,'INPUT Growth'!$F$64:$F$115,"Western",'INPUT Growth'!$D$64:$D$115,'INPUT Capex'!$D195)/SUMIFS('INPUT Growth'!T$64:T$115,'INPUT Growth'!$F$64:$F$115,"Western"),0)+T$177*SUMIFS('INPUT Growth'!T$64:T$115,'INPUT Growth'!$F$64:$F$115,'INPUT Capex'!$F195,'INPUT Growth'!$D$64:$D$115,'INPUT Capex'!$D195)/SUM('INPUT Growth'!T$64:T$115)</f>
        <v>22266.932614160753</v>
      </c>
      <c r="U195" s="187">
        <f>SUMIFS(U$162:U$187,$D$162:$D$187,$D195,$G$162:$G$187,$G195,$F$162:$F$187,$F195)+IF($F195="Western",SUM(U$185:U$187)*SUMIFS('INPUT Growth'!U$64:U$115,'INPUT Growth'!$F$64:$F$115,"Western",'INPUT Growth'!$D$64:$D$115,'INPUT Capex'!$D195)/SUMIFS('INPUT Growth'!U$64:U$115,'INPUT Growth'!$F$64:$F$115,"Western"),0)+U$177*SUMIFS('INPUT Growth'!U$64:U$115,'INPUT Growth'!$F$64:$F$115,'INPUT Capex'!$F195,'INPUT Growth'!$D$64:$D$115,'INPUT Capex'!$D195)/SUM('INPUT Growth'!U$64:U$115)</f>
        <v>141708.97021900746</v>
      </c>
      <c r="V195" s="187">
        <f>SUMIFS(V$162:V$187,$D$162:$D$187,$D195,$G$162:$G$187,$G195,$F$162:$F$187,$F195)+IF($F195="Western",SUM(V$185:V$187)*SUMIFS('INPUT Growth'!V$64:V$115,'INPUT Growth'!$F$64:$F$115,"Western",'INPUT Growth'!$D$64:$D$115,'INPUT Capex'!$D195)/SUMIFS('INPUT Growth'!V$64:V$115,'INPUT Growth'!$F$64:$F$115,"Western"),0)+V$177*SUMIFS('INPUT Growth'!V$64:V$115,'INPUT Growth'!$F$64:$F$115,'INPUT Capex'!$F195,'INPUT Growth'!$D$64:$D$115,'INPUT Capex'!$D195)/SUM('INPUT Growth'!V$64:V$115)</f>
        <v>198392.35088466856</v>
      </c>
      <c r="W195" s="187">
        <f>SUMIFS(W$162:W$187,$D$162:$D$187,$D195,$G$162:$G$187,$G195,$F$162:$F$187,$F195)+IF($F195="Western",SUM(W$185:W$187)*SUMIFS('INPUT Growth'!W$64:W$115,'INPUT Growth'!$F$64:$F$115,"Western",'INPUT Growth'!$D$64:$D$115,'INPUT Capex'!$D195)/SUMIFS('INPUT Growth'!W$64:W$115,'INPUT Growth'!$F$64:$F$115,"Western"),0)+W$177*SUMIFS('INPUT Growth'!W$64:W$115,'INPUT Growth'!$F$64:$F$115,'INPUT Capex'!$F195,'INPUT Growth'!$D$64:$D$115,'INPUT Capex'!$D195)/SUM('INPUT Growth'!W$64:W$115)</f>
        <v>347619.13233816298</v>
      </c>
      <c r="X195" s="187">
        <f>SUMIFS(X$162:X$187,$D$162:$D$187,$D195,$G$162:$G$187,$G195,$F$162:$F$187,$F195)+IF($F195="Western",SUM(X$185:X$187)*SUMIFS('INPUT Growth'!X$64:X$115,'INPUT Growth'!$F$64:$F$115,"Western",'INPUT Growth'!$D$64:$D$115,'INPUT Capex'!$D195)/SUMIFS('INPUT Growth'!X$64:X$115,'INPUT Growth'!$F$64:$F$115,"Western"),0)+X$177*SUMIFS('INPUT Growth'!X$64:X$115,'INPUT Growth'!$F$64:$F$115,'INPUT Capex'!$F195,'INPUT Growth'!$D$64:$D$115,'INPUT Capex'!$D195)/SUM('INPUT Growth'!X$64:X$115)</f>
        <v>624065.44172722916</v>
      </c>
      <c r="Y195" s="187">
        <f>SUMIFS(Y$162:Y$187,$D$162:$D$187,$D195,$G$162:$G$187,$G195,$F$162:$F$187,$F195)+IF($F195="Western",SUM(Y$185:Y$187)*SUMIFS('INPUT Growth'!Y$64:Y$115,'INPUT Growth'!$F$64:$F$115,"Western",'INPUT Growth'!$D$64:$D$115,'INPUT Capex'!$D195)/SUMIFS('INPUT Growth'!Y$64:Y$115,'INPUT Growth'!$F$64:$F$115,"Western"),0)+Y$177*SUMIFS('INPUT Growth'!Y$64:Y$115,'INPUT Growth'!$F$64:$F$115,'INPUT Capex'!$F195,'INPUT Growth'!$D$64:$D$115,'INPUT Capex'!$D195)/SUM('INPUT Growth'!Y$64:Y$115)</f>
        <v>924252.63806962851</v>
      </c>
      <c r="Z195" s="187">
        <f>SUMIFS(Z$162:Z$187,$D$162:$D$187,$D195,$G$162:$G$187,$G195,$F$162:$F$187,$F195)+IF($F195="Western",SUM(Z$185:Z$187)*SUMIFS('INPUT Growth'!Z$64:Z$115,'INPUT Growth'!$F$64:$F$115,"Western",'INPUT Growth'!$D$64:$D$115,'INPUT Capex'!$D195)/SUMIFS('INPUT Growth'!Z$64:Z$115,'INPUT Growth'!$F$64:$F$115,"Western"),0)+Z$177*SUMIFS('INPUT Growth'!Z$64:Z$115,'INPUT Growth'!$F$64:$F$115,'INPUT Capex'!$F195,'INPUT Growth'!$D$64:$D$115,'INPUT Capex'!$D195)/SUM('INPUT Growth'!Z$64:Z$115)</f>
        <v>1193822.2718815785</v>
      </c>
      <c r="AA195" s="187">
        <f>SUMIFS(AA$162:AA$187,$D$162:$D$187,$D195,$G$162:$G$187,$G195,$F$162:$F$187,$F195)+IF($F195="Western",SUM(AA$185:AA$187)*SUMIFS('INPUT Growth'!AA$64:AA$115,'INPUT Growth'!$F$64:$F$115,"Western",'INPUT Growth'!$D$64:$D$115,'INPUT Capex'!$D195)/SUMIFS('INPUT Growth'!AA$64:AA$115,'INPUT Growth'!$F$64:$F$115,"Western"),0)+AA$177*SUMIFS('INPUT Growth'!AA$64:AA$115,'INPUT Growth'!$F$64:$F$115,'INPUT Capex'!$F195,'INPUT Growth'!$D$64:$D$115,'INPUT Capex'!$D195)/SUM('INPUT Growth'!AA$64:AA$115)</f>
        <v>1232502.4179157657</v>
      </c>
      <c r="AB195" s="187">
        <f>SUMIFS(AB$162:AB$187,$D$162:$D$187,$D195,$G$162:$G$187,$G195,$F$162:$F$187,$F195)+IF($F195="Western",SUM(AB$185:AB$187)*SUMIFS('INPUT Growth'!AB$64:AB$115,'INPUT Growth'!$F$64:$F$115,"Western",'INPUT Growth'!$D$64:$D$115,'INPUT Capex'!$D195)/SUMIFS('INPUT Growth'!AB$64:AB$115,'INPUT Growth'!$F$64:$F$115,"Western"),0)+AB$177*SUMIFS('INPUT Growth'!AB$64:AB$115,'INPUT Growth'!$F$64:$F$115,'INPUT Capex'!$F195,'INPUT Growth'!$D$64:$D$115,'INPUT Capex'!$D195)/SUM('INPUT Growth'!AB$64:AB$115)</f>
        <v>1259864.098948485</v>
      </c>
      <c r="AC195" s="150"/>
    </row>
    <row r="196" spans="3:29" outlineLevel="1" x14ac:dyDescent="0.2">
      <c r="C196" s="83" t="s">
        <v>523</v>
      </c>
      <c r="D196" s="150"/>
      <c r="E196" s="150"/>
      <c r="F196" s="150"/>
      <c r="G196" s="150"/>
      <c r="H196" s="150"/>
      <c r="I196" s="150"/>
      <c r="J196" s="86"/>
      <c r="K196" s="150"/>
      <c r="L196" s="150"/>
      <c r="M196" s="150"/>
      <c r="N196" s="150"/>
      <c r="O196" s="150"/>
      <c r="P196" s="150"/>
      <c r="Q196" s="150"/>
      <c r="R196" s="150"/>
      <c r="S196" s="91">
        <f t="shared" ref="S196:U196" si="19">SUMIFS(S$162:S$187,$G$162:$G$187,"Growth")-SUM(S190:S195)</f>
        <v>0</v>
      </c>
      <c r="T196" s="91">
        <f t="shared" si="19"/>
        <v>0</v>
      </c>
      <c r="U196" s="91">
        <f t="shared" si="19"/>
        <v>0</v>
      </c>
      <c r="V196" s="91">
        <f>SUMIFS(V$162:V$187,$G$162:$G$187,"Growth")-SUM(V190:V195)</f>
        <v>0</v>
      </c>
      <c r="W196" s="91">
        <f t="shared" ref="W196:AB196" si="20">SUMIFS(W$162:W$187,$G$162:$G$187,"Growth")-SUM(W190:W195)</f>
        <v>0</v>
      </c>
      <c r="X196" s="91">
        <f t="shared" si="20"/>
        <v>0</v>
      </c>
      <c r="Y196" s="91">
        <f t="shared" si="20"/>
        <v>0</v>
      </c>
      <c r="Z196" s="91">
        <f t="shared" si="20"/>
        <v>0</v>
      </c>
      <c r="AA196" s="91">
        <f t="shared" si="20"/>
        <v>0</v>
      </c>
      <c r="AB196" s="91">
        <f t="shared" si="20"/>
        <v>0</v>
      </c>
      <c r="AC196" s="150"/>
    </row>
    <row r="197" spans="3:29" outlineLevel="1" x14ac:dyDescent="0.2">
      <c r="C197" s="84" t="s">
        <v>613</v>
      </c>
      <c r="D197" s="150"/>
      <c r="E197" s="150"/>
      <c r="F197" s="150"/>
      <c r="G197" s="150"/>
      <c r="H197" s="150"/>
      <c r="I197" s="150"/>
      <c r="J197" s="64"/>
      <c r="K197" s="64" t="s">
        <v>581</v>
      </c>
      <c r="L197" s="150"/>
      <c r="M197" s="150"/>
      <c r="N197" s="150"/>
      <c r="O197" s="150"/>
      <c r="P197" s="150"/>
      <c r="Q197" s="150"/>
      <c r="R197" s="150"/>
      <c r="S197" s="150"/>
      <c r="T197" s="150"/>
      <c r="U197" s="150"/>
      <c r="V197" s="150"/>
      <c r="W197" s="150"/>
      <c r="X197" s="150"/>
      <c r="Y197" s="150"/>
      <c r="Z197" s="150"/>
      <c r="AA197" s="150"/>
      <c r="AB197" s="150"/>
      <c r="AC197" s="150"/>
    </row>
    <row r="198" spans="3:29" outlineLevel="1" x14ac:dyDescent="0.2">
      <c r="C198" s="150" t="s">
        <v>287</v>
      </c>
      <c r="D198" s="150" t="s">
        <v>301</v>
      </c>
      <c r="E198" s="150"/>
      <c r="F198" s="150" t="s">
        <v>262</v>
      </c>
      <c r="G198" s="150"/>
      <c r="H198" s="150"/>
      <c r="I198" s="150"/>
      <c r="J198" s="199"/>
      <c r="K198" s="199">
        <f>SUM(S198:AB198)</f>
        <v>12099912.339100115</v>
      </c>
      <c r="L198" s="150"/>
      <c r="M198" s="150"/>
      <c r="N198" s="150"/>
      <c r="O198" s="150"/>
      <c r="P198" s="150"/>
      <c r="Q198" s="150"/>
      <c r="R198" s="150"/>
      <c r="S198" s="187">
        <f>SUMIFS(S$190:S$195,$D$190:$D$195,$D198,$F$190:$F$195,$F198)*SUMIFS('INPUT Growth'!S$64:S$115,'INPUT Growth'!$C$64:$C$115,'INPUT Capex'!$C198,'INPUT Growth'!$D$64:$D$115,'INPUT Capex'!$D198,'INPUT Growth'!$F$64:$F$115,'INPUT Capex'!$F198)/SUMIFS('INPUT Growth'!S$64:S$115,'INPUT Growth'!$D$64:$D$115,'INPUT Capex'!$D198,'INPUT Growth'!$F$64:$F$115,'INPUT Capex'!$F198)</f>
        <v>242826.2558177083</v>
      </c>
      <c r="T198" s="187">
        <f>SUMIFS(T$190:T$195,$D$190:$D$195,$D198,$F$190:$F$195,$F198)*SUMIFS('INPUT Growth'!T$64:T$115,'INPUT Growth'!$C$64:$C$115,'INPUT Capex'!$C198,'INPUT Growth'!$D$64:$D$115,'INPUT Capex'!$D198,'INPUT Growth'!$F$64:$F$115,'INPUT Capex'!$F198)/SUMIFS('INPUT Growth'!T$64:T$115,'INPUT Growth'!$D$64:$D$115,'INPUT Capex'!$D198,'INPUT Growth'!$F$64:$F$115,'INPUT Capex'!$F198)</f>
        <v>390884.96860265447</v>
      </c>
      <c r="U198" s="187">
        <f>SUMIFS(U$190:U$195,$D$190:$D$195,$D198,$F$190:$F$195,$F198)*SUMIFS('INPUT Growth'!U$64:U$115,'INPUT Growth'!$C$64:$C$115,'INPUT Capex'!$C198,'INPUT Growth'!$D$64:$D$115,'INPUT Capex'!$D198,'INPUT Growth'!$F$64:$F$115,'INPUT Capex'!$F198)/SUMIFS('INPUT Growth'!U$64:U$115,'INPUT Growth'!$D$64:$D$115,'INPUT Capex'!$D198,'INPUT Growth'!$F$64:$F$115,'INPUT Capex'!$F198)</f>
        <v>605026.23456832243</v>
      </c>
      <c r="V198" s="187">
        <f>SUMIFS(V$190:V$195,$D$190:$D$195,$D198,$F$190:$F$195,$F198)*SUMIFS('INPUT Growth'!V$64:V$115,'INPUT Growth'!$C$64:$C$115,'INPUT Capex'!$C198,'INPUT Growth'!$D$64:$D$115,'INPUT Capex'!$D198,'INPUT Growth'!$F$64:$F$115,'INPUT Capex'!$F198)/SUMIFS('INPUT Growth'!V$64:V$115,'INPUT Growth'!$D$64:$D$115,'INPUT Capex'!$D198,'INPUT Growth'!$F$64:$F$115,'INPUT Capex'!$F198)</f>
        <v>766477.44169832871</v>
      </c>
      <c r="W198" s="187">
        <f>SUMIFS(W$190:W$195,$D$190:$D$195,$D198,$F$190:$F$195,$F198)*SUMIFS('INPUT Growth'!W$64:W$115,'INPUT Growth'!$C$64:$C$115,'INPUT Capex'!$C198,'INPUT Growth'!$D$64:$D$115,'INPUT Capex'!$D198,'INPUT Growth'!$F$64:$F$115,'INPUT Capex'!$F198)/SUMIFS('INPUT Growth'!W$64:W$115,'INPUT Growth'!$D$64:$D$115,'INPUT Capex'!$D198,'INPUT Growth'!$F$64:$F$115,'INPUT Capex'!$F198)</f>
        <v>953032.46716499527</v>
      </c>
      <c r="X198" s="187">
        <f>SUMIFS(X$190:X$195,$D$190:$D$195,$D198,$F$190:$F$195,$F198)*SUMIFS('INPUT Growth'!X$64:X$115,'INPUT Growth'!$C$64:$C$115,'INPUT Capex'!$C198,'INPUT Growth'!$D$64:$D$115,'INPUT Capex'!$D198,'INPUT Growth'!$F$64:$F$115,'INPUT Capex'!$F198)/SUMIFS('INPUT Growth'!X$64:X$115,'INPUT Growth'!$D$64:$D$115,'INPUT Capex'!$D198,'INPUT Growth'!$F$64:$F$115,'INPUT Capex'!$F198)</f>
        <v>1174399.7778008746</v>
      </c>
      <c r="Y198" s="187">
        <f>SUMIFS(Y$190:Y$195,$D$190:$D$195,$D198,$F$190:$F$195,$F198)*SUMIFS('INPUT Growth'!Y$64:Y$115,'INPUT Growth'!$C$64:$C$115,'INPUT Capex'!$C198,'INPUT Growth'!$D$64:$D$115,'INPUT Capex'!$D198,'INPUT Growth'!$F$64:$F$115,'INPUT Capex'!$F198)/SUMIFS('INPUT Growth'!Y$64:Y$115,'INPUT Growth'!$D$64:$D$115,'INPUT Capex'!$D198,'INPUT Growth'!$F$64:$F$115,'INPUT Capex'!$F198)</f>
        <v>1463192.6688917305</v>
      </c>
      <c r="Z198" s="187">
        <f>SUMIFS(Z$190:Z$195,$D$190:$D$195,$D198,$F$190:$F$195,$F198)*SUMIFS('INPUT Growth'!Z$64:Z$115,'INPUT Growth'!$C$64:$C$115,'INPUT Capex'!$C198,'INPUT Growth'!$D$64:$D$115,'INPUT Capex'!$D198,'INPUT Growth'!$F$64:$F$115,'INPUT Capex'!$F198)/SUMIFS('INPUT Growth'!Z$64:Z$115,'INPUT Growth'!$D$64:$D$115,'INPUT Capex'!$D198,'INPUT Growth'!$F$64:$F$115,'INPUT Capex'!$F198)</f>
        <v>1658277.1952485058</v>
      </c>
      <c r="AA198" s="187">
        <f>SUMIFS(AA$190:AA$195,$D$190:$D$195,$D198,$F$190:$F$195,$F198)*SUMIFS('INPUT Growth'!AA$64:AA$115,'INPUT Growth'!$C$64:$C$115,'INPUT Capex'!$C198,'INPUT Growth'!$D$64:$D$115,'INPUT Capex'!$D198,'INPUT Growth'!$F$64:$F$115,'INPUT Capex'!$F198)/SUMIFS('INPUT Growth'!AA$64:AA$115,'INPUT Growth'!$D$64:$D$115,'INPUT Capex'!$D198,'INPUT Growth'!$F$64:$F$115,'INPUT Capex'!$F198)</f>
        <v>2076540.3081218873</v>
      </c>
      <c r="AB198" s="187">
        <f>SUMIFS(AB$190:AB$195,$D$190:$D$195,$D198,$F$190:$F$195,$F198)*SUMIFS('INPUT Growth'!AB$64:AB$115,'INPUT Growth'!$C$64:$C$115,'INPUT Capex'!$C198,'INPUT Growth'!$D$64:$D$115,'INPUT Capex'!$D198,'INPUT Growth'!$F$64:$F$115,'INPUT Capex'!$F198)/SUMIFS('INPUT Growth'!AB$64:AB$115,'INPUT Growth'!$D$64:$D$115,'INPUT Capex'!$D198,'INPUT Growth'!$F$64:$F$115,'INPUT Capex'!$F198)</f>
        <v>2769255.021185108</v>
      </c>
      <c r="AC198" s="150"/>
    </row>
    <row r="199" spans="3:29" outlineLevel="1" x14ac:dyDescent="0.2">
      <c r="C199" s="150" t="s">
        <v>287</v>
      </c>
      <c r="D199" s="150" t="s">
        <v>301</v>
      </c>
      <c r="E199" s="150"/>
      <c r="F199" s="150" t="s">
        <v>265</v>
      </c>
      <c r="G199" s="150"/>
      <c r="H199" s="150"/>
      <c r="I199" s="150"/>
      <c r="J199" s="199"/>
      <c r="K199" s="199">
        <f t="shared" ref="K199:K207" si="21">SUM(S199:AB199)</f>
        <v>1818586.0105989187</v>
      </c>
      <c r="L199" s="150"/>
      <c r="M199" s="150"/>
      <c r="N199" s="150"/>
      <c r="O199" s="150"/>
      <c r="P199" s="150"/>
      <c r="Q199" s="150"/>
      <c r="R199" s="150"/>
      <c r="S199" s="187">
        <f>SUMIFS(S$190:S$195,$D$190:$D$195,$D199,$F$190:$F$195,$F199)*SUMIFS('INPUT Growth'!S$64:S$115,'INPUT Growth'!$C$64:$C$115,'INPUT Capex'!$C199,'INPUT Growth'!$D$64:$D$115,'INPUT Capex'!$D199,'INPUT Growth'!$F$64:$F$115,'INPUT Capex'!$F199)/SUMIFS('INPUT Growth'!S$64:S$115,'INPUT Growth'!$D$64:$D$115,'INPUT Capex'!$D199,'INPUT Growth'!$F$64:$F$115,'INPUT Capex'!$F199)</f>
        <v>5924.9283738610493</v>
      </c>
      <c r="T199" s="187">
        <f>SUMIFS(T$190:T$195,$D$190:$D$195,$D199,$F$190:$F$195,$F199)*SUMIFS('INPUT Growth'!T$64:T$115,'INPUT Growth'!$C$64:$C$115,'INPUT Capex'!$C199,'INPUT Growth'!$D$64:$D$115,'INPUT Capex'!$D199,'INPUT Growth'!$F$64:$F$115,'INPUT Capex'!$F199)/SUMIFS('INPUT Growth'!T$64:T$115,'INPUT Growth'!$D$64:$D$115,'INPUT Capex'!$D199,'INPUT Growth'!$F$64:$F$115,'INPUT Capex'!$F199)</f>
        <v>19214.230061008257</v>
      </c>
      <c r="U199" s="187">
        <f>SUMIFS(U$190:U$195,$D$190:$D$195,$D199,$F$190:$F$195,$F199)*SUMIFS('INPUT Growth'!U$64:U$115,'INPUT Growth'!$C$64:$C$115,'INPUT Capex'!$C199,'INPUT Growth'!$D$64:$D$115,'INPUT Capex'!$D199,'INPUT Growth'!$F$64:$F$115,'INPUT Capex'!$F199)/SUMIFS('INPUT Growth'!U$64:U$115,'INPUT Growth'!$D$64:$D$115,'INPUT Capex'!$D199,'INPUT Growth'!$F$64:$F$115,'INPUT Capex'!$F199)</f>
        <v>93753.359980597612</v>
      </c>
      <c r="V199" s="187">
        <f>SUMIFS(V$190:V$195,$D$190:$D$195,$D199,$F$190:$F$195,$F199)*SUMIFS('INPUT Growth'!V$64:V$115,'INPUT Growth'!$C$64:$C$115,'INPUT Capex'!$C199,'INPUT Growth'!$D$64:$D$115,'INPUT Capex'!$D199,'INPUT Growth'!$F$64:$F$115,'INPUT Capex'!$F199)/SUMIFS('INPUT Growth'!V$64:V$115,'INPUT Growth'!$D$64:$D$115,'INPUT Capex'!$D199,'INPUT Growth'!$F$64:$F$115,'INPUT Capex'!$F199)</f>
        <v>113967.71969392561</v>
      </c>
      <c r="W199" s="187">
        <f>SUMIFS(W$190:W$195,$D$190:$D$195,$D199,$F$190:$F$195,$F199)*SUMIFS('INPUT Growth'!W$64:W$115,'INPUT Growth'!$C$64:$C$115,'INPUT Capex'!$C199,'INPUT Growth'!$D$64:$D$115,'INPUT Capex'!$D199,'INPUT Growth'!$F$64:$F$115,'INPUT Capex'!$F199)/SUMIFS('INPUT Growth'!W$64:W$115,'INPUT Growth'!$D$64:$D$115,'INPUT Capex'!$D199,'INPUT Growth'!$F$64:$F$115,'INPUT Capex'!$F199)</f>
        <v>155671.06018458557</v>
      </c>
      <c r="X199" s="187">
        <f>SUMIFS(X$190:X$195,$D$190:$D$195,$D199,$F$190:$F$195,$F199)*SUMIFS('INPUT Growth'!X$64:X$115,'INPUT Growth'!$C$64:$C$115,'INPUT Capex'!$C199,'INPUT Growth'!$D$64:$D$115,'INPUT Capex'!$D199,'INPUT Growth'!$F$64:$F$115,'INPUT Capex'!$F199)/SUMIFS('INPUT Growth'!X$64:X$115,'INPUT Growth'!$D$64:$D$115,'INPUT Capex'!$D199,'INPUT Growth'!$F$64:$F$115,'INPUT Capex'!$F199)</f>
        <v>257178.84623200572</v>
      </c>
      <c r="Y199" s="187">
        <f>SUMIFS(Y$190:Y$195,$D$190:$D$195,$D199,$F$190:$F$195,$F199)*SUMIFS('INPUT Growth'!Y$64:Y$115,'INPUT Growth'!$C$64:$C$115,'INPUT Capex'!$C199,'INPUT Growth'!$D$64:$D$115,'INPUT Capex'!$D199,'INPUT Growth'!$F$64:$F$115,'INPUT Capex'!$F199)/SUMIFS('INPUT Growth'!Y$64:Y$115,'INPUT Growth'!$D$64:$D$115,'INPUT Capex'!$D199,'INPUT Growth'!$F$64:$F$115,'INPUT Capex'!$F199)</f>
        <v>340514.1298151263</v>
      </c>
      <c r="Z199" s="187">
        <f>SUMIFS(Z$190:Z$195,$D$190:$D$195,$D199,$F$190:$F$195,$F199)*SUMIFS('INPUT Growth'!Z$64:Z$115,'INPUT Growth'!$C$64:$C$115,'INPUT Capex'!$C199,'INPUT Growth'!$D$64:$D$115,'INPUT Capex'!$D199,'INPUT Growth'!$F$64:$F$115,'INPUT Capex'!$F199)/SUMIFS('INPUT Growth'!Z$64:Z$115,'INPUT Growth'!$D$64:$D$115,'INPUT Capex'!$D199,'INPUT Growth'!$F$64:$F$115,'INPUT Capex'!$F199)</f>
        <v>358332.34599244891</v>
      </c>
      <c r="AA199" s="187">
        <f>SUMIFS(AA$190:AA$195,$D$190:$D$195,$D199,$F$190:$F$195,$F199)*SUMIFS('INPUT Growth'!AA$64:AA$115,'INPUT Growth'!$C$64:$C$115,'INPUT Capex'!$C199,'INPUT Growth'!$D$64:$D$115,'INPUT Capex'!$D199,'INPUT Growth'!$F$64:$F$115,'INPUT Capex'!$F199)/SUMIFS('INPUT Growth'!AA$64:AA$115,'INPUT Growth'!$D$64:$D$115,'INPUT Capex'!$D199,'INPUT Growth'!$F$64:$F$115,'INPUT Capex'!$F199)</f>
        <v>273761.44049032428</v>
      </c>
      <c r="AB199" s="187">
        <f>SUMIFS(AB$190:AB$195,$D$190:$D$195,$D199,$F$190:$F$195,$F199)*SUMIFS('INPUT Growth'!AB$64:AB$115,'INPUT Growth'!$C$64:$C$115,'INPUT Capex'!$C199,'INPUT Growth'!$D$64:$D$115,'INPUT Capex'!$D199,'INPUT Growth'!$F$64:$F$115,'INPUT Capex'!$F199)/SUMIFS('INPUT Growth'!AB$64:AB$115,'INPUT Growth'!$D$64:$D$115,'INPUT Capex'!$D199,'INPUT Growth'!$F$64:$F$115,'INPUT Capex'!$F199)</f>
        <v>200267.94977503529</v>
      </c>
      <c r="AC199" s="150"/>
    </row>
    <row r="200" spans="3:29" outlineLevel="1" x14ac:dyDescent="0.2">
      <c r="C200" s="150" t="s">
        <v>290</v>
      </c>
      <c r="D200" s="150" t="s">
        <v>301</v>
      </c>
      <c r="E200" s="150"/>
      <c r="F200" s="150" t="s">
        <v>265</v>
      </c>
      <c r="G200" s="150"/>
      <c r="H200" s="150"/>
      <c r="I200" s="150"/>
      <c r="J200" s="199"/>
      <c r="K200" s="199">
        <f t="shared" si="21"/>
        <v>4132892.9889585087</v>
      </c>
      <c r="L200" s="150"/>
      <c r="M200" s="150"/>
      <c r="N200" s="150"/>
      <c r="O200" s="150"/>
      <c r="P200" s="150"/>
      <c r="Q200" s="150"/>
      <c r="R200" s="150"/>
      <c r="S200" s="187">
        <f>SUMIFS(S$190:S$195,$D$190:$D$195,$D200,$F$190:$F$195,$F200)*SUMIFS('INPUT Growth'!S$64:S$115,'INPUT Growth'!$C$64:$C$115,'INPUT Capex'!$C200,'INPUT Growth'!$D$64:$D$115,'INPUT Capex'!$D200,'INPUT Growth'!$F$64:$F$115,'INPUT Capex'!$F200)/SUMIFS('INPUT Growth'!S$64:S$115,'INPUT Growth'!$D$64:$D$115,'INPUT Capex'!$D200,'INPUT Growth'!$F$64:$F$115,'INPUT Capex'!$F200)</f>
        <v>1059.8165848795049</v>
      </c>
      <c r="T200" s="187">
        <f>SUMIFS(T$190:T$195,$D$190:$D$195,$D200,$F$190:$F$195,$F200)*SUMIFS('INPUT Growth'!T$64:T$115,'INPUT Growth'!$C$64:$C$115,'INPUT Capex'!$C200,'INPUT Growth'!$D$64:$D$115,'INPUT Capex'!$D200,'INPUT Growth'!$F$64:$F$115,'INPUT Capex'!$F200)/SUMIFS('INPUT Growth'!T$64:T$115,'INPUT Growth'!$D$64:$D$115,'INPUT Capex'!$D200,'INPUT Growth'!$F$64:$F$115,'INPUT Capex'!$F200)</f>
        <v>3052.7025531524946</v>
      </c>
      <c r="U200" s="187">
        <f>SUMIFS(U$190:U$195,$D$190:$D$195,$D200,$F$190:$F$195,$F200)*SUMIFS('INPUT Growth'!U$64:U$115,'INPUT Growth'!$C$64:$C$115,'INPUT Capex'!$C200,'INPUT Growth'!$D$64:$D$115,'INPUT Capex'!$D200,'INPUT Growth'!$F$64:$F$115,'INPUT Capex'!$F200)/SUMIFS('INPUT Growth'!U$64:U$115,'INPUT Growth'!$D$64:$D$115,'INPUT Capex'!$D200,'INPUT Growth'!$F$64:$F$115,'INPUT Capex'!$F200)</f>
        <v>47955.610238409856</v>
      </c>
      <c r="V200" s="187">
        <f>SUMIFS(V$190:V$195,$D$190:$D$195,$D200,$F$190:$F$195,$F200)*SUMIFS('INPUT Growth'!V$64:V$115,'INPUT Growth'!$C$64:$C$115,'INPUT Capex'!$C200,'INPUT Growth'!$D$64:$D$115,'INPUT Capex'!$D200,'INPUT Growth'!$F$64:$F$115,'INPUT Capex'!$F200)/SUMIFS('INPUT Growth'!V$64:V$115,'INPUT Growth'!$D$64:$D$115,'INPUT Capex'!$D200,'INPUT Growth'!$F$64:$F$115,'INPUT Capex'!$F200)</f>
        <v>84424.631190742948</v>
      </c>
      <c r="W200" s="187">
        <f>SUMIFS(W$190:W$195,$D$190:$D$195,$D200,$F$190:$F$195,$F200)*SUMIFS('INPUT Growth'!W$64:W$115,'INPUT Growth'!$C$64:$C$115,'INPUT Capex'!$C200,'INPUT Growth'!$D$64:$D$115,'INPUT Capex'!$D200,'INPUT Growth'!$F$64:$F$115,'INPUT Capex'!$F200)/SUMIFS('INPUT Growth'!W$64:W$115,'INPUT Growth'!$D$64:$D$115,'INPUT Capex'!$D200,'INPUT Growth'!$F$64:$F$115,'INPUT Capex'!$F200)</f>
        <v>191948.07215357741</v>
      </c>
      <c r="X200" s="187">
        <f>SUMIFS(X$190:X$195,$D$190:$D$195,$D200,$F$190:$F$195,$F200)*SUMIFS('INPUT Growth'!X$64:X$115,'INPUT Growth'!$C$64:$C$115,'INPUT Capex'!$C200,'INPUT Growth'!$D$64:$D$115,'INPUT Capex'!$D200,'INPUT Growth'!$F$64:$F$115,'INPUT Capex'!$F200)/SUMIFS('INPUT Growth'!X$64:X$115,'INPUT Growth'!$D$64:$D$115,'INPUT Capex'!$D200,'INPUT Growth'!$F$64:$F$115,'INPUT Capex'!$F200)</f>
        <v>366886.59549522348</v>
      </c>
      <c r="Y200" s="187">
        <f>SUMIFS(Y$190:Y$195,$D$190:$D$195,$D200,$F$190:$F$195,$F200)*SUMIFS('INPUT Growth'!Y$64:Y$115,'INPUT Growth'!$C$64:$C$115,'INPUT Capex'!$C200,'INPUT Growth'!$D$64:$D$115,'INPUT Capex'!$D200,'INPUT Growth'!$F$64:$F$115,'INPUT Capex'!$F200)/SUMIFS('INPUT Growth'!Y$64:Y$115,'INPUT Growth'!$D$64:$D$115,'INPUT Capex'!$D200,'INPUT Growth'!$F$64:$F$115,'INPUT Capex'!$F200)</f>
        <v>583738.5082545022</v>
      </c>
      <c r="Z200" s="187">
        <f>SUMIFS(Z$190:Z$195,$D$190:$D$195,$D200,$F$190:$F$195,$F200)*SUMIFS('INPUT Growth'!Z$64:Z$115,'INPUT Growth'!$C$64:$C$115,'INPUT Capex'!$C200,'INPUT Growth'!$D$64:$D$115,'INPUT Capex'!$D200,'INPUT Growth'!$F$64:$F$115,'INPUT Capex'!$F200)/SUMIFS('INPUT Growth'!Z$64:Z$115,'INPUT Growth'!$D$64:$D$115,'INPUT Capex'!$D200,'INPUT Growth'!$F$64:$F$115,'INPUT Capex'!$F200)</f>
        <v>835489.92588912952</v>
      </c>
      <c r="AA200" s="187">
        <f>SUMIFS(AA$190:AA$195,$D$190:$D$195,$D200,$F$190:$F$195,$F200)*SUMIFS('INPUT Growth'!AA$64:AA$115,'INPUT Growth'!$C$64:$C$115,'INPUT Capex'!$C200,'INPUT Growth'!$D$64:$D$115,'INPUT Capex'!$D200,'INPUT Growth'!$F$64:$F$115,'INPUT Capex'!$F200)/SUMIFS('INPUT Growth'!AA$64:AA$115,'INPUT Growth'!$D$64:$D$115,'INPUT Capex'!$D200,'INPUT Growth'!$F$64:$F$115,'INPUT Capex'!$F200)</f>
        <v>958740.97742544138</v>
      </c>
      <c r="AB200" s="187">
        <f>SUMIFS(AB$190:AB$195,$D$190:$D$195,$D200,$F$190:$F$195,$F200)*SUMIFS('INPUT Growth'!AB$64:AB$115,'INPUT Growth'!$C$64:$C$115,'INPUT Capex'!$C200,'INPUT Growth'!$D$64:$D$115,'INPUT Capex'!$D200,'INPUT Growth'!$F$64:$F$115,'INPUT Capex'!$F200)/SUMIFS('INPUT Growth'!AB$64:AB$115,'INPUT Growth'!$D$64:$D$115,'INPUT Capex'!$D200,'INPUT Growth'!$F$64:$F$115,'INPUT Capex'!$F200)</f>
        <v>1059596.1491734497</v>
      </c>
      <c r="AC200" s="150"/>
    </row>
    <row r="201" spans="3:29" outlineLevel="1" x14ac:dyDescent="0.2">
      <c r="C201" s="150" t="s">
        <v>287</v>
      </c>
      <c r="D201" s="150" t="s">
        <v>303</v>
      </c>
      <c r="E201" s="150"/>
      <c r="F201" s="150" t="s">
        <v>262</v>
      </c>
      <c r="G201" s="150"/>
      <c r="H201" s="150"/>
      <c r="I201" s="150"/>
      <c r="J201" s="199"/>
      <c r="K201" s="199">
        <f t="shared" si="21"/>
        <v>14854858.983615577</v>
      </c>
      <c r="L201" s="150"/>
      <c r="M201" s="150"/>
      <c r="N201" s="150"/>
      <c r="O201" s="150"/>
      <c r="P201" s="150"/>
      <c r="Q201" s="150"/>
      <c r="R201" s="150"/>
      <c r="S201" s="187">
        <f>SUMIFS(S$190:S$195,$D$190:$D$195,$D201,$F$190:$F$195,$F201)*SUMIFS('INPUT Growth'!S$64:S$115,'INPUT Growth'!$C$64:$C$115,'INPUT Capex'!$C201,'INPUT Growth'!$D$64:$D$115,'INPUT Capex'!$D201,'INPUT Growth'!$F$64:$F$115,'INPUT Capex'!$F201)/SUMIFS('INPUT Growth'!S$64:S$115,'INPUT Growth'!$D$64:$D$115,'INPUT Capex'!$D201,'INPUT Growth'!$F$64:$F$115,'INPUT Capex'!$F201)</f>
        <v>84427.814486979158</v>
      </c>
      <c r="T201" s="187">
        <f>SUMIFS(T$190:T$195,$D$190:$D$195,$D201,$F$190:$F$195,$F201)*SUMIFS('INPUT Growth'!T$64:T$115,'INPUT Growth'!$C$64:$C$115,'INPUT Capex'!$C201,'INPUT Growth'!$D$64:$D$115,'INPUT Capex'!$D201,'INPUT Growth'!$F$64:$F$115,'INPUT Capex'!$F201)/SUMIFS('INPUT Growth'!T$64:T$115,'INPUT Growth'!$D$64:$D$115,'INPUT Capex'!$D201,'INPUT Growth'!$F$64:$F$115,'INPUT Capex'!$F201)</f>
        <v>125041.04878805442</v>
      </c>
      <c r="U201" s="187">
        <f>SUMIFS(U$190:U$195,$D$190:$D$195,$D201,$F$190:$F$195,$F201)*SUMIFS('INPUT Growth'!U$64:U$115,'INPUT Growth'!$C$64:$C$115,'INPUT Capex'!$C201,'INPUT Growth'!$D$64:$D$115,'INPUT Capex'!$D201,'INPUT Growth'!$F$64:$F$115,'INPUT Capex'!$F201)/SUMIFS('INPUT Growth'!U$64:U$115,'INPUT Growth'!$D$64:$D$115,'INPUT Capex'!$D201,'INPUT Growth'!$F$64:$F$115,'INPUT Capex'!$F201)</f>
        <v>340012.35957644385</v>
      </c>
      <c r="V201" s="187">
        <f>SUMIFS(V$190:V$195,$D$190:$D$195,$D201,$F$190:$F$195,$F201)*SUMIFS('INPUT Growth'!V$64:V$115,'INPUT Growth'!$C$64:$C$115,'INPUT Capex'!$C201,'INPUT Growth'!$D$64:$D$115,'INPUT Capex'!$D201,'INPUT Growth'!$F$64:$F$115,'INPUT Capex'!$F201)/SUMIFS('INPUT Growth'!V$64:V$115,'INPUT Growth'!$D$64:$D$115,'INPUT Capex'!$D201,'INPUT Growth'!$F$64:$F$115,'INPUT Capex'!$F201)</f>
        <v>529837.10528069537</v>
      </c>
      <c r="W201" s="187">
        <f>SUMIFS(W$190:W$195,$D$190:$D$195,$D201,$F$190:$F$195,$F201)*SUMIFS('INPUT Growth'!W$64:W$115,'INPUT Growth'!$C$64:$C$115,'INPUT Capex'!$C201,'INPUT Growth'!$D$64:$D$115,'INPUT Capex'!$D201,'INPUT Growth'!$F$64:$F$115,'INPUT Capex'!$F201)/SUMIFS('INPUT Growth'!W$64:W$115,'INPUT Growth'!$D$64:$D$115,'INPUT Capex'!$D201,'INPUT Growth'!$F$64:$F$115,'INPUT Capex'!$F201)</f>
        <v>882577.59861402877</v>
      </c>
      <c r="X201" s="187">
        <f>SUMIFS(X$190:X$195,$D$190:$D$195,$D201,$F$190:$F$195,$F201)*SUMIFS('INPUT Growth'!X$64:X$115,'INPUT Growth'!$C$64:$C$115,'INPUT Capex'!$C201,'INPUT Growth'!$D$64:$D$115,'INPUT Capex'!$D201,'INPUT Growth'!$F$64:$F$115,'INPUT Capex'!$F201)/SUMIFS('INPUT Growth'!X$64:X$115,'INPUT Growth'!$D$64:$D$115,'INPUT Capex'!$D201,'INPUT Growth'!$F$64:$F$115,'INPUT Capex'!$F201)</f>
        <v>1336825.5718354615</v>
      </c>
      <c r="Y201" s="187">
        <f>SUMIFS(Y$190:Y$195,$D$190:$D$195,$D201,$F$190:$F$195,$F201)*SUMIFS('INPUT Growth'!Y$64:Y$115,'INPUT Growth'!$C$64:$C$115,'INPUT Capex'!$C201,'INPUT Growth'!$D$64:$D$115,'INPUT Capex'!$D201,'INPUT Growth'!$F$64:$F$115,'INPUT Capex'!$F201)/SUMIFS('INPUT Growth'!Y$64:Y$115,'INPUT Growth'!$D$64:$D$115,'INPUT Capex'!$D201,'INPUT Growth'!$F$64:$F$115,'INPUT Capex'!$F201)</f>
        <v>1963389.061014544</v>
      </c>
      <c r="Z201" s="187">
        <f>SUMIFS(Z$190:Z$195,$D$190:$D$195,$D201,$F$190:$F$195,$F201)*SUMIFS('INPUT Growth'!Z$64:Z$115,'INPUT Growth'!$C$64:$C$115,'INPUT Capex'!$C201,'INPUT Growth'!$D$64:$D$115,'INPUT Capex'!$D201,'INPUT Growth'!$F$64:$F$115,'INPUT Capex'!$F201)/SUMIFS('INPUT Growth'!Z$64:Z$115,'INPUT Growth'!$D$64:$D$115,'INPUT Capex'!$D201,'INPUT Growth'!$F$64:$F$115,'INPUT Capex'!$F201)</f>
        <v>2444051.4475880149</v>
      </c>
      <c r="AA201" s="187">
        <f>SUMIFS(AA$190:AA$195,$D$190:$D$195,$D201,$F$190:$F$195,$F201)*SUMIFS('INPUT Growth'!AA$64:AA$115,'INPUT Growth'!$C$64:$C$115,'INPUT Capex'!$C201,'INPUT Growth'!$D$64:$D$115,'INPUT Capex'!$D201,'INPUT Growth'!$F$64:$F$115,'INPUT Capex'!$F201)/SUMIFS('INPUT Growth'!AA$64:AA$115,'INPUT Growth'!$D$64:$D$115,'INPUT Capex'!$D201,'INPUT Growth'!$F$64:$F$115,'INPUT Capex'!$F201)</f>
        <v>3127694.0191107658</v>
      </c>
      <c r="AB201" s="187">
        <f>SUMIFS(AB$190:AB$195,$D$190:$D$195,$D201,$F$190:$F$195,$F201)*SUMIFS('INPUT Growth'!AB$64:AB$115,'INPUT Growth'!$C$64:$C$115,'INPUT Capex'!$C201,'INPUT Growth'!$D$64:$D$115,'INPUT Capex'!$D201,'INPUT Growth'!$F$64:$F$115,'INPUT Capex'!$F201)/SUMIFS('INPUT Growth'!AB$64:AB$115,'INPUT Growth'!$D$64:$D$115,'INPUT Capex'!$D201,'INPUT Growth'!$F$64:$F$115,'INPUT Capex'!$F201)</f>
        <v>4021002.95732059</v>
      </c>
      <c r="AC201" s="150"/>
    </row>
    <row r="202" spans="3:29" outlineLevel="1" x14ac:dyDescent="0.2">
      <c r="C202" s="150" t="s">
        <v>287</v>
      </c>
      <c r="D202" s="150" t="s">
        <v>303</v>
      </c>
      <c r="E202" s="150"/>
      <c r="F202" s="150" t="s">
        <v>265</v>
      </c>
      <c r="G202" s="150"/>
      <c r="H202" s="150"/>
      <c r="I202" s="150"/>
      <c r="J202" s="199"/>
      <c r="K202" s="199">
        <f t="shared" si="21"/>
        <v>4934252.3144772053</v>
      </c>
      <c r="L202" s="150"/>
      <c r="M202" s="150"/>
      <c r="N202" s="150"/>
      <c r="O202" s="150"/>
      <c r="P202" s="150"/>
      <c r="Q202" s="150"/>
      <c r="R202" s="150"/>
      <c r="S202" s="187">
        <f>SUMIFS(S$190:S$195,$D$190:$D$195,$D202,$F$190:$F$195,$F202)*SUMIFS('INPUT Growth'!S$64:S$115,'INPUT Growth'!$C$64:$C$115,'INPUT Capex'!$C202,'INPUT Growth'!$D$64:$D$115,'INPUT Capex'!$D202,'INPUT Growth'!$F$64:$F$115,'INPUT Capex'!$F202)/SUMIFS('INPUT Growth'!S$64:S$115,'INPUT Growth'!$D$64:$D$115,'INPUT Capex'!$D202,'INPUT Growth'!$F$64:$F$115,'INPUT Capex'!$F202)</f>
        <v>36588.026619155156</v>
      </c>
      <c r="T202" s="187">
        <f>SUMIFS(T$190:T$195,$D$190:$D$195,$D202,$F$190:$F$195,$F202)*SUMIFS('INPUT Growth'!T$64:T$115,'INPUT Growth'!$C$64:$C$115,'INPUT Capex'!$C202,'INPUT Growth'!$D$64:$D$115,'INPUT Capex'!$D202,'INPUT Growth'!$F$64:$F$115,'INPUT Capex'!$F202)/SUMIFS('INPUT Growth'!T$64:T$115,'INPUT Growth'!$D$64:$D$115,'INPUT Capex'!$D202,'INPUT Growth'!$F$64:$F$115,'INPUT Capex'!$F202)</f>
        <v>96605.117138963411</v>
      </c>
      <c r="U202" s="187">
        <f>SUMIFS(U$190:U$195,$D$190:$D$195,$D202,$F$190:$F$195,$F202)*SUMIFS('INPUT Growth'!U$64:U$115,'INPUT Growth'!$C$64:$C$115,'INPUT Capex'!$C202,'INPUT Growth'!$D$64:$D$115,'INPUT Capex'!$D202,'INPUT Growth'!$F$64:$F$115,'INPUT Capex'!$F202)/SUMIFS('INPUT Growth'!U$64:U$115,'INPUT Growth'!$D$64:$D$115,'INPUT Capex'!$D202,'INPUT Growth'!$F$64:$F$115,'INPUT Capex'!$F202)</f>
        <v>409126.74380553409</v>
      </c>
      <c r="V202" s="187">
        <f>SUMIFS(V$190:V$195,$D$190:$D$195,$D202,$F$190:$F$195,$F202)*SUMIFS('INPUT Growth'!V$64:V$115,'INPUT Growth'!$C$64:$C$115,'INPUT Capex'!$C202,'INPUT Growth'!$D$64:$D$115,'INPUT Capex'!$D202,'INPUT Growth'!$F$64:$F$115,'INPUT Capex'!$F202)/SUMIFS('INPUT Growth'!V$64:V$115,'INPUT Growth'!$D$64:$D$115,'INPUT Capex'!$D202,'INPUT Growth'!$F$64:$F$115,'INPUT Capex'!$F202)</f>
        <v>465869.69797793345</v>
      </c>
      <c r="W202" s="187">
        <f>SUMIFS(W$190:W$195,$D$190:$D$195,$D202,$F$190:$F$195,$F202)*SUMIFS('INPUT Growth'!W$64:W$115,'INPUT Growth'!$C$64:$C$115,'INPUT Capex'!$C202,'INPUT Growth'!$D$64:$D$115,'INPUT Capex'!$D202,'INPUT Growth'!$F$64:$F$115,'INPUT Capex'!$F202)/SUMIFS('INPUT Growth'!W$64:W$115,'INPUT Growth'!$D$64:$D$115,'INPUT Capex'!$D202,'INPUT Growth'!$F$64:$F$115,'INPUT Capex'!$F202)</f>
        <v>499033.58109463222</v>
      </c>
      <c r="X202" s="187">
        <f>SUMIFS(X$190:X$195,$D$190:$D$195,$D202,$F$190:$F$195,$F202)*SUMIFS('INPUT Growth'!X$64:X$115,'INPUT Growth'!$C$64:$C$115,'INPUT Capex'!$C202,'INPUT Growth'!$D$64:$D$115,'INPUT Capex'!$D202,'INPUT Growth'!$F$64:$F$115,'INPUT Capex'!$F202)/SUMIFS('INPUT Growth'!X$64:X$115,'INPUT Growth'!$D$64:$D$115,'INPUT Capex'!$D202,'INPUT Growth'!$F$64:$F$115,'INPUT Capex'!$F202)</f>
        <v>748358.47351230704</v>
      </c>
      <c r="Y202" s="187">
        <f>SUMIFS(Y$190:Y$195,$D$190:$D$195,$D202,$F$190:$F$195,$F202)*SUMIFS('INPUT Growth'!Y$64:Y$115,'INPUT Growth'!$C$64:$C$115,'INPUT Capex'!$C202,'INPUT Growth'!$D$64:$D$115,'INPUT Capex'!$D202,'INPUT Growth'!$F$64:$F$115,'INPUT Capex'!$F202)/SUMIFS('INPUT Growth'!Y$64:Y$115,'INPUT Growth'!$D$64:$D$115,'INPUT Capex'!$D202,'INPUT Growth'!$F$64:$F$115,'INPUT Capex'!$F202)</f>
        <v>786408.84759126033</v>
      </c>
      <c r="Z202" s="187">
        <f>SUMIFS(Z$190:Z$195,$D$190:$D$195,$D202,$F$190:$F$195,$F202)*SUMIFS('INPUT Growth'!Z$64:Z$115,'INPUT Growth'!$C$64:$C$115,'INPUT Capex'!$C202,'INPUT Growth'!$D$64:$D$115,'INPUT Capex'!$D202,'INPUT Growth'!$F$64:$F$115,'INPUT Capex'!$F202)/SUMIFS('INPUT Growth'!Z$64:Z$115,'INPUT Growth'!$D$64:$D$115,'INPUT Capex'!$D202,'INPUT Growth'!$F$64:$F$115,'INPUT Capex'!$F202)</f>
        <v>799909.89049501531</v>
      </c>
      <c r="AA202" s="187">
        <f>SUMIFS(AA$190:AA$195,$D$190:$D$195,$D202,$F$190:$F$195,$F202)*SUMIFS('INPUT Growth'!AA$64:AA$115,'INPUT Growth'!$C$64:$C$115,'INPUT Capex'!$C202,'INPUT Growth'!$D$64:$D$115,'INPUT Capex'!$D202,'INPUT Growth'!$F$64:$F$115,'INPUT Capex'!$F202)/SUMIFS('INPUT Growth'!AA$64:AA$115,'INPUT Growth'!$D$64:$D$115,'INPUT Capex'!$D202,'INPUT Growth'!$F$64:$F$115,'INPUT Capex'!$F202)</f>
        <v>610752.71543319721</v>
      </c>
      <c r="AB202" s="187">
        <f>SUMIFS(AB$190:AB$195,$D$190:$D$195,$D202,$F$190:$F$195,$F202)*SUMIFS('INPUT Growth'!AB$64:AB$115,'INPUT Growth'!$C$64:$C$115,'INPUT Capex'!$C202,'INPUT Growth'!$D$64:$D$115,'INPUT Capex'!$D202,'INPUT Growth'!$F$64:$F$115,'INPUT Capex'!$F202)/SUMIFS('INPUT Growth'!AB$64:AB$115,'INPUT Growth'!$D$64:$D$115,'INPUT Capex'!$D202,'INPUT Growth'!$F$64:$F$115,'INPUT Capex'!$F202)</f>
        <v>481599.22080920765</v>
      </c>
      <c r="AC202" s="150"/>
    </row>
    <row r="203" spans="3:29" outlineLevel="1" x14ac:dyDescent="0.2">
      <c r="C203" s="150" t="s">
        <v>290</v>
      </c>
      <c r="D203" s="150" t="s">
        <v>303</v>
      </c>
      <c r="E203" s="150"/>
      <c r="F203" s="150" t="s">
        <v>265</v>
      </c>
      <c r="G203" s="150"/>
      <c r="H203" s="150"/>
      <c r="I203" s="150"/>
      <c r="J203" s="199"/>
      <c r="K203" s="199">
        <f t="shared" si="21"/>
        <v>9751403.8073162418</v>
      </c>
      <c r="L203" s="150"/>
      <c r="M203" s="150"/>
      <c r="N203" s="150"/>
      <c r="O203" s="150"/>
      <c r="P203" s="150"/>
      <c r="Q203" s="150"/>
      <c r="R203" s="150"/>
      <c r="S203" s="187">
        <f>SUMIFS(S$190:S$195,$D$190:$D$195,$D203,$F$190:$F$195,$F203)*SUMIFS('INPUT Growth'!S$64:S$115,'INPUT Growth'!$C$64:$C$115,'INPUT Capex'!$C203,'INPUT Growth'!$D$64:$D$115,'INPUT Capex'!$D203,'INPUT Growth'!$F$64:$F$115,'INPUT Capex'!$F203)/SUMIFS('INPUT Growth'!S$64:S$115,'INPUT Growth'!$D$64:$D$115,'INPUT Capex'!$D203,'INPUT Growth'!$F$64:$F$115,'INPUT Capex'!$F203)</f>
        <v>3147.6743043474835</v>
      </c>
      <c r="T203" s="187">
        <f>SUMIFS(T$190:T$195,$D$190:$D$195,$D203,$F$190:$F$195,$F203)*SUMIFS('INPUT Growth'!T$64:T$115,'INPUT Growth'!$C$64:$C$115,'INPUT Capex'!$C203,'INPUT Growth'!$D$64:$D$115,'INPUT Capex'!$D203,'INPUT Growth'!$F$64:$F$115,'INPUT Capex'!$F203)/SUMIFS('INPUT Growth'!T$64:T$115,'INPUT Growth'!$D$64:$D$115,'INPUT Capex'!$D203,'INPUT Growth'!$F$64:$F$115,'INPUT Capex'!$F203)</f>
        <v>7016.3380395045451</v>
      </c>
      <c r="U203" s="187">
        <f>SUMIFS(U$190:U$195,$D$190:$D$195,$D203,$F$190:$F$195,$F203)*SUMIFS('INPUT Growth'!U$64:U$115,'INPUT Growth'!$C$64:$C$115,'INPUT Capex'!$C203,'INPUT Growth'!$D$64:$D$115,'INPUT Capex'!$D203,'INPUT Growth'!$F$64:$F$115,'INPUT Capex'!$F203)/SUMIFS('INPUT Growth'!U$64:U$115,'INPUT Growth'!$D$64:$D$115,'INPUT Capex'!$D203,'INPUT Growth'!$F$64:$F$115,'INPUT Capex'!$F203)</f>
        <v>156567.30912199841</v>
      </c>
      <c r="V203" s="187">
        <f>SUMIFS(V$190:V$195,$D$190:$D$195,$D203,$F$190:$F$195,$F203)*SUMIFS('INPUT Growth'!V$64:V$115,'INPUT Growth'!$C$64:$C$115,'INPUT Capex'!$C203,'INPUT Growth'!$D$64:$D$115,'INPUT Capex'!$D203,'INPUT Growth'!$F$64:$F$115,'INPUT Capex'!$F203)/SUMIFS('INPUT Growth'!V$64:V$115,'INPUT Growth'!$D$64:$D$115,'INPUT Capex'!$D203,'INPUT Growth'!$F$64:$F$115,'INPUT Capex'!$F203)</f>
        <v>264832.44579341845</v>
      </c>
      <c r="W203" s="187">
        <f>SUMIFS(W$190:W$195,$D$190:$D$195,$D203,$F$190:$F$195,$F203)*SUMIFS('INPUT Growth'!W$64:W$115,'INPUT Growth'!$C$64:$C$115,'INPUT Capex'!$C203,'INPUT Growth'!$D$64:$D$115,'INPUT Capex'!$D203,'INPUT Growth'!$F$64:$F$115,'INPUT Capex'!$F203)/SUMIFS('INPUT Growth'!W$64:W$115,'INPUT Growth'!$D$64:$D$115,'INPUT Capex'!$D203,'INPUT Growth'!$F$64:$F$115,'INPUT Capex'!$F203)</f>
        <v>712358.25697399746</v>
      </c>
      <c r="X203" s="187">
        <f>SUMIFS(X$190:X$195,$D$190:$D$195,$D203,$F$190:$F$195,$F203)*SUMIFS('INPUT Growth'!X$64:X$115,'INPUT Growth'!$C$64:$C$115,'INPUT Capex'!$C203,'INPUT Growth'!$D$64:$D$115,'INPUT Capex'!$D203,'INPUT Growth'!$F$64:$F$115,'INPUT Capex'!$F203)/SUMIFS('INPUT Growth'!X$64:X$115,'INPUT Growth'!$D$64:$D$115,'INPUT Capex'!$D203,'INPUT Growth'!$F$64:$F$115,'INPUT Capex'!$F203)</f>
        <v>887735.28974317061</v>
      </c>
      <c r="Y203" s="187">
        <f>SUMIFS(Y$190:Y$195,$D$190:$D$195,$D203,$F$190:$F$195,$F203)*SUMIFS('INPUT Growth'!Y$64:Y$115,'INPUT Growth'!$C$64:$C$115,'INPUT Capex'!$C203,'INPUT Growth'!$D$64:$D$115,'INPUT Capex'!$D203,'INPUT Growth'!$F$64:$F$115,'INPUT Capex'!$F203)/SUMIFS('INPUT Growth'!Y$64:Y$115,'INPUT Growth'!$D$64:$D$115,'INPUT Capex'!$D203,'INPUT Growth'!$F$64:$F$115,'INPUT Capex'!$F203)</f>
        <v>1424808.7737537802</v>
      </c>
      <c r="Z203" s="187">
        <f>SUMIFS(Z$190:Z$195,$D$190:$D$195,$D203,$F$190:$F$195,$F203)*SUMIFS('INPUT Growth'!Z$64:Z$115,'INPUT Growth'!$C$64:$C$115,'INPUT Capex'!$C203,'INPUT Growth'!$D$64:$D$115,'INPUT Capex'!$D203,'INPUT Growth'!$F$64:$F$115,'INPUT Capex'!$F203)/SUMIFS('INPUT Growth'!Z$64:Z$115,'INPUT Growth'!$D$64:$D$115,'INPUT Capex'!$D203,'INPUT Growth'!$F$64:$F$115,'INPUT Capex'!$F203)</f>
        <v>1907148.5809605028</v>
      </c>
      <c r="AA203" s="187">
        <f>SUMIFS(AA$190:AA$195,$D$190:$D$195,$D203,$F$190:$F$195,$F203)*SUMIFS('INPUT Growth'!AA$64:AA$115,'INPUT Growth'!$C$64:$C$115,'INPUT Capex'!$C203,'INPUT Growth'!$D$64:$D$115,'INPUT Capex'!$D203,'INPUT Growth'!$F$64:$F$115,'INPUT Capex'!$F203)/SUMIFS('INPUT Growth'!AA$64:AA$115,'INPUT Growth'!$D$64:$D$115,'INPUT Capex'!$D203,'INPUT Growth'!$F$64:$F$115,'INPUT Capex'!$F203)</f>
        <v>2135250.4444456561</v>
      </c>
      <c r="AB203" s="187">
        <f>SUMIFS(AB$190:AB$195,$D$190:$D$195,$D203,$F$190:$F$195,$F203)*SUMIFS('INPUT Growth'!AB$64:AB$115,'INPUT Growth'!$C$64:$C$115,'INPUT Capex'!$C203,'INPUT Growth'!$D$64:$D$115,'INPUT Capex'!$D203,'INPUT Growth'!$F$64:$F$115,'INPUT Capex'!$F203)/SUMIFS('INPUT Growth'!AB$64:AB$115,'INPUT Growth'!$D$64:$D$115,'INPUT Capex'!$D203,'INPUT Growth'!$F$64:$F$115,'INPUT Capex'!$F203)</f>
        <v>2252538.6941798665</v>
      </c>
      <c r="AC203" s="150"/>
    </row>
    <row r="204" spans="3:29" outlineLevel="1" x14ac:dyDescent="0.2">
      <c r="C204" s="150" t="s">
        <v>283</v>
      </c>
      <c r="D204" s="150" t="s">
        <v>310</v>
      </c>
      <c r="E204" s="150"/>
      <c r="F204" s="150" t="s">
        <v>262</v>
      </c>
      <c r="G204" s="150"/>
      <c r="H204" s="150"/>
      <c r="I204" s="150"/>
      <c r="J204" s="199"/>
      <c r="K204" s="199">
        <f t="shared" si="21"/>
        <v>11840603.410109131</v>
      </c>
      <c r="L204" s="150"/>
      <c r="M204" s="150"/>
      <c r="N204" s="150"/>
      <c r="O204" s="150"/>
      <c r="P204" s="150"/>
      <c r="Q204" s="150"/>
      <c r="R204" s="150"/>
      <c r="S204" s="187">
        <f>SUMIFS(S$190:S$195,$D$190:$D$195,$D204,$F$190:$F$195,$F204)*SUMIFS('INPUT Growth'!S$64:S$115,'INPUT Growth'!$C$64:$C$115,'INPUT Capex'!$C204,'INPUT Growth'!$D$64:$D$115,'INPUT Capex'!$D204,'INPUT Growth'!$F$64:$F$115,'INPUT Capex'!$F204)/SUMIFS('INPUT Growth'!S$64:S$115,'INPUT Growth'!$D$64:$D$115,'INPUT Capex'!$D204,'INPUT Growth'!$F$64:$F$115,'INPUT Capex'!$F204)</f>
        <v>179898.74775911454</v>
      </c>
      <c r="T204" s="187">
        <f>SUMIFS(T$190:T$195,$D$190:$D$195,$D204,$F$190:$F$195,$F204)*SUMIFS('INPUT Growth'!T$64:T$115,'INPUT Growth'!$C$64:$C$115,'INPUT Capex'!$C204,'INPUT Growth'!$D$64:$D$115,'INPUT Capex'!$D204,'INPUT Growth'!$F$64:$F$115,'INPUT Capex'!$F204)/SUMIFS('INPUT Growth'!T$64:T$115,'INPUT Growth'!$D$64:$D$115,'INPUT Capex'!$D204,'INPUT Growth'!$F$64:$F$115,'INPUT Capex'!$F204)</f>
        <v>321532.72397416842</v>
      </c>
      <c r="U204" s="187">
        <f>SUMIFS(U$190:U$195,$D$190:$D$195,$D204,$F$190:$F$195,$F204)*SUMIFS('INPUT Growth'!U$64:U$115,'INPUT Growth'!$C$64:$C$115,'INPUT Capex'!$C204,'INPUT Growth'!$D$64:$D$115,'INPUT Capex'!$D204,'INPUT Growth'!$F$64:$F$115,'INPUT Capex'!$F204)/SUMIFS('INPUT Growth'!U$64:U$115,'INPUT Growth'!$D$64:$D$115,'INPUT Capex'!$D204,'INPUT Growth'!$F$64:$F$115,'INPUT Capex'!$F204)</f>
        <v>559760.94217204617</v>
      </c>
      <c r="V204" s="187">
        <f>SUMIFS(V$190:V$195,$D$190:$D$195,$D204,$F$190:$F$195,$F204)*SUMIFS('INPUT Growth'!V$64:V$115,'INPUT Growth'!$C$64:$C$115,'INPUT Capex'!$C204,'INPUT Growth'!$D$64:$D$115,'INPUT Capex'!$D204,'INPUT Growth'!$F$64:$F$115,'INPUT Capex'!$F204)/SUMIFS('INPUT Growth'!V$64:V$115,'INPUT Growth'!$D$64:$D$115,'INPUT Capex'!$D204,'INPUT Growth'!$F$64:$F$115,'INPUT Capex'!$F204)</f>
        <v>844988.91575368505</v>
      </c>
      <c r="W204" s="187">
        <f>SUMIFS(W$190:W$195,$D$190:$D$195,$D204,$F$190:$F$195,$F204)*SUMIFS('INPUT Growth'!W$64:W$115,'INPUT Growth'!$C$64:$C$115,'INPUT Capex'!$C204,'INPUT Growth'!$D$64:$D$115,'INPUT Capex'!$D204,'INPUT Growth'!$F$64:$F$115,'INPUT Capex'!$F204)/SUMIFS('INPUT Growth'!W$64:W$115,'INPUT Growth'!$D$64:$D$115,'INPUT Capex'!$D204,'INPUT Growth'!$F$64:$F$115,'INPUT Capex'!$F204)</f>
        <v>1140062.4528203518</v>
      </c>
      <c r="X204" s="187">
        <f>SUMIFS(X$190:X$195,$D$190:$D$195,$D204,$F$190:$F$195,$F204)*SUMIFS('INPUT Growth'!X$64:X$115,'INPUT Growth'!$C$64:$C$115,'INPUT Capex'!$C204,'INPUT Growth'!$D$64:$D$115,'INPUT Capex'!$D204,'INPUT Growth'!$F$64:$F$115,'INPUT Capex'!$F204)/SUMIFS('INPUT Growth'!X$64:X$115,'INPUT Growth'!$D$64:$D$115,'INPUT Capex'!$D204,'INPUT Growth'!$F$64:$F$115,'INPUT Capex'!$F204)</f>
        <v>1313480.0580263908</v>
      </c>
      <c r="Y204" s="187">
        <f>SUMIFS(Y$190:Y$195,$D$190:$D$195,$D204,$F$190:$F$195,$F204)*SUMIFS('INPUT Growth'!Y$64:Y$115,'INPUT Growth'!$C$64:$C$115,'INPUT Capex'!$C204,'INPUT Growth'!$D$64:$D$115,'INPUT Capex'!$D204,'INPUT Growth'!$F$64:$F$115,'INPUT Capex'!$F204)/SUMIFS('INPUT Growth'!Y$64:Y$115,'INPUT Growth'!$D$64:$D$115,'INPUT Capex'!$D204,'INPUT Growth'!$F$64:$F$115,'INPUT Capex'!$F204)</f>
        <v>1444658.9967777783</v>
      </c>
      <c r="Z204" s="187">
        <f>SUMIFS(Z$190:Z$195,$D$190:$D$195,$D204,$F$190:$F$195,$F204)*SUMIFS('INPUT Growth'!Z$64:Z$115,'INPUT Growth'!$C$64:$C$115,'INPUT Capex'!$C204,'INPUT Growth'!$D$64:$D$115,'INPUT Capex'!$D204,'INPUT Growth'!$F$64:$F$115,'INPUT Capex'!$F204)/SUMIFS('INPUT Growth'!Z$64:Z$115,'INPUT Growth'!$D$64:$D$115,'INPUT Capex'!$D204,'INPUT Growth'!$F$64:$F$115,'INPUT Capex'!$F204)</f>
        <v>1502405.5635227757</v>
      </c>
      <c r="AA204" s="187">
        <f>SUMIFS(AA$190:AA$195,$D$190:$D$195,$D204,$F$190:$F$195,$F204)*SUMIFS('INPUT Growth'!AA$64:AA$115,'INPUT Growth'!$C$64:$C$115,'INPUT Capex'!$C204,'INPUT Growth'!$D$64:$D$115,'INPUT Capex'!$D204,'INPUT Growth'!$F$64:$F$115,'INPUT Capex'!$F204)/SUMIFS('INPUT Growth'!AA$64:AA$115,'INPUT Growth'!$D$64:$D$115,'INPUT Capex'!$D204,'INPUT Growth'!$F$64:$F$115,'INPUT Capex'!$F204)</f>
        <v>1901428.7161610264</v>
      </c>
      <c r="AB204" s="187">
        <f>SUMIFS(AB$190:AB$195,$D$190:$D$195,$D204,$F$190:$F$195,$F204)*SUMIFS('INPUT Growth'!AB$64:AB$115,'INPUT Growth'!$C$64:$C$115,'INPUT Capex'!$C204,'INPUT Growth'!$D$64:$D$115,'INPUT Capex'!$D204,'INPUT Growth'!$F$64:$F$115,'INPUT Capex'!$F204)/SUMIFS('INPUT Growth'!AB$64:AB$115,'INPUT Growth'!$D$64:$D$115,'INPUT Capex'!$D204,'INPUT Growth'!$F$64:$F$115,'INPUT Capex'!$F204)</f>
        <v>2632386.293141793</v>
      </c>
      <c r="AC204" s="150"/>
    </row>
    <row r="205" spans="3:29" outlineLevel="1" x14ac:dyDescent="0.2">
      <c r="C205" s="150" t="s">
        <v>312</v>
      </c>
      <c r="D205" s="150" t="s">
        <v>310</v>
      </c>
      <c r="E205" s="150"/>
      <c r="F205" s="150" t="s">
        <v>262</v>
      </c>
      <c r="G205" s="150"/>
      <c r="H205" s="150"/>
      <c r="I205" s="150"/>
      <c r="J205" s="199"/>
      <c r="K205" s="199">
        <f t="shared" si="21"/>
        <v>14714.720999630708</v>
      </c>
      <c r="L205" s="150"/>
      <c r="M205" s="150"/>
      <c r="N205" s="150"/>
      <c r="O205" s="150"/>
      <c r="P205" s="150"/>
      <c r="Q205" s="150"/>
      <c r="R205" s="150"/>
      <c r="S205" s="187">
        <f>SUMIFS(S$190:S$195,$D$190:$D$195,$D205,$F$190:$F$195,$F205)*SUMIFS('INPUT Growth'!S$64:S$115,'INPUT Growth'!$C$64:$C$115,'INPUT Capex'!$C205,'INPUT Growth'!$D$64:$D$115,'INPUT Capex'!$D205,'INPUT Growth'!$F$64:$F$115,'INPUT Capex'!$F205)/SUMIFS('INPUT Growth'!S$64:S$115,'INPUT Growth'!$D$64:$D$115,'INPUT Capex'!$D205,'INPUT Growth'!$F$64:$F$115,'INPUT Capex'!$F205)</f>
        <v>0</v>
      </c>
      <c r="T205" s="187">
        <f>SUMIFS(T$190:T$195,$D$190:$D$195,$D205,$F$190:$F$195,$F205)*SUMIFS('INPUT Growth'!T$64:T$115,'INPUT Growth'!$C$64:$C$115,'INPUT Capex'!$C205,'INPUT Growth'!$D$64:$D$115,'INPUT Capex'!$D205,'INPUT Growth'!$F$64:$F$115,'INPUT Capex'!$F205)/SUMIFS('INPUT Growth'!T$64:T$115,'INPUT Growth'!$D$64:$D$115,'INPUT Capex'!$D205,'INPUT Growth'!$F$64:$F$115,'INPUT Capex'!$F205)</f>
        <v>0</v>
      </c>
      <c r="U205" s="187">
        <f>SUMIFS(U$190:U$195,$D$190:$D$195,$D205,$F$190:$F$195,$F205)*SUMIFS('INPUT Growth'!U$64:U$115,'INPUT Growth'!$C$64:$C$115,'INPUT Capex'!$C205,'INPUT Growth'!$D$64:$D$115,'INPUT Capex'!$D205,'INPUT Growth'!$F$64:$F$115,'INPUT Capex'!$F205)/SUMIFS('INPUT Growth'!U$64:U$115,'INPUT Growth'!$D$64:$D$115,'INPUT Capex'!$D205,'INPUT Growth'!$F$64:$F$115,'INPUT Capex'!$F205)</f>
        <v>0</v>
      </c>
      <c r="V205" s="187">
        <f>SUMIFS(V$190:V$195,$D$190:$D$195,$D205,$F$190:$F$195,$F205)*SUMIFS('INPUT Growth'!V$64:V$115,'INPUT Growth'!$C$64:$C$115,'INPUT Capex'!$C205,'INPUT Growth'!$D$64:$D$115,'INPUT Capex'!$D205,'INPUT Growth'!$F$64:$F$115,'INPUT Capex'!$F205)/SUMIFS('INPUT Growth'!V$64:V$115,'INPUT Growth'!$D$64:$D$115,'INPUT Capex'!$D205,'INPUT Growth'!$F$64:$F$115,'INPUT Capex'!$F205)</f>
        <v>0</v>
      </c>
      <c r="W205" s="187">
        <f>SUMIFS(W$190:W$195,$D$190:$D$195,$D205,$F$190:$F$195,$F205)*SUMIFS('INPUT Growth'!W$64:W$115,'INPUT Growth'!$C$64:$C$115,'INPUT Capex'!$C205,'INPUT Growth'!$D$64:$D$115,'INPUT Capex'!$D205,'INPUT Growth'!$F$64:$F$115,'INPUT Capex'!$F205)/SUMIFS('INPUT Growth'!W$64:W$115,'INPUT Growth'!$D$64:$D$115,'INPUT Capex'!$D205,'INPUT Growth'!$F$64:$F$115,'INPUT Capex'!$F205)</f>
        <v>0</v>
      </c>
      <c r="X205" s="187">
        <f>SUMIFS(X$190:X$195,$D$190:$D$195,$D205,$F$190:$F$195,$F205)*SUMIFS('INPUT Growth'!X$64:X$115,'INPUT Growth'!$C$64:$C$115,'INPUT Capex'!$C205,'INPUT Growth'!$D$64:$D$115,'INPUT Capex'!$D205,'INPUT Growth'!$F$64:$F$115,'INPUT Capex'!$F205)/SUMIFS('INPUT Growth'!X$64:X$115,'INPUT Growth'!$D$64:$D$115,'INPUT Capex'!$D205,'INPUT Growth'!$F$64:$F$115,'INPUT Capex'!$F205)</f>
        <v>0</v>
      </c>
      <c r="Y205" s="187">
        <f>SUMIFS(Y$190:Y$195,$D$190:$D$195,$D205,$F$190:$F$195,$F205)*SUMIFS('INPUT Growth'!Y$64:Y$115,'INPUT Growth'!$C$64:$C$115,'INPUT Capex'!$C205,'INPUT Growth'!$D$64:$D$115,'INPUT Capex'!$D205,'INPUT Growth'!$F$64:$F$115,'INPUT Capex'!$F205)/SUMIFS('INPUT Growth'!Y$64:Y$115,'INPUT Growth'!$D$64:$D$115,'INPUT Capex'!$D205,'INPUT Growth'!$F$64:$F$115,'INPUT Capex'!$F205)</f>
        <v>0</v>
      </c>
      <c r="Z205" s="187">
        <f>SUMIFS(Z$190:Z$195,$D$190:$D$195,$D205,$F$190:$F$195,$F205)*SUMIFS('INPUT Growth'!Z$64:Z$115,'INPUT Growth'!$C$64:$C$115,'INPUT Capex'!$C205,'INPUT Growth'!$D$64:$D$115,'INPUT Capex'!$D205,'INPUT Growth'!$F$64:$F$115,'INPUT Capex'!$F205)/SUMIFS('INPUT Growth'!Z$64:Z$115,'INPUT Growth'!$D$64:$D$115,'INPUT Capex'!$D205,'INPUT Growth'!$F$64:$F$115,'INPUT Capex'!$F205)</f>
        <v>0</v>
      </c>
      <c r="AA205" s="187">
        <f>SUMIFS(AA$190:AA$195,$D$190:$D$195,$D205,$F$190:$F$195,$F205)*SUMIFS('INPUT Growth'!AA$64:AA$115,'INPUT Growth'!$C$64:$C$115,'INPUT Capex'!$C205,'INPUT Growth'!$D$64:$D$115,'INPUT Capex'!$D205,'INPUT Growth'!$F$64:$F$115,'INPUT Capex'!$F205)/SUMIFS('INPUT Growth'!AA$64:AA$115,'INPUT Growth'!$D$64:$D$115,'INPUT Capex'!$D205,'INPUT Growth'!$F$64:$F$115,'INPUT Capex'!$F205)</f>
        <v>0</v>
      </c>
      <c r="AB205" s="187">
        <f>SUMIFS(AB$190:AB$195,$D$190:$D$195,$D205,$F$190:$F$195,$F205)*SUMIFS('INPUT Growth'!AB$64:AB$115,'INPUT Growth'!$C$64:$C$115,'INPUT Capex'!$C205,'INPUT Growth'!$D$64:$D$115,'INPUT Capex'!$D205,'INPUT Growth'!$F$64:$F$115,'INPUT Capex'!$F205)/SUMIFS('INPUT Growth'!AB$64:AB$115,'INPUT Growth'!$D$64:$D$115,'INPUT Capex'!$D205,'INPUT Growth'!$F$64:$F$115,'INPUT Capex'!$F205)</f>
        <v>14714.720999630708</v>
      </c>
      <c r="AC205" s="150"/>
    </row>
    <row r="206" spans="3:29" outlineLevel="1" x14ac:dyDescent="0.2">
      <c r="C206" s="150" t="s">
        <v>283</v>
      </c>
      <c r="D206" s="150" t="s">
        <v>310</v>
      </c>
      <c r="E206" s="150"/>
      <c r="F206" s="150" t="s">
        <v>265</v>
      </c>
      <c r="G206" s="150"/>
      <c r="H206" s="150"/>
      <c r="I206" s="150"/>
      <c r="J206" s="199"/>
      <c r="K206" s="199">
        <f t="shared" si="21"/>
        <v>0</v>
      </c>
      <c r="L206" s="150"/>
      <c r="M206" s="150"/>
      <c r="N206" s="150"/>
      <c r="O206" s="150"/>
      <c r="P206" s="150"/>
      <c r="Q206" s="150"/>
      <c r="R206" s="150"/>
      <c r="S206" s="187">
        <f>SUMIFS(S$190:S$195,$D$190:$D$195,$D206,$F$190:$F$195,$F206)*SUMIFS('INPUT Growth'!S$64:S$115,'INPUT Growth'!$C$64:$C$115,'INPUT Capex'!$C206,'INPUT Growth'!$D$64:$D$115,'INPUT Capex'!$D206,'INPUT Growth'!$F$64:$F$115,'INPUT Capex'!$F206)/SUMIFS('INPUT Growth'!S$64:S$115,'INPUT Growth'!$D$64:$D$115,'INPUT Capex'!$D206,'INPUT Growth'!$F$64:$F$115,'INPUT Capex'!$F206)</f>
        <v>0</v>
      </c>
      <c r="T206" s="187">
        <f>SUMIFS(T$190:T$195,$D$190:$D$195,$D206,$F$190:$F$195,$F206)*SUMIFS('INPUT Growth'!T$64:T$115,'INPUT Growth'!$C$64:$C$115,'INPUT Capex'!$C206,'INPUT Growth'!$D$64:$D$115,'INPUT Capex'!$D206,'INPUT Growth'!$F$64:$F$115,'INPUT Capex'!$F206)/SUMIFS('INPUT Growth'!T$64:T$115,'INPUT Growth'!$D$64:$D$115,'INPUT Capex'!$D206,'INPUT Growth'!$F$64:$F$115,'INPUT Capex'!$F206)</f>
        <v>0</v>
      </c>
      <c r="U206" s="187">
        <f>SUMIFS(U$190:U$195,$D$190:$D$195,$D206,$F$190:$F$195,$F206)*SUMIFS('INPUT Growth'!U$64:U$115,'INPUT Growth'!$C$64:$C$115,'INPUT Capex'!$C206,'INPUT Growth'!$D$64:$D$115,'INPUT Capex'!$D206,'INPUT Growth'!$F$64:$F$115,'INPUT Capex'!$F206)/SUMIFS('INPUT Growth'!U$64:U$115,'INPUT Growth'!$D$64:$D$115,'INPUT Capex'!$D206,'INPUT Growth'!$F$64:$F$115,'INPUT Capex'!$F206)</f>
        <v>0</v>
      </c>
      <c r="V206" s="187">
        <f>SUMIFS(V$190:V$195,$D$190:$D$195,$D206,$F$190:$F$195,$F206)*SUMIFS('INPUT Growth'!V$64:V$115,'INPUT Growth'!$C$64:$C$115,'INPUT Capex'!$C206,'INPUT Growth'!$D$64:$D$115,'INPUT Capex'!$D206,'INPUT Growth'!$F$64:$F$115,'INPUT Capex'!$F206)/SUMIFS('INPUT Growth'!V$64:V$115,'INPUT Growth'!$D$64:$D$115,'INPUT Capex'!$D206,'INPUT Growth'!$F$64:$F$115,'INPUT Capex'!$F206)</f>
        <v>0</v>
      </c>
      <c r="W206" s="187">
        <f>SUMIFS(W$190:W$195,$D$190:$D$195,$D206,$F$190:$F$195,$F206)*SUMIFS('INPUT Growth'!W$64:W$115,'INPUT Growth'!$C$64:$C$115,'INPUT Capex'!$C206,'INPUT Growth'!$D$64:$D$115,'INPUT Capex'!$D206,'INPUT Growth'!$F$64:$F$115,'INPUT Capex'!$F206)/SUMIFS('INPUT Growth'!W$64:W$115,'INPUT Growth'!$D$64:$D$115,'INPUT Capex'!$D206,'INPUT Growth'!$F$64:$F$115,'INPUT Capex'!$F206)</f>
        <v>0</v>
      </c>
      <c r="X206" s="187">
        <f>SUMIFS(X$190:X$195,$D$190:$D$195,$D206,$F$190:$F$195,$F206)*SUMIFS('INPUT Growth'!X$64:X$115,'INPUT Growth'!$C$64:$C$115,'INPUT Capex'!$C206,'INPUT Growth'!$D$64:$D$115,'INPUT Capex'!$D206,'INPUT Growth'!$F$64:$F$115,'INPUT Capex'!$F206)/SUMIFS('INPUT Growth'!X$64:X$115,'INPUT Growth'!$D$64:$D$115,'INPUT Capex'!$D206,'INPUT Growth'!$F$64:$F$115,'INPUT Capex'!$F206)</f>
        <v>0</v>
      </c>
      <c r="Y206" s="187">
        <f>SUMIFS(Y$190:Y$195,$D$190:$D$195,$D206,$F$190:$F$195,$F206)*SUMIFS('INPUT Growth'!Y$64:Y$115,'INPUT Growth'!$C$64:$C$115,'INPUT Capex'!$C206,'INPUT Growth'!$D$64:$D$115,'INPUT Capex'!$D206,'INPUT Growth'!$F$64:$F$115,'INPUT Capex'!$F206)/SUMIFS('INPUT Growth'!Y$64:Y$115,'INPUT Growth'!$D$64:$D$115,'INPUT Capex'!$D206,'INPUT Growth'!$F$64:$F$115,'INPUT Capex'!$F206)</f>
        <v>0</v>
      </c>
      <c r="Z206" s="187">
        <f>SUMIFS(Z$190:Z$195,$D$190:$D$195,$D206,$F$190:$F$195,$F206)*SUMIFS('INPUT Growth'!Z$64:Z$115,'INPUT Growth'!$C$64:$C$115,'INPUT Capex'!$C206,'INPUT Growth'!$D$64:$D$115,'INPUT Capex'!$D206,'INPUT Growth'!$F$64:$F$115,'INPUT Capex'!$F206)/SUMIFS('INPUT Growth'!Z$64:Z$115,'INPUT Growth'!$D$64:$D$115,'INPUT Capex'!$D206,'INPUT Growth'!$F$64:$F$115,'INPUT Capex'!$F206)</f>
        <v>0</v>
      </c>
      <c r="AA206" s="187">
        <f>SUMIFS(AA$190:AA$195,$D$190:$D$195,$D206,$F$190:$F$195,$F206)*SUMIFS('INPUT Growth'!AA$64:AA$115,'INPUT Growth'!$C$64:$C$115,'INPUT Capex'!$C206,'INPUT Growth'!$D$64:$D$115,'INPUT Capex'!$D206,'INPUT Growth'!$F$64:$F$115,'INPUT Capex'!$F206)/SUMIFS('INPUT Growth'!AA$64:AA$115,'INPUT Growth'!$D$64:$D$115,'INPUT Capex'!$D206,'INPUT Growth'!$F$64:$F$115,'INPUT Capex'!$F206)</f>
        <v>0</v>
      </c>
      <c r="AB206" s="187">
        <f>SUMIFS(AB$190:AB$195,$D$190:$D$195,$D206,$F$190:$F$195,$F206)*SUMIFS('INPUT Growth'!AB$64:AB$115,'INPUT Growth'!$C$64:$C$115,'INPUT Capex'!$C206,'INPUT Growth'!$D$64:$D$115,'INPUT Capex'!$D206,'INPUT Growth'!$F$64:$F$115,'INPUT Capex'!$F206)/SUMIFS('INPUT Growth'!AB$64:AB$115,'INPUT Growth'!$D$64:$D$115,'INPUT Capex'!$D206,'INPUT Growth'!$F$64:$F$115,'INPUT Capex'!$F206)</f>
        <v>0</v>
      </c>
      <c r="AC206" s="150"/>
    </row>
    <row r="207" spans="3:29" outlineLevel="1" x14ac:dyDescent="0.2">
      <c r="C207" s="150" t="s">
        <v>312</v>
      </c>
      <c r="D207" s="150" t="s">
        <v>310</v>
      </c>
      <c r="E207" s="150"/>
      <c r="F207" s="150" t="s">
        <v>265</v>
      </c>
      <c r="G207" s="150"/>
      <c r="H207" s="150"/>
      <c r="I207" s="150"/>
      <c r="J207" s="199"/>
      <c r="K207" s="199">
        <f t="shared" si="21"/>
        <v>2680665.5995777957</v>
      </c>
      <c r="L207" s="150"/>
      <c r="M207" s="150"/>
      <c r="N207" s="150"/>
      <c r="O207" s="150"/>
      <c r="P207" s="150"/>
      <c r="Q207" s="150"/>
      <c r="R207" s="150"/>
      <c r="S207" s="187">
        <f>SUMIFS(S$190:S$195,$D$190:$D$195,$D207,$F$190:$F$195,$F207)*SUMIFS('INPUT Growth'!S$64:S$115,'INPUT Growth'!$C$64:$C$115,'INPUT Capex'!$C207,'INPUT Growth'!$D$64:$D$115,'INPUT Capex'!$D207,'INPUT Growth'!$F$64:$F$115,'INPUT Capex'!$F207)/SUMIFS('INPUT Growth'!S$64:S$115,'INPUT Growth'!$D$64:$D$115,'INPUT Capex'!$D207,'INPUT Growth'!$F$64:$F$115,'INPUT Capex'!$F207)</f>
        <v>15069.569565022417</v>
      </c>
      <c r="T207" s="187">
        <f>SUMIFS(T$190:T$195,$D$190:$D$195,$D207,$F$190:$F$195,$F207)*SUMIFS('INPUT Growth'!T$64:T$115,'INPUT Growth'!$C$64:$C$115,'INPUT Capex'!$C207,'INPUT Growth'!$D$64:$D$115,'INPUT Capex'!$D207,'INPUT Growth'!$F$64:$F$115,'INPUT Capex'!$F207)/SUMIFS('INPUT Growth'!T$64:T$115,'INPUT Growth'!$D$64:$D$115,'INPUT Capex'!$D207,'INPUT Growth'!$F$64:$F$115,'INPUT Capex'!$F207)</f>
        <v>33885.533224529398</v>
      </c>
      <c r="U207" s="187">
        <f>SUMIFS(U$190:U$195,$D$190:$D$195,$D207,$F$190:$F$195,$F207)*SUMIFS('INPUT Growth'!U$64:U$115,'INPUT Growth'!$C$64:$C$115,'INPUT Capex'!$C207,'INPUT Growth'!$D$64:$D$115,'INPUT Capex'!$D207,'INPUT Growth'!$F$64:$F$115,'INPUT Capex'!$F207)/SUMIFS('INPUT Growth'!U$64:U$115,'INPUT Growth'!$D$64:$D$115,'INPUT Capex'!$D207,'INPUT Growth'!$F$64:$F$115,'INPUT Capex'!$F207)</f>
        <v>74697.306994838073</v>
      </c>
      <c r="V207" s="187">
        <f>SUMIFS(V$190:V$195,$D$190:$D$195,$D207,$F$190:$F$195,$F207)*SUMIFS('INPUT Growth'!V$64:V$115,'INPUT Growth'!$C$64:$C$115,'INPUT Capex'!$C207,'INPUT Growth'!$D$64:$D$115,'INPUT Capex'!$D207,'INPUT Growth'!$F$64:$F$115,'INPUT Capex'!$F207)/SUMIFS('INPUT Growth'!V$64:V$115,'INPUT Growth'!$D$64:$D$115,'INPUT Capex'!$D207,'INPUT Growth'!$F$64:$F$115,'INPUT Capex'!$F207)</f>
        <v>89691.210538345855</v>
      </c>
      <c r="W207" s="187">
        <f>SUMIFS(W$190:W$195,$D$190:$D$195,$D207,$F$190:$F$195,$F207)*SUMIFS('INPUT Growth'!W$64:W$115,'INPUT Growth'!$C$64:$C$115,'INPUT Capex'!$C207,'INPUT Growth'!$D$64:$D$115,'INPUT Capex'!$D207,'INPUT Growth'!$F$64:$F$115,'INPUT Capex'!$F207)/SUMIFS('INPUT Growth'!W$64:W$115,'INPUT Growth'!$D$64:$D$115,'INPUT Capex'!$D207,'INPUT Growth'!$F$64:$F$115,'INPUT Capex'!$F207)</f>
        <v>147729.54705424001</v>
      </c>
      <c r="X207" s="187">
        <f>SUMIFS(X$190:X$195,$D$190:$D$195,$D207,$F$190:$F$195,$F207)*SUMIFS('INPUT Growth'!X$64:X$115,'INPUT Growth'!$C$64:$C$115,'INPUT Capex'!$C207,'INPUT Growth'!$D$64:$D$115,'INPUT Capex'!$D207,'INPUT Growth'!$F$64:$F$115,'INPUT Capex'!$F207)/SUMIFS('INPUT Growth'!X$64:X$115,'INPUT Growth'!$D$64:$D$115,'INPUT Capex'!$D207,'INPUT Growth'!$F$64:$F$115,'INPUT Capex'!$F207)</f>
        <v>254291.27833090158</v>
      </c>
      <c r="Y207" s="187">
        <f>SUMIFS(Y$190:Y$195,$D$190:$D$195,$D207,$F$190:$F$195,$F207)*SUMIFS('INPUT Growth'!Y$64:Y$115,'INPUT Growth'!$C$64:$C$115,'INPUT Capex'!$C207,'INPUT Growth'!$D$64:$D$115,'INPUT Capex'!$D207,'INPUT Growth'!$F$64:$F$115,'INPUT Capex'!$F207)/SUMIFS('INPUT Growth'!Y$64:Y$115,'INPUT Growth'!$D$64:$D$115,'INPUT Capex'!$D207,'INPUT Growth'!$F$64:$F$115,'INPUT Capex'!$F207)</f>
        <v>400779.02221737331</v>
      </c>
      <c r="Z207" s="187">
        <f>SUMIFS(Z$190:Z$195,$D$190:$D$195,$D207,$F$190:$F$195,$F207)*SUMIFS('INPUT Growth'!Z$64:Z$115,'INPUT Growth'!$C$64:$C$115,'INPUT Capex'!$C207,'INPUT Growth'!$D$64:$D$115,'INPUT Capex'!$D207,'INPUT Growth'!$F$64:$F$115,'INPUT Capex'!$F207)/SUMIFS('INPUT Growth'!Z$64:Z$115,'INPUT Growth'!$D$64:$D$115,'INPUT Capex'!$D207,'INPUT Growth'!$F$64:$F$115,'INPUT Capex'!$F207)</f>
        <v>580820.26493473968</v>
      </c>
      <c r="AA207" s="187">
        <f>SUMIFS(AA$190:AA$195,$D$190:$D$195,$D207,$F$190:$F$195,$F207)*SUMIFS('INPUT Growth'!AA$64:AA$115,'INPUT Growth'!$C$64:$C$115,'INPUT Capex'!$C207,'INPUT Growth'!$D$64:$D$115,'INPUT Capex'!$D207,'INPUT Growth'!$F$64:$F$115,'INPUT Capex'!$F207)/SUMIFS('INPUT Growth'!AA$64:AA$115,'INPUT Growth'!$D$64:$D$115,'INPUT Capex'!$D207,'INPUT Growth'!$F$64:$F$115,'INPUT Capex'!$F207)</f>
        <v>558113.5257323453</v>
      </c>
      <c r="AB207" s="187">
        <f>SUMIFS(AB$190:AB$195,$D$190:$D$195,$D207,$F$190:$F$195,$F207)*SUMIFS('INPUT Growth'!AB$64:AB$115,'INPUT Growth'!$C$64:$C$115,'INPUT Capex'!$C207,'INPUT Growth'!$D$64:$D$115,'INPUT Capex'!$D207,'INPUT Growth'!$F$64:$F$115,'INPUT Capex'!$F207)/SUMIFS('INPUT Growth'!AB$64:AB$115,'INPUT Growth'!$D$64:$D$115,'INPUT Capex'!$D207,'INPUT Growth'!$F$64:$F$115,'INPUT Capex'!$F207)</f>
        <v>525588.34098545974</v>
      </c>
      <c r="AC207" s="150"/>
    </row>
    <row r="208" spans="3:29" outlineLevel="1" x14ac:dyDescent="0.2">
      <c r="C208" s="83" t="s">
        <v>523</v>
      </c>
      <c r="D208" s="150"/>
      <c r="E208" s="150"/>
      <c r="F208" s="150"/>
      <c r="G208" s="150"/>
      <c r="H208" s="150"/>
      <c r="I208" s="150"/>
      <c r="J208" s="150"/>
      <c r="K208" s="150"/>
      <c r="L208" s="150"/>
      <c r="M208" s="150"/>
      <c r="N208" s="150"/>
      <c r="O208" s="150"/>
      <c r="P208" s="150"/>
      <c r="Q208" s="150"/>
      <c r="R208" s="150"/>
      <c r="S208" s="85">
        <f>SUM(S198:S207)-SUM(S190:S195)</f>
        <v>0</v>
      </c>
      <c r="T208" s="85">
        <f t="shared" ref="T208:AB208" si="22">SUM(T198:T207)-SUM(T190:T195)</f>
        <v>0</v>
      </c>
      <c r="U208" s="85">
        <f t="shared" si="22"/>
        <v>0</v>
      </c>
      <c r="V208" s="85">
        <f t="shared" si="22"/>
        <v>0</v>
      </c>
      <c r="W208" s="85">
        <f t="shared" si="22"/>
        <v>0</v>
      </c>
      <c r="X208" s="85">
        <f t="shared" si="22"/>
        <v>0</v>
      </c>
      <c r="Y208" s="85">
        <f t="shared" si="22"/>
        <v>0</v>
      </c>
      <c r="Z208" s="85">
        <f t="shared" si="22"/>
        <v>0</v>
      </c>
      <c r="AA208" s="85">
        <f t="shared" si="22"/>
        <v>0</v>
      </c>
      <c r="AB208" s="85">
        <f t="shared" si="22"/>
        <v>0</v>
      </c>
      <c r="AC208" s="199"/>
    </row>
    <row r="209" spans="1:29" outlineLevel="1" x14ac:dyDescent="0.2">
      <c r="A209" s="150"/>
      <c r="B209" s="150"/>
      <c r="C209" s="83"/>
      <c r="D209" s="150"/>
      <c r="E209" s="150"/>
      <c r="F209" s="150"/>
      <c r="G209" s="150"/>
      <c r="H209" s="150"/>
      <c r="I209" s="150"/>
      <c r="J209" s="150"/>
      <c r="K209" s="150"/>
      <c r="L209" s="150"/>
      <c r="M209" s="150"/>
      <c r="N209" s="150"/>
      <c r="O209" s="150"/>
      <c r="P209" s="150"/>
      <c r="Q209" s="150"/>
      <c r="R209" s="150"/>
      <c r="S209" s="150"/>
      <c r="T209" s="150"/>
      <c r="U209" s="150"/>
      <c r="V209" s="150"/>
      <c r="W209" s="150"/>
      <c r="X209" s="85"/>
      <c r="Y209" s="85"/>
      <c r="Z209" s="85"/>
      <c r="AA209" s="85"/>
      <c r="AB209" s="85"/>
      <c r="AC209" s="199"/>
    </row>
    <row r="210" spans="1:29" outlineLevel="1" x14ac:dyDescent="0.2">
      <c r="A210" s="150"/>
      <c r="B210" s="150"/>
      <c r="C210" s="87" t="s">
        <v>614</v>
      </c>
      <c r="D210" s="150"/>
      <c r="E210" s="150"/>
      <c r="F210" s="150"/>
      <c r="G210" s="150"/>
      <c r="H210" s="150"/>
      <c r="I210" s="150"/>
      <c r="J210" s="150" t="s">
        <v>615</v>
      </c>
      <c r="K210" s="150"/>
      <c r="L210" s="150"/>
      <c r="M210" s="150"/>
      <c r="N210" s="150"/>
      <c r="O210" s="150"/>
      <c r="P210" s="150"/>
      <c r="Q210" s="150"/>
      <c r="R210" s="150"/>
      <c r="S210" s="150"/>
      <c r="T210" s="150"/>
      <c r="U210" s="150"/>
      <c r="V210" s="150"/>
      <c r="W210" s="150"/>
      <c r="X210" s="85"/>
      <c r="Y210" s="85"/>
      <c r="Z210" s="85"/>
      <c r="AA210" s="85"/>
      <c r="AB210" s="85"/>
      <c r="AC210" s="91">
        <f>SUM($K$149:$K$158)-SUM($K$35:$K$40)-SUM($K$198:$K$207)-SUM(K65:K67)-SUM(AC211:AC228)</f>
        <v>0</v>
      </c>
    </row>
    <row r="211" spans="1:29" outlineLevel="1" x14ac:dyDescent="0.2">
      <c r="A211" s="51" t="str" cm="1">
        <f t="array" ref="A211">INDEX(TariffCode, MATCH(1,(C211=TariffZone)*(D211=TariffProduct),0))</f>
        <v>SW</v>
      </c>
      <c r="B211" s="51"/>
      <c r="C211" s="150" t="s">
        <v>287</v>
      </c>
      <c r="D211" s="150" t="s">
        <v>301</v>
      </c>
      <c r="E211" s="150"/>
      <c r="F211" s="150"/>
      <c r="G211" s="150" t="s">
        <v>616</v>
      </c>
      <c r="H211" s="150"/>
      <c r="I211" s="150"/>
      <c r="J211" s="196">
        <f>SUMIFS($L$236:$L$255,$C$236:$C$255,$C211,$D$236:$D$255,$D211,$G$236:$G$255,$G211)</f>
        <v>0.91366841716110503</v>
      </c>
      <c r="K211" s="150"/>
      <c r="L211" s="150"/>
      <c r="M211" s="150"/>
      <c r="N211" s="150"/>
      <c r="O211" s="150"/>
      <c r="P211" s="150"/>
      <c r="Q211" s="150"/>
      <c r="R211" s="150"/>
      <c r="S211" s="150"/>
      <c r="T211" s="150"/>
      <c r="U211" s="150"/>
      <c r="V211" s="150"/>
      <c r="W211" s="150"/>
      <c r="X211" s="150"/>
      <c r="Y211" s="150"/>
      <c r="Z211" s="150"/>
      <c r="AA211" s="150"/>
      <c r="AB211" s="150"/>
      <c r="AC211" s="187">
        <f>(SUMIFS($K$149:$K$158,$C$149:$C$158,$C211,$D$149:$D$158,$D211)-SUMIFS($K$35:$K$40,$C$35:$C$40,$C211,$D$35:$D$40,$D211)-SUMIFS($K$198:$K$207,$C$198:$C$207,$C211,$D$198:$D$207,$D211)-SUMIFS($K$69:$K$78,$C$69:$C$78,$C211,$D$69:$D$78,$D211))*$J211</f>
        <v>-2148527.3136291187</v>
      </c>
    </row>
    <row r="212" spans="1:29" outlineLevel="1" x14ac:dyDescent="0.2">
      <c r="A212" s="51" t="str" cm="1">
        <f t="array" ref="A212">INDEX(TariffCode, MATCH(1,(C212=TariffZone)*(D212=TariffProduct),0))</f>
        <v>GW</v>
      </c>
      <c r="B212" s="51"/>
      <c r="C212" s="150" t="s">
        <v>290</v>
      </c>
      <c r="D212" s="150" t="s">
        <v>301</v>
      </c>
      <c r="E212" s="150"/>
      <c r="F212" s="150"/>
      <c r="G212" s="150" t="s">
        <v>616</v>
      </c>
      <c r="H212" s="150"/>
      <c r="I212" s="150"/>
      <c r="J212" s="196">
        <f t="shared" ref="J212:J228" si="23">SUMIFS($L$236:$L$255,$C$236:$C$255,$C212,$D$236:$D$255,$D212,$G$236:$G$255,$G212)</f>
        <v>0.76175099806578928</v>
      </c>
      <c r="K212" s="150"/>
      <c r="L212" s="150"/>
      <c r="M212" s="150"/>
      <c r="N212" s="150"/>
      <c r="O212" s="150"/>
      <c r="P212" s="150"/>
      <c r="Q212" s="150"/>
      <c r="R212" s="150"/>
      <c r="S212" s="150"/>
      <c r="T212" s="150"/>
      <c r="U212" s="150"/>
      <c r="V212" s="150"/>
      <c r="W212" s="150"/>
      <c r="X212" s="150"/>
      <c r="Y212" s="150"/>
      <c r="Z212" s="150"/>
      <c r="AA212" s="150"/>
      <c r="AB212" s="150"/>
      <c r="AC212" s="187">
        <f t="shared" ref="AC212:AC228" si="24">(SUMIFS($K$149:$K$158,$C$149:$C$158,$C212,$D$149:$D$158,$D212)-SUMIFS($K$35:$K$40,$C$35:$C$40,$C212,$D$35:$D$40,$D212)-SUMIFS($K$198:$K$207,$C$198:$C$207,$C212,$D$198:$D$207,$D212)-SUMIFS($K$69:$K$78,$C$69:$C$78,$C212,$D$69:$D$78,$D212))*$J212</f>
        <v>8966331.4097346812</v>
      </c>
    </row>
    <row r="213" spans="1:29" outlineLevel="1" x14ac:dyDescent="0.2">
      <c r="A213" s="51" t="str" cm="1">
        <f t="array" ref="A213">INDEX(TariffCode, MATCH(1,(C213=TariffZone)*(D213=TariffProduct),0))</f>
        <v>SS</v>
      </c>
      <c r="B213" s="51"/>
      <c r="C213" s="150" t="s">
        <v>287</v>
      </c>
      <c r="D213" s="150" t="s">
        <v>303</v>
      </c>
      <c r="E213" s="150"/>
      <c r="F213" s="150"/>
      <c r="G213" s="150" t="s">
        <v>616</v>
      </c>
      <c r="H213" s="150"/>
      <c r="I213" s="150"/>
      <c r="J213" s="196">
        <f t="shared" si="23"/>
        <v>0.83487026261261055</v>
      </c>
      <c r="K213" s="150"/>
      <c r="L213" s="150"/>
      <c r="M213" s="150"/>
      <c r="N213" s="150"/>
      <c r="O213" s="150"/>
      <c r="P213" s="150"/>
      <c r="Q213" s="150"/>
      <c r="R213" s="150"/>
      <c r="S213" s="150"/>
      <c r="T213" s="150"/>
      <c r="U213" s="150"/>
      <c r="V213" s="150"/>
      <c r="W213" s="150"/>
      <c r="X213" s="150"/>
      <c r="Y213" s="150"/>
      <c r="Z213" s="150"/>
      <c r="AA213" s="150"/>
      <c r="AB213" s="150"/>
      <c r="AC213" s="187">
        <f t="shared" si="24"/>
        <v>144733041.11919576</v>
      </c>
    </row>
    <row r="214" spans="1:29" outlineLevel="1" x14ac:dyDescent="0.2">
      <c r="A214" s="51" t="str" cm="1">
        <f t="array" ref="A214">INDEX(TariffCode, MATCH(1,(C214=TariffZone)*(D214=TariffProduct),0))</f>
        <v>GS</v>
      </c>
      <c r="B214" s="51"/>
      <c r="C214" s="150" t="s">
        <v>290</v>
      </c>
      <c r="D214" s="150" t="s">
        <v>303</v>
      </c>
      <c r="E214" s="150"/>
      <c r="F214" s="150"/>
      <c r="G214" s="150" t="s">
        <v>616</v>
      </c>
      <c r="H214" s="150"/>
      <c r="I214" s="150"/>
      <c r="J214" s="196">
        <f t="shared" si="23"/>
        <v>0.52153885300884739</v>
      </c>
      <c r="K214" s="150"/>
      <c r="L214" s="150"/>
      <c r="M214" s="150"/>
      <c r="N214" s="150"/>
      <c r="O214" s="150"/>
      <c r="P214" s="150"/>
      <c r="Q214" s="150"/>
      <c r="R214" s="150"/>
      <c r="S214" s="150"/>
      <c r="T214" s="150"/>
      <c r="U214" s="150"/>
      <c r="V214" s="150"/>
      <c r="W214" s="150"/>
      <c r="X214" s="150"/>
      <c r="Y214" s="150"/>
      <c r="Z214" s="150"/>
      <c r="AA214" s="150"/>
      <c r="AB214" s="150"/>
      <c r="AC214" s="187">
        <f t="shared" si="24"/>
        <v>46061454.538332783</v>
      </c>
    </row>
    <row r="215" spans="1:29" outlineLevel="1" x14ac:dyDescent="0.2">
      <c r="A215" s="51" t="str" cm="1">
        <f t="array" ref="A215">INDEX(TariffCode, MATCH(1,(C215=TariffZone)*(D215=TariffProduct),0))</f>
        <v>WR</v>
      </c>
      <c r="B215" s="51"/>
      <c r="C215" s="150" t="s">
        <v>283</v>
      </c>
      <c r="D215" s="150" t="s">
        <v>310</v>
      </c>
      <c r="E215" s="150"/>
      <c r="F215" s="150"/>
      <c r="G215" s="150" t="s">
        <v>616</v>
      </c>
      <c r="H215" s="150"/>
      <c r="I215" s="150"/>
      <c r="J215" s="196">
        <f t="shared" si="23"/>
        <v>1</v>
      </c>
      <c r="K215" s="150"/>
      <c r="L215" s="150"/>
      <c r="M215" s="150"/>
      <c r="N215" s="150"/>
      <c r="O215" s="150"/>
      <c r="P215" s="150"/>
      <c r="Q215" s="150"/>
      <c r="R215" s="150"/>
      <c r="S215" s="150"/>
      <c r="T215" s="150"/>
      <c r="U215" s="150"/>
      <c r="V215" s="150"/>
      <c r="W215" s="150"/>
      <c r="X215" s="150"/>
      <c r="Y215" s="150"/>
      <c r="Z215" s="150"/>
      <c r="AA215" s="150"/>
      <c r="AB215" s="150"/>
      <c r="AC215" s="187">
        <f t="shared" si="24"/>
        <v>124371923.96395972</v>
      </c>
    </row>
    <row r="216" spans="1:29" ht="15.75" outlineLevel="1" x14ac:dyDescent="0.25">
      <c r="A216" s="51" t="str" cm="1">
        <f t="array" ref="A216">INDEX(TariffCode, MATCH(1,(C216=TariffZone)*(D216=TariffProduct),0))</f>
        <v>GR</v>
      </c>
      <c r="B216" s="51"/>
      <c r="C216" s="150" t="s">
        <v>312</v>
      </c>
      <c r="D216" s="150" t="s">
        <v>310</v>
      </c>
      <c r="E216" s="150"/>
      <c r="F216" s="150"/>
      <c r="G216" s="150" t="s">
        <v>616</v>
      </c>
      <c r="H216" s="150"/>
      <c r="I216" s="150"/>
      <c r="J216" s="196">
        <f t="shared" si="23"/>
        <v>1</v>
      </c>
      <c r="K216" s="150"/>
      <c r="L216" s="150"/>
      <c r="M216" s="47"/>
      <c r="N216" s="47"/>
      <c r="O216" s="150"/>
      <c r="P216" s="150"/>
      <c r="Q216" s="150"/>
      <c r="R216" s="150"/>
      <c r="S216" s="150"/>
      <c r="T216" s="150"/>
      <c r="U216" s="150"/>
      <c r="V216" s="150"/>
      <c r="W216" s="150"/>
      <c r="X216" s="150"/>
      <c r="Y216" s="150"/>
      <c r="Z216" s="150"/>
      <c r="AA216" s="150"/>
      <c r="AB216" s="150"/>
      <c r="AC216" s="187">
        <f t="shared" si="24"/>
        <v>15659251.432343375</v>
      </c>
    </row>
    <row r="217" spans="1:29" ht="15.75" outlineLevel="1" x14ac:dyDescent="0.25">
      <c r="A217" s="51" t="str" cm="1">
        <f t="array" ref="A217">INDEX(TariffCode, MATCH(1,(C217=TariffZone)*(D217=TariffProduct),0))</f>
        <v>SW</v>
      </c>
      <c r="B217" s="51"/>
      <c r="C217" s="150" t="s">
        <v>287</v>
      </c>
      <c r="D217" s="150" t="s">
        <v>301</v>
      </c>
      <c r="E217" s="150"/>
      <c r="F217" s="150"/>
      <c r="G217" s="150" t="s">
        <v>617</v>
      </c>
      <c r="H217" s="150"/>
      <c r="I217" s="150"/>
      <c r="J217" s="196">
        <f t="shared" si="23"/>
        <v>0</v>
      </c>
      <c r="K217" s="150"/>
      <c r="L217" s="150"/>
      <c r="M217" s="47"/>
      <c r="N217" s="47"/>
      <c r="O217" s="150"/>
      <c r="P217" s="150"/>
      <c r="Q217" s="150"/>
      <c r="R217" s="150"/>
      <c r="S217" s="150"/>
      <c r="T217" s="150"/>
      <c r="U217" s="150"/>
      <c r="V217" s="150"/>
      <c r="W217" s="150"/>
      <c r="X217" s="150"/>
      <c r="Y217" s="150"/>
      <c r="Z217" s="150"/>
      <c r="AA217" s="150"/>
      <c r="AB217" s="150"/>
      <c r="AC217" s="187">
        <f t="shared" si="24"/>
        <v>0</v>
      </c>
    </row>
    <row r="218" spans="1:29" ht="15.75" outlineLevel="1" x14ac:dyDescent="0.25">
      <c r="A218" s="51" t="str" cm="1">
        <f t="array" ref="A218">INDEX(TariffCode, MATCH(1,(C218=TariffZone)*(D218=TariffProduct),0))</f>
        <v>GW</v>
      </c>
      <c r="B218" s="51"/>
      <c r="C218" s="150" t="s">
        <v>290</v>
      </c>
      <c r="D218" s="150" t="s">
        <v>301</v>
      </c>
      <c r="E218" s="150"/>
      <c r="F218" s="150"/>
      <c r="G218" s="150" t="s">
        <v>617</v>
      </c>
      <c r="H218" s="150"/>
      <c r="I218" s="150"/>
      <c r="J218" s="196">
        <f t="shared" si="23"/>
        <v>5.8049675660257073E-2</v>
      </c>
      <c r="K218" s="150"/>
      <c r="L218" s="150"/>
      <c r="M218" s="47"/>
      <c r="N218" s="47"/>
      <c r="O218" s="150"/>
      <c r="P218" s="150"/>
      <c r="Q218" s="150"/>
      <c r="R218" s="150"/>
      <c r="S218" s="150"/>
      <c r="T218" s="150"/>
      <c r="U218" s="150"/>
      <c r="V218" s="150"/>
      <c r="W218" s="150"/>
      <c r="X218" s="150"/>
      <c r="Y218" s="150"/>
      <c r="Z218" s="150"/>
      <c r="AA218" s="150"/>
      <c r="AB218" s="150"/>
      <c r="AC218" s="187">
        <f t="shared" si="24"/>
        <v>683284.47421675839</v>
      </c>
    </row>
    <row r="219" spans="1:29" ht="15.75" outlineLevel="1" x14ac:dyDescent="0.25">
      <c r="A219" s="51" t="str" cm="1">
        <f t="array" ref="A219">INDEX(TariffCode, MATCH(1,(C219=TariffZone)*(D219=TariffProduct),0))</f>
        <v>SS</v>
      </c>
      <c r="B219" s="51"/>
      <c r="C219" s="150" t="s">
        <v>287</v>
      </c>
      <c r="D219" s="150" t="s">
        <v>303</v>
      </c>
      <c r="E219" s="150"/>
      <c r="F219" s="150"/>
      <c r="G219" s="150" t="s">
        <v>617</v>
      </c>
      <c r="H219" s="150"/>
      <c r="I219" s="150"/>
      <c r="J219" s="196">
        <f t="shared" si="23"/>
        <v>0</v>
      </c>
      <c r="K219" s="150"/>
      <c r="L219" s="150"/>
      <c r="M219" s="47"/>
      <c r="N219" s="47"/>
      <c r="O219" s="150"/>
      <c r="P219" s="150"/>
      <c r="Q219" s="150"/>
      <c r="R219" s="150"/>
      <c r="S219" s="150"/>
      <c r="T219" s="150"/>
      <c r="U219" s="150"/>
      <c r="V219" s="150"/>
      <c r="W219" s="150"/>
      <c r="X219" s="150"/>
      <c r="Y219" s="150"/>
      <c r="Z219" s="150"/>
      <c r="AA219" s="150"/>
      <c r="AB219" s="150"/>
      <c r="AC219" s="187">
        <f t="shared" si="24"/>
        <v>0</v>
      </c>
    </row>
    <row r="220" spans="1:29" ht="15.75" outlineLevel="1" x14ac:dyDescent="0.25">
      <c r="A220" s="51" t="str" cm="1">
        <f t="array" ref="A220">INDEX(TariffCode, MATCH(1,(C220=TariffZone)*(D220=TariffProduct),0))</f>
        <v>GS</v>
      </c>
      <c r="B220" s="51"/>
      <c r="C220" s="150" t="s">
        <v>290</v>
      </c>
      <c r="D220" s="150" t="s">
        <v>303</v>
      </c>
      <c r="E220" s="150"/>
      <c r="F220" s="150"/>
      <c r="G220" s="150" t="s">
        <v>617</v>
      </c>
      <c r="H220" s="150"/>
      <c r="I220" s="150"/>
      <c r="J220" s="196">
        <f t="shared" si="23"/>
        <v>4.1573575392375321E-2</v>
      </c>
      <c r="K220" s="150"/>
      <c r="L220" s="150"/>
      <c r="M220" s="47"/>
      <c r="N220" s="47"/>
      <c r="O220" s="150"/>
      <c r="P220" s="150"/>
      <c r="Q220" s="150"/>
      <c r="R220" s="150"/>
      <c r="S220" s="150"/>
      <c r="T220" s="150"/>
      <c r="U220" s="150"/>
      <c r="V220" s="150"/>
      <c r="W220" s="150"/>
      <c r="X220" s="150"/>
      <c r="Y220" s="150"/>
      <c r="Z220" s="150"/>
      <c r="AA220" s="150"/>
      <c r="AB220" s="150"/>
      <c r="AC220" s="187">
        <f t="shared" si="24"/>
        <v>3671709.8676047465</v>
      </c>
    </row>
    <row r="221" spans="1:29" ht="15.75" outlineLevel="1" x14ac:dyDescent="0.25">
      <c r="A221" s="51" t="str" cm="1">
        <f t="array" ref="A221">INDEX(TariffCode, MATCH(1,(C221=TariffZone)*(D221=TariffProduct),0))</f>
        <v>WR</v>
      </c>
      <c r="B221" s="51"/>
      <c r="C221" s="150" t="s">
        <v>283</v>
      </c>
      <c r="D221" s="150" t="s">
        <v>310</v>
      </c>
      <c r="E221" s="150"/>
      <c r="F221" s="150"/>
      <c r="G221" s="150" t="s">
        <v>617</v>
      </c>
      <c r="H221" s="150"/>
      <c r="I221" s="150"/>
      <c r="J221" s="196">
        <f t="shared" si="23"/>
        <v>0</v>
      </c>
      <c r="K221" s="150"/>
      <c r="L221" s="150"/>
      <c r="M221" s="47"/>
      <c r="N221" s="47"/>
      <c r="O221" s="150"/>
      <c r="P221" s="150"/>
      <c r="Q221" s="150"/>
      <c r="R221" s="150"/>
      <c r="S221" s="150"/>
      <c r="T221" s="150"/>
      <c r="U221" s="150"/>
      <c r="V221" s="150"/>
      <c r="W221" s="150"/>
      <c r="X221" s="150"/>
      <c r="Y221" s="150"/>
      <c r="Z221" s="150"/>
      <c r="AA221" s="150"/>
      <c r="AB221" s="150"/>
      <c r="AC221" s="187">
        <f t="shared" si="24"/>
        <v>0</v>
      </c>
    </row>
    <row r="222" spans="1:29" ht="15.75" outlineLevel="1" x14ac:dyDescent="0.25">
      <c r="A222" s="51" t="str" cm="1">
        <f t="array" ref="A222">INDEX(TariffCode, MATCH(1,(C222=TariffZone)*(D222=TariffProduct),0))</f>
        <v>GR</v>
      </c>
      <c r="B222" s="51"/>
      <c r="C222" s="150" t="s">
        <v>312</v>
      </c>
      <c r="D222" s="150" t="s">
        <v>310</v>
      </c>
      <c r="E222" s="150"/>
      <c r="F222" s="150"/>
      <c r="G222" s="150" t="s">
        <v>617</v>
      </c>
      <c r="H222" s="150"/>
      <c r="I222" s="150"/>
      <c r="J222" s="196">
        <f t="shared" si="23"/>
        <v>0</v>
      </c>
      <c r="K222" s="150"/>
      <c r="L222" s="150"/>
      <c r="M222" s="47"/>
      <c r="N222" s="47"/>
      <c r="O222" s="150"/>
      <c r="P222" s="150"/>
      <c r="Q222" s="150"/>
      <c r="R222" s="150"/>
      <c r="S222" s="150"/>
      <c r="T222" s="150"/>
      <c r="U222" s="150"/>
      <c r="V222" s="150"/>
      <c r="W222" s="150"/>
      <c r="X222" s="150"/>
      <c r="Y222" s="150"/>
      <c r="Z222" s="150"/>
      <c r="AA222" s="150"/>
      <c r="AB222" s="150"/>
      <c r="AC222" s="187">
        <f t="shared" si="24"/>
        <v>0</v>
      </c>
    </row>
    <row r="223" spans="1:29" ht="15.75" outlineLevel="1" x14ac:dyDescent="0.25">
      <c r="A223" s="51" t="str" cm="1">
        <f t="array" ref="A223">INDEX(TariffCode, MATCH(1,(C223=TariffZone)*(D223=TariffProduct),0))</f>
        <v>SW</v>
      </c>
      <c r="B223" s="51"/>
      <c r="C223" s="150" t="s">
        <v>287</v>
      </c>
      <c r="D223" s="150" t="s">
        <v>301</v>
      </c>
      <c r="E223" s="150"/>
      <c r="F223" s="150"/>
      <c r="G223" s="150" t="s">
        <v>144</v>
      </c>
      <c r="H223" s="150"/>
      <c r="I223" s="150"/>
      <c r="J223" s="196">
        <f t="shared" si="23"/>
        <v>8.6331582838893972E-2</v>
      </c>
      <c r="K223" s="150"/>
      <c r="L223" s="150"/>
      <c r="M223" s="47"/>
      <c r="N223" s="47"/>
      <c r="O223" s="150"/>
      <c r="P223" s="150"/>
      <c r="Q223" s="150"/>
      <c r="R223" s="150"/>
      <c r="S223" s="150"/>
      <c r="T223" s="150"/>
      <c r="U223" s="150"/>
      <c r="V223" s="150"/>
      <c r="W223" s="150"/>
      <c r="X223" s="150"/>
      <c r="Y223" s="150"/>
      <c r="Z223" s="150"/>
      <c r="AA223" s="150"/>
      <c r="AB223" s="150"/>
      <c r="AC223" s="187">
        <f t="shared" si="24"/>
        <v>-203012.12154681748</v>
      </c>
    </row>
    <row r="224" spans="1:29" ht="15.75" outlineLevel="1" x14ac:dyDescent="0.25">
      <c r="A224" s="51" t="str" cm="1">
        <f t="array" ref="A224">INDEX(TariffCode, MATCH(1,(C224=TariffZone)*(D224=TariffProduct),0))</f>
        <v>GW</v>
      </c>
      <c r="B224" s="51"/>
      <c r="C224" s="150" t="s">
        <v>290</v>
      </c>
      <c r="D224" s="150" t="s">
        <v>301</v>
      </c>
      <c r="E224" s="150"/>
      <c r="F224" s="150"/>
      <c r="G224" s="150" t="s">
        <v>144</v>
      </c>
      <c r="H224" s="150"/>
      <c r="I224" s="150"/>
      <c r="J224" s="196">
        <f t="shared" si="23"/>
        <v>0.18019932627395352</v>
      </c>
      <c r="K224" s="150"/>
      <c r="L224" s="150"/>
      <c r="M224" s="47"/>
      <c r="N224" s="47"/>
      <c r="O224" s="150"/>
      <c r="P224" s="150"/>
      <c r="Q224" s="150"/>
      <c r="R224" s="150"/>
      <c r="S224" s="150"/>
      <c r="T224" s="150"/>
      <c r="U224" s="150"/>
      <c r="V224" s="150"/>
      <c r="W224" s="150"/>
      <c r="X224" s="150"/>
      <c r="Y224" s="150"/>
      <c r="Z224" s="150"/>
      <c r="AA224" s="150"/>
      <c r="AB224" s="150"/>
      <c r="AC224" s="187">
        <f t="shared" si="24"/>
        <v>2121069.5926697478</v>
      </c>
    </row>
    <row r="225" spans="1:79" ht="15.75" outlineLevel="1" x14ac:dyDescent="0.25">
      <c r="A225" s="51" t="str" cm="1">
        <f t="array" ref="A225">INDEX(TariffCode, MATCH(1,(C225=TariffZone)*(D225=TariffProduct),0))</f>
        <v>SS</v>
      </c>
      <c r="B225" s="51"/>
      <c r="C225" s="150" t="s">
        <v>287</v>
      </c>
      <c r="D225" s="150" t="s">
        <v>303</v>
      </c>
      <c r="E225" s="150"/>
      <c r="F225" s="150"/>
      <c r="G225" s="150" t="s">
        <v>144</v>
      </c>
      <c r="H225" s="150"/>
      <c r="I225" s="150"/>
      <c r="J225" s="196">
        <f t="shared" si="23"/>
        <v>0.16512973738738862</v>
      </c>
      <c r="K225" s="150"/>
      <c r="L225" s="150"/>
      <c r="M225" s="47"/>
      <c r="N225" s="47"/>
      <c r="O225" s="150"/>
      <c r="P225" s="150"/>
      <c r="Q225" s="150"/>
      <c r="R225" s="150"/>
      <c r="S225" s="150"/>
      <c r="T225" s="150"/>
      <c r="U225" s="150"/>
      <c r="V225" s="150"/>
      <c r="W225" s="150"/>
      <c r="X225" s="150"/>
      <c r="Y225" s="150"/>
      <c r="Z225" s="150"/>
      <c r="AA225" s="150"/>
      <c r="AB225" s="150"/>
      <c r="AC225" s="187">
        <f t="shared" si="24"/>
        <v>28626877.901364021</v>
      </c>
      <c r="AD225" s="150"/>
      <c r="AE225" s="150"/>
      <c r="AF225" s="150"/>
      <c r="AG225" s="150"/>
      <c r="AH225" s="150"/>
      <c r="AI225" s="150"/>
      <c r="AJ225" s="150"/>
      <c r="AK225" s="150"/>
      <c r="AL225" s="150"/>
      <c r="AM225" s="150"/>
      <c r="AN225" s="150"/>
      <c r="AO225" s="150"/>
      <c r="AP225" s="150"/>
      <c r="AQ225" s="150"/>
      <c r="AR225" s="150"/>
      <c r="AS225" s="150"/>
      <c r="AT225" s="150"/>
      <c r="AU225" s="150"/>
      <c r="AV225" s="150"/>
      <c r="AW225" s="150"/>
      <c r="BV225" s="150"/>
      <c r="BW225" s="150"/>
      <c r="BX225" s="150"/>
      <c r="BY225" s="150"/>
      <c r="BZ225" s="150"/>
      <c r="CA225" s="150"/>
    </row>
    <row r="226" spans="1:79" ht="15.75" outlineLevel="1" x14ac:dyDescent="0.25">
      <c r="A226" s="51" t="str" cm="1">
        <f t="array" ref="A226">INDEX(TariffCode, MATCH(1,(C226=TariffZone)*(D226=TariffProduct),0))</f>
        <v>GS</v>
      </c>
      <c r="B226" s="51"/>
      <c r="C226" s="150" t="s">
        <v>290</v>
      </c>
      <c r="D226" s="150" t="s">
        <v>303</v>
      </c>
      <c r="E226" s="150"/>
      <c r="F226" s="150"/>
      <c r="G226" s="150" t="s">
        <v>144</v>
      </c>
      <c r="H226" s="150"/>
      <c r="I226" s="150"/>
      <c r="J226" s="196">
        <f t="shared" si="23"/>
        <v>0.43688757159877811</v>
      </c>
      <c r="K226" s="150"/>
      <c r="L226" s="150"/>
      <c r="M226" s="47"/>
      <c r="N226" s="47"/>
      <c r="O226" s="150"/>
      <c r="P226" s="150"/>
      <c r="Q226" s="150"/>
      <c r="R226" s="150"/>
      <c r="S226" s="150"/>
      <c r="T226" s="150"/>
      <c r="U226" s="150"/>
      <c r="V226" s="150"/>
      <c r="W226" s="150"/>
      <c r="X226" s="150"/>
      <c r="Y226" s="150"/>
      <c r="Z226" s="150"/>
      <c r="AA226" s="150"/>
      <c r="AB226" s="150"/>
      <c r="AC226" s="187">
        <f t="shared" si="24"/>
        <v>38585192.457786746</v>
      </c>
      <c r="AD226" s="150"/>
      <c r="AE226" s="150"/>
      <c r="AF226" s="150"/>
      <c r="AG226" s="150"/>
      <c r="AH226" s="150"/>
      <c r="AI226" s="150"/>
      <c r="AJ226" s="150"/>
      <c r="AK226" s="150"/>
      <c r="AL226" s="150"/>
      <c r="AM226" s="150"/>
      <c r="AN226" s="150"/>
      <c r="AO226" s="150"/>
      <c r="AP226" s="150"/>
      <c r="AQ226" s="150"/>
      <c r="AR226" s="150"/>
      <c r="AS226" s="150"/>
      <c r="AT226" s="150"/>
      <c r="AU226" s="150"/>
      <c r="AV226" s="150"/>
      <c r="AW226" s="150"/>
      <c r="BV226" s="150"/>
      <c r="BW226" s="150"/>
      <c r="BX226" s="150"/>
      <c r="BY226" s="150"/>
      <c r="BZ226" s="150"/>
      <c r="CA226" s="150"/>
    </row>
    <row r="227" spans="1:79" ht="15.75" outlineLevel="1" x14ac:dyDescent="0.25">
      <c r="A227" s="51" t="str" cm="1">
        <f t="array" ref="A227">INDEX(TariffCode, MATCH(1,(C227=TariffZone)*(D227=TariffProduct),0))</f>
        <v>WR</v>
      </c>
      <c r="B227" s="51"/>
      <c r="C227" s="150" t="s">
        <v>283</v>
      </c>
      <c r="D227" s="150" t="s">
        <v>310</v>
      </c>
      <c r="E227" s="150"/>
      <c r="F227" s="150"/>
      <c r="G227" s="150" t="s">
        <v>144</v>
      </c>
      <c r="H227" s="150"/>
      <c r="I227" s="150"/>
      <c r="J227" s="196">
        <f t="shared" si="23"/>
        <v>0</v>
      </c>
      <c r="K227" s="150"/>
      <c r="L227" s="150"/>
      <c r="M227" s="47"/>
      <c r="N227" s="47"/>
      <c r="O227" s="150"/>
      <c r="P227" s="150"/>
      <c r="Q227" s="150"/>
      <c r="R227" s="150"/>
      <c r="S227" s="150"/>
      <c r="T227" s="150"/>
      <c r="U227" s="150"/>
      <c r="V227" s="150"/>
      <c r="W227" s="150"/>
      <c r="X227" s="150"/>
      <c r="Y227" s="150"/>
      <c r="Z227" s="150"/>
      <c r="AA227" s="150"/>
      <c r="AB227" s="150"/>
      <c r="AC227" s="187">
        <f t="shared" si="24"/>
        <v>0</v>
      </c>
      <c r="AD227" s="150"/>
      <c r="AE227" s="150"/>
      <c r="AF227" s="150"/>
      <c r="AG227" s="150"/>
      <c r="AH227" s="150"/>
      <c r="AI227" s="150"/>
      <c r="AJ227" s="150"/>
      <c r="AK227" s="150"/>
      <c r="AL227" s="150"/>
      <c r="AM227" s="150"/>
      <c r="AN227" s="150"/>
      <c r="AO227" s="150"/>
      <c r="AP227" s="150"/>
      <c r="AQ227" s="150"/>
      <c r="AR227" s="150"/>
      <c r="AS227" s="150"/>
      <c r="AT227" s="150"/>
      <c r="AU227" s="150"/>
      <c r="AV227" s="150"/>
      <c r="AW227" s="150"/>
      <c r="BV227" s="150"/>
      <c r="BW227" s="150"/>
      <c r="BX227" s="150"/>
      <c r="BY227" s="150"/>
      <c r="BZ227" s="150"/>
      <c r="CA227" s="150"/>
    </row>
    <row r="228" spans="1:79" outlineLevel="1" x14ac:dyDescent="0.2">
      <c r="A228" s="51" t="str" cm="1">
        <f t="array" ref="A228">INDEX(TariffCode, MATCH(1,(C228=TariffZone)*(D228=TariffProduct),0))</f>
        <v>GR</v>
      </c>
      <c r="B228" s="51"/>
      <c r="C228" s="150" t="s">
        <v>312</v>
      </c>
      <c r="D228" s="150" t="s">
        <v>310</v>
      </c>
      <c r="E228" s="150"/>
      <c r="F228" s="150"/>
      <c r="G228" s="150" t="s">
        <v>144</v>
      </c>
      <c r="H228" s="150"/>
      <c r="I228" s="150"/>
      <c r="J228" s="196">
        <f t="shared" si="23"/>
        <v>0</v>
      </c>
      <c r="K228" s="150"/>
      <c r="L228" s="150"/>
      <c r="M228" s="150"/>
      <c r="N228" s="150"/>
      <c r="O228" s="150"/>
      <c r="P228" s="150"/>
      <c r="Q228" s="150"/>
      <c r="R228" s="150"/>
      <c r="S228" s="150"/>
      <c r="T228" s="150"/>
      <c r="U228" s="150"/>
      <c r="V228" s="150"/>
      <c r="W228" s="150"/>
      <c r="X228" s="150"/>
      <c r="Y228" s="150"/>
      <c r="Z228" s="150"/>
      <c r="AA228" s="150"/>
      <c r="AB228" s="150"/>
      <c r="AC228" s="187">
        <f t="shared" si="24"/>
        <v>0</v>
      </c>
      <c r="AD228" s="150"/>
      <c r="AE228" s="150"/>
      <c r="AF228" s="150"/>
      <c r="AG228" s="150"/>
      <c r="AH228" s="150"/>
      <c r="AI228" s="150"/>
      <c r="AJ228" s="150"/>
      <c r="AK228" s="150"/>
      <c r="AL228" s="150"/>
      <c r="AM228" s="150"/>
      <c r="AN228" s="150"/>
      <c r="AO228" s="150"/>
      <c r="AP228" s="150"/>
      <c r="AQ228" s="150"/>
      <c r="AR228" s="150"/>
      <c r="AS228" s="150"/>
      <c r="AT228" s="150"/>
      <c r="AU228" s="150"/>
      <c r="AV228" s="150"/>
      <c r="AW228" s="150"/>
      <c r="BV228" s="150"/>
      <c r="BW228" s="150"/>
      <c r="BX228" s="150"/>
      <c r="BY228" s="150"/>
      <c r="BZ228" s="150"/>
      <c r="CA228" s="150"/>
    </row>
    <row r="229" spans="1:79" ht="15.75" outlineLevel="1" x14ac:dyDescent="0.25">
      <c r="A229" s="47"/>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c r="AH229" s="47"/>
      <c r="AI229" s="47"/>
      <c r="AJ229" s="47"/>
      <c r="AK229" s="150"/>
      <c r="AL229" s="150"/>
      <c r="AM229" s="150"/>
      <c r="AN229" s="150"/>
      <c r="AO229" s="150"/>
      <c r="AP229" s="150"/>
      <c r="AQ229" s="150"/>
      <c r="AR229" s="150"/>
      <c r="AS229" s="150"/>
      <c r="AT229" s="150"/>
      <c r="AU229" s="150"/>
      <c r="AV229" s="150"/>
      <c r="AW229" s="150"/>
      <c r="BV229" s="150"/>
      <c r="BW229" s="150"/>
      <c r="BX229" s="150"/>
      <c r="BY229" s="150"/>
      <c r="BZ229" s="150"/>
      <c r="CA229" s="150"/>
    </row>
    <row r="230" spans="1:79" ht="15.75" outlineLevel="1" x14ac:dyDescent="0.25">
      <c r="A230" s="47"/>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c r="AC230" s="47"/>
      <c r="AD230" s="47"/>
      <c r="AE230" s="47"/>
      <c r="AF230" s="47"/>
      <c r="AG230" s="47"/>
      <c r="AH230" s="47"/>
      <c r="AI230" s="47"/>
      <c r="AJ230" s="47"/>
      <c r="AK230" s="150"/>
      <c r="AL230" s="150"/>
      <c r="AM230" s="150"/>
      <c r="AN230" s="150"/>
      <c r="AO230" s="150"/>
      <c r="AP230" s="150"/>
      <c r="AQ230" s="150"/>
      <c r="AR230" s="150"/>
      <c r="AS230" s="150"/>
      <c r="AT230" s="150"/>
      <c r="AU230" s="150"/>
      <c r="AV230" s="150"/>
      <c r="AW230" s="150"/>
      <c r="BV230" s="150"/>
      <c r="BW230" s="150"/>
      <c r="BX230" s="150"/>
      <c r="BY230" s="150"/>
      <c r="BZ230" s="150"/>
      <c r="CA230" s="150"/>
    </row>
    <row r="231" spans="1:79" ht="16.5" customHeight="1" outlineLevel="1" x14ac:dyDescent="0.25">
      <c r="A231" s="47"/>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c r="AB231" s="47"/>
      <c r="AC231" s="47"/>
      <c r="AD231" s="47"/>
      <c r="AE231" s="47"/>
      <c r="AF231" s="47"/>
      <c r="AG231" s="47"/>
      <c r="AH231" s="47"/>
      <c r="AI231" s="47"/>
      <c r="AJ231" s="47"/>
      <c r="AK231" s="150"/>
      <c r="AL231" s="150"/>
      <c r="AM231" s="150"/>
      <c r="AN231" s="150"/>
      <c r="AO231" s="150"/>
      <c r="AP231" s="150"/>
      <c r="AQ231" s="150"/>
      <c r="AR231" s="150"/>
      <c r="AS231" s="150"/>
      <c r="AT231" s="150"/>
      <c r="AU231" s="150"/>
      <c r="AV231" s="150"/>
      <c r="AW231" s="150"/>
      <c r="BV231" s="150"/>
      <c r="BW231" s="150"/>
      <c r="BX231" s="150"/>
      <c r="BY231" s="150"/>
      <c r="BZ231" s="150"/>
      <c r="CA231" s="150"/>
    </row>
    <row r="232" spans="1:79" ht="15.75" outlineLevel="1" x14ac:dyDescent="0.25">
      <c r="A232" s="47"/>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150"/>
      <c r="AL232" s="150"/>
      <c r="AM232" s="150"/>
      <c r="AN232" s="150"/>
      <c r="AO232" s="150"/>
      <c r="AP232" s="150"/>
      <c r="AQ232" s="150"/>
      <c r="AR232" s="150"/>
      <c r="AS232" s="150"/>
      <c r="AT232" s="150"/>
      <c r="AU232" s="150"/>
      <c r="AV232" s="150"/>
      <c r="AW232" s="150"/>
      <c r="BV232" s="150"/>
      <c r="BW232" s="150"/>
      <c r="BX232" s="150"/>
      <c r="BY232" s="150"/>
      <c r="BZ232" s="150"/>
      <c r="CA232" s="150"/>
    </row>
    <row r="233" spans="1:79" outlineLevel="1" x14ac:dyDescent="0.2">
      <c r="A233" s="150"/>
      <c r="B233" s="150"/>
      <c r="C233" s="150"/>
      <c r="D233" s="150"/>
      <c r="E233" s="150"/>
      <c r="F233" s="150"/>
      <c r="G233" s="150"/>
      <c r="H233" s="150"/>
      <c r="I233" s="150"/>
      <c r="J233" s="150"/>
      <c r="K233" s="150"/>
      <c r="L233" s="150"/>
      <c r="M233" s="150"/>
      <c r="N233" s="150"/>
      <c r="O233" s="150"/>
      <c r="P233" s="150"/>
      <c r="Q233" s="150"/>
      <c r="R233" s="150"/>
      <c r="S233" s="150"/>
      <c r="T233" s="150"/>
      <c r="U233" s="150"/>
      <c r="V233" s="150"/>
      <c r="W233" s="150"/>
      <c r="X233" s="85"/>
      <c r="Y233" s="85"/>
      <c r="Z233" s="85"/>
      <c r="AA233" s="85"/>
      <c r="AB233" s="85"/>
      <c r="AC233" s="150"/>
      <c r="AD233" s="150"/>
      <c r="AE233" s="150"/>
      <c r="AF233" s="150"/>
      <c r="AG233" s="150"/>
      <c r="AH233" s="150"/>
      <c r="AI233" s="150"/>
      <c r="AJ233" s="150"/>
      <c r="AK233" s="150"/>
      <c r="AL233" s="150"/>
      <c r="AM233" s="150"/>
      <c r="AN233" s="150"/>
      <c r="AO233" s="150"/>
      <c r="AP233" s="150"/>
      <c r="AQ233" s="150"/>
      <c r="AR233" s="150"/>
      <c r="AS233" s="150"/>
      <c r="AT233" s="150"/>
      <c r="AU233" s="150"/>
      <c r="AV233" s="150"/>
      <c r="AW233" s="150"/>
      <c r="BV233" s="150"/>
      <c r="BW233" s="150"/>
      <c r="BX233" s="150"/>
      <c r="BY233" s="150"/>
      <c r="BZ233" s="150"/>
      <c r="CA233" s="150"/>
    </row>
    <row r="234" spans="1:79" ht="15.75" x14ac:dyDescent="0.25">
      <c r="A234" s="150"/>
      <c r="B234" s="150"/>
      <c r="C234" s="87" t="s">
        <v>618</v>
      </c>
      <c r="D234" s="150"/>
      <c r="E234" s="64"/>
      <c r="F234" s="150"/>
      <c r="G234" s="150"/>
      <c r="H234" s="150"/>
      <c r="I234" s="150"/>
      <c r="J234" s="150"/>
      <c r="K234" s="150"/>
      <c r="L234" s="150"/>
      <c r="M234" s="150"/>
      <c r="N234" s="150"/>
      <c r="O234" s="150"/>
      <c r="P234" s="150"/>
      <c r="Q234" s="150"/>
      <c r="R234" s="150"/>
      <c r="S234" s="150"/>
      <c r="T234" s="150"/>
      <c r="U234" s="150"/>
      <c r="V234" s="150"/>
      <c r="W234" s="150"/>
      <c r="X234" s="150"/>
      <c r="Y234" s="150"/>
      <c r="Z234" s="150"/>
      <c r="AA234" s="150"/>
      <c r="AB234" s="150"/>
      <c r="AC234" s="150"/>
      <c r="AD234" s="150"/>
      <c r="AE234" s="150"/>
      <c r="AF234" s="150"/>
      <c r="AG234" s="150"/>
      <c r="AH234" s="150"/>
      <c r="AI234" s="150"/>
      <c r="AJ234" s="150"/>
      <c r="AK234" s="150"/>
      <c r="AL234" s="150"/>
      <c r="AM234" s="150"/>
      <c r="AN234" s="150"/>
      <c r="AO234" s="150"/>
      <c r="AP234" s="150"/>
      <c r="AQ234" s="150"/>
      <c r="AR234" s="150"/>
      <c r="AS234" s="150"/>
      <c r="AT234" s="150"/>
      <c r="AU234" s="150"/>
      <c r="AV234" s="150"/>
      <c r="AW234" s="150"/>
      <c r="BV234" s="47"/>
      <c r="BW234" s="47"/>
      <c r="BX234" s="47"/>
      <c r="BY234" s="47"/>
      <c r="BZ234" s="47"/>
      <c r="CA234" s="47"/>
    </row>
    <row r="235" spans="1:79" ht="15.75" outlineLevel="1" x14ac:dyDescent="0.25">
      <c r="A235" s="150"/>
      <c r="B235" s="150"/>
      <c r="C235" s="62" t="s">
        <v>619</v>
      </c>
      <c r="D235" s="150"/>
      <c r="E235" s="150"/>
      <c r="F235" s="150"/>
      <c r="G235" s="150"/>
      <c r="H235" s="150"/>
      <c r="I235" s="150"/>
      <c r="J235" s="84"/>
      <c r="K235" s="150"/>
      <c r="L235" s="150"/>
      <c r="M235" s="150"/>
      <c r="N235" s="150"/>
      <c r="O235" s="150"/>
      <c r="P235" s="150"/>
      <c r="Q235" s="150"/>
      <c r="R235" s="150"/>
      <c r="S235" s="150"/>
      <c r="T235" s="150"/>
      <c r="U235" s="150"/>
      <c r="V235" s="150"/>
      <c r="W235" s="150"/>
      <c r="X235" s="150"/>
      <c r="Y235" s="150"/>
      <c r="Z235" s="150"/>
      <c r="AA235" s="150"/>
      <c r="AB235" s="150"/>
      <c r="AC235" s="150" t="s">
        <v>620</v>
      </c>
      <c r="AD235" s="150"/>
      <c r="AE235" s="150"/>
      <c r="AF235" s="150"/>
      <c r="AG235" s="150"/>
      <c r="AH235" s="150"/>
      <c r="AI235" s="150"/>
      <c r="AJ235" s="150"/>
      <c r="AK235" s="150"/>
      <c r="AL235" s="150"/>
      <c r="AM235" s="150"/>
      <c r="AN235" s="150"/>
      <c r="AO235" s="150"/>
      <c r="AP235" s="150"/>
      <c r="AQ235" s="150"/>
      <c r="AR235" s="150"/>
      <c r="AS235" s="150"/>
      <c r="AT235" s="150"/>
      <c r="AU235" s="150"/>
      <c r="AV235" s="150"/>
      <c r="AW235" s="150"/>
      <c r="BV235" s="47"/>
      <c r="BW235" s="47"/>
      <c r="BX235" s="47"/>
      <c r="BY235" s="47"/>
      <c r="BZ235" s="47"/>
      <c r="CA235" s="47"/>
    </row>
    <row r="236" spans="1:79" ht="15.75" outlineLevel="1" x14ac:dyDescent="0.25">
      <c r="A236" s="51" t="str" cm="1">
        <f t="array" ref="A236">INDEX(TariffCode, MATCH(1,(C236=TariffZone)*(D236=TariffProduct),0))</f>
        <v>SW</v>
      </c>
      <c r="B236" s="51"/>
      <c r="C236" s="150" t="s">
        <v>287</v>
      </c>
      <c r="D236" s="150" t="s">
        <v>301</v>
      </c>
      <c r="E236" s="150"/>
      <c r="F236" s="150"/>
      <c r="G236" s="150" t="s">
        <v>616</v>
      </c>
      <c r="H236" s="150"/>
      <c r="I236" s="150"/>
      <c r="J236" s="150"/>
      <c r="K236" s="150"/>
      <c r="L236" s="150" cm="1">
        <f t="array" ref="L236">IF(SUMPRODUCT($AC$236:$BL$255*($D$236:$D$255=$D236)*($C$236:$C$255=$C236))=0,0,SUM(AC236:BL236)/SUMPRODUCT($AC$236:$BL$255*($D$236:$D$255=$D236)*($C$236:$C$255=$C236)))</f>
        <v>0.91366841716110503</v>
      </c>
      <c r="M236" s="150"/>
      <c r="N236" s="150"/>
      <c r="O236" s="150"/>
      <c r="P236" s="150"/>
      <c r="Q236" s="150"/>
      <c r="R236" s="150"/>
      <c r="S236" s="150"/>
      <c r="T236" s="150"/>
      <c r="U236" s="150"/>
      <c r="V236" s="150"/>
      <c r="W236" s="150"/>
      <c r="X236" s="150"/>
      <c r="Y236" s="150"/>
      <c r="Z236" s="150"/>
      <c r="AA236" s="150"/>
      <c r="AB236" s="150"/>
      <c r="AC236" s="195">
        <v>18259215.309187509</v>
      </c>
      <c r="AD236" s="195">
        <v>17626198.240857743</v>
      </c>
      <c r="AE236" s="195">
        <v>14145727.221914101</v>
      </c>
      <c r="AF236" s="195">
        <v>19801759.371823493</v>
      </c>
      <c r="AG236" s="195">
        <v>20663223.24680353</v>
      </c>
      <c r="AH236" s="195">
        <v>21245493.460285638</v>
      </c>
      <c r="AI236" s="195">
        <v>29377192.396426387</v>
      </c>
      <c r="AJ236" s="195">
        <v>45965406.506041795</v>
      </c>
      <c r="AK236" s="195">
        <v>55880908.869400382</v>
      </c>
      <c r="AL236" s="195">
        <v>43401515.452495992</v>
      </c>
      <c r="AM236" s="195">
        <v>39174103.336930044</v>
      </c>
      <c r="AN236" s="195">
        <v>39174103.336930044</v>
      </c>
      <c r="AO236" s="195">
        <v>39174103.336930044</v>
      </c>
      <c r="AP236" s="195">
        <v>39174103.336930044</v>
      </c>
      <c r="AQ236" s="195">
        <v>39174103.336930044</v>
      </c>
      <c r="AR236" s="195">
        <v>39174103.336930044</v>
      </c>
      <c r="AS236" s="195">
        <v>39174103.336930044</v>
      </c>
      <c r="AT236" s="195">
        <v>39174103.336930044</v>
      </c>
      <c r="AU236" s="195">
        <v>39174103.336930044</v>
      </c>
      <c r="AV236" s="195">
        <v>39174103.336930044</v>
      </c>
      <c r="AW236" s="195">
        <v>39174103.336930044</v>
      </c>
      <c r="BV236" s="47"/>
      <c r="BW236" s="47"/>
      <c r="BX236" s="47"/>
      <c r="BY236" s="47"/>
      <c r="BZ236" s="47"/>
      <c r="CA236" s="47"/>
    </row>
    <row r="237" spans="1:79" ht="15.75" outlineLevel="1" x14ac:dyDescent="0.25">
      <c r="A237" s="51" t="str" cm="1">
        <f t="array" ref="A237">INDEX(TariffCode, MATCH(1,(C237=TariffZone)*(D237=TariffProduct),0))</f>
        <v>GW</v>
      </c>
      <c r="B237" s="51"/>
      <c r="C237" s="150" t="s">
        <v>290</v>
      </c>
      <c r="D237" s="150" t="s">
        <v>301</v>
      </c>
      <c r="E237" s="150"/>
      <c r="F237" s="150"/>
      <c r="G237" s="150" t="s">
        <v>616</v>
      </c>
      <c r="H237" s="150"/>
      <c r="I237" s="150"/>
      <c r="J237" s="150"/>
      <c r="K237" s="150"/>
      <c r="L237" s="150" cm="1">
        <f t="array" ref="L237">IF(SUMPRODUCT($AC$236:$BL$255*($D$236:$D$255=$D237)*($C$236:$C$255=$C237))=0,0,SUM(AC237:BL237)/SUMPRODUCT($AC$236:$BL$255*($D$236:$D$255=$D237)*($C$236:$C$255=$C237)))</f>
        <v>0.76175099806578928</v>
      </c>
      <c r="M237" s="150"/>
      <c r="N237" s="150"/>
      <c r="O237" s="150"/>
      <c r="P237" s="150"/>
      <c r="Q237" s="150"/>
      <c r="R237" s="150"/>
      <c r="S237" s="150"/>
      <c r="T237" s="150"/>
      <c r="U237" s="150"/>
      <c r="V237" s="150"/>
      <c r="W237" s="150"/>
      <c r="X237" s="150"/>
      <c r="Y237" s="150"/>
      <c r="Z237" s="150"/>
      <c r="AA237" s="150"/>
      <c r="AB237" s="150"/>
      <c r="AC237" s="195">
        <v>29356595.511151392</v>
      </c>
      <c r="AD237" s="195">
        <v>40857861.518948428</v>
      </c>
      <c r="AE237" s="195">
        <v>32081790.99794047</v>
      </c>
      <c r="AF237" s="195">
        <v>31113234.852621861</v>
      </c>
      <c r="AG237" s="195">
        <v>9698987.1377000231</v>
      </c>
      <c r="AH237" s="195">
        <v>33090212.360870566</v>
      </c>
      <c r="AI237" s="195">
        <v>32430277.341084208</v>
      </c>
      <c r="AJ237" s="195">
        <v>36452629.266810901</v>
      </c>
      <c r="AK237" s="195">
        <v>25944512.198343638</v>
      </c>
      <c r="AL237" s="195">
        <v>25028925.55776808</v>
      </c>
      <c r="AM237" s="195">
        <v>30589311.344975475</v>
      </c>
      <c r="AN237" s="195">
        <v>30589311.344975475</v>
      </c>
      <c r="AO237" s="195">
        <v>30589311.344975475</v>
      </c>
      <c r="AP237" s="195">
        <v>30589311.344975475</v>
      </c>
      <c r="AQ237" s="195">
        <v>30589311.344975475</v>
      </c>
      <c r="AR237" s="195">
        <v>30589311.344975475</v>
      </c>
      <c r="AS237" s="195">
        <v>30589311.344975475</v>
      </c>
      <c r="AT237" s="195">
        <v>30589311.344975475</v>
      </c>
      <c r="AU237" s="195">
        <v>30589311.344975475</v>
      </c>
      <c r="AV237" s="195">
        <v>30589311.344975475</v>
      </c>
      <c r="AW237" s="195">
        <v>30589311.344975475</v>
      </c>
      <c r="BV237" s="47"/>
      <c r="BW237" s="47"/>
      <c r="BX237" s="47"/>
      <c r="BY237" s="47"/>
      <c r="BZ237" s="47"/>
      <c r="CA237" s="47"/>
    </row>
    <row r="238" spans="1:79" ht="15.75" outlineLevel="1" x14ac:dyDescent="0.25">
      <c r="A238" s="51" t="str" cm="1">
        <f t="array" ref="A238">INDEX(TariffCode, MATCH(1,(C238=TariffZone)*(D238=TariffProduct),0))</f>
        <v>SS</v>
      </c>
      <c r="B238" s="51"/>
      <c r="C238" s="150" t="s">
        <v>287</v>
      </c>
      <c r="D238" s="150" t="s">
        <v>303</v>
      </c>
      <c r="E238" s="150"/>
      <c r="F238" s="150"/>
      <c r="G238" s="150" t="s">
        <v>616</v>
      </c>
      <c r="H238" s="150"/>
      <c r="I238" s="150"/>
      <c r="J238" s="150"/>
      <c r="K238" s="150"/>
      <c r="L238" s="150" cm="1">
        <f t="array" ref="L238">IF(SUMPRODUCT($AC$236:$BL$255*($D$236:$D$255=$D238)*($C$236:$C$255=$C238))=0,0,SUM(AC238:BL238)/SUMPRODUCT($AC$236:$BL$255*($D$236:$D$255=$D238)*($C$236:$C$255=$C238)))</f>
        <v>0.83487026261261055</v>
      </c>
      <c r="M238" s="150"/>
      <c r="N238" s="150"/>
      <c r="O238" s="150"/>
      <c r="P238" s="150"/>
      <c r="Q238" s="150"/>
      <c r="R238" s="150"/>
      <c r="S238" s="150"/>
      <c r="T238" s="150"/>
      <c r="U238" s="150"/>
      <c r="V238" s="150"/>
      <c r="W238" s="150"/>
      <c r="X238" s="150"/>
      <c r="Y238" s="150"/>
      <c r="Z238" s="150"/>
      <c r="AA238" s="150"/>
      <c r="AB238" s="150"/>
      <c r="AC238" s="195">
        <v>18975479.528957199</v>
      </c>
      <c r="AD238" s="195">
        <v>12731429.369329864</v>
      </c>
      <c r="AE238" s="195">
        <v>17947468.212795883</v>
      </c>
      <c r="AF238" s="195">
        <v>34263903.563885406</v>
      </c>
      <c r="AG238" s="195">
        <v>39788691.9161219</v>
      </c>
      <c r="AH238" s="195">
        <v>45894101.452784292</v>
      </c>
      <c r="AI238" s="195">
        <v>42083055.447941698</v>
      </c>
      <c r="AJ238" s="195">
        <v>41623129.297820635</v>
      </c>
      <c r="AK238" s="195">
        <v>49236552.542372659</v>
      </c>
      <c r="AL238" s="195">
        <v>37654499.824437983</v>
      </c>
      <c r="AM238" s="195">
        <v>43298267.713071443</v>
      </c>
      <c r="AN238" s="195">
        <v>43298267.713071443</v>
      </c>
      <c r="AO238" s="195">
        <v>43298267.713071443</v>
      </c>
      <c r="AP238" s="195">
        <v>43298267.713071443</v>
      </c>
      <c r="AQ238" s="195">
        <v>43298267.713071443</v>
      </c>
      <c r="AR238" s="195">
        <v>43298267.713071443</v>
      </c>
      <c r="AS238" s="195">
        <v>43298267.713071443</v>
      </c>
      <c r="AT238" s="195">
        <v>43298267.713071443</v>
      </c>
      <c r="AU238" s="195">
        <v>43298267.713071443</v>
      </c>
      <c r="AV238" s="195">
        <v>43298267.713071443</v>
      </c>
      <c r="AW238" s="195">
        <v>43298267.713071443</v>
      </c>
      <c r="BV238" s="47"/>
      <c r="BW238" s="47"/>
      <c r="BX238" s="47"/>
      <c r="BY238" s="47"/>
      <c r="BZ238" s="47"/>
      <c r="CA238" s="47"/>
    </row>
    <row r="239" spans="1:79" ht="15.75" outlineLevel="1" x14ac:dyDescent="0.25">
      <c r="A239" s="51" t="str" cm="1">
        <f t="array" ref="A239">INDEX(TariffCode, MATCH(1,(C239=TariffZone)*(D239=TariffProduct),0))</f>
        <v>GS</v>
      </c>
      <c r="B239" s="51"/>
      <c r="C239" s="150" t="s">
        <v>290</v>
      </c>
      <c r="D239" s="150" t="s">
        <v>303</v>
      </c>
      <c r="E239" s="150"/>
      <c r="F239" s="150"/>
      <c r="G239" s="150" t="s">
        <v>616</v>
      </c>
      <c r="H239" s="150"/>
      <c r="I239" s="150"/>
      <c r="J239" s="150"/>
      <c r="K239" s="150"/>
      <c r="L239" s="150" cm="1">
        <f t="array" ref="L239">IF(SUMPRODUCT($AC$236:$BL$255*($D$236:$D$255=$D239)*($C$236:$C$255=$C239))=0,0,SUM(AC239:BL239)/SUMPRODUCT($AC$236:$BL$255*($D$236:$D$255=$D239)*($C$236:$C$255=$C239)))</f>
        <v>0.52153885300884739</v>
      </c>
      <c r="M239" s="150"/>
      <c r="N239" s="150"/>
      <c r="O239" s="150"/>
      <c r="P239" s="150"/>
      <c r="Q239" s="150"/>
      <c r="R239" s="150"/>
      <c r="S239" s="150"/>
      <c r="T239" s="150"/>
      <c r="U239" s="150"/>
      <c r="V239" s="150"/>
      <c r="W239" s="150"/>
      <c r="X239" s="150"/>
      <c r="Y239" s="150"/>
      <c r="Z239" s="150"/>
      <c r="AA239" s="150"/>
      <c r="AB239" s="150"/>
      <c r="AC239" s="195">
        <v>11695288.942229101</v>
      </c>
      <c r="AD239" s="195">
        <v>20532888.057788633</v>
      </c>
      <c r="AE239" s="195">
        <v>11538103.864685826</v>
      </c>
      <c r="AF239" s="195">
        <v>15715534.692772975</v>
      </c>
      <c r="AG239" s="195">
        <v>29106848.035451647</v>
      </c>
      <c r="AH239" s="195">
        <v>36827161.743341237</v>
      </c>
      <c r="AI239" s="195">
        <v>32195365.617433269</v>
      </c>
      <c r="AJ239" s="195">
        <v>12817571.912832873</v>
      </c>
      <c r="AK239" s="195">
        <v>22599791.767554376</v>
      </c>
      <c r="AL239" s="195">
        <v>5075662.8874262301</v>
      </c>
      <c r="AM239" s="195">
        <v>21903110.785717599</v>
      </c>
      <c r="AN239" s="195">
        <v>21903110.785717599</v>
      </c>
      <c r="AO239" s="195">
        <v>21903110.785717599</v>
      </c>
      <c r="AP239" s="195">
        <v>21903110.785717599</v>
      </c>
      <c r="AQ239" s="195">
        <v>21903110.785717599</v>
      </c>
      <c r="AR239" s="195">
        <v>21903110.785717599</v>
      </c>
      <c r="AS239" s="195">
        <v>21903110.785717599</v>
      </c>
      <c r="AT239" s="195">
        <v>21903110.785717599</v>
      </c>
      <c r="AU239" s="195">
        <v>21903110.785717599</v>
      </c>
      <c r="AV239" s="195">
        <v>21903110.785717599</v>
      </c>
      <c r="AW239" s="195">
        <v>21903110.785717599</v>
      </c>
      <c r="BV239" s="47"/>
      <c r="BW239" s="47"/>
      <c r="BX239" s="47"/>
      <c r="BY239" s="47"/>
      <c r="BZ239" s="47"/>
      <c r="CA239" s="47"/>
    </row>
    <row r="240" spans="1:79" ht="15.75" outlineLevel="1" x14ac:dyDescent="0.25">
      <c r="A240" s="51" t="str" cm="1">
        <f t="array" ref="A240">INDEX(TariffCode, MATCH(1,(C240=TariffZone)*(D240=TariffProduct),0))</f>
        <v>WR</v>
      </c>
      <c r="B240" s="51"/>
      <c r="C240" s="150" t="s">
        <v>283</v>
      </c>
      <c r="D240" s="150" t="s">
        <v>310</v>
      </c>
      <c r="E240" s="150"/>
      <c r="F240" s="150"/>
      <c r="G240" s="150" t="s">
        <v>616</v>
      </c>
      <c r="H240" s="150"/>
      <c r="I240" s="150"/>
      <c r="J240" s="150"/>
      <c r="K240" s="150"/>
      <c r="L240" s="150" cm="1">
        <f t="array" ref="L240">IF(SUMPRODUCT($AC$236:$BL$255*($D$236:$D$255=$D240)*($C$236:$C$255=$C240))=0,0,SUM(AC240:BL240)/SUMPRODUCT($AC$236:$BL$255*($D$236:$D$255=$D240)*($C$236:$C$255=$C240)))</f>
        <v>1</v>
      </c>
      <c r="M240" s="150"/>
      <c r="N240" s="150"/>
      <c r="O240" s="150"/>
      <c r="P240" s="150"/>
      <c r="Q240" s="150"/>
      <c r="R240" s="150"/>
      <c r="S240" s="150"/>
      <c r="T240" s="150"/>
      <c r="U240" s="150"/>
      <c r="V240" s="150"/>
      <c r="W240" s="150"/>
      <c r="X240" s="150"/>
      <c r="Y240" s="150"/>
      <c r="Z240" s="150"/>
      <c r="AA240" s="150"/>
      <c r="AB240" s="150"/>
      <c r="AC240" s="195">
        <v>2298828.08716706</v>
      </c>
      <c r="AD240" s="195">
        <v>4332242.13075059</v>
      </c>
      <c r="AE240" s="195">
        <v>1108745.7627118595</v>
      </c>
      <c r="AF240" s="195">
        <v>573636.80387408938</v>
      </c>
      <c r="AG240" s="195">
        <v>573636.80387408938</v>
      </c>
      <c r="AH240" s="195">
        <v>7063224.2130750287</v>
      </c>
      <c r="AI240" s="195">
        <v>18621577.72397086</v>
      </c>
      <c r="AJ240" s="195">
        <v>28499689.104116093</v>
      </c>
      <c r="AK240" s="195">
        <v>39126953.026634201</v>
      </c>
      <c r="AL240" s="195">
        <v>24582691.525423624</v>
      </c>
      <c r="AM240" s="195">
        <v>23578827.118643962</v>
      </c>
      <c r="AN240" s="195">
        <v>23578827.118643962</v>
      </c>
      <c r="AO240" s="195">
        <v>23578827.118643962</v>
      </c>
      <c r="AP240" s="195">
        <v>23578827.118643962</v>
      </c>
      <c r="AQ240" s="195">
        <v>23578827.118643962</v>
      </c>
      <c r="AR240" s="195">
        <v>23578827.118643962</v>
      </c>
      <c r="AS240" s="195">
        <v>23578827.118643962</v>
      </c>
      <c r="AT240" s="195">
        <v>23578827.118643962</v>
      </c>
      <c r="AU240" s="195">
        <v>23578827.118643962</v>
      </c>
      <c r="AV240" s="195">
        <v>23578827.118643962</v>
      </c>
      <c r="AW240" s="195">
        <v>23578827.118643962</v>
      </c>
      <c r="BV240" s="47"/>
      <c r="BW240" s="47"/>
      <c r="BX240" s="47"/>
      <c r="BY240" s="47"/>
      <c r="BZ240" s="47"/>
      <c r="CA240" s="47"/>
    </row>
    <row r="241" spans="1:79" ht="15.75" outlineLevel="1" x14ac:dyDescent="0.25">
      <c r="A241" s="51" t="str" cm="1">
        <f t="array" ref="A241">INDEX(TariffCode, MATCH(1,(C241=TariffZone)*(D241=TariffProduct),0))</f>
        <v>GR</v>
      </c>
      <c r="B241" s="51"/>
      <c r="C241" s="150" t="s">
        <v>312</v>
      </c>
      <c r="D241" s="150" t="s">
        <v>310</v>
      </c>
      <c r="E241" s="150"/>
      <c r="F241" s="150"/>
      <c r="G241" s="150" t="s">
        <v>616</v>
      </c>
      <c r="H241" s="150"/>
      <c r="I241" s="150"/>
      <c r="J241" s="150"/>
      <c r="K241" s="150"/>
      <c r="L241" s="150" cm="1">
        <f t="array" ref="L241">IF(SUMPRODUCT($AC$236:$BL$255*($D$236:$D$255=$D241)*($C$236:$C$255=$C241))=0,0,SUM(AC241:BL241)/SUMPRODUCT($AC$236:$BL$255*($D$236:$D$255=$D241)*($C$236:$C$255=$C241)))</f>
        <v>1</v>
      </c>
      <c r="M241" s="150"/>
      <c r="N241" s="150"/>
      <c r="O241" s="150"/>
      <c r="P241" s="150"/>
      <c r="Q241" s="150"/>
      <c r="R241" s="150"/>
      <c r="S241" s="150"/>
      <c r="T241" s="150"/>
      <c r="U241" s="150"/>
      <c r="V241" s="150"/>
      <c r="W241" s="150"/>
      <c r="X241" s="150"/>
      <c r="Y241" s="150"/>
      <c r="Z241" s="150"/>
      <c r="AA241" s="150"/>
      <c r="AB241" s="150"/>
      <c r="AC241" s="195">
        <v>85617.433414043204</v>
      </c>
      <c r="AD241" s="195">
        <v>85617.433414043204</v>
      </c>
      <c r="AE241" s="195">
        <v>256852.3002421296</v>
      </c>
      <c r="AF241" s="195">
        <v>256852.3002421296</v>
      </c>
      <c r="AG241" s="195">
        <v>256852.3002421296</v>
      </c>
      <c r="AH241" s="195">
        <v>267554.47941888502</v>
      </c>
      <c r="AI241" s="195">
        <v>3745762.7118643895</v>
      </c>
      <c r="AJ241" s="195">
        <v>3745762.7118643895</v>
      </c>
      <c r="AK241" s="195">
        <v>0</v>
      </c>
      <c r="AL241" s="195">
        <v>0</v>
      </c>
      <c r="AM241" s="195">
        <v>1551815.9806295328</v>
      </c>
      <c r="AN241" s="195">
        <v>1551815.9806295328</v>
      </c>
      <c r="AO241" s="195">
        <v>1551815.9806295328</v>
      </c>
      <c r="AP241" s="195">
        <v>1551815.9806295328</v>
      </c>
      <c r="AQ241" s="195">
        <v>1551815.9806295328</v>
      </c>
      <c r="AR241" s="195">
        <v>1551815.9806295328</v>
      </c>
      <c r="AS241" s="195">
        <v>1551815.9806295328</v>
      </c>
      <c r="AT241" s="195">
        <v>1551815.9806295328</v>
      </c>
      <c r="AU241" s="195">
        <v>1551815.9806295328</v>
      </c>
      <c r="AV241" s="195">
        <v>1551815.9806295328</v>
      </c>
      <c r="AW241" s="195">
        <v>1551815.9806295328</v>
      </c>
      <c r="BV241" s="47"/>
      <c r="BW241" s="47"/>
      <c r="BX241" s="47"/>
      <c r="BY241" s="47"/>
      <c r="BZ241" s="47"/>
      <c r="CA241" s="47"/>
    </row>
    <row r="242" spans="1:79" ht="15.75" outlineLevel="1" x14ac:dyDescent="0.25">
      <c r="A242" s="150"/>
      <c r="B242" s="150"/>
      <c r="C242" s="150"/>
      <c r="D242" s="150"/>
      <c r="E242" s="150"/>
      <c r="F242" s="150"/>
      <c r="G242" s="150"/>
      <c r="H242" s="150"/>
      <c r="I242" s="150"/>
      <c r="J242" s="150"/>
      <c r="K242" s="150"/>
      <c r="L242" s="150"/>
      <c r="M242" s="150"/>
      <c r="N242" s="150"/>
      <c r="O242" s="150"/>
      <c r="P242" s="150"/>
      <c r="Q242" s="150"/>
      <c r="R242" s="150"/>
      <c r="S242" s="150"/>
      <c r="T242" s="150"/>
      <c r="U242" s="150"/>
      <c r="V242" s="150"/>
      <c r="W242" s="150"/>
      <c r="X242" s="150"/>
      <c r="Y242" s="150"/>
      <c r="Z242" s="150"/>
      <c r="AA242" s="150"/>
      <c r="AB242" s="150"/>
      <c r="AC242" s="92"/>
      <c r="AD242" s="92"/>
      <c r="AE242" s="92"/>
      <c r="AF242" s="92"/>
      <c r="AG242" s="92"/>
      <c r="AH242" s="92"/>
      <c r="AI242" s="92"/>
      <c r="AJ242" s="92"/>
      <c r="AK242" s="92"/>
      <c r="AL242" s="92"/>
      <c r="AM242" s="92"/>
      <c r="AN242" s="92"/>
      <c r="AO242" s="92"/>
      <c r="AP242" s="92"/>
      <c r="AQ242" s="92"/>
      <c r="AR242" s="92"/>
      <c r="AS242" s="92"/>
      <c r="AT242" s="92"/>
      <c r="AU242" s="92"/>
      <c r="AV242" s="92"/>
      <c r="AW242" s="92"/>
      <c r="BV242" s="47"/>
      <c r="BW242" s="47"/>
      <c r="BX242" s="47"/>
      <c r="BY242" s="47"/>
      <c r="BZ242" s="47"/>
      <c r="CA242" s="47"/>
    </row>
    <row r="243" spans="1:79" ht="15.75" outlineLevel="1" x14ac:dyDescent="0.25">
      <c r="A243" s="51" t="str" cm="1">
        <f t="array" ref="A243">INDEX(TariffCode, MATCH(1,(C243=TariffZone)*(D243=TariffProduct),0))</f>
        <v>SW</v>
      </c>
      <c r="B243" s="51"/>
      <c r="C243" s="150" t="s">
        <v>287</v>
      </c>
      <c r="D243" s="150" t="s">
        <v>301</v>
      </c>
      <c r="E243" s="150"/>
      <c r="F243" s="150"/>
      <c r="G243" s="150" t="s">
        <v>617</v>
      </c>
      <c r="H243" s="150"/>
      <c r="I243" s="150"/>
      <c r="J243" s="150"/>
      <c r="K243" s="150"/>
      <c r="L243" s="150" cm="1">
        <f t="array" ref="L243">IF(SUMPRODUCT($AC$236:$BL$255*($D$236:$D$255=$D243)*($C$236:$C$255=$C243))=0,0,SUM(AC243:BL243)/SUMPRODUCT($AC$236:$BL$255*($D$236:$D$255=$D243)*($C$236:$C$255=$C243)))</f>
        <v>0</v>
      </c>
      <c r="M243" s="150"/>
      <c r="N243" s="150"/>
      <c r="O243" s="150"/>
      <c r="P243" s="150"/>
      <c r="Q243" s="150"/>
      <c r="R243" s="150"/>
      <c r="S243" s="150"/>
      <c r="T243" s="150"/>
      <c r="U243" s="150"/>
      <c r="V243" s="150"/>
      <c r="W243" s="150"/>
      <c r="X243" s="150"/>
      <c r="Y243" s="150"/>
      <c r="Z243" s="150"/>
      <c r="AA243" s="150"/>
      <c r="AB243" s="150"/>
      <c r="AC243" s="195">
        <v>0</v>
      </c>
      <c r="AD243" s="195">
        <v>0</v>
      </c>
      <c r="AE243" s="195">
        <v>0</v>
      </c>
      <c r="AF243" s="195">
        <v>0</v>
      </c>
      <c r="AG243" s="195">
        <v>0</v>
      </c>
      <c r="AH243" s="195">
        <v>0</v>
      </c>
      <c r="AI243" s="195">
        <v>0</v>
      </c>
      <c r="AJ243" s="195">
        <v>0</v>
      </c>
      <c r="AK243" s="195">
        <v>0</v>
      </c>
      <c r="AL243" s="195">
        <v>0</v>
      </c>
      <c r="AM243" s="195">
        <v>0</v>
      </c>
      <c r="AN243" s="195">
        <v>0</v>
      </c>
      <c r="AO243" s="195">
        <v>0</v>
      </c>
      <c r="AP243" s="195">
        <v>0</v>
      </c>
      <c r="AQ243" s="195">
        <v>0</v>
      </c>
      <c r="AR243" s="195">
        <v>0</v>
      </c>
      <c r="AS243" s="195">
        <v>0</v>
      </c>
      <c r="AT243" s="195">
        <v>0</v>
      </c>
      <c r="AU243" s="195">
        <v>0</v>
      </c>
      <c r="AV243" s="195">
        <v>0</v>
      </c>
      <c r="AW243" s="195">
        <v>0</v>
      </c>
      <c r="BV243" s="47"/>
      <c r="BW243" s="47"/>
      <c r="BX243" s="47"/>
      <c r="BY243" s="47"/>
      <c r="BZ243" s="47"/>
      <c r="CA243" s="47"/>
    </row>
    <row r="244" spans="1:79" ht="15.75" outlineLevel="1" x14ac:dyDescent="0.25">
      <c r="A244" s="51" t="str" cm="1">
        <f t="array" ref="A244">INDEX(TariffCode, MATCH(1,(C244=TariffZone)*(D244=TariffProduct),0))</f>
        <v>GW</v>
      </c>
      <c r="B244" s="51"/>
      <c r="C244" s="150" t="s">
        <v>290</v>
      </c>
      <c r="D244" s="150" t="s">
        <v>301</v>
      </c>
      <c r="E244" s="150"/>
      <c r="F244" s="150"/>
      <c r="G244" s="150" t="s">
        <v>617</v>
      </c>
      <c r="H244" s="150"/>
      <c r="I244" s="150"/>
      <c r="J244" s="150"/>
      <c r="K244" s="150"/>
      <c r="L244" s="150" cm="1">
        <f t="array" ref="L244">IF(SUMPRODUCT($AC$236:$BL$255*($D$236:$D$255=$D244)*($C$236:$C$255=$C244))=0,0,SUM(AC244:BL244)/SUMPRODUCT($AC$236:$BL$255*($D$236:$D$255=$D244)*($C$236:$C$255=$C244)))</f>
        <v>5.8049675660257073E-2</v>
      </c>
      <c r="M244" s="150"/>
      <c r="N244" s="150"/>
      <c r="O244" s="150"/>
      <c r="P244" s="150"/>
      <c r="Q244" s="150"/>
      <c r="R244" s="150"/>
      <c r="S244" s="150"/>
      <c r="T244" s="150"/>
      <c r="U244" s="150"/>
      <c r="V244" s="150"/>
      <c r="W244" s="150"/>
      <c r="X244" s="150"/>
      <c r="Y244" s="150"/>
      <c r="Z244" s="150"/>
      <c r="AA244" s="150"/>
      <c r="AB244" s="150"/>
      <c r="AC244" s="195">
        <v>5351089.5883777002</v>
      </c>
      <c r="AD244" s="195">
        <v>6002531.2348668016</v>
      </c>
      <c r="AE244" s="195">
        <v>10179431.234866781</v>
      </c>
      <c r="AF244" s="195">
        <v>17950230.024213005</v>
      </c>
      <c r="AG244" s="195">
        <v>8719600.4842614606</v>
      </c>
      <c r="AH244" s="195">
        <v>0</v>
      </c>
      <c r="AI244" s="195">
        <v>0</v>
      </c>
      <c r="AJ244" s="195">
        <v>0</v>
      </c>
      <c r="AK244" s="195">
        <v>0</v>
      </c>
      <c r="AL244" s="195">
        <v>0</v>
      </c>
      <c r="AM244" s="195">
        <v>0</v>
      </c>
      <c r="AN244" s="195">
        <v>0</v>
      </c>
      <c r="AO244" s="195">
        <v>0</v>
      </c>
      <c r="AP244" s="195">
        <v>0</v>
      </c>
      <c r="AQ244" s="195">
        <v>0</v>
      </c>
      <c r="AR244" s="195">
        <v>0</v>
      </c>
      <c r="AS244" s="195">
        <v>0</v>
      </c>
      <c r="AT244" s="195">
        <v>0</v>
      </c>
      <c r="AU244" s="195">
        <v>0</v>
      </c>
      <c r="AV244" s="195">
        <v>0</v>
      </c>
      <c r="AW244" s="195">
        <v>0</v>
      </c>
      <c r="BV244" s="47"/>
      <c r="BW244" s="47"/>
      <c r="BX244" s="47"/>
      <c r="BY244" s="47"/>
      <c r="BZ244" s="47"/>
      <c r="CA244" s="47"/>
    </row>
    <row r="245" spans="1:79" ht="15.75" outlineLevel="1" x14ac:dyDescent="0.25">
      <c r="A245" s="51" t="str" cm="1">
        <f t="array" ref="A245">INDEX(TariffCode, MATCH(1,(C245=TariffZone)*(D245=TariffProduct),0))</f>
        <v>SS</v>
      </c>
      <c r="B245" s="51"/>
      <c r="C245" s="150" t="s">
        <v>287</v>
      </c>
      <c r="D245" s="150" t="s">
        <v>303</v>
      </c>
      <c r="E245" s="150"/>
      <c r="F245" s="150"/>
      <c r="G245" s="150" t="s">
        <v>617</v>
      </c>
      <c r="H245" s="150"/>
      <c r="I245" s="150"/>
      <c r="J245" s="150"/>
      <c r="K245" s="150"/>
      <c r="L245" s="150" cm="1">
        <f t="array" ref="L245">IF(SUMPRODUCT($AC$236:$BL$255*($D$236:$D$255=$D245)*($C$236:$C$255=$C245))=0,0,SUM(AC245:BL245)/SUMPRODUCT($AC$236:$BL$255*($D$236:$D$255=$D245)*($C$236:$C$255=$C245)))</f>
        <v>0</v>
      </c>
      <c r="M245" s="150"/>
      <c r="N245" s="150"/>
      <c r="O245" s="150"/>
      <c r="P245" s="150"/>
      <c r="Q245" s="150"/>
      <c r="R245" s="150"/>
      <c r="S245" s="150"/>
      <c r="T245" s="150"/>
      <c r="U245" s="150"/>
      <c r="V245" s="150"/>
      <c r="W245" s="150"/>
      <c r="X245" s="150"/>
      <c r="Y245" s="150"/>
      <c r="Z245" s="150"/>
      <c r="AA245" s="150"/>
      <c r="AB245" s="150"/>
      <c r="AC245" s="195">
        <v>0</v>
      </c>
      <c r="AD245" s="195">
        <v>0</v>
      </c>
      <c r="AE245" s="195">
        <v>0</v>
      </c>
      <c r="AF245" s="195">
        <v>0</v>
      </c>
      <c r="AG245" s="195">
        <v>0</v>
      </c>
      <c r="AH245" s="195">
        <v>0</v>
      </c>
      <c r="AI245" s="195">
        <v>0</v>
      </c>
      <c r="AJ245" s="195">
        <v>0</v>
      </c>
      <c r="AK245" s="195">
        <v>0</v>
      </c>
      <c r="AL245" s="195">
        <v>0</v>
      </c>
      <c r="AM245" s="195">
        <v>0</v>
      </c>
      <c r="AN245" s="195">
        <v>0</v>
      </c>
      <c r="AO245" s="195">
        <v>0</v>
      </c>
      <c r="AP245" s="195">
        <v>0</v>
      </c>
      <c r="AQ245" s="195">
        <v>0</v>
      </c>
      <c r="AR245" s="195">
        <v>0</v>
      </c>
      <c r="AS245" s="195">
        <v>0</v>
      </c>
      <c r="AT245" s="195">
        <v>0</v>
      </c>
      <c r="AU245" s="195">
        <v>0</v>
      </c>
      <c r="AV245" s="195">
        <v>0</v>
      </c>
      <c r="AW245" s="195">
        <v>0</v>
      </c>
      <c r="BV245" s="47"/>
      <c r="BW245" s="47"/>
      <c r="BX245" s="47"/>
      <c r="BY245" s="47"/>
      <c r="BZ245" s="47"/>
      <c r="CA245" s="47"/>
    </row>
    <row r="246" spans="1:79" ht="15.75" outlineLevel="1" x14ac:dyDescent="0.25">
      <c r="A246" s="51" t="str" cm="1">
        <f t="array" ref="A246">INDEX(TariffCode, MATCH(1,(C246=TariffZone)*(D246=TariffProduct),0))</f>
        <v>GS</v>
      </c>
      <c r="B246" s="51"/>
      <c r="C246" s="150" t="s">
        <v>290</v>
      </c>
      <c r="D246" s="150" t="s">
        <v>303</v>
      </c>
      <c r="E246" s="150"/>
      <c r="F246" s="150"/>
      <c r="G246" s="150" t="s">
        <v>617</v>
      </c>
      <c r="H246" s="150"/>
      <c r="I246" s="150"/>
      <c r="J246" s="150"/>
      <c r="K246" s="150"/>
      <c r="L246" s="150" cm="1">
        <f t="array" ref="L246">IF(SUMPRODUCT($AC$236:$BL$255*($D$236:$D$255=$D246)*($C$236:$C$255=$C246))=0,0,SUM(AC246:BL246)/SUMPRODUCT($AC$236:$BL$255*($D$236:$D$255=$D246)*($C$236:$C$255=$C246)))</f>
        <v>4.1573575392375321E-2</v>
      </c>
      <c r="M246" s="150"/>
      <c r="N246" s="150"/>
      <c r="O246" s="150"/>
      <c r="P246" s="150"/>
      <c r="Q246" s="150"/>
      <c r="R246" s="150"/>
      <c r="S246" s="150"/>
      <c r="T246" s="150"/>
      <c r="U246" s="150"/>
      <c r="V246" s="150"/>
      <c r="W246" s="150"/>
      <c r="X246" s="150"/>
      <c r="Y246" s="150"/>
      <c r="Z246" s="150"/>
      <c r="AA246" s="150"/>
      <c r="AB246" s="150"/>
      <c r="AC246" s="195">
        <v>14769007.263922453</v>
      </c>
      <c r="AD246" s="195">
        <v>4603007.2639224976</v>
      </c>
      <c r="AE246" s="195">
        <v>6421307.506053241</v>
      </c>
      <c r="AF246" s="195">
        <v>4708958.8377723759</v>
      </c>
      <c r="AG246" s="195">
        <v>4494915.2542372681</v>
      </c>
      <c r="AH246" s="195">
        <v>0</v>
      </c>
      <c r="AI246" s="195">
        <v>0</v>
      </c>
      <c r="AJ246" s="195">
        <v>0</v>
      </c>
      <c r="AK246" s="195">
        <v>0</v>
      </c>
      <c r="AL246" s="195">
        <v>0</v>
      </c>
      <c r="AM246" s="195">
        <v>0</v>
      </c>
      <c r="AN246" s="195">
        <v>0</v>
      </c>
      <c r="AO246" s="195">
        <v>0</v>
      </c>
      <c r="AP246" s="195">
        <v>0</v>
      </c>
      <c r="AQ246" s="195">
        <v>0</v>
      </c>
      <c r="AR246" s="195">
        <v>0</v>
      </c>
      <c r="AS246" s="195">
        <v>0</v>
      </c>
      <c r="AT246" s="195">
        <v>0</v>
      </c>
      <c r="AU246" s="195">
        <v>0</v>
      </c>
      <c r="AV246" s="195">
        <v>0</v>
      </c>
      <c r="AW246" s="195">
        <v>0</v>
      </c>
      <c r="BV246" s="47"/>
      <c r="BW246" s="47"/>
      <c r="BX246" s="47"/>
      <c r="BY246" s="47"/>
      <c r="BZ246" s="47"/>
      <c r="CA246" s="47"/>
    </row>
    <row r="247" spans="1:79" ht="15.75" outlineLevel="1" x14ac:dyDescent="0.25">
      <c r="A247" s="51" t="str" cm="1">
        <f t="array" ref="A247">INDEX(TariffCode, MATCH(1,(C247=TariffZone)*(D247=TariffProduct),0))</f>
        <v>WR</v>
      </c>
      <c r="B247" s="51"/>
      <c r="C247" s="150" t="s">
        <v>283</v>
      </c>
      <c r="D247" s="150" t="s">
        <v>310</v>
      </c>
      <c r="E247" s="150"/>
      <c r="F247" s="150"/>
      <c r="G247" s="150" t="s">
        <v>617</v>
      </c>
      <c r="H247" s="150"/>
      <c r="I247" s="150"/>
      <c r="J247" s="150"/>
      <c r="K247" s="150"/>
      <c r="L247" s="150" cm="1">
        <f t="array" ref="L247">IF(SUMPRODUCT($AC$236:$BL$255*($D$236:$D$255=$D247)*($C$236:$C$255=$C247))=0,0,SUM(AC247:BL247)/SUMPRODUCT($AC$236:$BL$255*($D$236:$D$255=$D247)*($C$236:$C$255=$C247)))</f>
        <v>0</v>
      </c>
      <c r="M247" s="150"/>
      <c r="N247" s="150"/>
      <c r="O247" s="150"/>
      <c r="P247" s="150"/>
      <c r="Q247" s="150"/>
      <c r="R247" s="150"/>
      <c r="S247" s="150"/>
      <c r="T247" s="150"/>
      <c r="U247" s="150"/>
      <c r="V247" s="150"/>
      <c r="W247" s="150"/>
      <c r="X247" s="150"/>
      <c r="Y247" s="150"/>
      <c r="Z247" s="150"/>
      <c r="AA247" s="150"/>
      <c r="AB247" s="150"/>
      <c r="AC247" s="195">
        <v>0</v>
      </c>
      <c r="AD247" s="195">
        <v>0</v>
      </c>
      <c r="AE247" s="195">
        <v>0</v>
      </c>
      <c r="AF247" s="195">
        <v>0</v>
      </c>
      <c r="AG247" s="195">
        <v>0</v>
      </c>
      <c r="AH247" s="195">
        <v>0</v>
      </c>
      <c r="AI247" s="195">
        <v>0</v>
      </c>
      <c r="AJ247" s="195">
        <v>0</v>
      </c>
      <c r="AK247" s="195">
        <v>0</v>
      </c>
      <c r="AL247" s="195">
        <v>0</v>
      </c>
      <c r="AM247" s="195">
        <v>0</v>
      </c>
      <c r="AN247" s="195">
        <v>0</v>
      </c>
      <c r="AO247" s="195">
        <v>0</v>
      </c>
      <c r="AP247" s="195">
        <v>0</v>
      </c>
      <c r="AQ247" s="195">
        <v>0</v>
      </c>
      <c r="AR247" s="195">
        <v>0</v>
      </c>
      <c r="AS247" s="195">
        <v>0</v>
      </c>
      <c r="AT247" s="195">
        <v>0</v>
      </c>
      <c r="AU247" s="195">
        <v>0</v>
      </c>
      <c r="AV247" s="195">
        <v>0</v>
      </c>
      <c r="AW247" s="195">
        <v>0</v>
      </c>
      <c r="BV247" s="47"/>
      <c r="BW247" s="47"/>
      <c r="BX247" s="47"/>
      <c r="BY247" s="47"/>
      <c r="BZ247" s="47"/>
      <c r="CA247" s="47"/>
    </row>
    <row r="248" spans="1:79" ht="15.75" outlineLevel="1" x14ac:dyDescent="0.25">
      <c r="A248" s="51" t="str" cm="1">
        <f t="array" ref="A248">INDEX(TariffCode, MATCH(1,(C248=TariffZone)*(D248=TariffProduct),0))</f>
        <v>GR</v>
      </c>
      <c r="B248" s="51"/>
      <c r="C248" s="150" t="s">
        <v>312</v>
      </c>
      <c r="D248" s="150" t="s">
        <v>310</v>
      </c>
      <c r="E248" s="150"/>
      <c r="F248" s="150"/>
      <c r="G248" s="150" t="s">
        <v>617</v>
      </c>
      <c r="H248" s="150"/>
      <c r="I248" s="150"/>
      <c r="J248" s="150"/>
      <c r="K248" s="150"/>
      <c r="L248" s="150" cm="1">
        <f t="array" ref="L248">IF(SUMPRODUCT($AC$236:$BL$255*($D$236:$D$255=$D248)*($C$236:$C$255=$C248))=0,0,SUM(AC248:BL248)/SUMPRODUCT($AC$236:$BL$255*($D$236:$D$255=$D248)*($C$236:$C$255=$C248)))</f>
        <v>0</v>
      </c>
      <c r="M248" s="150"/>
      <c r="N248" s="150"/>
      <c r="O248" s="150"/>
      <c r="P248" s="150"/>
      <c r="Q248" s="150"/>
      <c r="R248" s="150"/>
      <c r="S248" s="150"/>
      <c r="T248" s="150"/>
      <c r="U248" s="150"/>
      <c r="V248" s="150"/>
      <c r="W248" s="150"/>
      <c r="X248" s="150"/>
      <c r="Y248" s="150"/>
      <c r="Z248" s="150"/>
      <c r="AA248" s="150"/>
      <c r="AB248" s="150"/>
      <c r="AC248" s="195">
        <v>0</v>
      </c>
      <c r="AD248" s="195">
        <v>0</v>
      </c>
      <c r="AE248" s="195">
        <v>0</v>
      </c>
      <c r="AF248" s="195">
        <v>0</v>
      </c>
      <c r="AG248" s="195">
        <v>0</v>
      </c>
      <c r="AH248" s="195">
        <v>0</v>
      </c>
      <c r="AI248" s="195">
        <v>0</v>
      </c>
      <c r="AJ248" s="195">
        <v>0</v>
      </c>
      <c r="AK248" s="195">
        <v>0</v>
      </c>
      <c r="AL248" s="195">
        <v>0</v>
      </c>
      <c r="AM248" s="195">
        <v>0</v>
      </c>
      <c r="AN248" s="195">
        <v>0</v>
      </c>
      <c r="AO248" s="195">
        <v>0</v>
      </c>
      <c r="AP248" s="195">
        <v>0</v>
      </c>
      <c r="AQ248" s="195">
        <v>0</v>
      </c>
      <c r="AR248" s="195">
        <v>0</v>
      </c>
      <c r="AS248" s="195">
        <v>0</v>
      </c>
      <c r="AT248" s="195">
        <v>0</v>
      </c>
      <c r="AU248" s="195">
        <v>0</v>
      </c>
      <c r="AV248" s="195">
        <v>0</v>
      </c>
      <c r="AW248" s="195">
        <v>0</v>
      </c>
      <c r="BV248" s="47"/>
      <c r="BW248" s="47"/>
      <c r="BX248" s="47"/>
      <c r="BY248" s="47"/>
      <c r="BZ248" s="47"/>
      <c r="CA248" s="47"/>
    </row>
    <row r="249" spans="1:79" ht="15.75" outlineLevel="1" x14ac:dyDescent="0.25">
      <c r="A249" s="150"/>
      <c r="B249" s="150"/>
      <c r="C249" s="150"/>
      <c r="D249" s="150"/>
      <c r="E249" s="150"/>
      <c r="F249" s="150"/>
      <c r="G249" s="150"/>
      <c r="H249" s="150"/>
      <c r="I249" s="150"/>
      <c r="J249" s="150"/>
      <c r="K249" s="150"/>
      <c r="L249" s="150"/>
      <c r="M249" s="150"/>
      <c r="N249" s="150"/>
      <c r="O249" s="150"/>
      <c r="P249" s="150"/>
      <c r="Q249" s="150"/>
      <c r="R249" s="150"/>
      <c r="S249" s="150"/>
      <c r="T249" s="150"/>
      <c r="U249" s="150"/>
      <c r="V249" s="150"/>
      <c r="W249" s="150"/>
      <c r="X249" s="150"/>
      <c r="Y249" s="150"/>
      <c r="Z249" s="150"/>
      <c r="AA249" s="150"/>
      <c r="AB249" s="150"/>
      <c r="AC249" s="92"/>
      <c r="AD249" s="92"/>
      <c r="AE249" s="92"/>
      <c r="AF249" s="92"/>
      <c r="AG249" s="92"/>
      <c r="AH249" s="92"/>
      <c r="AI249" s="92"/>
      <c r="AJ249" s="92"/>
      <c r="AK249" s="92"/>
      <c r="AL249" s="92"/>
      <c r="AM249" s="92"/>
      <c r="AN249" s="92"/>
      <c r="AO249" s="92"/>
      <c r="AP249" s="92"/>
      <c r="AQ249" s="92"/>
      <c r="AR249" s="92"/>
      <c r="AS249" s="92"/>
      <c r="AT249" s="92"/>
      <c r="AU249" s="92"/>
      <c r="AV249" s="92"/>
      <c r="AW249" s="92"/>
      <c r="BV249" s="47"/>
      <c r="BW249" s="47"/>
      <c r="BX249" s="47"/>
      <c r="BY249" s="47"/>
      <c r="BZ249" s="47"/>
      <c r="CA249" s="47"/>
    </row>
    <row r="250" spans="1:79" ht="15.75" outlineLevel="1" x14ac:dyDescent="0.25">
      <c r="A250" s="51" t="str" cm="1">
        <f t="array" ref="A250">INDEX(TariffCode, MATCH(1,(C250=TariffZone)*(D250=TariffProduct),0))</f>
        <v>SW</v>
      </c>
      <c r="B250" s="51"/>
      <c r="C250" s="150" t="s">
        <v>287</v>
      </c>
      <c r="D250" s="150" t="s">
        <v>301</v>
      </c>
      <c r="E250" s="150"/>
      <c r="F250" s="150"/>
      <c r="G250" s="150" t="s">
        <v>144</v>
      </c>
      <c r="H250" s="150"/>
      <c r="I250" s="150"/>
      <c r="J250" s="217"/>
      <c r="K250" s="150"/>
      <c r="L250" s="150" cm="1">
        <f t="array" ref="L250">IF(SUMPRODUCT($AC$236:$BL$255*($D$236:$D$255=$D250)*($C$236:$C$255=$C250))=0,0,SUM(AC250:BL250)/SUMPRODUCT($AC$236:$BL$255*($D$236:$D$255=$D250)*($C$236:$C$255=$C250)))</f>
        <v>8.6331582838893972E-2</v>
      </c>
      <c r="M250" s="150"/>
      <c r="N250" s="150"/>
      <c r="O250" s="150"/>
      <c r="P250" s="150"/>
      <c r="Q250" s="150"/>
      <c r="R250" s="150"/>
      <c r="S250" s="150"/>
      <c r="T250" s="150"/>
      <c r="U250" s="150"/>
      <c r="V250" s="150"/>
      <c r="W250" s="150"/>
      <c r="X250" s="150"/>
      <c r="Y250" s="150"/>
      <c r="Z250" s="150"/>
      <c r="AA250" s="150"/>
      <c r="AB250" s="150"/>
      <c r="AC250" s="195">
        <v>1121760.8280221939</v>
      </c>
      <c r="AD250" s="195">
        <v>4278945.8551253257</v>
      </c>
      <c r="AE250" s="195">
        <v>4176762.7752369177</v>
      </c>
      <c r="AF250" s="195">
        <v>4098231.0599069512</v>
      </c>
      <c r="AG250" s="195">
        <v>2663534.6932939864</v>
      </c>
      <c r="AH250" s="195">
        <v>3214748.5807588832</v>
      </c>
      <c r="AI250" s="195">
        <v>4362873.0738870557</v>
      </c>
      <c r="AJ250" s="195">
        <v>4362873.0738870557</v>
      </c>
      <c r="AK250" s="195">
        <v>2066624.0876307106</v>
      </c>
      <c r="AL250" s="195">
        <v>2066624.0876307106</v>
      </c>
      <c r="AM250" s="195">
        <v>3214748.5807588832</v>
      </c>
      <c r="AN250" s="195">
        <v>3214748.5807588832</v>
      </c>
      <c r="AO250" s="195">
        <v>3214748.5807588832</v>
      </c>
      <c r="AP250" s="195">
        <v>3214748.5807588832</v>
      </c>
      <c r="AQ250" s="195">
        <v>3214748.5807588832</v>
      </c>
      <c r="AR250" s="195">
        <v>3214748.5807588832</v>
      </c>
      <c r="AS250" s="195">
        <v>3214748.5807588832</v>
      </c>
      <c r="AT250" s="195">
        <v>3214748.5807588832</v>
      </c>
      <c r="AU250" s="195">
        <v>3214748.5807588832</v>
      </c>
      <c r="AV250" s="195">
        <v>3214748.5807588832</v>
      </c>
      <c r="AW250" s="195">
        <v>3214748.5807588832</v>
      </c>
      <c r="BV250" s="47"/>
      <c r="BW250" s="47"/>
      <c r="BX250" s="47"/>
      <c r="BY250" s="47"/>
      <c r="BZ250" s="47"/>
      <c r="CA250" s="47"/>
    </row>
    <row r="251" spans="1:79" ht="15.75" outlineLevel="1" x14ac:dyDescent="0.25">
      <c r="A251" s="51" t="str" cm="1">
        <f t="array" ref="A251">INDEX(TariffCode, MATCH(1,(C251=TariffZone)*(D251=TariffProduct),0))</f>
        <v>GW</v>
      </c>
      <c r="B251" s="51"/>
      <c r="C251" s="150" t="s">
        <v>290</v>
      </c>
      <c r="D251" s="150" t="s">
        <v>301</v>
      </c>
      <c r="E251" s="150"/>
      <c r="F251" s="150"/>
      <c r="G251" s="150" t="s">
        <v>144</v>
      </c>
      <c r="H251" s="150"/>
      <c r="I251" s="150"/>
      <c r="J251" s="217"/>
      <c r="K251" s="150"/>
      <c r="L251" s="150" cm="1">
        <f t="array" ref="L251">IF(SUMPRODUCT($AC$236:$BL$255*($D$236:$D$255=$D251)*($C$236:$C$255=$C251))=0,0,SUM(AC251:BL251)/SUMPRODUCT($AC$236:$BL$255*($D$236:$D$255=$D251)*($C$236:$C$255=$C251)))</f>
        <v>0.18019932627395352</v>
      </c>
      <c r="M251" s="150"/>
      <c r="N251" s="150"/>
      <c r="O251" s="150"/>
      <c r="P251" s="150"/>
      <c r="Q251" s="150"/>
      <c r="R251" s="150"/>
      <c r="S251" s="150"/>
      <c r="T251" s="150"/>
      <c r="U251" s="150"/>
      <c r="V251" s="150"/>
      <c r="W251" s="150"/>
      <c r="X251" s="150"/>
      <c r="Y251" s="150"/>
      <c r="Z251" s="150"/>
      <c r="AA251" s="150"/>
      <c r="AB251" s="150"/>
      <c r="AC251" s="195">
        <v>2476599.3686818653</v>
      </c>
      <c r="AD251" s="195">
        <v>9446964.3962443676</v>
      </c>
      <c r="AE251" s="195">
        <v>9221366.795739999</v>
      </c>
      <c r="AF251" s="195">
        <v>9047986.1679366436</v>
      </c>
      <c r="AG251" s="195">
        <v>5880494.4646753361</v>
      </c>
      <c r="AH251" s="195">
        <v>7097452.6001373734</v>
      </c>
      <c r="AI251" s="195">
        <v>9632257.1001864336</v>
      </c>
      <c r="AJ251" s="195">
        <v>9632257.1001864336</v>
      </c>
      <c r="AK251" s="195">
        <v>4562648.1000883114</v>
      </c>
      <c r="AL251" s="195">
        <v>4562648.1000883114</v>
      </c>
      <c r="AM251" s="195">
        <v>7097452.6001373734</v>
      </c>
      <c r="AN251" s="195">
        <v>7097452.6001373734</v>
      </c>
      <c r="AO251" s="195">
        <v>7097452.6001373734</v>
      </c>
      <c r="AP251" s="195">
        <v>7097452.6001373734</v>
      </c>
      <c r="AQ251" s="195">
        <v>7097452.6001373734</v>
      </c>
      <c r="AR251" s="195">
        <v>7097452.6001373734</v>
      </c>
      <c r="AS251" s="195">
        <v>7097452.6001373734</v>
      </c>
      <c r="AT251" s="195">
        <v>7097452.6001373734</v>
      </c>
      <c r="AU251" s="195">
        <v>7097452.6001373734</v>
      </c>
      <c r="AV251" s="195">
        <v>7097452.6001373734</v>
      </c>
      <c r="AW251" s="195">
        <v>7097452.6001373734</v>
      </c>
      <c r="BV251" s="47"/>
      <c r="BW251" s="47"/>
      <c r="BX251" s="47"/>
      <c r="BY251" s="47"/>
      <c r="BZ251" s="47"/>
      <c r="CA251" s="47"/>
    </row>
    <row r="252" spans="1:79" ht="15.75" outlineLevel="1" x14ac:dyDescent="0.25">
      <c r="A252" s="51" t="str" cm="1">
        <f t="array" ref="A252">INDEX(TariffCode, MATCH(1,(C252=TariffZone)*(D252=TariffProduct),0))</f>
        <v>SS</v>
      </c>
      <c r="B252" s="51"/>
      <c r="C252" s="150" t="s">
        <v>287</v>
      </c>
      <c r="D252" s="150" t="s">
        <v>303</v>
      </c>
      <c r="E252" s="150"/>
      <c r="F252" s="150"/>
      <c r="G252" s="150" t="s">
        <v>144</v>
      </c>
      <c r="H252" s="150"/>
      <c r="I252" s="150"/>
      <c r="J252" s="217"/>
      <c r="K252" s="150"/>
      <c r="L252" s="150" cm="1">
        <f t="array" ref="L252">IF(SUMPRODUCT($AC$236:$BL$255*($D$236:$D$255=$D252)*($C$236:$C$255=$C252))=0,0,SUM(AC252:BL252)/SUMPRODUCT($AC$236:$BL$255*($D$236:$D$255=$D252)*($C$236:$C$255=$C252)))</f>
        <v>0.16512973738738862</v>
      </c>
      <c r="M252" s="150"/>
      <c r="N252" s="150"/>
      <c r="O252" s="150"/>
      <c r="P252" s="150"/>
      <c r="Q252" s="150"/>
      <c r="R252" s="150"/>
      <c r="S252" s="150"/>
      <c r="T252" s="150"/>
      <c r="U252" s="150"/>
      <c r="V252" s="150"/>
      <c r="W252" s="150"/>
      <c r="X252" s="150"/>
      <c r="Y252" s="150"/>
      <c r="Z252" s="150"/>
      <c r="AA252" s="150"/>
      <c r="AB252" s="150"/>
      <c r="AC252" s="195">
        <v>9776530.9151479024</v>
      </c>
      <c r="AD252" s="195">
        <v>12055236.562934771</v>
      </c>
      <c r="AE252" s="195">
        <v>11153799.387514574</v>
      </c>
      <c r="AF252" s="195">
        <v>10241210.490338936</v>
      </c>
      <c r="AG252" s="195">
        <v>7648751.463182278</v>
      </c>
      <c r="AH252" s="195">
        <v>5803634.5314779328</v>
      </c>
      <c r="AI252" s="195">
        <v>8023444.8297509067</v>
      </c>
      <c r="AJ252" s="195">
        <v>6913539.6806144193</v>
      </c>
      <c r="AK252" s="195">
        <v>6913539.6806144193</v>
      </c>
      <c r="AL252" s="195">
        <v>6913539.6806144193</v>
      </c>
      <c r="AM252" s="195">
        <v>6913539.6806144193</v>
      </c>
      <c r="AN252" s="195">
        <v>6913539.6806144193</v>
      </c>
      <c r="AO252" s="195">
        <v>6913539.6806144193</v>
      </c>
      <c r="AP252" s="195">
        <v>6913539.6806144193</v>
      </c>
      <c r="AQ252" s="195">
        <v>6913539.6806144193</v>
      </c>
      <c r="AR252" s="195">
        <v>6913539.6806144193</v>
      </c>
      <c r="AS252" s="195">
        <v>6913539.6806144193</v>
      </c>
      <c r="AT252" s="195">
        <v>6913539.6806144193</v>
      </c>
      <c r="AU252" s="195">
        <v>6913539.6806144193</v>
      </c>
      <c r="AV252" s="195">
        <v>6913539.6806144193</v>
      </c>
      <c r="AW252" s="195">
        <v>6913539.6806144193</v>
      </c>
      <c r="BV252" s="47"/>
      <c r="BW252" s="47"/>
      <c r="BX252" s="47"/>
      <c r="BY252" s="47"/>
      <c r="BZ252" s="47"/>
      <c r="CA252" s="47"/>
    </row>
    <row r="253" spans="1:79" ht="15.75" outlineLevel="1" x14ac:dyDescent="0.25">
      <c r="A253" s="51" t="str" cm="1">
        <f t="array" ref="A253">INDEX(TariffCode, MATCH(1,(C253=TariffZone)*(D253=TariffProduct),0))</f>
        <v>GS</v>
      </c>
      <c r="B253" s="51"/>
      <c r="C253" s="150" t="s">
        <v>290</v>
      </c>
      <c r="D253" s="150" t="s">
        <v>303</v>
      </c>
      <c r="E253" s="150"/>
      <c r="F253" s="150"/>
      <c r="G253" s="150" t="s">
        <v>144</v>
      </c>
      <c r="H253" s="150"/>
      <c r="I253" s="150"/>
      <c r="J253" s="217"/>
      <c r="K253" s="150"/>
      <c r="L253" s="150" cm="1">
        <f t="array" ref="L253">IF(SUMPRODUCT($AC$236:$BL$255*($D$236:$D$255=$D253)*($C$236:$C$255=$C253))=0,0,SUM(AC253:BL253)/SUMPRODUCT($AC$236:$BL$255*($D$236:$D$255=$D253)*($C$236:$C$255=$C253)))</f>
        <v>0.43688757159877811</v>
      </c>
      <c r="M253" s="150"/>
      <c r="N253" s="150"/>
      <c r="O253" s="150"/>
      <c r="P253" s="150"/>
      <c r="Q253" s="150"/>
      <c r="R253" s="150"/>
      <c r="S253" s="150"/>
      <c r="T253" s="150"/>
      <c r="U253" s="150"/>
      <c r="V253" s="150"/>
      <c r="W253" s="150"/>
      <c r="X253" s="150"/>
      <c r="Y253" s="150"/>
      <c r="Z253" s="150"/>
      <c r="AA253" s="150"/>
      <c r="AB253" s="150"/>
      <c r="AC253" s="195">
        <v>18089156.339603994</v>
      </c>
      <c r="AD253" s="195">
        <v>26598245.963087436</v>
      </c>
      <c r="AE253" s="195">
        <v>25008255.178052764</v>
      </c>
      <c r="AF253" s="195">
        <v>23549298.649511639</v>
      </c>
      <c r="AG253" s="195">
        <v>18224788.675767295</v>
      </c>
      <c r="AH253" s="195">
        <v>13349380.295434838</v>
      </c>
      <c r="AI253" s="195">
        <v>18689132.413608775</v>
      </c>
      <c r="AJ253" s="195">
        <v>16019256.354521804</v>
      </c>
      <c r="AK253" s="195">
        <v>16019256.354521804</v>
      </c>
      <c r="AL253" s="195">
        <v>16019256.354521804</v>
      </c>
      <c r="AM253" s="195">
        <v>16019256.354521804</v>
      </c>
      <c r="AN253" s="195">
        <v>16019256.354521804</v>
      </c>
      <c r="AO253" s="195">
        <v>16019256.354521804</v>
      </c>
      <c r="AP253" s="195">
        <v>16019256.354521804</v>
      </c>
      <c r="AQ253" s="195">
        <v>16019256.354521804</v>
      </c>
      <c r="AR253" s="195">
        <v>16019256.354521804</v>
      </c>
      <c r="AS253" s="195">
        <v>16019256.354521804</v>
      </c>
      <c r="AT253" s="195">
        <v>16019256.354521804</v>
      </c>
      <c r="AU253" s="195">
        <v>16019256.354521804</v>
      </c>
      <c r="AV253" s="195">
        <v>16019256.354521804</v>
      </c>
      <c r="AW253" s="195">
        <v>16019256.354521804</v>
      </c>
      <c r="BV253" s="47"/>
      <c r="BW253" s="47"/>
      <c r="BX253" s="47"/>
      <c r="BY253" s="47"/>
      <c r="BZ253" s="47"/>
      <c r="CA253" s="47"/>
    </row>
    <row r="254" spans="1:79" ht="15.75" outlineLevel="1" x14ac:dyDescent="0.25">
      <c r="A254" s="51" t="str" cm="1">
        <f t="array" ref="A254">INDEX(TariffCode, MATCH(1,(C254=TariffZone)*(D254=TariffProduct),0))</f>
        <v>WR</v>
      </c>
      <c r="B254" s="51"/>
      <c r="C254" s="150" t="s">
        <v>283</v>
      </c>
      <c r="D254" s="150" t="s">
        <v>310</v>
      </c>
      <c r="E254" s="150"/>
      <c r="F254" s="150"/>
      <c r="G254" s="150" t="s">
        <v>144</v>
      </c>
      <c r="H254" s="150"/>
      <c r="I254" s="150"/>
      <c r="J254" s="217"/>
      <c r="K254" s="150"/>
      <c r="L254" s="150" cm="1">
        <f t="array" ref="L254">IF(SUMPRODUCT($AC$236:$BL$255*($D$236:$D$255=$D254)*($C$236:$C$255=$C254))=0,0,SUM(AC254:BL254)/SUMPRODUCT($AC$236:$BL$255*($D$236:$D$255=$D254)*($C$236:$C$255=$C254)))</f>
        <v>0</v>
      </c>
      <c r="M254" s="150"/>
      <c r="N254" s="150"/>
      <c r="O254" s="150"/>
      <c r="P254" s="150"/>
      <c r="Q254" s="150"/>
      <c r="R254" s="150"/>
      <c r="S254" s="150"/>
      <c r="T254" s="150"/>
      <c r="U254" s="150"/>
      <c r="V254" s="150"/>
      <c r="W254" s="150"/>
      <c r="X254" s="150"/>
      <c r="Y254" s="150"/>
      <c r="Z254" s="150"/>
      <c r="AA254" s="150"/>
      <c r="AB254" s="150"/>
      <c r="AC254" s="195">
        <v>0</v>
      </c>
      <c r="AD254" s="195">
        <v>0</v>
      </c>
      <c r="AE254" s="195">
        <v>0</v>
      </c>
      <c r="AF254" s="195">
        <v>0</v>
      </c>
      <c r="AG254" s="195">
        <v>0</v>
      </c>
      <c r="AH254" s="195">
        <v>0</v>
      </c>
      <c r="AI254" s="195">
        <v>0</v>
      </c>
      <c r="AJ254" s="195">
        <v>0</v>
      </c>
      <c r="AK254" s="195">
        <v>0</v>
      </c>
      <c r="AL254" s="195">
        <v>0</v>
      </c>
      <c r="AM254" s="195">
        <v>0</v>
      </c>
      <c r="AN254" s="195">
        <v>0</v>
      </c>
      <c r="AO254" s="195">
        <v>0</v>
      </c>
      <c r="AP254" s="195">
        <v>0</v>
      </c>
      <c r="AQ254" s="195">
        <v>0</v>
      </c>
      <c r="AR254" s="195">
        <v>0</v>
      </c>
      <c r="AS254" s="195">
        <v>0</v>
      </c>
      <c r="AT254" s="195">
        <v>0</v>
      </c>
      <c r="AU254" s="195">
        <v>0</v>
      </c>
      <c r="AV254" s="195">
        <v>0</v>
      </c>
      <c r="AW254" s="195">
        <v>0</v>
      </c>
      <c r="BV254" s="47"/>
      <c r="BW254" s="47"/>
      <c r="BX254" s="47"/>
      <c r="BY254" s="47"/>
      <c r="BZ254" s="47"/>
      <c r="CA254" s="47"/>
    </row>
    <row r="255" spans="1:79" ht="15.75" outlineLevel="1" x14ac:dyDescent="0.25">
      <c r="A255" s="51" t="str" cm="1">
        <f t="array" ref="A255">INDEX(TariffCode, MATCH(1,(C255=TariffZone)*(D255=TariffProduct),0))</f>
        <v>GR</v>
      </c>
      <c r="B255" s="51"/>
      <c r="C255" s="150" t="s">
        <v>312</v>
      </c>
      <c r="D255" s="150" t="s">
        <v>310</v>
      </c>
      <c r="E255" s="150"/>
      <c r="F255" s="150"/>
      <c r="G255" s="150" t="s">
        <v>144</v>
      </c>
      <c r="H255" s="150"/>
      <c r="I255" s="150"/>
      <c r="J255" s="217"/>
      <c r="K255" s="150"/>
      <c r="L255" s="150" cm="1">
        <f t="array" ref="L255">IF(SUMPRODUCT($AC$236:$BL$255*($D$236:$D$255=$D255)*($C$236:$C$255=$C255))=0,0,SUM(AC255:BL255)/SUMPRODUCT($AC$236:$BL$255*($D$236:$D$255=$D255)*($C$236:$C$255=$C255)))</f>
        <v>0</v>
      </c>
      <c r="M255" s="150"/>
      <c r="N255" s="150"/>
      <c r="O255" s="150"/>
      <c r="P255" s="150"/>
      <c r="Q255" s="150"/>
      <c r="R255" s="150"/>
      <c r="S255" s="150"/>
      <c r="T255" s="150"/>
      <c r="U255" s="150"/>
      <c r="V255" s="150"/>
      <c r="W255" s="150"/>
      <c r="X255" s="150"/>
      <c r="Y255" s="150"/>
      <c r="Z255" s="150"/>
      <c r="AA255" s="150"/>
      <c r="AB255" s="150"/>
      <c r="AC255" s="195">
        <v>0</v>
      </c>
      <c r="AD255" s="195">
        <v>0</v>
      </c>
      <c r="AE255" s="195">
        <v>0</v>
      </c>
      <c r="AF255" s="195">
        <v>0</v>
      </c>
      <c r="AG255" s="195">
        <v>0</v>
      </c>
      <c r="AH255" s="195">
        <v>0</v>
      </c>
      <c r="AI255" s="195">
        <v>0</v>
      </c>
      <c r="AJ255" s="195">
        <v>0</v>
      </c>
      <c r="AK255" s="195">
        <v>0</v>
      </c>
      <c r="AL255" s="195">
        <v>0</v>
      </c>
      <c r="AM255" s="195">
        <v>0</v>
      </c>
      <c r="AN255" s="195">
        <v>0</v>
      </c>
      <c r="AO255" s="195">
        <v>0</v>
      </c>
      <c r="AP255" s="195">
        <v>0</v>
      </c>
      <c r="AQ255" s="195">
        <v>0</v>
      </c>
      <c r="AR255" s="195">
        <v>0</v>
      </c>
      <c r="AS255" s="195">
        <v>0</v>
      </c>
      <c r="AT255" s="195">
        <v>0</v>
      </c>
      <c r="AU255" s="195">
        <v>0</v>
      </c>
      <c r="AV255" s="195">
        <v>0</v>
      </c>
      <c r="AW255" s="195">
        <v>0</v>
      </c>
      <c r="BV255" s="47"/>
      <c r="BW255" s="47"/>
      <c r="BX255" s="47"/>
      <c r="BY255" s="47"/>
      <c r="BZ255" s="47"/>
      <c r="CA255" s="47"/>
    </row>
    <row r="256" spans="1:79" ht="15.75" outlineLevel="1" x14ac:dyDescent="0.25">
      <c r="A256" s="150"/>
      <c r="B256" s="150"/>
      <c r="C256" s="150"/>
      <c r="D256" s="150"/>
      <c r="E256" s="150"/>
      <c r="F256" s="150"/>
      <c r="G256" s="150"/>
      <c r="H256" s="150"/>
      <c r="I256" s="150"/>
      <c r="J256" s="150"/>
      <c r="K256" s="150"/>
      <c r="L256" s="150"/>
      <c r="M256" s="150"/>
      <c r="N256" s="150"/>
      <c r="O256" s="150"/>
      <c r="P256" s="150"/>
      <c r="Q256" s="150"/>
      <c r="R256" s="150"/>
      <c r="S256" s="150"/>
      <c r="T256" s="150"/>
      <c r="U256" s="150"/>
      <c r="V256" s="150"/>
      <c r="W256" s="150"/>
      <c r="X256" s="150"/>
      <c r="Y256" s="150"/>
      <c r="Z256" s="150"/>
      <c r="AA256" s="150"/>
      <c r="AB256" s="150"/>
      <c r="AC256" s="150"/>
      <c r="AD256" s="150"/>
      <c r="AE256" s="150"/>
      <c r="AF256" s="150"/>
      <c r="AG256" s="150"/>
      <c r="AH256" s="150"/>
      <c r="AI256" s="150"/>
      <c r="AJ256" s="150"/>
      <c r="AK256" s="150"/>
      <c r="AL256" s="150"/>
      <c r="AM256" s="150"/>
      <c r="AN256" s="150"/>
      <c r="AO256" s="150"/>
      <c r="AP256" s="150"/>
      <c r="AQ256" s="150"/>
      <c r="AR256" s="150"/>
      <c r="AS256" s="150"/>
      <c r="AT256" s="150"/>
      <c r="AU256" s="150"/>
      <c r="AV256" s="150"/>
      <c r="AW256" s="150"/>
      <c r="BV256" s="47"/>
      <c r="BW256" s="47"/>
      <c r="BX256" s="47"/>
      <c r="BY256" s="47"/>
      <c r="BZ256" s="47"/>
      <c r="CA256" s="47"/>
    </row>
    <row r="257" spans="1:79" ht="15.75" outlineLevel="1" x14ac:dyDescent="0.25">
      <c r="A257" s="150"/>
      <c r="B257" s="150"/>
      <c r="C257" s="83" t="s">
        <v>621</v>
      </c>
      <c r="D257" s="150" t="s">
        <v>44</v>
      </c>
      <c r="E257" s="150"/>
      <c r="F257" s="150"/>
      <c r="G257" s="150"/>
      <c r="H257" s="150"/>
      <c r="I257" s="150"/>
      <c r="J257" s="150"/>
      <c r="K257" s="150"/>
      <c r="L257" s="150"/>
      <c r="M257" s="150"/>
      <c r="N257" s="150"/>
      <c r="O257" s="150"/>
      <c r="P257" s="150"/>
      <c r="Q257" s="150"/>
      <c r="R257" s="150"/>
      <c r="S257" s="150"/>
      <c r="T257" s="150"/>
      <c r="U257" s="150"/>
      <c r="V257" s="150"/>
      <c r="W257" s="150"/>
      <c r="X257" s="150"/>
      <c r="Y257" s="150"/>
      <c r="Z257" s="150"/>
      <c r="AA257" s="150"/>
      <c r="AB257" s="150"/>
      <c r="AC257" s="218">
        <f>SUM(AC236:AC255)+SUM(AC211:AC228)*DASH!$E$8</f>
        <v>132255169.11586241</v>
      </c>
      <c r="AD257" s="218">
        <f>SUM(AD236:AD255)+SUM(AD211:AD228)*DASH!$E$8</f>
        <v>159151168.0272705</v>
      </c>
      <c r="AE257" s="218">
        <f>SUM(AE236:AE255)+SUM(AE211:AE228)*DASH!$E$8</f>
        <v>143239611.23775452</v>
      </c>
      <c r="AF257" s="218">
        <f>SUM(AF236:AF255)+SUM(AF211:AF228)*DASH!$E$8</f>
        <v>171320836.8148995</v>
      </c>
      <c r="AG257" s="218">
        <f>SUM(AG236:AG255)+SUM(AG211:AG228)*DASH!$E$8</f>
        <v>147720324.47561094</v>
      </c>
      <c r="AH257" s="218">
        <f>SUM(AH236:AH255)+SUM(AH211:AH228)*DASH!$E$8</f>
        <v>173852963.71758467</v>
      </c>
      <c r="AI257" s="218">
        <f>SUM(AI236:AI255)+SUM(AI211:AI228)*DASH!$E$8</f>
        <v>199160938.65615398</v>
      </c>
      <c r="AJ257" s="218">
        <f>SUM(AJ236:AJ255)+SUM(AJ211:AJ228)*DASH!$E$8</f>
        <v>206032115.00869638</v>
      </c>
      <c r="AK257" s="218">
        <f>SUM(AK236:AK255)+SUM(AK211:AK228)*DASH!$E$8</f>
        <v>222350786.62716052</v>
      </c>
      <c r="AL257" s="218">
        <f>SUM(AL236:AL255)+SUM(AL211:AL228)*DASH!$E$8</f>
        <v>165305363.47040713</v>
      </c>
      <c r="AM257" s="218">
        <f>SUM(AM236:AM255)+SUM(AM211:AM228)*DASH!$E$8</f>
        <v>193340433.49600056</v>
      </c>
      <c r="AN257" s="218">
        <f>SUM(AN236:AN255)+SUM(AN211:AN228)*DASH!$E$8</f>
        <v>193340433.49600056</v>
      </c>
      <c r="AO257" s="218">
        <f>SUM(AO236:AO255)+SUM(AO211:AO228)*DASH!$E$8</f>
        <v>193340433.49600056</v>
      </c>
      <c r="AP257" s="218">
        <f>SUM(AP236:AP255)+SUM(AP211:AP228)*DASH!$E$8</f>
        <v>193340433.49600056</v>
      </c>
      <c r="AQ257" s="218">
        <f>SUM(AQ236:AQ255)+SUM(AQ211:AQ228)*DASH!$E$8</f>
        <v>193340433.49600056</v>
      </c>
      <c r="AR257" s="218">
        <f>SUM(AR236:AR255)+SUM(AR211:AR228)*DASH!$E$8</f>
        <v>193340433.49600056</v>
      </c>
      <c r="AS257" s="218">
        <f>SUM(AS236:AS255)+SUM(AS211:AS228)*DASH!$E$8</f>
        <v>193340433.49600056</v>
      </c>
      <c r="AT257" s="218">
        <f>SUM(AT236:AT255)+SUM(AT211:AT228)*DASH!$E$8</f>
        <v>193340433.49600056</v>
      </c>
      <c r="AU257" s="218">
        <f>SUM(AU236:AU255)+SUM(AU211:AU228)*DASH!$E$8</f>
        <v>193340433.49600056</v>
      </c>
      <c r="AV257" s="218">
        <f>SUM(AV236:AV255)+SUM(AV211:AV228)*DASH!$E$8</f>
        <v>193340433.49600056</v>
      </c>
      <c r="AW257" s="218">
        <f>SUM(AW236:AW255)+SUM(AW211:AW228)*DASH!$E$8</f>
        <v>193340433.49600056</v>
      </c>
      <c r="BV257" s="47"/>
      <c r="BW257" s="47"/>
      <c r="BX257" s="47"/>
      <c r="BY257" s="47"/>
      <c r="BZ257" s="47"/>
      <c r="CA257" s="47"/>
    </row>
    <row r="258" spans="1:79" ht="15.75" outlineLevel="1" x14ac:dyDescent="0.25">
      <c r="A258" s="150"/>
      <c r="B258" s="150"/>
      <c r="C258" s="150"/>
      <c r="D258" s="150"/>
      <c r="E258" s="150"/>
      <c r="F258" s="150"/>
      <c r="G258" s="150"/>
      <c r="H258" s="150"/>
      <c r="I258" s="150"/>
      <c r="J258" s="150"/>
      <c r="K258" s="150"/>
      <c r="L258" s="150"/>
      <c r="M258" s="150"/>
      <c r="N258" s="150"/>
      <c r="O258" s="150"/>
      <c r="P258" s="150"/>
      <c r="Q258" s="150"/>
      <c r="R258" s="150"/>
      <c r="S258" s="150"/>
      <c r="T258" s="150"/>
      <c r="U258" s="150"/>
      <c r="V258" s="150"/>
      <c r="W258" s="150"/>
      <c r="X258" s="150"/>
      <c r="Y258" s="150"/>
      <c r="Z258" s="150"/>
      <c r="AA258" s="150"/>
      <c r="AB258" s="150"/>
      <c r="AC258" s="150"/>
      <c r="AD258" s="150"/>
      <c r="AE258" s="150"/>
      <c r="AF258" s="150"/>
      <c r="AG258" s="150"/>
      <c r="AH258" s="150"/>
      <c r="AI258" s="150"/>
      <c r="AJ258" s="150"/>
      <c r="AK258" s="150"/>
      <c r="AL258" s="150"/>
      <c r="AM258" s="150"/>
      <c r="AN258" s="150"/>
      <c r="AO258" s="150"/>
      <c r="AP258" s="150"/>
      <c r="AQ258" s="150"/>
      <c r="AR258" s="150"/>
      <c r="AS258" s="150"/>
      <c r="AT258" s="150"/>
      <c r="AU258" s="150"/>
      <c r="AV258" s="150"/>
      <c r="AW258" s="150"/>
      <c r="BV258" s="47"/>
      <c r="BW258" s="47"/>
      <c r="BX258" s="47"/>
      <c r="BY258" s="47"/>
      <c r="BZ258" s="47"/>
      <c r="CA258" s="47"/>
    </row>
    <row r="259" spans="1:79" ht="15.75" outlineLevel="1" x14ac:dyDescent="0.25">
      <c r="A259" s="150"/>
      <c r="B259" s="150"/>
      <c r="C259" s="150"/>
      <c r="D259" s="150"/>
      <c r="E259" s="150"/>
      <c r="F259" s="150"/>
      <c r="G259" s="150"/>
      <c r="H259" s="150"/>
      <c r="I259" s="150"/>
      <c r="J259" s="150"/>
      <c r="K259" s="150"/>
      <c r="L259" s="150"/>
      <c r="M259" s="150"/>
      <c r="N259" s="150"/>
      <c r="O259" s="150"/>
      <c r="P259" s="150"/>
      <c r="Q259" s="150"/>
      <c r="R259" s="150"/>
      <c r="S259" s="150"/>
      <c r="T259" s="150"/>
      <c r="U259" s="150"/>
      <c r="V259" s="150"/>
      <c r="W259" s="150"/>
      <c r="X259" s="150"/>
      <c r="Y259" s="150"/>
      <c r="Z259" s="150"/>
      <c r="AA259" s="150"/>
      <c r="AB259" s="150"/>
      <c r="AC259" s="150"/>
      <c r="AD259" s="150"/>
      <c r="AE259" s="150"/>
      <c r="AF259" s="150"/>
      <c r="AG259" s="150"/>
      <c r="AH259" s="150"/>
      <c r="AI259" s="150"/>
      <c r="AJ259" s="150"/>
      <c r="AK259" s="150"/>
      <c r="AL259" s="150"/>
      <c r="AM259" s="150"/>
      <c r="AN259" s="150"/>
      <c r="AO259" s="150"/>
      <c r="AP259" s="150"/>
      <c r="AQ259" s="150"/>
      <c r="AR259" s="150"/>
      <c r="AS259" s="150"/>
      <c r="AT259" s="150"/>
      <c r="AU259" s="150"/>
      <c r="AV259" s="150"/>
      <c r="AW259" s="150"/>
      <c r="BV259" s="47"/>
      <c r="BW259" s="47"/>
      <c r="BX259" s="47"/>
      <c r="BY259" s="47"/>
      <c r="BZ259" s="47"/>
      <c r="CA259" s="47"/>
    </row>
    <row r="260" spans="1:79" ht="15.75" outlineLevel="1" x14ac:dyDescent="0.25">
      <c r="A260" s="150"/>
      <c r="B260" s="150"/>
      <c r="C260" s="150"/>
      <c r="D260" s="64" t="s">
        <v>622</v>
      </c>
      <c r="E260" s="150"/>
      <c r="F260" s="150"/>
      <c r="G260" s="150"/>
      <c r="H260" s="150"/>
      <c r="I260" s="150"/>
      <c r="J260" s="150"/>
      <c r="K260" s="150"/>
      <c r="L260" s="150"/>
      <c r="M260" s="150"/>
      <c r="N260" s="150"/>
      <c r="O260" s="150"/>
      <c r="P260" s="150"/>
      <c r="Q260" s="150"/>
      <c r="R260" s="150"/>
      <c r="S260" s="150"/>
      <c r="T260" s="150"/>
      <c r="U260" s="150"/>
      <c r="V260" s="150"/>
      <c r="W260" s="150"/>
      <c r="X260" s="150"/>
      <c r="Y260" s="150"/>
      <c r="Z260" s="150"/>
      <c r="AA260" s="150"/>
      <c r="AB260" s="150"/>
      <c r="AC260" s="219">
        <f>(SUM(AC236:AC255)+SUM(AC211:AC228))*IF(AC$4=0,DASH!$E$8,1)</f>
        <v>0</v>
      </c>
      <c r="AD260" s="219">
        <f>(SUM(AD236:AD255)+SUM(AD211:AD228))*IF(AD$4=0,DASH!$E$8,1)</f>
        <v>159151168.0272705</v>
      </c>
      <c r="AE260" s="219">
        <f>(SUM(AE236:AE255)+SUM(AE211:AE228))*IF(AE$4=0,DASH!$E$8,1)</f>
        <v>143239611.23775452</v>
      </c>
      <c r="AF260" s="219">
        <f>(SUM(AF236:AF255)+SUM(AF211:AF228))*IF(AF$4=0,DASH!$E$8,1)</f>
        <v>171320836.8148995</v>
      </c>
      <c r="AG260" s="219">
        <f>(SUM(AG236:AG255)+SUM(AG211:AG228))*IF(AG$4=0,DASH!$E$8,1)</f>
        <v>147720324.47561094</v>
      </c>
      <c r="AH260" s="219">
        <f>(SUM(AH236:AH255)+SUM(AH211:AH228))*IF(AH$4=0,DASH!$E$8,1)</f>
        <v>173852963.71758467</v>
      </c>
      <c r="AI260" s="219">
        <f>(SUM(AI236:AI255)+SUM(AI211:AI228))*IF(AI$4=0,DASH!$E$8,1)</f>
        <v>199160938.65615398</v>
      </c>
      <c r="AJ260" s="219">
        <f>(SUM(AJ236:AJ255)+SUM(AJ211:AJ228))*IF(AJ$4=0,DASH!$E$8,1)</f>
        <v>206032115.00869638</v>
      </c>
      <c r="AK260" s="219">
        <f>(SUM(AK236:AK255)+SUM(AK211:AK228))*IF(AK$4=0,DASH!$E$8,1)</f>
        <v>222350786.62716052</v>
      </c>
      <c r="AL260" s="219">
        <f>(SUM(AL236:AL255)+SUM(AL211:AL228))*IF(AL$4=0,DASH!$E$8,1)</f>
        <v>165305363.47040713</v>
      </c>
      <c r="AM260" s="219">
        <f>(SUM(AM236:AM255)+SUM(AM211:AM228))*IF(AM$4=0,DASH!$E$8,1)</f>
        <v>193340433.49600056</v>
      </c>
      <c r="AN260" s="219">
        <f>(SUM(AN236:AN255)+SUM(AN211:AN228))*IF(AN$4=0,DASH!$E$8,1)</f>
        <v>193340433.49600056</v>
      </c>
      <c r="AO260" s="219">
        <f>(SUM(AO236:AO255)+SUM(AO211:AO228))*IF(AO$4=0,DASH!$E$8,1)</f>
        <v>193340433.49600056</v>
      </c>
      <c r="AP260" s="219">
        <f>(SUM(AP236:AP255)+SUM(AP211:AP228))*IF(AP$4=0,DASH!$E$8,1)</f>
        <v>193340433.49600056</v>
      </c>
      <c r="AQ260" s="219">
        <f>(SUM(AQ236:AQ255)+SUM(AQ211:AQ228))*IF(AQ$4=0,DASH!$E$8,1)</f>
        <v>193340433.49600056</v>
      </c>
      <c r="AR260" s="219">
        <f>(SUM(AR236:AR255)+SUM(AR211:AR228))*IF(AR$4=0,DASH!$E$8,1)</f>
        <v>193340433.49600056</v>
      </c>
      <c r="AS260" s="219">
        <f>(SUM(AS236:AS255)+SUM(AS211:AS228))*IF(AS$4=0,DASH!$E$8,1)</f>
        <v>193340433.49600056</v>
      </c>
      <c r="AT260" s="219">
        <f>(SUM(AT236:AT255)+SUM(AT211:AT228))*IF(AT$4=0,DASH!$E$8,1)</f>
        <v>193340433.49600056</v>
      </c>
      <c r="AU260" s="219">
        <f>(SUM(AU236:AU255)+SUM(AU211:AU228))*IF(AU$4=0,DASH!$E$8,1)</f>
        <v>193340433.49600056</v>
      </c>
      <c r="AV260" s="219">
        <f>(SUM(AV236:AV255)+SUM(AV211:AV228))*IF(AV$4=0,DASH!$E$8,1)</f>
        <v>193340433.49600056</v>
      </c>
      <c r="AW260" s="219">
        <f>(SUM(AW236:AW255)+SUM(AW211:AW228))*IF(AW$4=0,DASH!$E$8,1)</f>
        <v>193340433.49600056</v>
      </c>
      <c r="BV260" s="47"/>
      <c r="BW260" s="47"/>
      <c r="BX260" s="47"/>
      <c r="BY260" s="47"/>
      <c r="BZ260" s="47"/>
      <c r="CA260" s="47"/>
    </row>
    <row r="261" spans="1:79" ht="15.75" outlineLevel="1" x14ac:dyDescent="0.25">
      <c r="A261" s="150"/>
      <c r="B261" s="150"/>
      <c r="C261" s="150"/>
      <c r="D261" s="83" t="s">
        <v>623</v>
      </c>
      <c r="E261" s="150"/>
      <c r="F261" s="150"/>
      <c r="G261" s="150"/>
      <c r="H261" s="150"/>
      <c r="I261" s="150"/>
      <c r="J261" s="150"/>
      <c r="K261" s="150"/>
      <c r="L261" s="150"/>
      <c r="M261" s="150"/>
      <c r="N261" s="150"/>
      <c r="O261" s="150"/>
      <c r="P261" s="150"/>
      <c r="Q261" s="150"/>
      <c r="R261" s="150"/>
      <c r="S261" s="150"/>
      <c r="T261" s="150"/>
      <c r="U261" s="150"/>
      <c r="V261" s="150"/>
      <c r="W261" s="150"/>
      <c r="X261" s="150"/>
      <c r="Y261" s="150"/>
      <c r="Z261" s="150"/>
      <c r="AA261" s="150"/>
      <c r="AB261" s="150"/>
      <c r="AC261" s="93">
        <f>'INPUT Capex'!AC260-(SW!G26+SS!G26+GW!G26+GS!G26+GR!G26+WR!G26)</f>
        <v>0</v>
      </c>
      <c r="AD261" s="93">
        <f>AD260-(SW!H26+SS!H26+GW!H26+GS!H26+GR!H26+WR!H26)</f>
        <v>0</v>
      </c>
      <c r="AE261" s="93">
        <f>AE260-(SW!I26+SS!I26+GW!I26+GS!I26+GR!I26+WR!I26)</f>
        <v>0</v>
      </c>
      <c r="AF261" s="93">
        <f>AF260-(SW!J26+SS!J26+GW!J26+GS!J26+GR!J26+WR!J26)</f>
        <v>0</v>
      </c>
      <c r="AG261" s="93">
        <f>AG260-(SW!K26+SS!K26+GW!K26+GS!K26+GR!K26+WR!K26)</f>
        <v>0</v>
      </c>
      <c r="AH261" s="93">
        <f>AH260-(SW!L26+SS!L26+GW!L26+GS!L26+GR!L26+WR!L26)</f>
        <v>0</v>
      </c>
      <c r="AI261" s="93">
        <f>AI260-(SW!M26+SS!M26+GW!M26+GS!M26+GR!M26+WR!M26)</f>
        <v>0</v>
      </c>
      <c r="AJ261" s="93">
        <f>AJ260-(SW!N26+SS!N26+GW!N26+GS!N26+GR!N26+WR!N26)</f>
        <v>0</v>
      </c>
      <c r="AK261" s="93">
        <f>AK260-(SW!O26+SS!O26+GW!O26+GS!O26+GR!O26+WR!O26)</f>
        <v>0</v>
      </c>
      <c r="AL261" s="93">
        <f>AL260-(SW!P26+SS!P26+GW!P26+GS!P26+GR!P26+WR!P26)</f>
        <v>0</v>
      </c>
      <c r="AM261" s="93">
        <f>AM260-(SW!Q26+SS!Q26+GW!Q26+GS!Q26+GR!Q26+WR!Q26)</f>
        <v>0</v>
      </c>
      <c r="AN261" s="93">
        <f>AN260-(SW!R26+SS!R26+GW!R26+GS!R26+GR!R26+WR!R26)</f>
        <v>0</v>
      </c>
      <c r="AO261" s="93">
        <f>AO260-(SW!S26+SS!S26+GW!S26+GS!S26+GR!S26+WR!S26)</f>
        <v>0</v>
      </c>
      <c r="AP261" s="93">
        <f>AP260-(SW!T26+SS!T26+GW!T26+GS!T26+GR!T26+WR!T26)</f>
        <v>0</v>
      </c>
      <c r="AQ261" s="93">
        <f>AQ260-(SW!U26+SS!U26+GW!U26+GS!U26+GR!U26+WR!U26)</f>
        <v>0</v>
      </c>
      <c r="AR261" s="93">
        <f>AR260-(SW!V26+SS!V26+GW!V26+GS!V26+GR!V26+WR!V26)</f>
        <v>0</v>
      </c>
      <c r="AS261" s="93">
        <f>AS260-(SW!W26+SS!W26+GW!W26+GS!W26+GR!W26+WR!W26)</f>
        <v>0</v>
      </c>
      <c r="AT261" s="93">
        <f>AT260-(SW!X26+SS!X26+GW!X26+GS!X26+GR!X26+WR!X26)</f>
        <v>0</v>
      </c>
      <c r="AU261" s="93">
        <f>AU260-(SW!Y26+SS!Y26+GW!Y26+GS!Y26+GR!Y26+WR!Y26)</f>
        <v>0</v>
      </c>
      <c r="AV261" s="93">
        <f>AV260-(SW!Z26+SS!Z26+GW!Z26+GS!Z26+GR!Z26+WR!Z26)</f>
        <v>0</v>
      </c>
      <c r="AW261" s="93">
        <f>AW260-(SW!AA26+SS!AA26+GW!AA26+GS!AA26+GR!AA26+WR!AA26)</f>
        <v>0</v>
      </c>
      <c r="BV261" s="47"/>
      <c r="BW261" s="47"/>
      <c r="BX261" s="47"/>
      <c r="BY261" s="47"/>
      <c r="BZ261" s="47"/>
      <c r="CA261" s="47"/>
    </row>
    <row r="262" spans="1:79" ht="15.75" outlineLevel="1" x14ac:dyDescent="0.25">
      <c r="A262" s="150"/>
      <c r="B262" s="150"/>
      <c r="C262" s="150"/>
      <c r="D262" s="83" t="s">
        <v>624</v>
      </c>
      <c r="E262" s="150"/>
      <c r="F262" s="150"/>
      <c r="G262" s="150"/>
      <c r="H262" s="150"/>
      <c r="I262" s="150"/>
      <c r="J262" s="150"/>
      <c r="K262" s="150"/>
      <c r="L262" s="150"/>
      <c r="M262" s="150"/>
      <c r="N262" s="150"/>
      <c r="O262" s="150"/>
      <c r="P262" s="150"/>
      <c r="Q262" s="150"/>
      <c r="R262" s="150"/>
      <c r="S262" s="150"/>
      <c r="T262" s="150"/>
      <c r="U262" s="150"/>
      <c r="V262" s="150"/>
      <c r="W262" s="150"/>
      <c r="X262" s="150"/>
      <c r="Y262" s="150"/>
      <c r="Z262" s="150"/>
      <c r="AA262" s="150"/>
      <c r="AB262" s="150"/>
      <c r="AC262" s="94">
        <f>AC260-(SA!G26+GA!G26+GR!G26+WR!G26)</f>
        <v>0</v>
      </c>
      <c r="AD262" s="94">
        <f>AD260-(SA!H26+GA!H26+GR!H26+WR!H26)</f>
        <v>0</v>
      </c>
      <c r="AE262" s="94">
        <f>AE260-(SA!I26+GA!I26+GR!I26+WR!I26)</f>
        <v>0</v>
      </c>
      <c r="AF262" s="94">
        <f>AF260-(SA!J26+GA!J26+GR!J26+WR!J26)</f>
        <v>0</v>
      </c>
      <c r="AG262" s="94">
        <f>AG260-(SA!K26+GA!K26+GR!K26+WR!K26)</f>
        <v>0</v>
      </c>
      <c r="AH262" s="94">
        <f>AH260-(SA!L26+GA!L26+GR!L26+WR!L26)</f>
        <v>0</v>
      </c>
      <c r="AI262" s="94">
        <f>AI260-(SA!M26+GA!M26+GR!M26+WR!M26)</f>
        <v>0</v>
      </c>
      <c r="AJ262" s="94">
        <f>AJ260-(SA!N26+GA!N26+GR!N26+WR!N26)</f>
        <v>0</v>
      </c>
      <c r="AK262" s="94">
        <f>AK260-(SA!O26+GA!O26+GR!O26+WR!O26)</f>
        <v>0</v>
      </c>
      <c r="AL262" s="94">
        <f>AL260-(SA!P26+GA!P26+GR!P26+WR!P26)</f>
        <v>0</v>
      </c>
      <c r="AM262" s="94">
        <f>AM260-(SA!Q26+GA!Q26+GR!Q26+WR!Q26)</f>
        <v>0</v>
      </c>
      <c r="AN262" s="94">
        <f>AN260-(SA!R26+GA!R26+GR!R26+WR!R26)</f>
        <v>0</v>
      </c>
      <c r="AO262" s="94">
        <f>AO260-(SA!S26+GA!S26+GR!S26+WR!S26)</f>
        <v>0</v>
      </c>
      <c r="AP262" s="94">
        <f>AP260-(SA!T26+GA!T26+GR!T26+WR!T26)</f>
        <v>0</v>
      </c>
      <c r="AQ262" s="94">
        <f>AQ260-(SA!U26+GA!U26+GR!U26+WR!U26)</f>
        <v>0</v>
      </c>
      <c r="AR262" s="94">
        <f>AR260-(SA!V26+GA!V26+GR!V26+WR!V26)</f>
        <v>0</v>
      </c>
      <c r="AS262" s="94">
        <f>AS260-(SA!W26+GA!W26+GR!W26+WR!W26)</f>
        <v>0</v>
      </c>
      <c r="AT262" s="94">
        <f>AT260-(SA!X26+GA!X26+GR!X26+WR!X26)</f>
        <v>0</v>
      </c>
      <c r="AU262" s="94">
        <f>AU260-(SA!Y26+GA!Y26+GR!Y26+WR!Y26)</f>
        <v>0</v>
      </c>
      <c r="AV262" s="94">
        <f>AV260-(SA!Z26+GA!Z26+GR!Z26+WR!Z26)</f>
        <v>0</v>
      </c>
      <c r="AW262" s="94">
        <f>AW260-(SA!AA26+GA!AA26+GR!AA26+WR!AA26)</f>
        <v>0</v>
      </c>
      <c r="BV262" s="47"/>
      <c r="BW262" s="47"/>
      <c r="BX262" s="47"/>
      <c r="BY262" s="47"/>
      <c r="BZ262" s="47"/>
      <c r="CA262" s="47"/>
    </row>
    <row r="263" spans="1:79" ht="15.75" outlineLevel="1" x14ac:dyDescent="0.25">
      <c r="A263" s="150"/>
      <c r="B263" s="150"/>
      <c r="C263" s="150"/>
      <c r="D263" s="83"/>
      <c r="E263" s="150"/>
      <c r="F263" s="150"/>
      <c r="G263" s="150"/>
      <c r="H263" s="150"/>
      <c r="I263" s="150"/>
      <c r="J263" s="150"/>
      <c r="K263" s="150"/>
      <c r="L263" s="150"/>
      <c r="M263" s="150"/>
      <c r="N263" s="150"/>
      <c r="O263" s="150"/>
      <c r="P263" s="150"/>
      <c r="Q263" s="150"/>
      <c r="R263" s="150"/>
      <c r="S263" s="150"/>
      <c r="T263" s="150"/>
      <c r="U263" s="150"/>
      <c r="V263" s="150"/>
      <c r="W263" s="150"/>
      <c r="X263" s="150"/>
      <c r="Y263" s="150"/>
      <c r="Z263" s="150"/>
      <c r="AA263" s="150"/>
      <c r="AB263" s="150"/>
      <c r="AC263" s="94"/>
      <c r="AD263" s="94"/>
      <c r="AE263" s="94"/>
      <c r="AF263" s="94"/>
      <c r="AG263" s="94"/>
      <c r="AH263" s="94"/>
      <c r="AI263" s="94"/>
      <c r="AJ263" s="94"/>
      <c r="AK263" s="94"/>
      <c r="AL263" s="94"/>
      <c r="AM263" s="94"/>
      <c r="AN263" s="94"/>
      <c r="AO263" s="94"/>
      <c r="AP263" s="94"/>
      <c r="AQ263" s="94"/>
      <c r="AR263" s="94"/>
      <c r="AS263" s="94"/>
      <c r="AT263" s="94"/>
      <c r="AU263" s="94"/>
      <c r="AV263" s="94"/>
      <c r="AW263" s="94"/>
      <c r="BV263" s="47"/>
      <c r="BW263" s="47"/>
      <c r="BX263" s="47"/>
      <c r="BY263" s="47"/>
      <c r="BZ263" s="47"/>
      <c r="CA263" s="47"/>
    </row>
    <row r="264" spans="1:79" ht="15.75" x14ac:dyDescent="0.25">
      <c r="A264" s="150"/>
      <c r="B264" s="150"/>
      <c r="C264" s="150"/>
      <c r="D264" s="83"/>
      <c r="E264" s="150"/>
      <c r="F264" s="150"/>
      <c r="G264" s="150"/>
      <c r="H264" s="150"/>
      <c r="I264" s="150"/>
      <c r="J264" s="150"/>
      <c r="K264" s="150"/>
      <c r="L264" s="150"/>
      <c r="M264" s="150"/>
      <c r="N264" s="150"/>
      <c r="O264" s="150"/>
      <c r="P264" s="150"/>
      <c r="Q264" s="150"/>
      <c r="R264" s="150"/>
      <c r="S264" s="150"/>
      <c r="T264" s="150"/>
      <c r="U264" s="150"/>
      <c r="V264" s="150"/>
      <c r="W264" s="150"/>
      <c r="X264" s="150"/>
      <c r="Y264" s="150"/>
      <c r="Z264" s="150"/>
      <c r="AA264" s="150"/>
      <c r="AB264" s="150"/>
      <c r="AC264" s="94"/>
      <c r="AD264" s="94"/>
      <c r="AE264" s="94"/>
      <c r="AF264" s="94"/>
      <c r="AG264" s="94"/>
      <c r="AH264" s="94"/>
      <c r="AI264" s="94"/>
      <c r="AJ264" s="94"/>
      <c r="AK264" s="94"/>
      <c r="AL264" s="94"/>
      <c r="AM264" s="94"/>
      <c r="AN264" s="94"/>
      <c r="AO264" s="94"/>
      <c r="AP264" s="94"/>
      <c r="AQ264" s="94"/>
      <c r="AR264" s="94"/>
      <c r="AS264" s="94"/>
      <c r="AT264" s="94"/>
      <c r="AU264" s="94"/>
      <c r="AV264" s="94"/>
      <c r="AW264" s="94"/>
      <c r="BV264" s="47"/>
      <c r="BW264" s="47"/>
      <c r="BX264" s="47"/>
      <c r="BY264" s="47"/>
      <c r="BZ264" s="47"/>
      <c r="CA264" s="47"/>
    </row>
    <row r="265" spans="1:79" ht="15.75" x14ac:dyDescent="0.25">
      <c r="A265" s="150"/>
      <c r="B265" s="150"/>
      <c r="C265" s="150"/>
      <c r="D265" s="83"/>
      <c r="E265" s="150"/>
      <c r="F265" s="150"/>
      <c r="G265" s="150"/>
      <c r="H265" s="150"/>
      <c r="I265" s="150"/>
      <c r="J265" s="150"/>
      <c r="K265" s="150"/>
      <c r="L265" s="150"/>
      <c r="M265" s="150"/>
      <c r="N265" s="150"/>
      <c r="O265" s="150"/>
      <c r="P265" s="150"/>
      <c r="Q265" s="150"/>
      <c r="R265" s="150"/>
      <c r="S265" s="150"/>
      <c r="T265" s="150"/>
      <c r="U265" s="150"/>
      <c r="V265" s="150"/>
      <c r="W265" s="150"/>
      <c r="X265" s="150"/>
      <c r="Y265" s="150"/>
      <c r="Z265" s="150"/>
      <c r="AA265" s="150"/>
      <c r="AB265" s="150"/>
      <c r="AC265" s="94"/>
      <c r="AD265" s="94"/>
      <c r="AE265" s="94"/>
      <c r="AF265" s="94"/>
      <c r="AG265" s="94"/>
      <c r="AH265" s="94"/>
      <c r="AI265" s="94"/>
      <c r="AJ265" s="94"/>
      <c r="AK265" s="94"/>
      <c r="AL265" s="94"/>
      <c r="AM265" s="94"/>
      <c r="AN265" s="94"/>
      <c r="AO265" s="94"/>
      <c r="AP265" s="94"/>
      <c r="AQ265" s="94"/>
      <c r="AR265" s="94"/>
      <c r="AS265" s="94"/>
      <c r="AT265" s="94"/>
      <c r="AU265" s="94"/>
      <c r="AV265" s="94"/>
      <c r="AW265" s="94"/>
      <c r="BV265" s="47"/>
      <c r="BW265" s="47"/>
      <c r="BX265" s="47"/>
      <c r="BY265" s="47"/>
      <c r="BZ265" s="47"/>
      <c r="CA265" s="47"/>
    </row>
    <row r="266" spans="1:79" ht="15.75" x14ac:dyDescent="0.25">
      <c r="A266" s="150"/>
      <c r="B266" s="150"/>
      <c r="C266" s="150"/>
      <c r="D266" s="83"/>
      <c r="E266" s="150"/>
      <c r="F266" s="150"/>
      <c r="G266" s="150"/>
      <c r="H266" s="150"/>
      <c r="I266" s="150"/>
      <c r="J266" s="150"/>
      <c r="K266" s="150"/>
      <c r="L266" s="150"/>
      <c r="M266" s="150"/>
      <c r="N266" s="150"/>
      <c r="O266" s="150"/>
      <c r="P266" s="150"/>
      <c r="Q266" s="150"/>
      <c r="R266" s="150"/>
      <c r="S266" s="150"/>
      <c r="T266" s="150"/>
      <c r="U266" s="150"/>
      <c r="V266" s="150"/>
      <c r="W266" s="150"/>
      <c r="X266" s="150"/>
      <c r="Y266" s="150"/>
      <c r="Z266" s="150"/>
      <c r="AA266" s="150"/>
      <c r="AB266" s="150"/>
      <c r="AC266" s="94"/>
      <c r="AD266" s="94"/>
      <c r="AE266" s="94"/>
      <c r="AF266" s="94"/>
      <c r="AG266" s="94"/>
      <c r="AH266" s="94"/>
      <c r="AI266" s="94"/>
      <c r="AJ266" s="94"/>
      <c r="AK266" s="94"/>
      <c r="AL266" s="94"/>
      <c r="AM266" s="94"/>
      <c r="AN266" s="94"/>
      <c r="AO266" s="94"/>
      <c r="AP266" s="94"/>
      <c r="AQ266" s="94"/>
      <c r="AR266" s="94"/>
      <c r="AS266" s="94"/>
      <c r="AT266" s="94"/>
      <c r="AU266" s="94"/>
      <c r="AV266" s="94"/>
      <c r="AW266" s="94"/>
      <c r="BV266" s="47"/>
      <c r="BW266" s="47"/>
      <c r="BX266" s="47"/>
      <c r="BY266" s="47"/>
      <c r="BZ266" s="47"/>
      <c r="CA266" s="47"/>
    </row>
    <row r="267" spans="1:79" ht="15.75" x14ac:dyDescent="0.25">
      <c r="A267" s="150"/>
      <c r="B267" s="150"/>
      <c r="C267" s="150"/>
      <c r="D267" s="150"/>
      <c r="E267" s="150"/>
      <c r="F267" s="150"/>
      <c r="G267" s="150"/>
      <c r="H267" s="150"/>
      <c r="I267" s="150"/>
      <c r="J267" s="150"/>
      <c r="K267" s="150"/>
      <c r="L267" s="150"/>
      <c r="M267" s="150"/>
      <c r="N267" s="150"/>
      <c r="O267" s="150"/>
      <c r="P267" s="150"/>
      <c r="Q267" s="150"/>
      <c r="R267" s="150"/>
      <c r="S267" s="150"/>
      <c r="T267" s="150"/>
      <c r="U267" s="150"/>
      <c r="V267" s="150"/>
      <c r="W267" s="150"/>
      <c r="X267" s="150"/>
      <c r="Y267" s="150"/>
      <c r="Z267" s="150"/>
      <c r="AA267" s="150"/>
      <c r="AB267" s="150"/>
      <c r="AC267" s="150"/>
      <c r="AD267" s="150"/>
      <c r="AE267" s="150"/>
      <c r="AF267" s="150"/>
      <c r="AG267" s="150"/>
      <c r="AH267" s="150"/>
      <c r="AI267" s="150"/>
      <c r="AJ267" s="150"/>
      <c r="AK267" s="150"/>
      <c r="AL267" s="150"/>
      <c r="AM267" s="150"/>
      <c r="AN267" s="150"/>
      <c r="AO267" s="150"/>
      <c r="AP267" s="150"/>
      <c r="AQ267" s="150"/>
      <c r="AR267" s="150"/>
      <c r="AS267" s="150"/>
      <c r="AT267" s="150"/>
      <c r="AU267" s="150"/>
      <c r="AV267" s="150"/>
      <c r="AW267" s="150"/>
      <c r="BV267" s="47"/>
      <c r="BW267" s="47"/>
      <c r="BX267" s="47"/>
      <c r="BY267" s="47"/>
      <c r="BZ267" s="47"/>
      <c r="CA267" s="47"/>
    </row>
    <row r="268" spans="1:79" ht="15.75" x14ac:dyDescent="0.25">
      <c r="A268" s="150"/>
      <c r="B268" s="150"/>
      <c r="C268" s="150"/>
      <c r="D268" s="150"/>
      <c r="E268" s="150"/>
      <c r="F268" s="150"/>
      <c r="G268" s="150"/>
      <c r="H268" s="150"/>
      <c r="I268" s="150"/>
      <c r="J268" s="150"/>
      <c r="K268" s="150"/>
      <c r="L268" s="150"/>
      <c r="M268" s="150"/>
      <c r="N268" s="150"/>
      <c r="O268" s="150"/>
      <c r="P268" s="150"/>
      <c r="Q268" s="150"/>
      <c r="R268" s="150"/>
      <c r="S268" s="150"/>
      <c r="T268" s="150"/>
      <c r="U268" s="150"/>
      <c r="V268" s="150"/>
      <c r="W268" s="150"/>
      <c r="X268" s="150"/>
      <c r="Y268" s="150"/>
      <c r="Z268" s="150"/>
      <c r="AA268" s="150"/>
      <c r="AB268" s="150"/>
      <c r="AC268" s="220"/>
      <c r="AD268" s="150"/>
      <c r="AE268" s="150"/>
      <c r="AF268" s="150"/>
      <c r="AG268" s="150"/>
      <c r="AH268" s="150"/>
      <c r="AI268" s="150"/>
      <c r="AJ268" s="150"/>
      <c r="AK268" s="150"/>
      <c r="AL268" s="150"/>
      <c r="AM268" s="150"/>
      <c r="AN268" s="150"/>
      <c r="AO268" s="150"/>
      <c r="AP268" s="150"/>
      <c r="AQ268" s="150"/>
      <c r="AR268" s="150"/>
      <c r="AS268" s="150"/>
      <c r="AT268" s="150"/>
      <c r="AU268" s="150"/>
      <c r="AV268" s="150"/>
      <c r="AW268" s="150"/>
      <c r="BV268" s="47"/>
      <c r="BW268" s="47"/>
      <c r="BX268" s="47"/>
      <c r="BY268" s="47"/>
      <c r="BZ268" s="47"/>
      <c r="CA268" s="47"/>
    </row>
    <row r="269" spans="1:79" customFormat="1" ht="11.25" x14ac:dyDescent="0.2">
      <c r="A269" s="126"/>
      <c r="B269" s="127" t="s">
        <v>45</v>
      </c>
      <c r="C269" s="127"/>
      <c r="D269" s="127"/>
      <c r="E269" s="127"/>
      <c r="F269" s="127"/>
      <c r="G269" s="128"/>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row>
    <row r="270" spans="1:79" ht="15.75" x14ac:dyDescent="0.25">
      <c r="A270" s="150"/>
      <c r="B270" s="150"/>
      <c r="C270" s="150"/>
      <c r="D270" s="150"/>
      <c r="E270" s="150"/>
      <c r="F270" s="150"/>
      <c r="G270" s="150"/>
      <c r="H270" s="150"/>
      <c r="I270" s="150"/>
      <c r="J270" s="150"/>
      <c r="K270" s="150"/>
      <c r="L270" s="150"/>
      <c r="M270" s="150"/>
      <c r="N270" s="150"/>
      <c r="O270" s="150"/>
      <c r="P270" s="150"/>
      <c r="Q270" s="150"/>
      <c r="R270" s="150"/>
      <c r="S270" s="150"/>
      <c r="T270" s="150"/>
      <c r="U270" s="150"/>
      <c r="V270" s="150"/>
      <c r="W270" s="150"/>
      <c r="X270" s="150"/>
      <c r="Y270" s="150"/>
      <c r="Z270" s="150"/>
      <c r="AA270" s="150"/>
      <c r="AB270" s="150"/>
      <c r="AC270" s="150"/>
      <c r="AD270" s="150"/>
      <c r="AE270" s="150"/>
      <c r="AF270" s="150"/>
      <c r="AG270" s="150"/>
      <c r="AH270" s="150"/>
      <c r="AI270" s="150"/>
      <c r="AJ270" s="150"/>
      <c r="AK270" s="150"/>
      <c r="AL270" s="150"/>
      <c r="AM270" s="150"/>
      <c r="AN270" s="150"/>
      <c r="AO270" s="150"/>
      <c r="AP270" s="150"/>
      <c r="AQ270" s="150"/>
      <c r="AR270" s="150"/>
      <c r="AS270" s="150"/>
      <c r="AT270" s="150"/>
      <c r="AU270" s="150"/>
      <c r="AV270" s="150"/>
      <c r="AW270" s="150"/>
      <c r="BV270" s="47"/>
      <c r="BW270" s="47"/>
      <c r="BX270" s="47"/>
      <c r="BY270" s="47"/>
      <c r="BZ270" s="47"/>
      <c r="CA270" s="47"/>
    </row>
  </sheetData>
  <conditionalFormatting sqref="S119:AB119 X160:AB160">
    <cfRule type="cellIs" dxfId="6" priority="7" operator="equal">
      <formula>0</formula>
    </cfRule>
  </conditionalFormatting>
  <conditionalFormatting sqref="S159:AB196">
    <cfRule type="cellIs" dxfId="5" priority="3" operator="equal">
      <formula>0</formula>
    </cfRule>
  </conditionalFormatting>
  <conditionalFormatting sqref="S208:AB208 X209:AB210">
    <cfRule type="cellIs" dxfId="4" priority="4" operator="equal">
      <formula>0</formula>
    </cfRule>
  </conditionalFormatting>
  <conditionalFormatting sqref="S41:AC41">
    <cfRule type="cellIs" dxfId="3" priority="6" operator="equal">
      <formula>0</formula>
    </cfRule>
  </conditionalFormatting>
  <conditionalFormatting sqref="X233:AB233">
    <cfRule type="cellIs" dxfId="2" priority="5" operator="equal">
      <formula>0</formula>
    </cfRule>
  </conditionalFormatting>
  <conditionalFormatting sqref="AC210">
    <cfRule type="cellIs" dxfId="1" priority="2" operator="equal">
      <formula>0</formula>
    </cfRule>
  </conditionalFormatting>
  <conditionalFormatting sqref="AC56:AW62 AC79:AW81">
    <cfRule type="cellIs" dxfId="0" priority="1" operator="equal">
      <formula>0</formula>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597aa5df-4d83-45df-b7a4-17a5cf028972">
      <Terms xmlns="http://schemas.microsoft.com/office/infopath/2007/PartnerControls"/>
    </lcf76f155ced4ddcb4097134ff3c332f>
    <TaxCatchAll xmlns="8ab5dc09-19f6-4490-a744-d771724f0135"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7DDE54CE5611147AE0E3B642645A0B9" ma:contentTypeVersion="19" ma:contentTypeDescription="Create a new document." ma:contentTypeScope="" ma:versionID="f8edc78be727f6f145fdb6d23fa331b9">
  <xsd:schema xmlns:xsd="http://www.w3.org/2001/XMLSchema" xmlns:xs="http://www.w3.org/2001/XMLSchema" xmlns:p="http://schemas.microsoft.com/office/2006/metadata/properties" xmlns:ns1="http://schemas.microsoft.com/sharepoint/v3" xmlns:ns2="597aa5df-4d83-45df-b7a4-17a5cf028972" xmlns:ns3="605036af-c3eb-4972-a30f-0deaad180ac8" xmlns:ns4="8ab5dc09-19f6-4490-a744-d771724f0135" targetNamespace="http://schemas.microsoft.com/office/2006/metadata/properties" ma:root="true" ma:fieldsID="c49fa015368450818939c6fbdb66e17a" ns1:_="" ns2:_="" ns3:_="" ns4:_="">
    <xsd:import namespace="http://schemas.microsoft.com/sharepoint/v3"/>
    <xsd:import namespace="597aa5df-4d83-45df-b7a4-17a5cf028972"/>
    <xsd:import namespace="605036af-c3eb-4972-a30f-0deaad180ac8"/>
    <xsd:import namespace="8ab5dc09-19f6-4490-a744-d771724f013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1:_ip_UnifiedCompliancePolicyProperties" minOccurs="0"/>
                <xsd:element ref="ns1:_ip_UnifiedCompliancePolicyUIAction" minOccurs="0"/>
                <xsd:element ref="ns2:MediaServiceDateTaken" minOccurs="0"/>
                <xsd:element ref="ns2:MediaLengthInSeconds" minOccurs="0"/>
                <xsd:element ref="ns2:lcf76f155ced4ddcb4097134ff3c332f" minOccurs="0"/>
                <xsd:element ref="ns4: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7aa5df-4d83-45df-b7a4-17a5cf0289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e9e392fb-6f4a-4755-a88e-27e4fb8ad80a"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5036af-c3eb-4972-a30f-0deaad180ac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ab5dc09-19f6-4490-a744-d771724f0135"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98b993bf-55e3-4042-8a56-24ec30cd5c8d}" ma:internalName="TaxCatchAll" ma:showField="CatchAllData" ma:web="605036af-c3eb-4972-a30f-0deaad180ac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2E7B8D-2202-42DA-9F5F-C895C84FC682}">
  <ds:schemaRefs>
    <ds:schemaRef ds:uri="http://schemas.microsoft.com/office/2006/metadata/properties"/>
    <ds:schemaRef ds:uri="http://schemas.microsoft.com/office/infopath/2007/PartnerControls"/>
    <ds:schemaRef ds:uri="http://schemas.microsoft.com/sharepoint/v3"/>
    <ds:schemaRef ds:uri="597aa5df-4d83-45df-b7a4-17a5cf028972"/>
    <ds:schemaRef ds:uri="8ab5dc09-19f6-4490-a744-d771724f0135"/>
  </ds:schemaRefs>
</ds:datastoreItem>
</file>

<file path=customXml/itemProps2.xml><?xml version="1.0" encoding="utf-8"?>
<ds:datastoreItem xmlns:ds="http://schemas.openxmlformats.org/officeDocument/2006/customXml" ds:itemID="{35C2D747-6CFB-47B3-98EE-852E7D743F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97aa5df-4d83-45df-b7a4-17a5cf028972"/>
    <ds:schemaRef ds:uri="605036af-c3eb-4972-a30f-0deaad180ac8"/>
    <ds:schemaRef ds:uri="8ab5dc09-19f6-4490-a744-d771724f01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722CE36-9CBC-40F0-827F-41AF21C9042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17</vt:i4>
      </vt:variant>
      <vt:variant>
        <vt:lpstr>Named Ranges</vt:lpstr>
      </vt:variant>
      <vt:variant>
        <vt:i4>60</vt:i4>
      </vt:variant>
    </vt:vector>
  </HeadingPairs>
  <TitlesOfParts>
    <vt:vector size="77" baseType="lpstr">
      <vt:lpstr>DASH</vt:lpstr>
      <vt:lpstr>Model Guide</vt:lpstr>
      <vt:lpstr>Assumptions</vt:lpstr>
      <vt:lpstr>Notes</vt:lpstr>
      <vt:lpstr>Checks</vt:lpstr>
      <vt:lpstr>INPUT Reg</vt:lpstr>
      <vt:lpstr>INPUT Growth</vt:lpstr>
      <vt:lpstr>INPUT Opex</vt:lpstr>
      <vt:lpstr>INPUT Capex</vt:lpstr>
      <vt:lpstr>SW</vt:lpstr>
      <vt:lpstr>SS</vt:lpstr>
      <vt:lpstr>SA</vt:lpstr>
      <vt:lpstr>GW</vt:lpstr>
      <vt:lpstr>GS</vt:lpstr>
      <vt:lpstr>GA</vt:lpstr>
      <vt:lpstr>WR</vt:lpstr>
      <vt:lpstr>GR</vt:lpstr>
      <vt:lpstr>CWW_N_R_F</vt:lpstr>
      <vt:lpstr>CWW_N_R_V</vt:lpstr>
      <vt:lpstr>CWW_N_S_N</vt:lpstr>
      <vt:lpstr>CWW_N_SDC</vt:lpstr>
      <vt:lpstr>CWW_N_W_N</vt:lpstr>
      <vt:lpstr>CWW_N_W_V</vt:lpstr>
      <vt:lpstr>CWW_R_R_N</vt:lpstr>
      <vt:lpstr>CWW_R_R_V</vt:lpstr>
      <vt:lpstr>CWW_R_S_N</vt:lpstr>
      <vt:lpstr>CWW_R_SDC</vt:lpstr>
      <vt:lpstr>CWW_R_W_N</vt:lpstr>
      <vt:lpstr>CWW_T1</vt:lpstr>
      <vt:lpstr>CWW_T2</vt:lpstr>
      <vt:lpstr>NSPAV</vt:lpstr>
      <vt:lpstr>GA!RW</vt:lpstr>
      <vt:lpstr>GR!RW</vt:lpstr>
      <vt:lpstr>GW!RW</vt:lpstr>
      <vt:lpstr>SA!RW</vt:lpstr>
      <vt:lpstr>SW!RW</vt:lpstr>
      <vt:lpstr>RW</vt:lpstr>
      <vt:lpstr>GA!S</vt:lpstr>
      <vt:lpstr>GR!S</vt:lpstr>
      <vt:lpstr>GW!S</vt:lpstr>
      <vt:lpstr>SA!S</vt:lpstr>
      <vt:lpstr>SW!S</vt:lpstr>
      <vt:lpstr>S</vt:lpstr>
      <vt:lpstr>sunk</vt:lpstr>
      <vt:lpstr>Sunk_off\</vt:lpstr>
      <vt:lpstr>sunkSpli</vt:lpstr>
      <vt:lpstr>TariffCode</vt:lpstr>
      <vt:lpstr>TariffName</vt:lpstr>
      <vt:lpstr>TariffProduct</vt:lpstr>
      <vt:lpstr>TariffZone</vt:lpstr>
      <vt:lpstr>GA!W</vt:lpstr>
      <vt:lpstr>GR!W</vt:lpstr>
      <vt:lpstr>GW!W</vt:lpstr>
      <vt:lpstr>SA!W</vt:lpstr>
      <vt:lpstr>SW!W</vt:lpstr>
      <vt:lpstr>W</vt:lpstr>
      <vt:lpstr>GA!WS</vt:lpstr>
      <vt:lpstr>GR!WS</vt:lpstr>
      <vt:lpstr>GW!WS</vt:lpstr>
      <vt:lpstr>SA!WS</vt:lpstr>
      <vt:lpstr>SW!WS</vt:lpstr>
      <vt:lpstr>WS</vt:lpstr>
      <vt:lpstr>WW_N_R_N</vt:lpstr>
      <vt:lpstr>WW_N_R_V</vt:lpstr>
      <vt:lpstr>WW_N_S_N</vt:lpstr>
      <vt:lpstr>WW_N_SDC</vt:lpstr>
      <vt:lpstr>WW_N_W_N</vt:lpstr>
      <vt:lpstr>WW_N_W_V</vt:lpstr>
      <vt:lpstr>WW_R_R_N</vt:lpstr>
      <vt:lpstr>WW_R_R_V</vt:lpstr>
      <vt:lpstr>WW_R_S_N</vt:lpstr>
      <vt:lpstr>WW_R_SDC</vt:lpstr>
      <vt:lpstr>WW_R_W_N</vt:lpstr>
      <vt:lpstr>WW_T1</vt:lpstr>
      <vt:lpstr>WW_T2</vt:lpstr>
      <vt:lpstr>WW_T3</vt:lpstr>
      <vt:lpstr>YesNo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Jaawid Nazeer</dc:creator>
  <cp:keywords/>
  <dc:description/>
  <cp:lastModifiedBy>Kelly Brown</cp:lastModifiedBy>
  <cp:revision/>
  <dcterms:created xsi:type="dcterms:W3CDTF">2023-09-04T05:29:54Z</dcterms:created>
  <dcterms:modified xsi:type="dcterms:W3CDTF">2023-09-28T00:40:53Z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0x01010077DDE54CE5611147AE0E3B642645A0B9</vt:lpwstr>
  </property>
  <property fmtid="{D5CDD505-2E9C-101B-9397-08002B2CF9AE}" pid="3" name="MSIP_Label_c2bfee47-8a3f-4f85-acf6-5afe02eeb79a_Enabled">
    <vt:lpwstr>true</vt:lpwstr>
  </property>
  <property fmtid="{D5CDD505-2E9C-101B-9397-08002B2CF9AE}" pid="4" name="MSIP_Label_c2bfee47-8a3f-4f85-acf6-5afe02eeb79a_SetDate">
    <vt:lpwstr>2023-09-25T02:35:56Z</vt:lpwstr>
  </property>
  <property fmtid="{D5CDD505-2E9C-101B-9397-08002B2CF9AE}" pid="5" name="MSIP_Label_c2bfee47-8a3f-4f85-acf6-5afe02eeb79a_Method">
    <vt:lpwstr>Standard</vt:lpwstr>
  </property>
  <property fmtid="{D5CDD505-2E9C-101B-9397-08002B2CF9AE}" pid="6" name="MSIP_Label_c2bfee47-8a3f-4f85-acf6-5afe02eeb79a_Name">
    <vt:lpwstr>OFFICIAL</vt:lpwstr>
  </property>
  <property fmtid="{D5CDD505-2E9C-101B-9397-08002B2CF9AE}" pid="7" name="MSIP_Label_c2bfee47-8a3f-4f85-acf6-5afe02eeb79a_SiteId">
    <vt:lpwstr>7a493629-db1d-42d1-bc9d-b9d81f17ddf3</vt:lpwstr>
  </property>
  <property fmtid="{D5CDD505-2E9C-101B-9397-08002B2CF9AE}" pid="8" name="MSIP_Label_c2bfee47-8a3f-4f85-acf6-5afe02eeb79a_ActionId">
    <vt:lpwstr>10aeb149-402a-4c38-9ba4-8ae91f022a7d</vt:lpwstr>
  </property>
  <property fmtid="{D5CDD505-2E9C-101B-9397-08002B2CF9AE}" pid="9" name="MSIP_Label_c2bfee47-8a3f-4f85-acf6-5afe02eeb79a_ContentBits">
    <vt:lpwstr>0</vt:lpwstr>
  </property>
  <property fmtid="{D5CDD505-2E9C-101B-9397-08002B2CF9AE}" pid="10" name="MediaServiceImageTags">
    <vt:lpwstr/>
  </property>
  <property fmtid="{D5CDD505-2E9C-101B-9397-08002B2CF9AE}" pid="11" name="_MarkAsFinal">
    <vt:bool>true</vt:bool>
  </property>
</Properties>
</file>